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50" yWindow="180" windowWidth="20730" windowHeight="10095"/>
  </bookViews>
  <sheets>
    <sheet name="First Page" sheetId="22" r:id="rId1"/>
    <sheet name="Checklist" sheetId="20" r:id="rId2"/>
    <sheet name="Balance Sheet" sheetId="10" r:id="rId3"/>
    <sheet name="P &amp; L Account" sheetId="15" r:id="rId4"/>
    <sheet name="Cash Flow" sheetId="17" r:id="rId5"/>
    <sheet name="Ratios" sheetId="14" r:id="rId6"/>
    <sheet name="DCF" sheetId="2" r:id="rId7"/>
    <sheet name="Buffett Valuation" sheetId="21" r:id="rId8"/>
    <sheet name="Fair Value" sheetId="1" r:id="rId9"/>
  </sheets>
  <externalReferences>
    <externalReference r:id="rId10"/>
  </externalReferences>
  <definedNames>
    <definedName name="discount">'[1]DCF Valuation'!$N$13:$N$16</definedName>
    <definedName name="Ticker">[1]Data!$A$2</definedName>
  </definedNames>
  <calcPr calcId="125725" iterateDelta="1E-4"/>
</workbook>
</file>

<file path=xl/calcChain.xml><?xml version="1.0" encoding="utf-8"?>
<calcChain xmlns="http://schemas.openxmlformats.org/spreadsheetml/2006/main">
  <c r="B17" i="1"/>
  <c r="B16"/>
  <c r="D16" i="2"/>
  <c r="B16" i="22" l="1"/>
  <c r="B12" i="2" l="1"/>
  <c r="C7" i="21"/>
  <c r="B24" i="1"/>
  <c r="F30" i="21"/>
  <c r="F29"/>
  <c r="F28"/>
  <c r="F27"/>
  <c r="F26"/>
  <c r="F25"/>
  <c r="F24"/>
  <c r="F23"/>
  <c r="F22"/>
  <c r="F21"/>
  <c r="E30"/>
  <c r="E29"/>
  <c r="E28"/>
  <c r="E27"/>
  <c r="E26"/>
  <c r="E25"/>
  <c r="E24"/>
  <c r="E23"/>
  <c r="E22"/>
  <c r="E21"/>
  <c r="B13" i="2"/>
  <c r="K6" i="17"/>
  <c r="B5" i="2" s="1"/>
  <c r="J6" i="17"/>
  <c r="I6"/>
  <c r="H6"/>
  <c r="G6"/>
  <c r="F6"/>
  <c r="E6"/>
  <c r="D6"/>
  <c r="C6"/>
  <c r="B6"/>
  <c r="C22" i="10"/>
  <c r="D22" s="1"/>
  <c r="E22" s="1"/>
  <c r="F22" s="1"/>
  <c r="G22" s="1"/>
  <c r="H22" s="1"/>
  <c r="I22" s="1"/>
  <c r="J22" s="1"/>
  <c r="K22" s="1"/>
  <c r="K23"/>
  <c r="K25"/>
  <c r="C23"/>
  <c r="D23" s="1"/>
  <c r="E23" s="1"/>
  <c r="F23" s="1"/>
  <c r="G23" s="1"/>
  <c r="H23" s="1"/>
  <c r="I23" s="1"/>
  <c r="J23" s="1"/>
  <c r="C25"/>
  <c r="D25" s="1"/>
  <c r="E25" s="1"/>
  <c r="F25" s="1"/>
  <c r="G25" s="1"/>
  <c r="H25" s="1"/>
  <c r="I25" s="1"/>
  <c r="J25" s="1"/>
  <c r="C4" i="21" l="1"/>
  <c r="E34"/>
  <c r="K15" i="15"/>
  <c r="F35" i="21"/>
  <c r="E35"/>
  <c r="F34"/>
  <c r="K11" i="14" l="1"/>
  <c r="K9" i="17"/>
  <c r="L4" i="15"/>
  <c r="B22" i="22" s="1"/>
  <c r="J35" i="14"/>
  <c r="F35"/>
  <c r="E35"/>
  <c r="D35"/>
  <c r="C35"/>
  <c r="B35"/>
  <c r="J9" i="17"/>
  <c r="I9"/>
  <c r="H9"/>
  <c r="G9"/>
  <c r="F9"/>
  <c r="E9"/>
  <c r="D9"/>
  <c r="C9"/>
  <c r="B9"/>
  <c r="K35" i="14"/>
  <c r="I35" l="1"/>
  <c r="G35"/>
  <c r="H35"/>
  <c r="J25" l="1"/>
  <c r="I25"/>
  <c r="H25"/>
  <c r="G25"/>
  <c r="F25"/>
  <c r="E25"/>
  <c r="D25"/>
  <c r="C25"/>
  <c r="B25"/>
  <c r="J24"/>
  <c r="I24"/>
  <c r="H24"/>
  <c r="G24"/>
  <c r="F24"/>
  <c r="E24"/>
  <c r="D24"/>
  <c r="C24"/>
  <c r="B24"/>
  <c r="J23"/>
  <c r="I23"/>
  <c r="H23"/>
  <c r="G23"/>
  <c r="F23"/>
  <c r="E23"/>
  <c r="D23"/>
  <c r="C23"/>
  <c r="B23"/>
  <c r="K25"/>
  <c r="K24"/>
  <c r="K23"/>
  <c r="K21" i="10" l="1"/>
  <c r="J21"/>
  <c r="I21"/>
  <c r="H21"/>
  <c r="G21"/>
  <c r="F21"/>
  <c r="E21"/>
  <c r="D21"/>
  <c r="C21"/>
  <c r="K27"/>
  <c r="J27"/>
  <c r="I27"/>
  <c r="H27"/>
  <c r="G27"/>
  <c r="F27"/>
  <c r="E27"/>
  <c r="D27"/>
  <c r="C27"/>
  <c r="B27"/>
  <c r="K14"/>
  <c r="J14"/>
  <c r="I14"/>
  <c r="H14"/>
  <c r="G14"/>
  <c r="F14"/>
  <c r="E14"/>
  <c r="D14"/>
  <c r="C14"/>
  <c r="B14"/>
  <c r="K20" i="14" l="1"/>
  <c r="K36"/>
  <c r="K37"/>
  <c r="J20"/>
  <c r="J37"/>
  <c r="J36"/>
  <c r="I37"/>
  <c r="I20"/>
  <c r="I36"/>
  <c r="H20"/>
  <c r="H37"/>
  <c r="H36"/>
  <c r="G37"/>
  <c r="G20"/>
  <c r="G36"/>
  <c r="F20"/>
  <c r="F37"/>
  <c r="F36"/>
  <c r="E37"/>
  <c r="E36"/>
  <c r="E20"/>
  <c r="D20"/>
  <c r="D37"/>
  <c r="D36"/>
  <c r="C37"/>
  <c r="C20"/>
  <c r="C36"/>
  <c r="B20"/>
  <c r="B37"/>
  <c r="B36"/>
  <c r="J28"/>
  <c r="I28"/>
  <c r="H28"/>
  <c r="G28"/>
  <c r="F28"/>
  <c r="E28"/>
  <c r="D28"/>
  <c r="C28"/>
  <c r="K28"/>
  <c r="K14" i="15"/>
  <c r="K31"/>
  <c r="K7" i="14" s="1"/>
  <c r="K16" i="15" l="1"/>
  <c r="J11" i="14"/>
  <c r="J15" i="15"/>
  <c r="I31"/>
  <c r="K19"/>
  <c r="J31"/>
  <c r="J14"/>
  <c r="J16" s="1"/>
  <c r="H31"/>
  <c r="K12" i="14"/>
  <c r="J7" l="1"/>
  <c r="C29" i="21" s="1"/>
  <c r="H7" i="14"/>
  <c r="C27" i="21" s="1"/>
  <c r="I7" i="14"/>
  <c r="C28" i="21" s="1"/>
  <c r="K13" i="14"/>
  <c r="K22" i="15"/>
  <c r="C30" i="21"/>
  <c r="C9"/>
  <c r="C13" s="1"/>
  <c r="I14" i="15"/>
  <c r="I16" s="1"/>
  <c r="J29" i="14" s="1"/>
  <c r="I15" i="15"/>
  <c r="J12" i="14"/>
  <c r="J19" i="15"/>
  <c r="J22" s="1"/>
  <c r="K38" i="14"/>
  <c r="H15" i="15"/>
  <c r="I11" i="14"/>
  <c r="K29"/>
  <c r="G31" i="15"/>
  <c r="G7" i="14" l="1"/>
  <c r="C26" i="21" s="1"/>
  <c r="I19" i="15"/>
  <c r="J30" i="14" s="1"/>
  <c r="I12"/>
  <c r="K30"/>
  <c r="J24" i="15"/>
  <c r="J6" i="14"/>
  <c r="J18" s="1"/>
  <c r="J38"/>
  <c r="J13"/>
  <c r="K24" i="15"/>
  <c r="K27" s="1"/>
  <c r="K6" i="14"/>
  <c r="G15" i="15"/>
  <c r="H11" i="14"/>
  <c r="H14" i="15"/>
  <c r="H16" s="1"/>
  <c r="F31"/>
  <c r="F7" i="14" l="1"/>
  <c r="C25" i="21" s="1"/>
  <c r="C35" s="1"/>
  <c r="K28" i="15"/>
  <c r="K4" i="14" s="1"/>
  <c r="I38"/>
  <c r="I22" i="15"/>
  <c r="J27"/>
  <c r="J28" s="1"/>
  <c r="J4" i="14" s="1"/>
  <c r="I13"/>
  <c r="I24" i="15"/>
  <c r="J8" i="14"/>
  <c r="K18"/>
  <c r="F15" i="15"/>
  <c r="G11" i="14"/>
  <c r="G14" i="15"/>
  <c r="G16" s="1"/>
  <c r="H12" i="14"/>
  <c r="I29"/>
  <c r="H19" i="15"/>
  <c r="H22" s="1"/>
  <c r="E31"/>
  <c r="E7" i="14" l="1"/>
  <c r="C24" i="21" s="1"/>
  <c r="B29"/>
  <c r="J14" i="14"/>
  <c r="J4" i="1"/>
  <c r="J8" s="1"/>
  <c r="I27" i="15"/>
  <c r="I28" s="1"/>
  <c r="I4" i="14" s="1"/>
  <c r="I6"/>
  <c r="I18" s="1"/>
  <c r="K4" i="1"/>
  <c r="B30" i="21"/>
  <c r="H29" i="14"/>
  <c r="I30"/>
  <c r="H38"/>
  <c r="H13"/>
  <c r="E15" i="15"/>
  <c r="F11" i="14"/>
  <c r="F14" i="15"/>
  <c r="F16" s="1"/>
  <c r="C8" i="21"/>
  <c r="K8" i="14"/>
  <c r="K14"/>
  <c r="K31"/>
  <c r="I14"/>
  <c r="I8"/>
  <c r="G12"/>
  <c r="G19" i="15"/>
  <c r="G22" s="1"/>
  <c r="D31"/>
  <c r="C23" i="21" l="1"/>
  <c r="D7" i="14"/>
  <c r="J29" i="21"/>
  <c r="H29"/>
  <c r="G29"/>
  <c r="J6" i="1"/>
  <c r="J9" s="1"/>
  <c r="J31" i="14"/>
  <c r="K8" i="1"/>
  <c r="B14"/>
  <c r="B28" i="21"/>
  <c r="H28" s="1"/>
  <c r="I4" i="1"/>
  <c r="K6"/>
  <c r="K9" s="1"/>
  <c r="B39" i="21"/>
  <c r="C11"/>
  <c r="C12"/>
  <c r="J30"/>
  <c r="H30"/>
  <c r="G30"/>
  <c r="G29" i="14"/>
  <c r="G38"/>
  <c r="G13"/>
  <c r="F19" i="15"/>
  <c r="F22" s="1"/>
  <c r="F12" i="14"/>
  <c r="H24" i="15"/>
  <c r="H6" i="14"/>
  <c r="H18" s="1"/>
  <c r="D15" i="15"/>
  <c r="E11" i="14"/>
  <c r="E14" i="15"/>
  <c r="E16" s="1"/>
  <c r="H30" i="14"/>
  <c r="C31" i="15"/>
  <c r="B31"/>
  <c r="B7" i="14" s="1"/>
  <c r="K7" i="10"/>
  <c r="I7"/>
  <c r="I5" i="14" s="1"/>
  <c r="H7" i="10"/>
  <c r="H5" i="14" s="1"/>
  <c r="G7" i="10"/>
  <c r="G5" i="14" s="1"/>
  <c r="F7" i="10"/>
  <c r="F5" i="14" s="1"/>
  <c r="E7" i="10"/>
  <c r="E5" i="14" s="1"/>
  <c r="D7" i="10"/>
  <c r="D5" i="14" s="1"/>
  <c r="B7" i="10"/>
  <c r="B5" i="14" s="1"/>
  <c r="C7" i="10"/>
  <c r="C5" i="14" s="1"/>
  <c r="J7" i="10"/>
  <c r="C22" i="21" l="1"/>
  <c r="C7" i="14"/>
  <c r="I17"/>
  <c r="J5"/>
  <c r="D29" i="21" s="1"/>
  <c r="I29" s="1"/>
  <c r="J17" i="14"/>
  <c r="K5"/>
  <c r="K17"/>
  <c r="G28" i="21"/>
  <c r="J28"/>
  <c r="I6" i="1"/>
  <c r="B12"/>
  <c r="H27" i="15"/>
  <c r="H28" s="1"/>
  <c r="H4" i="14" s="1"/>
  <c r="I8" i="1"/>
  <c r="K34" i="14"/>
  <c r="K19"/>
  <c r="C15" i="15"/>
  <c r="D11" i="14"/>
  <c r="D14" i="15"/>
  <c r="D16" s="1"/>
  <c r="G24"/>
  <c r="G6" i="14"/>
  <c r="G18" s="1"/>
  <c r="C21" i="21"/>
  <c r="C34" s="1"/>
  <c r="L31" i="15"/>
  <c r="E19"/>
  <c r="E12" i="14"/>
  <c r="F38"/>
  <c r="F13"/>
  <c r="F29"/>
  <c r="G30"/>
  <c r="D22" i="21"/>
  <c r="C34" i="14"/>
  <c r="D23" i="21"/>
  <c r="D34" i="14"/>
  <c r="D25" i="21"/>
  <c r="F34" i="14"/>
  <c r="H19"/>
  <c r="D27" i="21"/>
  <c r="H34" i="14"/>
  <c r="D21" i="21"/>
  <c r="B34" i="14"/>
  <c r="D24" i="21"/>
  <c r="E34" i="14"/>
  <c r="D26" i="21"/>
  <c r="G34" i="14"/>
  <c r="I19"/>
  <c r="D28" i="21"/>
  <c r="I28" s="1"/>
  <c r="I34" i="14"/>
  <c r="J19"/>
  <c r="J34"/>
  <c r="H8" l="1"/>
  <c r="B25" i="22"/>
  <c r="F30" i="14"/>
  <c r="E22" i="15"/>
  <c r="H17" i="14"/>
  <c r="I9" i="1"/>
  <c r="H4"/>
  <c r="H6" s="1"/>
  <c r="B27" i="21"/>
  <c r="H27" s="1"/>
  <c r="G27" i="15"/>
  <c r="G28" s="1"/>
  <c r="G4" i="14" s="1"/>
  <c r="H14"/>
  <c r="I31"/>
  <c r="H8" i="1"/>
  <c r="D30" i="21"/>
  <c r="D34" s="1"/>
  <c r="C10"/>
  <c r="G19" i="14"/>
  <c r="E29"/>
  <c r="B15" i="15"/>
  <c r="L15" s="1"/>
  <c r="B23" i="22" s="1"/>
  <c r="C11" i="14"/>
  <c r="C14" i="15"/>
  <c r="C16" s="1"/>
  <c r="D29" i="14" s="1"/>
  <c r="F24" i="15"/>
  <c r="F6" i="14"/>
  <c r="E38"/>
  <c r="E13"/>
  <c r="G14"/>
  <c r="H31"/>
  <c r="D19" i="15"/>
  <c r="D12" i="14"/>
  <c r="B32" i="2"/>
  <c r="C25"/>
  <c r="C24"/>
  <c r="C23"/>
  <c r="C22"/>
  <c r="C21"/>
  <c r="C20"/>
  <c r="C19"/>
  <c r="C18"/>
  <c r="C17"/>
  <c r="C16"/>
  <c r="B16" s="1"/>
  <c r="I27" i="21" l="1"/>
  <c r="J27"/>
  <c r="E30" i="14"/>
  <c r="D22" i="15"/>
  <c r="B26" i="21"/>
  <c r="G17" i="14"/>
  <c r="G4" i="1"/>
  <c r="G8" s="1"/>
  <c r="F27" i="15"/>
  <c r="F28" s="1"/>
  <c r="F4" i="14" s="1"/>
  <c r="G8"/>
  <c r="G27" i="21"/>
  <c r="H9" i="1"/>
  <c r="C14" i="21"/>
  <c r="B53"/>
  <c r="D35"/>
  <c r="I30"/>
  <c r="F18" i="14"/>
  <c r="F19"/>
  <c r="B11"/>
  <c r="B14" i="15"/>
  <c r="D13" i="14"/>
  <c r="D38"/>
  <c r="E6"/>
  <c r="E24" i="15"/>
  <c r="C12" i="14"/>
  <c r="C19" i="15"/>
  <c r="C22" s="1"/>
  <c r="B17" i="2"/>
  <c r="D17" s="1"/>
  <c r="F8" i="14" l="1"/>
  <c r="B16" i="15"/>
  <c r="L14"/>
  <c r="F14" i="14"/>
  <c r="G6" i="1"/>
  <c r="I26" i="21"/>
  <c r="H26"/>
  <c r="J26"/>
  <c r="F17" i="14"/>
  <c r="F4" i="1"/>
  <c r="F6" s="1"/>
  <c r="B25" i="21"/>
  <c r="H25" s="1"/>
  <c r="E27" i="15"/>
  <c r="E28" s="1"/>
  <c r="E4" i="14" s="1"/>
  <c r="G31"/>
  <c r="G26" i="21"/>
  <c r="B35"/>
  <c r="F8" i="1"/>
  <c r="G9"/>
  <c r="L16" i="15"/>
  <c r="B19"/>
  <c r="B12" i="14"/>
  <c r="C38"/>
  <c r="C13"/>
  <c r="E18"/>
  <c r="E19"/>
  <c r="D30"/>
  <c r="D24" i="15"/>
  <c r="D6" i="14"/>
  <c r="C29"/>
  <c r="B18" i="2"/>
  <c r="D18" s="1"/>
  <c r="E8" i="14" l="1"/>
  <c r="I25" i="21"/>
  <c r="C30" i="14"/>
  <c r="B22" i="15"/>
  <c r="B24" i="21"/>
  <c r="E17" i="14"/>
  <c r="G25" i="21"/>
  <c r="E4" i="1"/>
  <c r="E6" s="1"/>
  <c r="D27" i="15"/>
  <c r="D28" s="1"/>
  <c r="D4" i="14" s="1"/>
  <c r="F31"/>
  <c r="E14"/>
  <c r="J25" i="21"/>
  <c r="F9" i="1"/>
  <c r="C6" i="14"/>
  <c r="C24" i="15"/>
  <c r="D18" i="14"/>
  <c r="D19"/>
  <c r="D14"/>
  <c r="L19" i="15"/>
  <c r="B13" i="14"/>
  <c r="B38"/>
  <c r="B19" i="2"/>
  <c r="D19" s="1"/>
  <c r="H24" i="21" l="1"/>
  <c r="J24"/>
  <c r="G24"/>
  <c r="I24"/>
  <c r="D17" i="14"/>
  <c r="E8" i="1"/>
  <c r="E9" s="1"/>
  <c r="D4"/>
  <c r="D6" s="1"/>
  <c r="B23" i="21"/>
  <c r="G23" s="1"/>
  <c r="C27" i="15"/>
  <c r="C28" s="1"/>
  <c r="C4" i="14" s="1"/>
  <c r="D8"/>
  <c r="E31"/>
  <c r="J23" i="21"/>
  <c r="D8" i="1"/>
  <c r="L22" i="15"/>
  <c r="B24"/>
  <c r="B27" s="1"/>
  <c r="B6" i="14"/>
  <c r="C8"/>
  <c r="D31"/>
  <c r="C18"/>
  <c r="C19"/>
  <c r="B20" i="2"/>
  <c r="D20" s="1"/>
  <c r="B17" i="14" l="1"/>
  <c r="B28" i="15"/>
  <c r="B4" i="14" s="1"/>
  <c r="H23" i="21"/>
  <c r="B22"/>
  <c r="C17" i="14"/>
  <c r="B26" i="22" s="1"/>
  <c r="C4" i="1"/>
  <c r="C8" s="1"/>
  <c r="C14" i="14"/>
  <c r="I23" i="21"/>
  <c r="D9" i="1"/>
  <c r="C6"/>
  <c r="B19" i="14"/>
  <c r="B18"/>
  <c r="L24" i="15"/>
  <c r="B21" i="2"/>
  <c r="D21" s="1"/>
  <c r="H22" i="21" l="1"/>
  <c r="J22"/>
  <c r="I22"/>
  <c r="G22"/>
  <c r="B21"/>
  <c r="B4" i="1"/>
  <c r="C9"/>
  <c r="L27" i="15"/>
  <c r="B24" i="22" s="1"/>
  <c r="B8" i="14"/>
  <c r="B14"/>
  <c r="C31"/>
  <c r="B22" i="2"/>
  <c r="D22" s="1"/>
  <c r="B8" i="1" l="1"/>
  <c r="B6"/>
  <c r="H21" i="21"/>
  <c r="H10" s="1"/>
  <c r="J21"/>
  <c r="H8" s="1"/>
  <c r="C39" s="1"/>
  <c r="G21"/>
  <c r="H9" s="1"/>
  <c r="B34"/>
  <c r="B40" s="1"/>
  <c r="I21"/>
  <c r="H7" s="1"/>
  <c r="B23" i="2"/>
  <c r="D23" s="1"/>
  <c r="H12" i="21" l="1"/>
  <c r="H11"/>
  <c r="B9" i="1"/>
  <c r="B13" s="1"/>
  <c r="C53" i="21"/>
  <c r="D53" s="1"/>
  <c r="B54" s="1"/>
  <c r="C54" s="1"/>
  <c r="D54" s="1"/>
  <c r="B55" s="1"/>
  <c r="B41"/>
  <c r="C40"/>
  <c r="B24" i="2"/>
  <c r="D24" s="1"/>
  <c r="B42" i="21" l="1"/>
  <c r="C41"/>
  <c r="C55"/>
  <c r="D55" s="1"/>
  <c r="B25" i="2"/>
  <c r="D25" s="1"/>
  <c r="B56" i="21" l="1"/>
  <c r="C56" s="1"/>
  <c r="D56" s="1"/>
  <c r="C42"/>
  <c r="B43"/>
  <c r="B29" i="2"/>
  <c r="B28"/>
  <c r="B30" s="1"/>
  <c r="C43" i="21" l="1"/>
  <c r="B44"/>
  <c r="B57"/>
  <c r="B31" i="2"/>
  <c r="B33" s="1"/>
  <c r="B15" i="1" s="1"/>
  <c r="C57" i="21" l="1"/>
  <c r="D57" s="1"/>
  <c r="B45"/>
  <c r="C44"/>
  <c r="C45" l="1"/>
  <c r="B46"/>
  <c r="B58"/>
  <c r="B21" i="10"/>
  <c r="C58" i="21" l="1"/>
  <c r="D58" s="1"/>
  <c r="C46"/>
  <c r="B47"/>
  <c r="C47" l="1"/>
  <c r="B48"/>
  <c r="B59"/>
  <c r="C59" l="1"/>
  <c r="D59" s="1"/>
  <c r="B49"/>
  <c r="C48"/>
  <c r="C49" l="1"/>
  <c r="E40" s="1"/>
  <c r="E39"/>
  <c r="E42" s="1"/>
  <c r="B60"/>
  <c r="C60" l="1"/>
  <c r="D60" s="1"/>
  <c r="E43"/>
  <c r="E45" s="1"/>
  <c r="B61" l="1"/>
  <c r="C61" l="1"/>
  <c r="D61" s="1"/>
  <c r="B62" l="1"/>
  <c r="C62" l="1"/>
  <c r="D62" s="1"/>
  <c r="B63" l="1"/>
  <c r="C63" s="1"/>
  <c r="E53" l="1"/>
  <c r="E56" s="1"/>
  <c r="B21" i="1" s="1"/>
  <c r="D63" i="21"/>
  <c r="E54" s="1"/>
  <c r="E57" l="1"/>
  <c r="E59" s="1"/>
  <c r="B20" i="1" l="1"/>
  <c r="B23" s="1"/>
  <c r="B25" l="1"/>
</calcChain>
</file>

<file path=xl/comments1.xml><?xml version="1.0" encoding="utf-8"?>
<comments xmlns="http://schemas.openxmlformats.org/spreadsheetml/2006/main">
  <authors>
    <author>Safal Niveshak</author>
  </authors>
  <commentList>
    <comment ref="A12" authorId="0">
      <text>
        <r>
          <rPr>
            <b/>
            <sz val="9"/>
            <color indexed="81"/>
            <rFont val="Tahoma"/>
            <family val="2"/>
          </rPr>
          <t xml:space="preserve">Safal Niveshak: </t>
        </r>
        <r>
          <rPr>
            <sz val="9"/>
            <color indexed="81"/>
            <rFont val="Tahoma"/>
            <family val="2"/>
          </rPr>
          <t xml:space="preserve">Don't go beyond this sheet if you don't understand the business.
</t>
        </r>
      </text>
    </comment>
    <comment ref="A17" authorId="0">
      <text>
        <r>
          <rPr>
            <b/>
            <sz val="9"/>
            <color indexed="81"/>
            <rFont val="Tahoma"/>
            <family val="2"/>
          </rPr>
          <t xml:space="preserve">Safal Niveshak: </t>
        </r>
        <r>
          <rPr>
            <sz val="9"/>
            <color indexed="81"/>
            <rFont val="Tahoma"/>
            <family val="2"/>
          </rPr>
          <t xml:space="preserve">Shareholding can be found on BSE's website.
</t>
        </r>
      </text>
    </comment>
  </commentList>
</comments>
</file>

<file path=xl/comments2.xml><?xml version="1.0" encoding="utf-8"?>
<comments xmlns="http://schemas.openxmlformats.org/spreadsheetml/2006/main">
  <authors>
    <author>Vishal</author>
  </authors>
  <commentList>
    <comment ref="A3" authorId="0">
      <text>
        <r>
          <rPr>
            <b/>
            <sz val="9"/>
            <color indexed="81"/>
            <rFont val="Tahoma"/>
            <family val="2"/>
          </rPr>
          <t xml:space="preserve">Safal Niveshak:
</t>
        </r>
        <r>
          <rPr>
            <sz val="9"/>
            <color indexed="81"/>
            <rFont val="Tahoma"/>
            <family val="2"/>
          </rPr>
          <t>L = Latest Year
L-1 = Previous year
…and so on</t>
        </r>
      </text>
    </comment>
  </commentList>
</comments>
</file>

<file path=xl/comments3.xml><?xml version="1.0" encoding="utf-8"?>
<comments xmlns="http://schemas.openxmlformats.org/spreadsheetml/2006/main">
  <authors>
    <author>Vishal</author>
  </authors>
  <commentList>
    <comment ref="A3" authorId="0">
      <text>
        <r>
          <rPr>
            <b/>
            <sz val="9"/>
            <color indexed="81"/>
            <rFont val="Tahoma"/>
            <family val="2"/>
          </rPr>
          <t xml:space="preserve">Safal Niveshak:
</t>
        </r>
        <r>
          <rPr>
            <sz val="9"/>
            <color indexed="81"/>
            <rFont val="Tahoma"/>
            <family val="2"/>
          </rPr>
          <t>L = Latest Year
L-1 = Previous year
…and so on</t>
        </r>
      </text>
    </comment>
  </commentList>
</comments>
</file>

<file path=xl/comments4.xml><?xml version="1.0" encoding="utf-8"?>
<comments xmlns="http://schemas.openxmlformats.org/spreadsheetml/2006/main">
  <authors>
    <author>Vishal</author>
  </authors>
  <commentList>
    <comment ref="A3" authorId="0">
      <text>
        <r>
          <rPr>
            <b/>
            <sz val="9"/>
            <color indexed="81"/>
            <rFont val="Tahoma"/>
            <family val="2"/>
          </rPr>
          <t xml:space="preserve">Safal Niveshak:
</t>
        </r>
        <r>
          <rPr>
            <sz val="9"/>
            <color indexed="81"/>
            <rFont val="Tahoma"/>
            <family val="2"/>
          </rPr>
          <t>L = Latest Year
L-1 = Previous year
…and so on</t>
        </r>
      </text>
    </comment>
  </commentList>
</comments>
</file>

<file path=xl/comments5.xml><?xml version="1.0" encoding="utf-8"?>
<comments xmlns="http://schemas.openxmlformats.org/spreadsheetml/2006/main">
  <authors>
    <author>Safal Niveshak</author>
    <author>Vishal</author>
  </authors>
  <commentList>
    <comment ref="A4" authorId="0">
      <text>
        <r>
          <rPr>
            <b/>
            <sz val="9"/>
            <color indexed="81"/>
            <rFont val="Tahoma"/>
            <family val="2"/>
          </rPr>
          <t xml:space="preserve">Safal Niveshak: </t>
        </r>
        <r>
          <rPr>
            <sz val="9"/>
            <color indexed="81"/>
            <rFont val="Tahoma"/>
            <family val="2"/>
          </rPr>
          <t>"Diluted" means using the latest number of shares that reflects all bonus, stock splits, and new stock issuances of the past.</t>
        </r>
      </text>
    </comment>
    <comment ref="A8" authorId="0">
      <text>
        <r>
          <rPr>
            <b/>
            <sz val="9"/>
            <color indexed="81"/>
            <rFont val="Tahoma"/>
            <family val="2"/>
          </rPr>
          <t>Safal Niveshak:</t>
        </r>
        <r>
          <rPr>
            <sz val="9"/>
            <color indexed="81"/>
            <rFont val="Tahoma"/>
            <family val="2"/>
          </rPr>
          <t xml:space="preserve"> Dividend payout reflects how much of its annual profits does the company pays away as dividends. So the formula is:
</t>
        </r>
        <r>
          <rPr>
            <b/>
            <sz val="9"/>
            <color indexed="81"/>
            <rFont val="Tahoma"/>
            <family val="2"/>
          </rPr>
          <t xml:space="preserve">
Div. Payout = Divided Paid / Net Profit or Profit after Tax</t>
        </r>
        <r>
          <rPr>
            <sz val="9"/>
            <color indexed="81"/>
            <rFont val="Tahoma"/>
            <family val="2"/>
          </rPr>
          <t xml:space="preserve">
</t>
        </r>
      </text>
    </comment>
    <comment ref="A11" authorId="0">
      <text>
        <r>
          <rPr>
            <b/>
            <sz val="9"/>
            <color indexed="81"/>
            <rFont val="Tahoma"/>
            <family val="2"/>
          </rPr>
          <t xml:space="preserve">Safal Niveshak: </t>
        </r>
        <r>
          <rPr>
            <sz val="9"/>
            <color indexed="81"/>
            <rFont val="Tahoma"/>
            <family val="2"/>
          </rPr>
          <t>Gross profit margin represents the percent of total sales that the company retains after incurring the direct costs associated with producing the goods and services sold. The higher the percentage, the more the company retains on each rupee of sales to service its other costs and obligations.</t>
        </r>
        <r>
          <rPr>
            <b/>
            <sz val="9"/>
            <color indexed="81"/>
            <rFont val="Tahoma"/>
            <family val="2"/>
          </rPr>
          <t xml:space="preserve">
Gross Margin = (Total Sales - Cost of Goods Sold) / Total Sales
</t>
        </r>
        <r>
          <rPr>
            <sz val="9"/>
            <color indexed="81"/>
            <rFont val="Tahoma"/>
            <family val="2"/>
          </rPr>
          <t>For a company, the purpose of gross margins is to determine the value of incremental sales, and to guide pricing and promotion decision. For investors, higher gross margins vis-a-vis competitors means the company has pricing power, which indicates moat.</t>
        </r>
      </text>
    </comment>
    <comment ref="A12" authorId="1">
      <text>
        <r>
          <rPr>
            <b/>
            <sz val="9"/>
            <color indexed="81"/>
            <rFont val="Tahoma"/>
            <charset val="1"/>
          </rPr>
          <t xml:space="preserve">Safal Niveshak: </t>
        </r>
        <r>
          <rPr>
            <sz val="9"/>
            <color indexed="81"/>
            <rFont val="Tahoma"/>
            <family val="2"/>
          </rPr>
          <t xml:space="preserve">EBITDA stands for "Earnings Before Interest, Tax, Depreciation &amp; Amortization. EBITDA margins is also known as "Operating Margin" and measures a company's operating profitability - how must profits a company earns after paying off its operational costs and before providing for depreciation and paying interest and tax. It's good to compare this number within the industry.
</t>
        </r>
      </text>
    </comment>
    <comment ref="A14" authorId="1">
      <text>
        <r>
          <rPr>
            <b/>
            <sz val="9"/>
            <color indexed="81"/>
            <rFont val="Tahoma"/>
            <family val="2"/>
          </rPr>
          <t>Safal Niveshak: Net Profit Margin = Net profit / Sales</t>
        </r>
        <r>
          <rPr>
            <sz val="9"/>
            <color indexed="81"/>
            <rFont val="Tahoma"/>
            <family val="2"/>
          </rPr>
          <t xml:space="preserve">
It measures how much out of every dollar of sales a company actually keeps in earnings.
NPM is very useful when comparing companies in similar industries. A higher profit margin indicates a more profitable company that has better control over its costs compared to its competitors.</t>
        </r>
      </text>
    </comment>
    <comment ref="A18" authorId="1">
      <text>
        <r>
          <rPr>
            <b/>
            <sz val="9"/>
            <color indexed="81"/>
            <rFont val="Tahoma"/>
            <family val="2"/>
          </rPr>
          <t xml:space="preserve">Safal Niveshak:
ROCE  =NOPAT / Capital Employed
</t>
        </r>
        <r>
          <rPr>
            <i/>
            <sz val="9"/>
            <color indexed="81"/>
            <rFont val="Tahoma"/>
            <family val="2"/>
          </rPr>
          <t>NOPAT = EBIT * (1-Tax)
Capital Employed = Fixed Assets + Working Capital</t>
        </r>
      </text>
    </comment>
    <comment ref="A19" authorId="1">
      <text>
        <r>
          <rPr>
            <b/>
            <sz val="9"/>
            <color indexed="81"/>
            <rFont val="Tahoma"/>
            <family val="2"/>
          </rPr>
          <t xml:space="preserve">Safal Niveshak: </t>
        </r>
        <r>
          <rPr>
            <sz val="9"/>
            <color indexed="81"/>
            <rFont val="Tahoma"/>
            <family val="2"/>
          </rPr>
          <t>ROIC is used to assess a company's efficiency at allocating the capital under its control to profitable investments. It gives a sense of how well a company is using its money to generate returns.</t>
        </r>
      </text>
    </comment>
    <comment ref="A20" authorId="1">
      <text>
        <r>
          <rPr>
            <b/>
            <sz val="9"/>
            <color indexed="81"/>
            <rFont val="Tahoma"/>
            <family val="2"/>
          </rPr>
          <t xml:space="preserve">Safal Niveshak: </t>
        </r>
        <r>
          <rPr>
            <sz val="9"/>
            <color indexed="81"/>
            <rFont val="Tahoma"/>
            <family val="2"/>
          </rPr>
          <t>Also known as "Working Capital Turnover Ratio", it measures how much of sales is generated for every rupee of working capital employed. This provides some useful information as to how effectively a company is using its working capital to generate sales.
Working Cap. Turnover = Working Capital / Sales
Working Capital = Current Assets / Current Liabilities
In general, the higher the working capital turnover, the better because it means that the company is generating a lot of sales compared to the money it uses to fund the sales.</t>
        </r>
      </text>
    </comment>
    <comment ref="A23" authorId="1">
      <text>
        <r>
          <rPr>
            <b/>
            <sz val="9"/>
            <color indexed="81"/>
            <rFont val="Tahoma"/>
            <family val="2"/>
          </rPr>
          <t xml:space="preserve">Safal Niveshak: </t>
        </r>
        <r>
          <rPr>
            <sz val="9"/>
            <color indexed="81"/>
            <rFont val="Tahoma"/>
            <family val="2"/>
          </rPr>
          <t xml:space="preserve">It is also known as DSO or Days Sales Outstanding, and measures the average number of days a company takes to collect money after a sale has been made. Here's a simple formula...
</t>
        </r>
        <r>
          <rPr>
            <b/>
            <sz val="9"/>
            <color indexed="81"/>
            <rFont val="Tahoma"/>
            <family val="2"/>
          </rPr>
          <t xml:space="preserve">DSO = (Trade Receivables / Sales) x 365
</t>
        </r>
        <r>
          <rPr>
            <sz val="9"/>
            <color indexed="81"/>
            <rFont val="Tahoma"/>
            <family val="2"/>
          </rPr>
          <t xml:space="preserve">
A low DSO number means that it takes a company fewer days to collect its trade receivable. A high DSO number shows that a company is selling its product to customers on credit and taking longer to collect money. 
Due to the high importance of cash in running a business, it is in a company's best interest to collect outstanding receivables as quickly as possible. By quickly turning sales into cash, a company has the chance to put the cash to use again - ideally, to reinvest and make more sales. The DSO can be used to determine whether a company is trying to disguise weak sales, or is generally being ineffective at bringing money in.</t>
        </r>
      </text>
    </comment>
    <comment ref="A24" authorId="1">
      <text>
        <r>
          <rPr>
            <b/>
            <sz val="9"/>
            <color indexed="81"/>
            <rFont val="Tahoma"/>
            <family val="2"/>
          </rPr>
          <t xml:space="preserve">Safal Niveshak: </t>
        </r>
        <r>
          <rPr>
            <sz val="9"/>
            <color indexed="81"/>
            <rFont val="Tahoma"/>
            <family val="2"/>
          </rPr>
          <t xml:space="preserve">Also known as "Days Sales of Inventory" or DSI, it measures how long it takes a company to turn its inventory (including goods that are work in progress, if applicable) into sales. Generally, the lower the DSI the better, but it is important to note that the average DSI varies from one industry to another.
</t>
        </r>
        <r>
          <rPr>
            <b/>
            <sz val="9"/>
            <color indexed="81"/>
            <rFont val="Tahoma"/>
            <family val="2"/>
          </rPr>
          <t xml:space="preserve">DSI = (Inventories / Sales) x 365
</t>
        </r>
        <r>
          <rPr>
            <sz val="9"/>
            <color indexed="81"/>
            <rFont val="Tahoma"/>
            <family val="2"/>
          </rPr>
          <t xml:space="preserve">
DSI basically represents the process of turning raw materials or finished goods into cash.</t>
        </r>
      </text>
    </comment>
    <comment ref="A25" authorId="1">
      <text>
        <r>
          <rPr>
            <b/>
            <sz val="9"/>
            <color indexed="81"/>
            <rFont val="Tahoma"/>
            <family val="2"/>
          </rPr>
          <t xml:space="preserve">Safal Niveshak: </t>
        </r>
        <r>
          <rPr>
            <sz val="9"/>
            <color indexed="81"/>
            <rFont val="Tahoma"/>
            <family val="2"/>
          </rPr>
          <t>It is also known as "Days Payable Outstanding" or DPO, and is an indicator of how long a company is taking to pay its trade creditors. The formula is…</t>
        </r>
        <r>
          <rPr>
            <b/>
            <sz val="9"/>
            <color indexed="81"/>
            <rFont val="Tahoma"/>
            <family val="2"/>
          </rPr>
          <t xml:space="preserve">
DPO = (Trade Payables / Sales) x 365</t>
        </r>
      </text>
    </comment>
    <comment ref="A36" authorId="1">
      <text>
        <r>
          <rPr>
            <b/>
            <sz val="9"/>
            <color indexed="81"/>
            <rFont val="Tahoma"/>
            <family val="2"/>
          </rPr>
          <t xml:space="preserve">Safal Niveshak: </t>
        </r>
        <r>
          <rPr>
            <sz val="9"/>
            <color indexed="81"/>
            <rFont val="Tahoma"/>
            <family val="2"/>
          </rPr>
          <t>Current Ratio measures the</t>
        </r>
        <r>
          <rPr>
            <b/>
            <sz val="9"/>
            <color indexed="81"/>
            <rFont val="Tahoma"/>
            <family val="2"/>
          </rPr>
          <t xml:space="preserve"> </t>
        </r>
        <r>
          <rPr>
            <sz val="9"/>
            <color indexed="81"/>
            <rFont val="Tahoma"/>
            <family val="2"/>
          </rPr>
          <t xml:space="preserve">liquidity of a company, or its ability to pay short-term obligations. 
</t>
        </r>
        <r>
          <rPr>
            <b/>
            <sz val="9"/>
            <color indexed="81"/>
            <rFont val="Tahoma"/>
            <family val="2"/>
          </rPr>
          <t>Current Ratio = Current Assets / Current Liabilities</t>
        </r>
        <r>
          <rPr>
            <sz val="9"/>
            <color indexed="81"/>
            <rFont val="Tahoma"/>
            <family val="2"/>
          </rPr>
          <t xml:space="preserve">
The ratio is mainly used to give an idea of the company's ability to pay back its short-term liabilities (debt and payables) with its short-term assets (cash, inventory, receivables). The higher the current ratio, the more capable the company is of paying its obligations. A ratio under 1 suggests that the company would be unable to pay off its obligations if they came due at that point.
While this shows the company is not in good financial health, it does not necessarily mean that it will go bankrupt - as there are many ways to access financing - but it is definitely not a good sign.
The current ratio can give a sense of the efficiency of a company's operating cycle or its ability to turn its product into cash. Companies that have trouble getting paid on their receivables or have long inventory turnover can run into liquidity problems because they are unable to alleviate their obligations.</t>
        </r>
      </text>
    </comment>
    <comment ref="A37" authorId="1">
      <text>
        <r>
          <rPr>
            <b/>
            <sz val="9"/>
            <color indexed="81"/>
            <rFont val="Tahoma"/>
            <family val="2"/>
          </rPr>
          <t>Safal Niveshak:</t>
        </r>
        <r>
          <rPr>
            <sz val="9"/>
            <color indexed="81"/>
            <rFont val="Tahoma"/>
            <family val="2"/>
          </rPr>
          <t xml:space="preserve"> Also known as "Acid Test Ratio", it is an indicator of a company's short-term liquidity. The quick ratio measures a company's ability to meet its short-term obligations with its most liquid assets. The higher the quick ratio, the better the position of the company.
</t>
        </r>
        <r>
          <rPr>
            <b/>
            <sz val="9"/>
            <color indexed="81"/>
            <rFont val="Tahoma"/>
            <family val="2"/>
          </rPr>
          <t xml:space="preserve">Quick Ratio = (Current Assets - Inventories) / Current Liabilities 
</t>
        </r>
        <r>
          <rPr>
            <sz val="9"/>
            <color indexed="81"/>
            <rFont val="Tahoma"/>
            <family val="2"/>
          </rPr>
          <t xml:space="preserve">
The quick ratio is a more conservative metric than current ratio because it excludes inventory from current assets. Inventory is excluded because some companies have difficulty turning their inventory into cash. In the event that short-term obligations need to be paid off immediately, there are situations in which the current ratio would overestimate a company's short-term financial strength.</t>
        </r>
      </text>
    </comment>
    <comment ref="A38" authorId="1">
      <text>
        <r>
          <rPr>
            <b/>
            <sz val="9"/>
            <color indexed="81"/>
            <rFont val="Tahoma"/>
            <family val="2"/>
          </rPr>
          <t>Safal Niveshak:</t>
        </r>
        <r>
          <rPr>
            <sz val="9"/>
            <color indexed="81"/>
            <rFont val="Tahoma"/>
            <family val="2"/>
          </rPr>
          <t xml:space="preserve"> This ratio determines how easily a company can pay interest on its outstanding debt.
</t>
        </r>
        <r>
          <rPr>
            <b/>
            <sz val="9"/>
            <color indexed="81"/>
            <rFont val="Tahoma"/>
            <family val="2"/>
          </rPr>
          <t xml:space="preserve">Interest Coverage Ratio = Earnings before interest and taxes or EBIT  / Interest expenses
</t>
        </r>
        <r>
          <rPr>
            <sz val="9"/>
            <color indexed="81"/>
            <rFont val="Tahoma"/>
            <family val="2"/>
          </rPr>
          <t xml:space="preserve">
The lower the ratio, the more the company is burdened by debt expense. When a company's interest coverage ratio is 1.5 or lower, its ability to meet interest expenses may be questionable. An interest coverage ratio below 1 indicates the company is not generating sufficient revenues to satisfy interest expenses.</t>
        </r>
      </text>
    </comment>
  </commentList>
</comments>
</file>

<file path=xl/comments6.xml><?xml version="1.0" encoding="utf-8"?>
<comments xmlns="http://schemas.openxmlformats.org/spreadsheetml/2006/main">
  <authors>
    <author>Vishal</author>
    <author>Safal Niveshak</author>
  </authors>
  <commentList>
    <comment ref="A5" authorId="0">
      <text>
        <r>
          <rPr>
            <b/>
            <sz val="9"/>
            <color indexed="81"/>
            <rFont val="Tahoma"/>
            <family val="2"/>
          </rPr>
          <t xml:space="preserve">Safal Niveshak: </t>
        </r>
        <r>
          <rPr>
            <sz val="9"/>
            <color indexed="81"/>
            <rFont val="Tahoma"/>
            <family val="2"/>
          </rPr>
          <t xml:space="preserve">Normalize!
It's better to take a 3-5 years average FCF as this starting number instead of the latest year's FCF. This is for the simple reason that the latest year can be a best/worst number.
FCF can be calculated from the Cash Flow Statement in the annual report.
</t>
        </r>
        <r>
          <rPr>
            <b/>
            <sz val="9"/>
            <color indexed="81"/>
            <rFont val="Tahoma"/>
            <family val="2"/>
          </rPr>
          <t xml:space="preserve">FCF formula = Net Cash from/(used in) Operating Activities </t>
        </r>
        <r>
          <rPr>
            <b/>
            <i/>
            <sz val="9"/>
            <color indexed="81"/>
            <rFont val="Tahoma"/>
            <family val="2"/>
          </rPr>
          <t>minus</t>
        </r>
        <r>
          <rPr>
            <b/>
            <sz val="9"/>
            <color indexed="81"/>
            <rFont val="Tahoma"/>
            <family val="2"/>
          </rPr>
          <t xml:space="preserve"> Purchase of Fixed Assets</t>
        </r>
        <r>
          <rPr>
            <sz val="9"/>
            <color indexed="81"/>
            <rFont val="Tahoma"/>
            <family val="2"/>
          </rPr>
          <t xml:space="preserve">
</t>
        </r>
      </text>
    </comment>
    <comment ref="A7" authorId="0">
      <text>
        <r>
          <rPr>
            <b/>
            <sz val="9"/>
            <color indexed="81"/>
            <rFont val="Tahoma"/>
            <family val="2"/>
          </rPr>
          <t>Safal Niveshak:</t>
        </r>
        <r>
          <rPr>
            <sz val="9"/>
            <color indexed="81"/>
            <rFont val="Tahoma"/>
            <family val="2"/>
          </rPr>
          <t xml:space="preserve"> In a 2-stage DCF, we break the next 10 years into two phases of five years each, and then calculate the FCF growth based on growth rates assumed in Cells B9 and B10 below.
</t>
        </r>
      </text>
    </comment>
    <comment ref="A8" authorId="0">
      <text>
        <r>
          <rPr>
            <b/>
            <sz val="9"/>
            <color indexed="81"/>
            <rFont val="Tahoma"/>
            <family val="2"/>
          </rPr>
          <t xml:space="preserve">Safal Niveshak: </t>
        </r>
        <r>
          <rPr>
            <sz val="9"/>
            <color indexed="81"/>
            <rFont val="Tahoma"/>
            <family val="2"/>
          </rPr>
          <t>Be conservative!
Prefer to value stocks based on the present data rather than what will happen in the future. Anything could happen even in 1 year, and if the growth rate is too high and the company cannot meet those expectations, there is no where to go but down.
The best practice is to keep growth rates as low as possible. If the company looks to be undervalued with 0% growth rate, you have more upside than downside. The higher you set the growth rate, the higher you set up the downside potential. Just be reasonable and use common sense.
On most of the stocks I value, I rarely go above 15% (for the first 5-year period), and that’s only for the safest, cash-generating businesses like Colgate, HUL, Infosys etc. This is approx. 2x India's expected long-term GDP growth rate.
The goal of choosing a growth rate is to find a number which is conservative yet not very low or pessimistic, and close to reality in order to capture potential future gains without eliminating too many investment candidates.</t>
        </r>
      </text>
    </comment>
    <comment ref="A9" authorId="0">
      <text>
        <r>
          <rPr>
            <b/>
            <sz val="9"/>
            <color indexed="81"/>
            <rFont val="Tahoma"/>
            <family val="2"/>
          </rPr>
          <t xml:space="preserve">Safal Niveshak: </t>
        </r>
        <r>
          <rPr>
            <sz val="9"/>
            <color indexed="81"/>
            <rFont val="Tahoma"/>
            <family val="2"/>
          </rPr>
          <t xml:space="preserve">This is the rate at which you discount the future cash flows to the present value.
So what would be a good rate? Considering that the “average” market return is about 10-15%, a minimum discount rate should be set to 10%. I use 10% as a minimum for stable and predictable companies such as Colgate, Infosys, HUL while 15% is a good return for less predictable companies such as, say Opto Circuits.
</t>
        </r>
        <r>
          <rPr>
            <b/>
            <sz val="9"/>
            <color indexed="81"/>
            <rFont val="Tahoma"/>
            <family val="2"/>
          </rPr>
          <t xml:space="preserve">
</t>
        </r>
        <r>
          <rPr>
            <sz val="9"/>
            <color indexed="81"/>
            <rFont val="Tahoma"/>
            <family val="2"/>
          </rPr>
          <t>Also, do not adjust the entire risk of a investment in its discount rate. In other words, if Opto Circuits is a "riskier" investment that say Titan, adjust for some risk in the cash flow growth estimates and some in the discount rate.
Ignore simple yet junk models like CAPM to get the discount rate. People in the finance world pour out their hearts to obtain the most accurate discount rate by analyzing risk free rates, beta, risk premium and WACC. It's just short of rubbish!
What’s the point in learning every method of hammering a nail when all you have to do is hit it on the head. So do not over-complicate this aspect.
The beauty of old school Graham and Buffett is that their investments are based on common sense, not volatility and other mumbo jumbo.
There is no hard and fast rule for choosing a discount rate. Using a high discount rate to discount the future cash just means you are willing to pay less today for the future cash and vice versa.
Do understand that - “You can’t compensate for risk by using a high discount rate.” 
The important aspect is not deciding upon a discount rate, but in being logical and reasonable about cash projections.
Another way you can look at discount rate is to not using different discount rates for different businesses. It won't really matter what rate you use as long as you are being intellectually honest and conservative about future cash flows.</t>
        </r>
      </text>
    </comment>
    <comment ref="A10" authorId="0">
      <text>
        <r>
          <rPr>
            <b/>
            <sz val="9"/>
            <color indexed="81"/>
            <rFont val="Tahoma"/>
            <family val="2"/>
          </rPr>
          <t xml:space="preserve">Safal Niveshak: </t>
        </r>
        <r>
          <rPr>
            <sz val="9"/>
            <color indexed="81"/>
            <rFont val="Tahoma"/>
            <family val="2"/>
          </rPr>
          <t xml:space="preserve">Since it isn’t practical to forecast cash flows for an infinite number of years, it’s usual to end the DCF with a terminal value.
The best terminal growth rate is 0%, and the highest you should go (for safest businesses) is 2%.
</t>
        </r>
      </text>
    </comment>
    <comment ref="A13" authorId="1">
      <text>
        <r>
          <rPr>
            <b/>
            <sz val="9"/>
            <color indexed="81"/>
            <rFont val="Tahoma"/>
            <family val="2"/>
          </rPr>
          <t xml:space="preserve">Safal Niveshak: </t>
        </r>
        <r>
          <rPr>
            <sz val="9"/>
            <color indexed="81"/>
            <rFont val="Tahoma"/>
            <family val="2"/>
          </rPr>
          <t xml:space="preserve">If this figure is negative, i.e., in brackets, it means that the company has more Cash than Debt. This is automatically added to the PV of cash flows below to give a complete picture of the company's valuation.
</t>
        </r>
      </text>
    </comment>
  </commentList>
</comments>
</file>

<file path=xl/comments7.xml><?xml version="1.0" encoding="utf-8"?>
<comments xmlns="http://schemas.openxmlformats.org/spreadsheetml/2006/main">
  <authors>
    <author>Safal Niveshak</author>
  </authors>
  <commentList>
    <comment ref="G12" authorId="0">
      <text>
        <r>
          <rPr>
            <b/>
            <sz val="9"/>
            <color indexed="81"/>
            <rFont val="Tahoma"/>
            <family val="2"/>
          </rPr>
          <t xml:space="preserve">Safal Niveshak: </t>
        </r>
        <r>
          <rPr>
            <sz val="9"/>
            <color indexed="81"/>
            <rFont val="Tahoma"/>
            <family val="2"/>
          </rPr>
          <t xml:space="preserve">Sustainable Growth is usually calculated as:
</t>
        </r>
        <r>
          <rPr>
            <b/>
            <sz val="9"/>
            <color indexed="81"/>
            <rFont val="Tahoma"/>
            <family val="2"/>
          </rPr>
          <t xml:space="preserve">(ROE * (1 - Payout Ratio))
</t>
        </r>
        <r>
          <rPr>
            <sz val="9"/>
            <color indexed="81"/>
            <rFont val="Tahoma"/>
            <family val="2"/>
          </rPr>
          <t>Here, (1 - Payout Ratio) = Profits retained by the company after paying the dividend. In the long term, a company's profit growth is sustained at its RoE levels, thus this formula.</t>
        </r>
      </text>
    </comment>
    <comment ref="B53" authorId="0">
      <text>
        <r>
          <rPr>
            <b/>
            <sz val="9"/>
            <color indexed="81"/>
            <rFont val="Tahoma"/>
            <family val="2"/>
          </rPr>
          <t>Safal Niveshak:</t>
        </r>
        <r>
          <rPr>
            <sz val="9"/>
            <color indexed="81"/>
            <rFont val="Tahoma"/>
            <family val="2"/>
          </rPr>
          <t xml:space="preserve"> This is the latest year's book value per share.
</t>
        </r>
      </text>
    </comment>
    <comment ref="D53" authorId="0">
      <text>
        <r>
          <rPr>
            <b/>
            <sz val="9"/>
            <color indexed="81"/>
            <rFont val="Tahoma"/>
            <family val="2"/>
          </rPr>
          <t xml:space="preserve">Safal Niveshak: </t>
        </r>
        <r>
          <rPr>
            <sz val="9"/>
            <color indexed="81"/>
            <rFont val="Tahoma"/>
            <family val="2"/>
          </rPr>
          <t xml:space="preserve">DPS is calculated as: EPS x Payout Ratio.
Payout ratio = DPS / EPS, or how much of a year's earnings is paid out at dividends.
</t>
        </r>
      </text>
    </comment>
    <comment ref="B54" authorId="0">
      <text>
        <r>
          <rPr>
            <b/>
            <sz val="9"/>
            <color indexed="81"/>
            <rFont val="Tahoma"/>
            <family val="2"/>
          </rPr>
          <t xml:space="preserve">Safal Niveshak: </t>
        </r>
        <r>
          <rPr>
            <sz val="9"/>
            <color indexed="81"/>
            <rFont val="Tahoma"/>
            <family val="2"/>
          </rPr>
          <t>This book value and those in subsequent years are calculated using  the formula…</t>
        </r>
        <r>
          <rPr>
            <b/>
            <sz val="9"/>
            <color indexed="81"/>
            <rFont val="Tahoma"/>
            <family val="2"/>
          </rPr>
          <t xml:space="preserve">
</t>
        </r>
        <r>
          <rPr>
            <i/>
            <sz val="9"/>
            <color indexed="81"/>
            <rFont val="Tahoma"/>
            <family val="2"/>
          </rPr>
          <t>Previous year's Book Value + Latest year's EPS - Latest year's Dividend per share</t>
        </r>
        <r>
          <rPr>
            <sz val="9"/>
            <color indexed="81"/>
            <rFont val="Tahoma"/>
            <family val="2"/>
          </rPr>
          <t xml:space="preserve">
This is because this year's shareholder's equity (book value) is simply last years equity + profits generated in this year - dividends paid in this year.</t>
        </r>
      </text>
    </comment>
  </commentList>
</comments>
</file>

<file path=xl/comments8.xml><?xml version="1.0" encoding="utf-8"?>
<comments xmlns="http://schemas.openxmlformats.org/spreadsheetml/2006/main">
  <authors>
    <author>Vishal</author>
    <author>Safal Niveshak</author>
  </authors>
  <commentList>
    <comment ref="A3" authorId="0">
      <text>
        <r>
          <rPr>
            <b/>
            <sz val="9"/>
            <color indexed="81"/>
            <rFont val="Tahoma"/>
            <family val="2"/>
          </rPr>
          <t xml:space="preserve">Safal Niveshak:
</t>
        </r>
        <r>
          <rPr>
            <sz val="9"/>
            <color indexed="81"/>
            <rFont val="Tahoma"/>
            <family val="2"/>
          </rPr>
          <t>L = Latest Year
L-1 = Previous year
…and so on</t>
        </r>
      </text>
    </comment>
    <comment ref="A5" authorId="1">
      <text>
        <r>
          <rPr>
            <b/>
            <sz val="9"/>
            <color indexed="81"/>
            <rFont val="Tahoma"/>
            <family val="2"/>
          </rPr>
          <t xml:space="preserve">Safal Niveshak: </t>
        </r>
        <r>
          <rPr>
            <sz val="9"/>
            <color indexed="81"/>
            <rFont val="Tahoma"/>
            <family val="2"/>
          </rPr>
          <t>You will get this 
number from the annual report.</t>
        </r>
      </text>
    </comment>
    <comment ref="A7" authorId="1">
      <text>
        <r>
          <rPr>
            <b/>
            <sz val="9"/>
            <color indexed="81"/>
            <rFont val="Tahoma"/>
            <family val="2"/>
          </rPr>
          <t xml:space="preserve">Safal Niveshak: </t>
        </r>
        <r>
          <rPr>
            <sz val="9"/>
            <color indexed="81"/>
            <rFont val="Tahoma"/>
            <family val="2"/>
          </rPr>
          <t xml:space="preserve">You will get this number from the annual report.
</t>
        </r>
      </text>
    </comment>
    <comment ref="A12" authorId="0">
      <text>
        <r>
          <rPr>
            <b/>
            <sz val="9"/>
            <color indexed="81"/>
            <rFont val="Tahoma"/>
            <family val="2"/>
          </rPr>
          <t xml:space="preserve">Safal Niveshak: </t>
        </r>
        <r>
          <rPr>
            <sz val="9"/>
            <color indexed="81"/>
            <rFont val="Tahoma"/>
            <family val="2"/>
          </rPr>
          <t>The Graham number or Benjamin Graham number measures a stock's fair value. Named after Benjamin Graham, the founder of value investing, the Graham Number can be calculated as follows:</t>
        </r>
        <r>
          <rPr>
            <b/>
            <sz val="9"/>
            <color indexed="81"/>
            <rFont val="Tahoma"/>
            <family val="2"/>
          </rPr>
          <t xml:space="preserve">
Graham Number = SQRT(22.5*Latest year's book value per share*Last 3 or 5 years' average earnings per share)
</t>
        </r>
        <r>
          <rPr>
            <sz val="9"/>
            <color indexed="81"/>
            <rFont val="Tahoma"/>
            <family val="2"/>
          </rPr>
          <t xml:space="preserve">
The final number is, theoretically, the maximum price that a defensive investor should pay for the given stock. Put another way, a stock priced below the Graham Number would be considered a good value, if it also meet a number of other criteria.
The complete Graham selection procedure is much more elaborate. No decision should be made based on this number alone.</t>
        </r>
      </text>
    </comment>
    <comment ref="A16" authorId="1">
      <text>
        <r>
          <rPr>
            <b/>
            <sz val="9"/>
            <color indexed="81"/>
            <rFont val="Tahoma"/>
            <charset val="1"/>
          </rPr>
          <t xml:space="preserve">Safal Niveshak: </t>
        </r>
        <r>
          <rPr>
            <sz val="9"/>
            <color indexed="81"/>
            <rFont val="Tahoma"/>
            <family val="2"/>
          </rPr>
          <t>This number is discounted to its present value.</t>
        </r>
        <r>
          <rPr>
            <sz val="9"/>
            <color indexed="81"/>
            <rFont val="Tahoma"/>
            <charset val="1"/>
          </rPr>
          <t xml:space="preserve">
</t>
        </r>
      </text>
    </comment>
    <comment ref="A17" authorId="1">
      <text>
        <r>
          <rPr>
            <b/>
            <sz val="9"/>
            <color indexed="81"/>
            <rFont val="Tahoma"/>
            <family val="2"/>
          </rPr>
          <t xml:space="preserve">Safal Niveshak: </t>
        </r>
        <r>
          <rPr>
            <sz val="9"/>
            <color indexed="81"/>
            <rFont val="Tahoma"/>
            <family val="2"/>
          </rPr>
          <t xml:space="preserve">This number is discounted to its present value.
</t>
        </r>
      </text>
    </comment>
    <comment ref="A22" authorId="0">
      <text>
        <r>
          <rPr>
            <b/>
            <sz val="9"/>
            <color indexed="81"/>
            <rFont val="Tahoma"/>
            <family val="2"/>
          </rPr>
          <t xml:space="preserve">Safal Niveshak: </t>
        </r>
        <r>
          <rPr>
            <sz val="9"/>
            <color indexed="81"/>
            <rFont val="Tahoma"/>
            <family val="2"/>
          </rPr>
          <t>Valuation is an imprecise art (yes, however smart you may think you are!). Also, the future is inherently unpredictable.
Thus, it’s important to bring in the most-important investing concept of “margin of safety” into the picture.
This is what Graham wrote about margin of safety in The Intelligent Investor…
"</t>
        </r>
        <r>
          <rPr>
            <i/>
            <sz val="9"/>
            <color indexed="81"/>
            <rFont val="Tahoma"/>
            <family val="2"/>
          </rPr>
          <t xml:space="preserve">Confronted with the challenge to distill the secret of sound investment into three words, we venture the motto, MARGIN OF SAFETY."
</t>
        </r>
        <r>
          <rPr>
            <sz val="9"/>
            <color indexed="81"/>
            <rFont val="Tahoma"/>
            <family val="2"/>
          </rPr>
          <t xml:space="preserve">
Margin of safety is simply the discount factor that you use with your intrinsic value calculation. So if you arrive at an intrinsic value of Rs 100 for a stock that trades at Rs 80, you might think that you have found a bargain.
But what if your intrinsic value calculation is wrong? Yes, it will be wrong, at least 100% of the times!
Thus, you will do yourself a world of good by buying the stock only at say 50% discount to your intrinsic value calculation, or around Rs 50.
Now when you bring your intrinsic value assumption down to Rs 50 – by giving a 50% discount to the original calculated value of Rs 100, don’t think that you are trying to be ultra-conservative.
What you are doing is providing yourself protection against:
1. Bad luck
2. Bad timing, and
3. Bad judgment.
Margin of safety was, and will always be, the bedrock of value investing. You can’t ignore this at any cost…or it will turn out to be a costly affair!</t>
        </r>
      </text>
    </comment>
    <comment ref="A23" authorId="1">
      <text>
        <r>
          <rPr>
            <b/>
            <sz val="9"/>
            <color indexed="81"/>
            <rFont val="Tahoma"/>
            <family val="2"/>
          </rPr>
          <t xml:space="preserve">Safal Niveshak: </t>
        </r>
        <r>
          <rPr>
            <sz val="9"/>
            <color indexed="81"/>
            <rFont val="Tahoma"/>
            <family val="2"/>
          </rPr>
          <t xml:space="preserve">This is the fair value or comfortable buying price of the stock after adjusting for Margin of Safety.
</t>
        </r>
      </text>
    </comment>
    <comment ref="A25" authorId="0">
      <text>
        <r>
          <rPr>
            <b/>
            <sz val="9"/>
            <color indexed="81"/>
            <rFont val="Tahoma"/>
            <family val="2"/>
          </rPr>
          <t xml:space="preserve">Safal Niveshak: </t>
        </r>
        <r>
          <rPr>
            <sz val="9"/>
            <color indexed="81"/>
            <rFont val="Tahoma"/>
            <family val="2"/>
          </rPr>
          <t xml:space="preserve">Here are the definitions...
</t>
        </r>
        <r>
          <rPr>
            <b/>
            <sz val="9"/>
            <color indexed="81"/>
            <rFont val="Tahoma"/>
            <family val="2"/>
          </rPr>
          <t>Premium =</t>
        </r>
        <r>
          <rPr>
            <sz val="9"/>
            <color indexed="81"/>
            <rFont val="Tahoma"/>
            <family val="2"/>
          </rPr>
          <t xml:space="preserve"> Stock Price is more than the Fair Value, which means the stock is expensive.
</t>
        </r>
        <r>
          <rPr>
            <b/>
            <sz val="9"/>
            <color indexed="81"/>
            <rFont val="Tahoma"/>
            <family val="2"/>
          </rPr>
          <t>Discount =</t>
        </r>
        <r>
          <rPr>
            <sz val="9"/>
            <color indexed="81"/>
            <rFont val="Tahoma"/>
            <family val="2"/>
          </rPr>
          <t xml:space="preserve"> Stock Price is less than the Fair Value, which means the stock is cheap.
</t>
        </r>
        <r>
          <rPr>
            <b/>
            <sz val="9"/>
            <color indexed="81"/>
            <rFont val="Tahoma"/>
            <family val="2"/>
          </rPr>
          <t>Warning:</t>
        </r>
        <r>
          <rPr>
            <sz val="9"/>
            <color indexed="81"/>
            <rFont val="Tahoma"/>
            <family val="2"/>
          </rPr>
          <t xml:space="preserve"> Valuation must only be looked after assessing the quality of a business. Otherwise, if the business is bad, or getting bad, a cheap stock can be a "value trap".</t>
        </r>
      </text>
    </comment>
  </commentList>
</comments>
</file>

<file path=xl/sharedStrings.xml><?xml version="1.0" encoding="utf-8"?>
<sst xmlns="http://schemas.openxmlformats.org/spreadsheetml/2006/main" count="405" uniqueCount="267">
  <si>
    <t>1-5</t>
  </si>
  <si>
    <t>6-10</t>
  </si>
  <si>
    <t>Year</t>
  </si>
  <si>
    <t>Growth</t>
  </si>
  <si>
    <t>Terminal Year</t>
  </si>
  <si>
    <t>DCF</t>
  </si>
  <si>
    <t>High End</t>
  </si>
  <si>
    <t>Low End</t>
  </si>
  <si>
    <t>Avg P/E Ratio Valuation</t>
  </si>
  <si>
    <t>EPV</t>
  </si>
  <si>
    <t>Share Capital</t>
  </si>
  <si>
    <t>Minority Interest</t>
  </si>
  <si>
    <t>Inventories</t>
  </si>
  <si>
    <t>Other Current Assets</t>
  </si>
  <si>
    <t>Current Liabilities</t>
  </si>
  <si>
    <t>Shareholder's Funds / Equity</t>
  </si>
  <si>
    <t>Inventory Days</t>
  </si>
  <si>
    <t>L-4</t>
  </si>
  <si>
    <t>L-3</t>
  </si>
  <si>
    <t>L-2</t>
  </si>
  <si>
    <t>L-1</t>
  </si>
  <si>
    <t>L</t>
  </si>
  <si>
    <t>Graham Number</t>
  </si>
  <si>
    <t>Years</t>
  </si>
  <si>
    <t>L-8</t>
  </si>
  <si>
    <t>L-9</t>
  </si>
  <si>
    <t>L-7</t>
  </si>
  <si>
    <t>L-6</t>
  </si>
  <si>
    <t>L-5</t>
  </si>
  <si>
    <t>Fair Value after MoS</t>
  </si>
  <si>
    <t>Fair Value Range (Rs/Share)</t>
  </si>
  <si>
    <t>Margin of Safety (MoS)</t>
  </si>
  <si>
    <t>Current Mkt. Price (CMP, Rs)</t>
  </si>
  <si>
    <t>Premium / (Discount)</t>
  </si>
  <si>
    <t>Number of Shares</t>
  </si>
  <si>
    <t>Total PV of Cash Flows</t>
  </si>
  <si>
    <t>Terminal Value</t>
  </si>
  <si>
    <t>PV of Year 1-10 Cash Flows</t>
  </si>
  <si>
    <t>FCF</t>
  </si>
  <si>
    <t>Present Value</t>
  </si>
  <si>
    <t>Final Calculations</t>
  </si>
  <si>
    <t>Initial Cash Flow</t>
  </si>
  <si>
    <t>FCF Growth Rate</t>
  </si>
  <si>
    <t>Discount Rate</t>
  </si>
  <si>
    <t>Terminal Growth Rate</t>
  </si>
  <si>
    <t>Net Debt Level</t>
  </si>
  <si>
    <t>DCF Value / Share (Rs)</t>
  </si>
  <si>
    <t>Stock Price - High (Rs)</t>
  </si>
  <si>
    <t>Stock Price - Low (Rs)</t>
  </si>
  <si>
    <t>High P/E (x)</t>
  </si>
  <si>
    <t>Low P/E (x)</t>
  </si>
  <si>
    <t>Average P/E (x)</t>
  </si>
  <si>
    <t>Valuation - Different Methods (Rs)</t>
  </si>
  <si>
    <t>Operational &amp; Financial Ratios</t>
  </si>
  <si>
    <t>Performance Ratios</t>
  </si>
  <si>
    <t>Efficiency Ratios</t>
  </si>
  <si>
    <t>Financial Stability Ratios</t>
  </si>
  <si>
    <t>Profitability Ratios</t>
  </si>
  <si>
    <t>Total Debt/Equity (x)</t>
  </si>
  <si>
    <t>Current Ratio (x)</t>
  </si>
  <si>
    <t>Quick Ratio (x)</t>
  </si>
  <si>
    <t>Interest Cover (x)</t>
  </si>
  <si>
    <t>Tax Rate (%)</t>
  </si>
  <si>
    <t>Dividend Pay Out Ratio (%)</t>
  </si>
  <si>
    <t>EBITDA Margin (%)</t>
  </si>
  <si>
    <t>EBIT Margin (%)</t>
  </si>
  <si>
    <t>Net Profit Margin (%)</t>
  </si>
  <si>
    <t>Return on Equity (%)</t>
  </si>
  <si>
    <t>Return on Capital Employed (%)</t>
  </si>
  <si>
    <t>Return on Invested Capital (%)</t>
  </si>
  <si>
    <t>Sales/Working Capital (x)</t>
  </si>
  <si>
    <t>Receivable Days</t>
  </si>
  <si>
    <t>Payable Days</t>
  </si>
  <si>
    <t>Net Sales Growth (%)</t>
  </si>
  <si>
    <t>EBITDA Growth (%)</t>
  </si>
  <si>
    <t>PAT Growth (%)</t>
  </si>
  <si>
    <t>Net Sales</t>
  </si>
  <si>
    <t>Increase/Decrease in Stock</t>
  </si>
  <si>
    <t>Raw Material Consumed</t>
  </si>
  <si>
    <t>Employee Cost</t>
  </si>
  <si>
    <t>Other Manufacturing Expenses</t>
  </si>
  <si>
    <t>General and Administration Expenses</t>
  </si>
  <si>
    <t>Selling and Distribution Expenses</t>
  </si>
  <si>
    <t>Miscellaneous Expenses</t>
  </si>
  <si>
    <t>Total Expenditure</t>
  </si>
  <si>
    <t>Other Income</t>
  </si>
  <si>
    <t>Interest</t>
  </si>
  <si>
    <t>Depreciation</t>
  </si>
  <si>
    <t>Exceptional Income / Expenses</t>
  </si>
  <si>
    <t>Profit Before Tax</t>
  </si>
  <si>
    <t>Provision for Tax</t>
  </si>
  <si>
    <t>Profit After Tax</t>
  </si>
  <si>
    <t>Share of Associate</t>
  </si>
  <si>
    <t>Expenditure</t>
  </si>
  <si>
    <t>Operating Profit / EBITDA</t>
  </si>
  <si>
    <t>Profit Before Interest &amp; Tax (PBIT)</t>
  </si>
  <si>
    <t>Proposed Equity Dividend</t>
  </si>
  <si>
    <t>Interim Equity Dividend</t>
  </si>
  <si>
    <t>Total Equity Dividend</t>
  </si>
  <si>
    <t>PBIT Growth (%)</t>
  </si>
  <si>
    <t>Consolidated Profit After Tax (PAT)</t>
  </si>
  <si>
    <t>Debt Burden (x)</t>
  </si>
  <si>
    <t>Reserves &amp; Surplus</t>
  </si>
  <si>
    <t>Non-Current Liabilities</t>
  </si>
  <si>
    <t>Long-Term Borrowings</t>
  </si>
  <si>
    <t>Trade Payables</t>
  </si>
  <si>
    <t>SOURCES OF FUNDS / EQUITY &amp; LIABILITIES</t>
  </si>
  <si>
    <t>APPLICATION OF FUNDS / ASSETS</t>
  </si>
  <si>
    <t>Short-Term Borrowings</t>
  </si>
  <si>
    <t>Non-Current Assets</t>
  </si>
  <si>
    <t>Tangible Assets</t>
  </si>
  <si>
    <t>Intangible Assets</t>
  </si>
  <si>
    <t>Non-Current Investments</t>
  </si>
  <si>
    <t>Current Assets</t>
  </si>
  <si>
    <t>Current Investments</t>
  </si>
  <si>
    <t>Trade Receivables</t>
  </si>
  <si>
    <t>Short-Term Provisions</t>
  </si>
  <si>
    <t>Other Current Liabilities</t>
  </si>
  <si>
    <t>Short-Term Loans and Advances</t>
  </si>
  <si>
    <t>Cash and Bank Balance</t>
  </si>
  <si>
    <t>Net cash (used in) / generated from operating activities</t>
  </si>
  <si>
    <t>Payment for purchase of fixed assets</t>
  </si>
  <si>
    <t>Net cash (used in) / generated from investing activities</t>
  </si>
  <si>
    <t>Net cash (used in) / generated from financing activities</t>
  </si>
  <si>
    <t>Net increase in cash and cash equivalents</t>
  </si>
  <si>
    <t>Free Cash Flow</t>
  </si>
  <si>
    <t>Shares Outstanding (Crore)</t>
  </si>
  <si>
    <t>CAGR</t>
  </si>
  <si>
    <t>Gross Margin (%)</t>
  </si>
  <si>
    <t>Capital Work-in-Progress</t>
  </si>
  <si>
    <t>Date of Analysis:</t>
  </si>
  <si>
    <t>Current Stock Data</t>
  </si>
  <si>
    <t>Return on Equity:</t>
  </si>
  <si>
    <t>Payout Ratio:</t>
  </si>
  <si>
    <t>Price:</t>
  </si>
  <si>
    <t>P/E Ratio-High:</t>
  </si>
  <si>
    <t>EPS:</t>
  </si>
  <si>
    <t>P/E Ratio-Low:</t>
  </si>
  <si>
    <t>DPS:</t>
  </si>
  <si>
    <t>P/E Ratio:</t>
  </si>
  <si>
    <t>BVPS:</t>
  </si>
  <si>
    <t>Sustainable Growth</t>
  </si>
  <si>
    <t>P/E:</t>
  </si>
  <si>
    <t>Earnings Yield:</t>
  </si>
  <si>
    <t>Dividend Yield:</t>
  </si>
  <si>
    <t>P/BV:</t>
  </si>
  <si>
    <t>Historical Company Data</t>
  </si>
  <si>
    <t xml:space="preserve">Price </t>
  </si>
  <si>
    <t>P/E Ratio</t>
  </si>
  <si>
    <t>EPS</t>
  </si>
  <si>
    <t>DPS</t>
  </si>
  <si>
    <t>BVPS</t>
  </si>
  <si>
    <t>High</t>
  </si>
  <si>
    <t>Low</t>
  </si>
  <si>
    <t>ROE</t>
  </si>
  <si>
    <t>High Price</t>
  </si>
  <si>
    <t>Low Price</t>
  </si>
  <si>
    <t>Projected Company Data Using Historical Earnings Growth Rate</t>
  </si>
  <si>
    <t>Earnings after 10 years</t>
  </si>
  <si>
    <t>Sum of dividends paid over 10 years</t>
  </si>
  <si>
    <t>Projected price (Average P/E * EPS)</t>
  </si>
  <si>
    <t>Total gain (Projected Price + Dividends)</t>
  </si>
  <si>
    <t>Projected return using historical EPS growth rate</t>
  </si>
  <si>
    <t>[(Total Gain / Current Price) ^ (1/10)] - 1</t>
  </si>
  <si>
    <t>Projected Company Data Using Sustainable Growth Rate</t>
  </si>
  <si>
    <t>Earnings after 10 years (BVPS * ROE)</t>
  </si>
  <si>
    <t>Projected return using sustainable growth rate</t>
  </si>
  <si>
    <t>L+1</t>
  </si>
  <si>
    <t>L+2</t>
  </si>
  <si>
    <t>L+3</t>
  </si>
  <si>
    <t>L+4</t>
  </si>
  <si>
    <t>L+5</t>
  </si>
  <si>
    <t>L+6</t>
  </si>
  <si>
    <t>L+7</t>
  </si>
  <si>
    <t>L+8</t>
  </si>
  <si>
    <t>L+9</t>
  </si>
  <si>
    <t>L+10</t>
  </si>
  <si>
    <t>10-Year Averages</t>
  </si>
  <si>
    <t>Payout Ratio</t>
  </si>
  <si>
    <t>Factor</t>
  </si>
  <si>
    <t>5-Year Growth</t>
  </si>
  <si>
    <t>10-Year Growth</t>
  </si>
  <si>
    <t>Annually Compounded Rates of Growth</t>
  </si>
  <si>
    <t>L (Current)</t>
  </si>
  <si>
    <t>Consumer monopoly or commodity?</t>
  </si>
  <si>
    <t>Is the company conservatively financed?</t>
  </si>
  <si>
    <t>Are earnings strong and do they show an upward trend?</t>
  </si>
  <si>
    <t>Does the company stick with what it knows?</t>
  </si>
  <si>
    <t>Has the company been buying back its shares?</t>
  </si>
  <si>
    <t>Have retained earnings been invested well?</t>
  </si>
  <si>
    <t>Is the company’s return on equity above average?</t>
  </si>
  <si>
    <t>Is the company free to adjust prices to inflation?</t>
  </si>
  <si>
    <t>Does the company need to constantly reinvest in capital?</t>
  </si>
  <si>
    <t>Seek out companies that have no or less competition, either due to a patent or brand name or similar intangible that makes the product unique. Such companies will typically have high gross and operating profit margins because of their unique niche. However, don't just go on margins as high margins may simply highlight companies within industries with traditionally high margins. Thus, look for companies with gross, operating and net profit margins above industry norms. Also look for strong growth in earnings and high return on equity in the past.</t>
  </si>
  <si>
    <t>Understand how business works</t>
  </si>
  <si>
    <t>Gross Profit</t>
  </si>
  <si>
    <t>Parameter</t>
  </si>
  <si>
    <t>Explanation</t>
  </si>
  <si>
    <t>Conclusion</t>
  </si>
  <si>
    <t>Never Forget</t>
  </si>
  <si>
    <t>Focus on decisions, not outcomes. Look for disconfirming evidence. Pray!</t>
  </si>
  <si>
    <t>Try to invest in industries where you possess some specialized knowledge (where you work) or can more effectively judge a company, its industry, and its competitive environment (simple products you consume). While it is difficult to construct a quantitative filter, you should be able to identify areas of interest. You should "only" consider analyzing those companies that operate in areas that you can clearly grasp - your circle of competence. Of course you can increase the size of the circle, but only over time by learning about new industries. More important than the size of the circle is to know its boundaries.</t>
  </si>
  <si>
    <t>Diluted EPS (Rs)</t>
  </si>
  <si>
    <t>Historical Earnings Growth</t>
  </si>
  <si>
    <t>Sustainable Earnings Growth</t>
  </si>
  <si>
    <t>Source - Buffettology by Mary Buffett &amp; David Clark</t>
  </si>
  <si>
    <t>Year / Rs Crore</t>
  </si>
  <si>
    <t>Asian Paints - Balance Sheet</t>
  </si>
  <si>
    <t>Asian Paints - P&amp;L Account</t>
  </si>
  <si>
    <t>Asian Paints</t>
  </si>
  <si>
    <t>Growth Ratios</t>
  </si>
  <si>
    <t>Asian Paints - Cash Flow Statement</t>
  </si>
  <si>
    <t>Asian Paints - Key Ratios</t>
  </si>
  <si>
    <t>Asian Paints: 2-Stage DCF</t>
  </si>
  <si>
    <t>Asian Paints - Buffett Valuation Spreadsheet</t>
  </si>
  <si>
    <t>Asian Paints - Fair Value Calculation</t>
  </si>
  <si>
    <t>Industry</t>
  </si>
  <si>
    <t>Paints</t>
  </si>
  <si>
    <t>Company</t>
  </si>
  <si>
    <t>Current Stock Price (Rs)</t>
  </si>
  <si>
    <t>XYZ</t>
  </si>
  <si>
    <t>No. of Shares (Crore)</t>
  </si>
  <si>
    <t>Parameters</t>
  </si>
  <si>
    <t>Details</t>
  </si>
  <si>
    <t>Key Financials (Last 10-Years)</t>
  </si>
  <si>
    <t>Market Capitalization (Rs Crore)</t>
  </si>
  <si>
    <t>Promoter Shareholding (Latest Quarter)</t>
  </si>
  <si>
    <t>Promoter Pledged Shareholding (Latest Quarter)</t>
  </si>
  <si>
    <t>Face Value (Rs)</t>
  </si>
  <si>
    <t>Sales Growth (10-Year CAGR)</t>
  </si>
  <si>
    <t>Gross Profit Growth (10-Year CAGR)</t>
  </si>
  <si>
    <t>Net Profit Growth (10-Year CAGR)</t>
  </si>
  <si>
    <t>Average Return on Equity</t>
  </si>
  <si>
    <t>Basic Company Details</t>
  </si>
  <si>
    <t>Diluted Earnings Per Share (Rs)</t>
  </si>
  <si>
    <t>Diluted Book Value Per Share (Rs)</t>
  </si>
  <si>
    <t>(Don't touch any cell on this sheet, as all are calculated figures)</t>
  </si>
  <si>
    <t>(Enter values only in red cells)</t>
  </si>
  <si>
    <r>
      <t xml:space="preserve">Source - Buffettology by Mary Buffett &amp; David Clark | </t>
    </r>
    <r>
      <rPr>
        <i/>
        <sz val="12"/>
        <color rgb="FFC00000"/>
        <rFont val="Arial"/>
        <family val="2"/>
      </rPr>
      <t>(Enter values only in red cells)</t>
    </r>
  </si>
  <si>
    <t>Figures in Rs Crore | Enter values only in red cells</t>
  </si>
  <si>
    <t>Business (As you understand it, in simple words)</t>
  </si>
  <si>
    <t>Seeks out companies with conservative financing, which equates to a simple, safe balance sheet. Such companies tend to have strong cash flows, with little need for long-term debt. Look for low debt to equity or low debt-burden ratios. Also seek companies that have history of consistently generating positive free cash flows.</t>
  </si>
  <si>
    <t>Rising earnings serve as a good catalyst for stock prices. So seek companies with strong, consistent, and expanding earnings (profits). Seek companies with 5/10 year earnings per share growth greater than 25% (alongwith safe balance sheets). To help indicate that earnings growth is still strong, look for companies where the last 3-years earnings growth rate is higher than the last 10-years growth rate. More important than the rate of growth is the consistency in such growth. So exclude companies with volatile earnings growth in the past, even if the "average" growth has been high.</t>
  </si>
  <si>
    <t>Like you should stock to your circle of competence, a company should invest its capital only in those businesses within its circle of competence. This is a difficult factor to screen for on a quantitative level. Before investing in a company, look at the company’s past pattern of acquisitions and new directions. They should fit within the primary range of operations for the firm. Be cautious of companies that have been very aggressive in acquisitions in the past.</t>
  </si>
  <si>
    <t>Seek companies where earnings have risen as retained earnings (earnings after paying dividends) have been employed profitably. A great way to screen for such companies is by looking at those that have had consistent earnings and strong return on equity in the past.</t>
  </si>
  <si>
    <t>Consider it a positive sign when a company is able to earn above-average (better than competitors) returns on equity without employing much debt. Average return on equity for Indian companies over the last 10 years is approximately 16%. Thus, seek companies that earn atleast this much (16%) or more than this. Again, consistency is the key here.</t>
  </si>
  <si>
    <t>Companies that consistently need capital to grow their sales and profits are like bank savings account, and thus bad for an investor's long term portfolio. Seek companies that don't need high capital investments consistently. Retained earnings must first go toward maintaining current operations at competitive levels, so the lower the amount needed to maintain current operations, the better. Here, more than just an absolute assessment, a comparison against competitors will help a lot. Seek companies that consistently generate positive and rising free cash flows.</t>
  </si>
  <si>
    <t>Sensible investing is always about using “folly and discipline” - the discipline to identify excellent businesses, and wait for the folly of the market to drive down the value of these businesses to attractive levels. You will have little trouble understanding this philosophy. However, its successful implementation is dependent upon your dedication to learn and follow the principles, and apply them to pick stocks successfully.</t>
  </si>
  <si>
    <t>Buffett Checklist - Read, Remember, Follow!</t>
  </si>
  <si>
    <r>
      <rPr>
        <b/>
        <sz val="15"/>
        <color rgb="FFC00000"/>
        <rFont val="Arial"/>
        <family val="2"/>
      </rPr>
      <t xml:space="preserve">Remember!            </t>
    </r>
    <r>
      <rPr>
        <b/>
        <sz val="12"/>
        <color theme="1"/>
        <rFont val="Arial"/>
        <family val="2"/>
      </rPr>
      <t xml:space="preserve">                                   What counts in the long run is the increase in "per share value", not overall growth or size of a business.</t>
    </r>
  </si>
  <si>
    <r>
      <rPr>
        <b/>
        <sz val="15"/>
        <color rgb="FFC00000"/>
        <rFont val="Arial"/>
        <family val="2"/>
      </rPr>
      <t xml:space="preserve">Remember!                                                           </t>
    </r>
    <r>
      <rPr>
        <b/>
        <sz val="12"/>
        <color theme="1"/>
        <rFont val="Arial"/>
        <family val="2"/>
      </rPr>
      <t>Gross margins suggest pricing power. Higher = Better, but also invites competition. So watch out for consistency.</t>
    </r>
  </si>
  <si>
    <r>
      <rPr>
        <b/>
        <sz val="15"/>
        <color rgb="FFC00000"/>
        <rFont val="Arial"/>
        <family val="2"/>
      </rPr>
      <t xml:space="preserve">Remember!                                                                    </t>
    </r>
    <r>
      <rPr>
        <b/>
        <sz val="12"/>
        <color theme="1"/>
        <rFont val="Arial"/>
        <family val="2"/>
      </rPr>
      <t xml:space="preserve">    Cash flow, not reported earnings, is what determines a company's long-term value.</t>
    </r>
  </si>
  <si>
    <r>
      <rPr>
        <b/>
        <sz val="20"/>
        <color rgb="FFC00000"/>
        <rFont val="Arial"/>
        <family val="2"/>
      </rPr>
      <t xml:space="preserve">Warning!                              </t>
    </r>
    <r>
      <rPr>
        <b/>
        <sz val="12"/>
        <color theme="1"/>
        <rFont val="Arial"/>
        <family val="2"/>
      </rPr>
      <t>Past is no predictor of the future. So be careful using numbers in this sheet - that are based on past numbers - into your fair value calculations. Of course past can give some indications of the future, but the future is never always the same.</t>
    </r>
  </si>
  <si>
    <r>
      <rPr>
        <b/>
        <sz val="15"/>
        <color rgb="FFC00000"/>
        <rFont val="Arial"/>
        <family val="2"/>
      </rPr>
      <t xml:space="preserve">Why DCF?        </t>
    </r>
    <r>
      <rPr>
        <b/>
        <sz val="12"/>
        <color rgb="FFC00000"/>
        <rFont val="Arial"/>
        <family val="2"/>
      </rPr>
      <t xml:space="preserve">                                     </t>
    </r>
    <r>
      <rPr>
        <b/>
        <sz val="11"/>
        <color theme="1"/>
        <rFont val="Arial"/>
        <family val="2"/>
      </rPr>
      <t>The value of a business is simply the present value of cash that investors can take out of the business over its lifetime.</t>
    </r>
  </si>
  <si>
    <t>Buffett prefers that firms reinvest their earnings within the company, provided that profitable opportunities exist. When companies have excess cash flow, Buffett favours shareholder-enhancing maneuvers such as share buybacks. While we do not screen for this factor, a follow-up examination of a company would reveal if it has a share buyback plan in place.</t>
  </si>
  <si>
    <t>That's what is called "pricing power". Companies with moat (as seen from other screening metrics as suggested above (like high ROE, high grow margins, low debt etc.) are able to adjust prices to inflation without the risk of losing significant volume sales.</t>
  </si>
  <si>
    <t>Govt. Bond Yield:</t>
  </si>
  <si>
    <t>www.safalniveshak.com</t>
  </si>
  <si>
    <r>
      <rPr>
        <sz val="30"/>
        <color rgb="FF0070C0"/>
        <rFont val="Arial Black"/>
        <family val="2"/>
      </rPr>
      <t xml:space="preserve">Safal Niveshak                          </t>
    </r>
    <r>
      <rPr>
        <sz val="20"/>
        <color theme="1"/>
        <rFont val="Arial Black"/>
        <family val="2"/>
      </rPr>
      <t xml:space="preserve"> </t>
    </r>
    <r>
      <rPr>
        <sz val="15"/>
        <color theme="1"/>
        <rFont val="Arial Black"/>
        <family val="2"/>
      </rPr>
      <t xml:space="preserve">Value Investing Made Simple                 </t>
    </r>
  </si>
  <si>
    <t>Average Debt/Equity (x)</t>
  </si>
  <si>
    <r>
      <rPr>
        <b/>
        <sz val="15"/>
        <color rgb="FFC00000"/>
        <rFont val="Arial"/>
        <family val="2"/>
      </rPr>
      <t xml:space="preserve">Warning!            </t>
    </r>
    <r>
      <rPr>
        <b/>
        <sz val="12"/>
        <color theme="1"/>
        <rFont val="Arial"/>
        <family val="2"/>
      </rPr>
      <t xml:space="preserve">                                                                                                 Excel can be a wonderful tool to analyze the past. But it can be a weapon of mass destruction to predict the future! So be very careful of what you are getting into. Here, garbage in will always equal garbage out.</t>
    </r>
  </si>
  <si>
    <r>
      <rPr>
        <b/>
        <sz val="15"/>
        <color rgb="FFC00000"/>
        <rFont val="Arial"/>
        <family val="2"/>
      </rPr>
      <t xml:space="preserve">Remember!                                                                                                                         </t>
    </r>
    <r>
      <rPr>
        <b/>
        <sz val="12"/>
        <color theme="1"/>
        <rFont val="Arial"/>
        <family val="2"/>
      </rPr>
      <t>Focus on decisions, not outcomes. Look for disconfirming evidence. Calculate. Pray!</t>
    </r>
  </si>
  <si>
    <r>
      <rPr>
        <b/>
        <sz val="15"/>
        <color rgb="FFC00000"/>
        <rFont val="Arial"/>
        <family val="2"/>
      </rPr>
      <t xml:space="preserve">Please!                                                                                 </t>
    </r>
    <r>
      <rPr>
        <b/>
        <sz val="12"/>
        <color theme="1"/>
        <rFont val="Arial"/>
        <family val="2"/>
      </rPr>
      <t xml:space="preserve">It's your money. Please don't blame me if results of this excel cause you to lose it all! I've designed this excel to aid your own thinking, but you alone are responsible for your actions. I want to live peacefully ever after! :-)                                 </t>
    </r>
    <r>
      <rPr>
        <b/>
        <sz val="12"/>
        <color rgb="FFC00000"/>
        <rFont val="Arial"/>
        <family val="2"/>
      </rPr>
      <t xml:space="preserve">I am not a sadist who wants you to do the hard work by analyzing companies on your own. But I'd rather give you a compass instead of a map, for you can confuse map with territory and lose it all! </t>
    </r>
    <r>
      <rPr>
        <b/>
        <sz val="12"/>
        <color theme="1"/>
        <rFont val="Arial"/>
        <family val="2"/>
      </rPr>
      <t>All the best!</t>
    </r>
  </si>
  <si>
    <t>Dividend Per Share (Rs)</t>
  </si>
  <si>
    <r>
      <rPr>
        <b/>
        <sz val="20"/>
        <color rgb="FFC00000"/>
        <rFont val="Arial"/>
        <family val="2"/>
      </rPr>
      <t xml:space="preserve">Remember!  </t>
    </r>
    <r>
      <rPr>
        <b/>
        <sz val="12"/>
        <color rgb="FFC00000"/>
        <rFont val="Arial"/>
        <family val="2"/>
      </rPr>
      <t xml:space="preserve"> </t>
    </r>
    <r>
      <rPr>
        <b/>
        <sz val="12"/>
        <color theme="1"/>
        <rFont val="Arial"/>
        <family val="2"/>
      </rPr>
      <t xml:space="preserve">                                                                                            Give importance to a stock's fair value only "after" you have answered in "Yes" to these two questions - (1) Is this business simple to be understood? and (2) Can I understand this business?
Don't try to quantify everything. In stock research, the less non-mathematical you are, the more simple, sensible, and useful will be your analysis and results. Great analysis is generally "back-of-the-envelope".
Also, your calculated "fair value" will be proven wrong in the future, so don't invest your savings just because you fall in love with it. Don't look for perfection. It is overrated. </t>
    </r>
    <r>
      <rPr>
        <b/>
        <sz val="12"/>
        <color rgb="FFC00000"/>
        <rFont val="Arial"/>
        <family val="2"/>
      </rPr>
      <t>Focus on decisions, not outcomes. Look for disconfirming evidence. Pray!</t>
    </r>
  </si>
  <si>
    <r>
      <rPr>
        <b/>
        <sz val="15"/>
        <color rgb="FFC00000"/>
        <rFont val="Arial"/>
        <family val="2"/>
      </rPr>
      <t xml:space="preserve">Remember! </t>
    </r>
    <r>
      <rPr>
        <sz val="15"/>
        <color rgb="FFC00000"/>
        <rFont val="Arial"/>
        <family val="2"/>
      </rPr>
      <t xml:space="preserve"> </t>
    </r>
    <r>
      <rPr>
        <sz val="12"/>
        <color theme="1"/>
        <rFont val="Arial"/>
        <family val="2"/>
      </rPr>
      <t xml:space="preserve">                                                   </t>
    </r>
    <r>
      <rPr>
        <b/>
        <sz val="12"/>
        <color theme="1"/>
        <rFont val="Arial"/>
        <family val="2"/>
      </rPr>
      <t xml:space="preserve">ROE = Efficiency in allocating capital, which is a CEO's #1 job. Higher = Better. Look for consistency. </t>
    </r>
  </si>
  <si>
    <r>
      <rPr>
        <b/>
        <sz val="11"/>
        <color rgb="FFC00000"/>
        <rFont val="Arial"/>
        <family val="2"/>
      </rPr>
      <t xml:space="preserve">Note: </t>
    </r>
    <r>
      <rPr>
        <sz val="11"/>
        <color rgb="FFC00000"/>
        <rFont val="Arial"/>
        <family val="2"/>
      </rPr>
      <t>Asian Paints' analysis in this excel is for representation purpose only.</t>
    </r>
  </si>
</sst>
</file>

<file path=xl/styles.xml><?xml version="1.0" encoding="utf-8"?>
<styleSheet xmlns="http://schemas.openxmlformats.org/spreadsheetml/2006/main">
  <numFmts count="13">
    <numFmt numFmtId="43" formatCode="_ * #,##0.00_ ;_ * \-#,##0.00_ ;_ * &quot;-&quot;??_ ;_ @_ "/>
    <numFmt numFmtId="164" formatCode="&quot;$&quot;#,##0_);[Red]\(&quot;$&quot;#,##0\)"/>
    <numFmt numFmtId="165" formatCode="_(* #,##0.00_);_(* \(#,##0.00\);_(* &quot;-&quot;??_);_(@_)"/>
    <numFmt numFmtId="166" formatCode="_(* #,##0.0_);_(* \(#,##0.0\);_(* &quot;-&quot;??_);_(@_)"/>
    <numFmt numFmtId="167" formatCode="_(* #,##0_);_(* \(#,##0\);_(* &quot;-&quot;??_);_(@_)"/>
    <numFmt numFmtId="168" formatCode="#,##0.000_);[Red]\(#,##0.000\)"/>
    <numFmt numFmtId="169" formatCode="0.0%"/>
    <numFmt numFmtId="170" formatCode="[$-409]mmm/yy;@"/>
    <numFmt numFmtId="171" formatCode="_(&quot;$&quot;* #,##0.00_);_(&quot;$&quot;* \(#,##0.00\);_(&quot;$&quot;* &quot;-&quot;??_);_(@_)"/>
    <numFmt numFmtId="172" formatCode="#,##0.0_);[Red]\(#,##0.0\)"/>
    <numFmt numFmtId="173" formatCode="&quot;$&quot;#,##0.00_);[Red]\(&quot;$&quot;#,##0.00\)"/>
    <numFmt numFmtId="174" formatCode="0.0"/>
    <numFmt numFmtId="175" formatCode="[$-409]d/mmm/yy;@"/>
  </numFmts>
  <fonts count="39">
    <font>
      <sz val="11"/>
      <color theme="1"/>
      <name val="Calibri"/>
      <family val="2"/>
      <scheme val="minor"/>
    </font>
    <font>
      <sz val="11"/>
      <color theme="1"/>
      <name val="Calibri"/>
      <family val="2"/>
      <scheme val="minor"/>
    </font>
    <font>
      <sz val="9"/>
      <color indexed="81"/>
      <name val="Tahoma"/>
      <family val="2"/>
    </font>
    <font>
      <sz val="12"/>
      <color indexed="8"/>
      <name val="Arial"/>
      <family val="2"/>
    </font>
    <font>
      <b/>
      <sz val="12"/>
      <color indexed="8"/>
      <name val="Arial"/>
      <family val="2"/>
    </font>
    <font>
      <b/>
      <sz val="12"/>
      <color theme="1"/>
      <name val="Arial"/>
      <family val="2"/>
    </font>
    <font>
      <sz val="12"/>
      <color theme="1"/>
      <name val="Arial"/>
      <family val="2"/>
    </font>
    <font>
      <i/>
      <sz val="12"/>
      <color theme="1"/>
      <name val="Arial"/>
      <family val="2"/>
    </font>
    <font>
      <b/>
      <sz val="12"/>
      <color rgb="FFC00000"/>
      <name val="Arial"/>
      <family val="2"/>
    </font>
    <font>
      <b/>
      <sz val="9"/>
      <color indexed="81"/>
      <name val="Tahoma"/>
      <family val="2"/>
    </font>
    <font>
      <b/>
      <sz val="12"/>
      <color theme="0"/>
      <name val="Arial"/>
      <family val="2"/>
    </font>
    <font>
      <b/>
      <i/>
      <sz val="9"/>
      <color indexed="81"/>
      <name val="Tahoma"/>
      <family val="2"/>
    </font>
    <font>
      <b/>
      <sz val="12"/>
      <name val="Arial"/>
      <family val="2"/>
    </font>
    <font>
      <sz val="12"/>
      <name val="Arial"/>
      <family val="2"/>
    </font>
    <font>
      <sz val="12"/>
      <color rgb="FF000000"/>
      <name val="Arial"/>
      <family val="2"/>
    </font>
    <font>
      <b/>
      <sz val="15"/>
      <color theme="1"/>
      <name val="Arial"/>
      <family val="2"/>
    </font>
    <font>
      <b/>
      <sz val="15"/>
      <name val="Arial"/>
      <family val="2"/>
    </font>
    <font>
      <i/>
      <sz val="9"/>
      <color indexed="81"/>
      <name val="Tahoma"/>
      <family val="2"/>
    </font>
    <font>
      <sz val="12"/>
      <color rgb="FFC00000"/>
      <name val="Arial"/>
      <family val="2"/>
    </font>
    <font>
      <b/>
      <sz val="20"/>
      <color theme="1"/>
      <name val="Arial"/>
      <family val="2"/>
    </font>
    <font>
      <sz val="20"/>
      <color theme="1"/>
      <name val="Arial"/>
      <family val="2"/>
    </font>
    <font>
      <i/>
      <sz val="10"/>
      <color theme="1"/>
      <name val="Arial"/>
      <family val="2"/>
    </font>
    <font>
      <b/>
      <sz val="12"/>
      <color theme="0" tint="-4.9989318521683403E-2"/>
      <name val="Arial"/>
      <family val="2"/>
    </font>
    <font>
      <b/>
      <sz val="20"/>
      <color rgb="FFC00000"/>
      <name val="Arial"/>
      <family val="2"/>
    </font>
    <font>
      <b/>
      <sz val="15"/>
      <color rgb="FFC00000"/>
      <name val="Arial"/>
      <family val="2"/>
    </font>
    <font>
      <b/>
      <sz val="15"/>
      <color rgb="FF0070C0"/>
      <name val="Arial"/>
      <family val="2"/>
    </font>
    <font>
      <i/>
      <sz val="11"/>
      <color rgb="FFC00000"/>
      <name val="Arial"/>
      <family val="2"/>
    </font>
    <font>
      <i/>
      <sz val="12"/>
      <color rgb="FFC00000"/>
      <name val="Arial"/>
      <family val="2"/>
    </font>
    <font>
      <sz val="15"/>
      <color rgb="FFC00000"/>
      <name val="Arial"/>
      <family val="2"/>
    </font>
    <font>
      <b/>
      <sz val="11"/>
      <color theme="1"/>
      <name val="Arial"/>
      <family val="2"/>
    </font>
    <font>
      <sz val="20"/>
      <color theme="1"/>
      <name val="Arial Black"/>
      <family val="2"/>
    </font>
    <font>
      <u/>
      <sz val="11"/>
      <color theme="10"/>
      <name val="Calibri"/>
      <family val="2"/>
    </font>
    <font>
      <b/>
      <u/>
      <sz val="12"/>
      <color theme="10"/>
      <name val="Arial"/>
      <family val="2"/>
    </font>
    <font>
      <sz val="15"/>
      <color theme="1"/>
      <name val="Arial Black"/>
      <family val="2"/>
    </font>
    <font>
      <sz val="30"/>
      <color rgb="FF0070C0"/>
      <name val="Arial Black"/>
      <family val="2"/>
    </font>
    <font>
      <b/>
      <sz val="9"/>
      <color indexed="81"/>
      <name val="Tahoma"/>
      <charset val="1"/>
    </font>
    <font>
      <sz val="9"/>
      <color indexed="81"/>
      <name val="Tahoma"/>
      <charset val="1"/>
    </font>
    <font>
      <sz val="11"/>
      <color rgb="FFC00000"/>
      <name val="Arial"/>
      <family val="2"/>
    </font>
    <font>
      <b/>
      <sz val="11"/>
      <color rgb="FFC00000"/>
      <name val="Arial"/>
      <family val="2"/>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0070C0"/>
        <bgColor indexed="64"/>
      </patternFill>
    </fill>
    <fill>
      <patternFill patternType="solid">
        <fgColor theme="6" tint="0.59999389629810485"/>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4">
    <xf numFmtId="0" fontId="0" fillId="0" borderId="0"/>
    <xf numFmtId="165" fontId="1" fillId="0" borderId="0" applyFont="0" applyFill="0" applyBorder="0" applyAlignment="0" applyProtection="0"/>
    <xf numFmtId="9" fontId="1" fillId="0" borderId="0" applyFont="0" applyFill="0" applyBorder="0" applyAlignment="0" applyProtection="0"/>
    <xf numFmtId="0" fontId="31" fillId="0" borderId="0" applyNumberFormat="0" applyFill="0" applyBorder="0" applyAlignment="0" applyProtection="0">
      <alignment vertical="top"/>
      <protection locked="0"/>
    </xf>
  </cellStyleXfs>
  <cellXfs count="291">
    <xf numFmtId="0" fontId="0" fillId="0" borderId="0" xfId="0"/>
    <xf numFmtId="2" fontId="3" fillId="0" borderId="0" xfId="0" applyNumberFormat="1" applyFont="1"/>
    <xf numFmtId="167" fontId="6" fillId="0" borderId="0" xfId="1" applyNumberFormat="1" applyFont="1"/>
    <xf numFmtId="0" fontId="6" fillId="0" borderId="0" xfId="0" applyFont="1"/>
    <xf numFmtId="167" fontId="3" fillId="0" borderId="0" xfId="1" applyNumberFormat="1" applyFont="1"/>
    <xf numFmtId="1" fontId="6" fillId="0" borderId="0" xfId="0" applyNumberFormat="1" applyFont="1"/>
    <xf numFmtId="167" fontId="7" fillId="0" borderId="0" xfId="1" applyNumberFormat="1" applyFont="1"/>
    <xf numFmtId="166" fontId="6" fillId="0" borderId="0" xfId="1" applyNumberFormat="1" applyFont="1"/>
    <xf numFmtId="0" fontId="5" fillId="0" borderId="0" xfId="0" applyFont="1"/>
    <xf numFmtId="49" fontId="13" fillId="0" borderId="0" xfId="0" applyNumberFormat="1" applyFont="1" applyAlignment="1">
      <alignment horizontal="center"/>
    </xf>
    <xf numFmtId="9" fontId="6" fillId="0" borderId="2" xfId="0" applyNumberFormat="1" applyFont="1" applyBorder="1" applyAlignment="1">
      <alignment horizontal="center"/>
    </xf>
    <xf numFmtId="0" fontId="13" fillId="0" borderId="0" xfId="0" applyFont="1"/>
    <xf numFmtId="9" fontId="13" fillId="0" borderId="0" xfId="0" applyNumberFormat="1" applyFont="1" applyBorder="1" applyAlignment="1">
      <alignment horizontal="center"/>
    </xf>
    <xf numFmtId="0" fontId="13" fillId="0" borderId="0" xfId="0" applyFont="1" applyBorder="1" applyAlignment="1">
      <alignment horizontal="center"/>
    </xf>
    <xf numFmtId="168" fontId="13" fillId="0" borderId="0" xfId="0" applyNumberFormat="1" applyFont="1" applyBorder="1" applyAlignment="1">
      <alignment horizontal="center"/>
    </xf>
    <xf numFmtId="164" fontId="13" fillId="0" borderId="0" xfId="0" applyNumberFormat="1" applyFont="1" applyBorder="1" applyAlignment="1">
      <alignment horizontal="center"/>
    </xf>
    <xf numFmtId="9" fontId="13" fillId="0" borderId="0" xfId="0" applyNumberFormat="1" applyFont="1" applyAlignment="1">
      <alignment horizontal="center"/>
    </xf>
    <xf numFmtId="168" fontId="13" fillId="0" borderId="0" xfId="0" applyNumberFormat="1" applyFont="1" applyAlignment="1">
      <alignment horizontal="center"/>
    </xf>
    <xf numFmtId="0" fontId="13" fillId="0" borderId="0" xfId="0" applyFont="1" applyAlignment="1">
      <alignment horizontal="right"/>
    </xf>
    <xf numFmtId="0" fontId="13" fillId="0" borderId="0" xfId="0" quotePrefix="1" applyFont="1" applyAlignment="1">
      <alignment horizontal="left"/>
    </xf>
    <xf numFmtId="9" fontId="13" fillId="0" borderId="0" xfId="0" applyNumberFormat="1" applyFont="1" applyAlignment="1">
      <alignment horizontal="right"/>
    </xf>
    <xf numFmtId="0" fontId="13" fillId="0" borderId="0" xfId="0" quotePrefix="1" applyFont="1" applyAlignment="1">
      <alignment horizontal="center"/>
    </xf>
    <xf numFmtId="0" fontId="6" fillId="0" borderId="0" xfId="0" applyFont="1" applyFill="1"/>
    <xf numFmtId="0" fontId="5" fillId="0" borderId="0" xfId="0" applyFont="1" applyFill="1"/>
    <xf numFmtId="43" fontId="6" fillId="0" borderId="0" xfId="0" applyNumberFormat="1" applyFont="1"/>
    <xf numFmtId="0" fontId="6" fillId="0" borderId="0" xfId="0" applyFont="1" applyBorder="1"/>
    <xf numFmtId="166" fontId="6" fillId="0" borderId="0" xfId="1" applyNumberFormat="1" applyFont="1" applyBorder="1"/>
    <xf numFmtId="165" fontId="6" fillId="0" borderId="0" xfId="0" applyNumberFormat="1" applyFont="1"/>
    <xf numFmtId="169" fontId="6" fillId="0" borderId="0" xfId="2" applyNumberFormat="1" applyFont="1"/>
    <xf numFmtId="166" fontId="3" fillId="0" borderId="4" xfId="1" applyNumberFormat="1" applyFont="1" applyBorder="1"/>
    <xf numFmtId="167" fontId="3" fillId="0" borderId="4" xfId="1" applyNumberFormat="1" applyFont="1" applyBorder="1"/>
    <xf numFmtId="38" fontId="13" fillId="0" borderId="4" xfId="0" applyNumberFormat="1" applyFont="1" applyBorder="1" applyAlignment="1">
      <alignment horizontal="center"/>
    </xf>
    <xf numFmtId="9" fontId="13" fillId="0" borderId="4" xfId="0" applyNumberFormat="1" applyFont="1" applyBorder="1" applyAlignment="1">
      <alignment horizontal="center"/>
    </xf>
    <xf numFmtId="0" fontId="6" fillId="0" borderId="0" xfId="0" applyFont="1" applyAlignment="1">
      <alignment horizontal="left"/>
    </xf>
    <xf numFmtId="167" fontId="4" fillId="5" borderId="4" xfId="1" applyNumberFormat="1" applyFont="1" applyFill="1" applyBorder="1"/>
    <xf numFmtId="167" fontId="3" fillId="0" borderId="4" xfId="1" applyNumberFormat="1" applyFont="1" applyFill="1" applyBorder="1"/>
    <xf numFmtId="9" fontId="3" fillId="0" borderId="4" xfId="2" applyFont="1" applyBorder="1"/>
    <xf numFmtId="166" fontId="3" fillId="0" borderId="4" xfId="0" applyNumberFormat="1" applyFont="1" applyBorder="1"/>
    <xf numFmtId="0" fontId="5" fillId="0" borderId="0" xfId="0" applyFont="1" applyFill="1" applyAlignment="1">
      <alignment horizontal="right"/>
    </xf>
    <xf numFmtId="0" fontId="6" fillId="0" borderId="4" xfId="0" applyFont="1" applyBorder="1" applyAlignment="1">
      <alignment wrapText="1"/>
    </xf>
    <xf numFmtId="0" fontId="0" fillId="0" borderId="0" xfId="0" applyBorder="1"/>
    <xf numFmtId="167" fontId="6" fillId="0" borderId="0" xfId="0" applyNumberFormat="1" applyFont="1"/>
    <xf numFmtId="9" fontId="6" fillId="0" borderId="0" xfId="0" applyNumberFormat="1" applyFont="1"/>
    <xf numFmtId="0" fontId="20" fillId="0" borderId="0" xfId="0" applyFont="1"/>
    <xf numFmtId="0" fontId="6" fillId="3" borderId="0" xfId="0" applyFont="1" applyFill="1" applyAlignment="1">
      <alignment wrapText="1"/>
    </xf>
    <xf numFmtId="0" fontId="6" fillId="3" borderId="0" xfId="0" applyFont="1" applyFill="1"/>
    <xf numFmtId="0" fontId="5" fillId="3" borderId="0" xfId="0" applyFont="1" applyFill="1" applyAlignment="1">
      <alignment vertical="center"/>
    </xf>
    <xf numFmtId="0" fontId="5" fillId="0" borderId="4" xfId="0" applyFont="1" applyBorder="1" applyAlignment="1">
      <alignment vertical="center"/>
    </xf>
    <xf numFmtId="166" fontId="4" fillId="5" borderId="4" xfId="1" applyNumberFormat="1" applyFont="1" applyFill="1" applyBorder="1"/>
    <xf numFmtId="9" fontId="8" fillId="0" borderId="5" xfId="0" applyNumberFormat="1" applyFont="1" applyFill="1" applyBorder="1" applyAlignment="1">
      <alignment horizontal="center"/>
    </xf>
    <xf numFmtId="9" fontId="8" fillId="0" borderId="6" xfId="0" applyNumberFormat="1" applyFont="1" applyFill="1" applyBorder="1" applyAlignment="1">
      <alignment horizontal="center"/>
    </xf>
    <xf numFmtId="9" fontId="8" fillId="0" borderId="1" xfId="0" applyNumberFormat="1" applyFont="1" applyFill="1" applyBorder="1" applyAlignment="1">
      <alignment horizontal="center"/>
    </xf>
    <xf numFmtId="0" fontId="8" fillId="0" borderId="0" xfId="0" applyFont="1"/>
    <xf numFmtId="9" fontId="8" fillId="0" borderId="0" xfId="0" applyNumberFormat="1" applyFont="1" applyAlignment="1">
      <alignment horizontal="center"/>
    </xf>
    <xf numFmtId="166" fontId="3" fillId="0" borderId="4" xfId="1" applyNumberFormat="1" applyFont="1" applyFill="1" applyBorder="1"/>
    <xf numFmtId="167" fontId="8" fillId="0" borderId="4" xfId="1" applyNumberFormat="1" applyFont="1" applyBorder="1"/>
    <xf numFmtId="167" fontId="6" fillId="0" borderId="4" xfId="1" applyNumberFormat="1" applyFont="1" applyFill="1" applyBorder="1"/>
    <xf numFmtId="0" fontId="6" fillId="0" borderId="0" xfId="0" applyFont="1" applyBorder="1" applyAlignment="1">
      <alignment horizontal="right"/>
    </xf>
    <xf numFmtId="0" fontId="12" fillId="0" borderId="0" xfId="0" applyFont="1" applyBorder="1" applyAlignment="1">
      <alignment horizontal="right"/>
    </xf>
    <xf numFmtId="175" fontId="13" fillId="0" borderId="0" xfId="0" applyNumberFormat="1" applyFont="1" applyFill="1" applyBorder="1" applyAlignment="1">
      <alignment horizontal="left"/>
    </xf>
    <xf numFmtId="0" fontId="12" fillId="0" borderId="0" xfId="0" applyFont="1" applyBorder="1"/>
    <xf numFmtId="169" fontId="6" fillId="0" borderId="0" xfId="0" applyNumberFormat="1" applyFont="1" applyFill="1" applyBorder="1" applyAlignment="1">
      <alignment horizontal="left"/>
    </xf>
    <xf numFmtId="172" fontId="6" fillId="0" borderId="0" xfId="1" applyNumberFormat="1" applyFont="1" applyFill="1" applyBorder="1" applyAlignment="1">
      <alignment horizontal="left"/>
    </xf>
    <xf numFmtId="166" fontId="6" fillId="0" borderId="0" xfId="1" applyNumberFormat="1" applyFont="1" applyFill="1" applyBorder="1" applyAlignment="1">
      <alignment horizontal="left"/>
    </xf>
    <xf numFmtId="169" fontId="6" fillId="0" borderId="0" xfId="0" applyNumberFormat="1" applyFont="1" applyBorder="1" applyAlignment="1">
      <alignment horizontal="left"/>
    </xf>
    <xf numFmtId="169" fontId="6" fillId="0" borderId="0" xfId="2" applyNumberFormat="1" applyFont="1" applyFill="1" applyBorder="1" applyAlignment="1">
      <alignment horizontal="right"/>
    </xf>
    <xf numFmtId="172" fontId="6" fillId="0" borderId="0" xfId="1" applyNumberFormat="1" applyFont="1" applyFill="1" applyBorder="1" applyAlignment="1">
      <alignment horizontal="right"/>
    </xf>
    <xf numFmtId="169" fontId="8" fillId="0" borderId="0" xfId="0" applyNumberFormat="1" applyFont="1" applyFill="1" applyBorder="1" applyAlignment="1">
      <alignment horizontal="right"/>
    </xf>
    <xf numFmtId="10" fontId="6" fillId="0" borderId="0" xfId="0" applyNumberFormat="1" applyFont="1" applyBorder="1"/>
    <xf numFmtId="0" fontId="12" fillId="3" borderId="4" xfId="0" applyFont="1" applyFill="1" applyBorder="1" applyAlignment="1">
      <alignment horizontal="right"/>
    </xf>
    <xf numFmtId="166" fontId="6" fillId="0" borderId="4" xfId="1" applyNumberFormat="1" applyFont="1" applyFill="1" applyBorder="1"/>
    <xf numFmtId="174" fontId="6" fillId="0" borderId="4" xfId="0" applyNumberFormat="1" applyFont="1" applyFill="1" applyBorder="1"/>
    <xf numFmtId="169" fontId="6" fillId="0" borderId="4" xfId="2" applyNumberFormat="1" applyFont="1" applyFill="1" applyBorder="1"/>
    <xf numFmtId="174" fontId="6" fillId="0" borderId="0" xfId="0" applyNumberFormat="1" applyFont="1" applyBorder="1"/>
    <xf numFmtId="169" fontId="6" fillId="0" borderId="0" xfId="2" applyNumberFormat="1" applyFont="1" applyBorder="1"/>
    <xf numFmtId="2" fontId="6" fillId="0" borderId="0" xfId="0" applyNumberFormat="1" applyFont="1" applyBorder="1"/>
    <xf numFmtId="169" fontId="6" fillId="0" borderId="0" xfId="0" applyNumberFormat="1" applyFont="1" applyBorder="1"/>
    <xf numFmtId="0" fontId="5" fillId="0" borderId="0" xfId="0" applyFont="1" applyBorder="1"/>
    <xf numFmtId="173" fontId="6" fillId="0" borderId="0" xfId="0" applyNumberFormat="1" applyFont="1" applyBorder="1"/>
    <xf numFmtId="40" fontId="6" fillId="0" borderId="0" xfId="0" applyNumberFormat="1" applyFont="1" applyBorder="1"/>
    <xf numFmtId="166" fontId="6" fillId="0" borderId="0" xfId="1" applyNumberFormat="1" applyFont="1" applyFill="1" applyBorder="1"/>
    <xf numFmtId="171" fontId="6" fillId="0" borderId="0" xfId="0" applyNumberFormat="1" applyFont="1" applyFill="1" applyBorder="1"/>
    <xf numFmtId="169" fontId="6" fillId="0" borderId="0" xfId="2" applyNumberFormat="1" applyFont="1" applyFill="1" applyBorder="1"/>
    <xf numFmtId="0" fontId="6" fillId="0" borderId="0" xfId="0" applyFont="1" applyFill="1" applyBorder="1"/>
    <xf numFmtId="167" fontId="10" fillId="2" borderId="0" xfId="1" applyNumberFormat="1" applyFont="1" applyFill="1" applyBorder="1"/>
    <xf numFmtId="167" fontId="6" fillId="0" borderId="0" xfId="1" applyNumberFormat="1" applyFont="1" applyFill="1" applyBorder="1"/>
    <xf numFmtId="9" fontId="6" fillId="0" borderId="0" xfId="2" applyFont="1" applyFill="1" applyBorder="1"/>
    <xf numFmtId="0" fontId="6" fillId="0" borderId="14" xfId="0" applyFont="1" applyFill="1" applyBorder="1" applyAlignment="1">
      <alignment horizontal="left"/>
    </xf>
    <xf numFmtId="167" fontId="6" fillId="0" borderId="15" xfId="1" applyNumberFormat="1" applyFont="1" applyFill="1" applyBorder="1"/>
    <xf numFmtId="0" fontId="5" fillId="0" borderId="14" xfId="0" applyFont="1" applyBorder="1"/>
    <xf numFmtId="0" fontId="22" fillId="2" borderId="14" xfId="0" applyFont="1" applyFill="1" applyBorder="1"/>
    <xf numFmtId="167" fontId="22" fillId="2" borderId="15" xfId="1" applyNumberFormat="1" applyFont="1" applyFill="1" applyBorder="1"/>
    <xf numFmtId="167" fontId="5" fillId="0" borderId="15" xfId="1" applyNumberFormat="1" applyFont="1" applyBorder="1"/>
    <xf numFmtId="0" fontId="6" fillId="0" borderId="16" xfId="0" applyFont="1" applyFill="1" applyBorder="1"/>
    <xf numFmtId="169" fontId="5" fillId="0" borderId="17" xfId="2" applyNumberFormat="1" applyFont="1" applyFill="1" applyBorder="1"/>
    <xf numFmtId="0" fontId="6" fillId="0" borderId="14" xfId="0" applyFont="1" applyFill="1" applyBorder="1"/>
    <xf numFmtId="167" fontId="6" fillId="0" borderId="15" xfId="1" applyNumberFormat="1" applyFont="1" applyFill="1" applyBorder="1" applyProtection="1"/>
    <xf numFmtId="167" fontId="6" fillId="0" borderId="17" xfId="1" applyNumberFormat="1" applyFont="1" applyFill="1" applyBorder="1"/>
    <xf numFmtId="0" fontId="5" fillId="3" borderId="12" xfId="0" applyFont="1" applyFill="1" applyBorder="1"/>
    <xf numFmtId="170" fontId="5" fillId="3" borderId="18" xfId="0" applyNumberFormat="1" applyFont="1" applyFill="1" applyBorder="1" applyAlignment="1">
      <alignment horizontal="right"/>
    </xf>
    <xf numFmtId="170" fontId="5" fillId="3" borderId="13" xfId="0" applyNumberFormat="1" applyFont="1" applyFill="1" applyBorder="1" applyAlignment="1">
      <alignment horizontal="right"/>
    </xf>
    <xf numFmtId="0" fontId="14" fillId="0" borderId="14" xfId="0" applyFont="1" applyFill="1" applyBorder="1"/>
    <xf numFmtId="166" fontId="3" fillId="0" borderId="15" xfId="1" applyNumberFormat="1" applyFont="1" applyFill="1" applyBorder="1"/>
    <xf numFmtId="167" fontId="8" fillId="0" borderId="15" xfId="1" applyNumberFormat="1" applyFont="1" applyBorder="1"/>
    <xf numFmtId="0" fontId="14" fillId="0" borderId="16" xfId="0" applyFont="1" applyFill="1" applyBorder="1"/>
    <xf numFmtId="166" fontId="3" fillId="0" borderId="19" xfId="1" applyNumberFormat="1" applyFont="1" applyFill="1" applyBorder="1"/>
    <xf numFmtId="166" fontId="3" fillId="0" borderId="17" xfId="1" applyNumberFormat="1" applyFont="1" applyFill="1" applyBorder="1"/>
    <xf numFmtId="0" fontId="6" fillId="3" borderId="12" xfId="0" applyFont="1" applyFill="1" applyBorder="1"/>
    <xf numFmtId="0" fontId="6" fillId="3" borderId="18" xfId="0" applyFont="1" applyFill="1" applyBorder="1"/>
    <xf numFmtId="0" fontId="12" fillId="3" borderId="13" xfId="0" applyFont="1" applyFill="1" applyBorder="1" applyAlignment="1">
      <alignment horizontal="center"/>
    </xf>
    <xf numFmtId="0" fontId="12" fillId="3" borderId="14" xfId="0" applyFont="1" applyFill="1" applyBorder="1" applyAlignment="1">
      <alignment horizontal="center"/>
    </xf>
    <xf numFmtId="0" fontId="12" fillId="3" borderId="15" xfId="0" applyFont="1" applyFill="1" applyBorder="1" applyAlignment="1">
      <alignment horizontal="right"/>
    </xf>
    <xf numFmtId="0" fontId="12" fillId="0" borderId="14" xfId="0" applyFont="1" applyFill="1" applyBorder="1" applyAlignment="1">
      <alignment horizontal="center"/>
    </xf>
    <xf numFmtId="169" fontId="6" fillId="0" borderId="15" xfId="2" applyNumberFormat="1" applyFont="1" applyFill="1" applyBorder="1"/>
    <xf numFmtId="0" fontId="12" fillId="0" borderId="16" xfId="0" applyFont="1" applyFill="1" applyBorder="1" applyAlignment="1">
      <alignment horizontal="center"/>
    </xf>
    <xf numFmtId="166" fontId="6" fillId="0" borderId="19" xfId="1" applyNumberFormat="1" applyFont="1" applyFill="1" applyBorder="1"/>
    <xf numFmtId="167" fontId="6" fillId="0" borderId="19" xfId="1" applyNumberFormat="1" applyFont="1" applyFill="1" applyBorder="1"/>
    <xf numFmtId="174" fontId="6" fillId="0" borderId="19" xfId="0" applyNumberFormat="1" applyFont="1" applyFill="1" applyBorder="1"/>
    <xf numFmtId="169" fontId="6" fillId="0" borderId="19" xfId="2" applyNumberFormat="1" applyFont="1" applyFill="1" applyBorder="1"/>
    <xf numFmtId="169" fontId="6" fillId="0" borderId="17" xfId="2" applyNumberFormat="1" applyFont="1" applyFill="1" applyBorder="1"/>
    <xf numFmtId="0" fontId="12" fillId="3" borderId="12" xfId="0" applyFont="1" applyFill="1" applyBorder="1"/>
    <xf numFmtId="0" fontId="12" fillId="3" borderId="18" xfId="0" applyFont="1" applyFill="1" applyBorder="1" applyAlignment="1">
      <alignment horizontal="center"/>
    </xf>
    <xf numFmtId="2" fontId="12" fillId="3" borderId="18" xfId="0" applyNumberFormat="1" applyFont="1" applyFill="1" applyBorder="1"/>
    <xf numFmtId="2" fontId="12" fillId="3" borderId="13" xfId="0" applyNumberFormat="1" applyFont="1" applyFill="1" applyBorder="1"/>
    <xf numFmtId="0" fontId="5" fillId="0" borderId="14" xfId="0" applyFont="1" applyFill="1" applyBorder="1"/>
    <xf numFmtId="0" fontId="5" fillId="0" borderId="16" xfId="0" applyFont="1" applyFill="1" applyBorder="1"/>
    <xf numFmtId="0" fontId="12" fillId="3" borderId="12" xfId="0" applyFont="1" applyFill="1" applyBorder="1" applyAlignment="1">
      <alignment horizontal="center"/>
    </xf>
    <xf numFmtId="166" fontId="6" fillId="0" borderId="15" xfId="1" applyNumberFormat="1" applyFont="1" applyFill="1" applyBorder="1"/>
    <xf numFmtId="166" fontId="6" fillId="0" borderId="17" xfId="1" applyNumberFormat="1" applyFont="1" applyFill="1" applyBorder="1"/>
    <xf numFmtId="0" fontId="13" fillId="0" borderId="14" xfId="0" applyFont="1" applyBorder="1" applyAlignment="1">
      <alignment horizontal="center"/>
    </xf>
    <xf numFmtId="167" fontId="13" fillId="0" borderId="15" xfId="0" applyNumberFormat="1" applyFont="1" applyBorder="1" applyAlignment="1">
      <alignment horizontal="center"/>
    </xf>
    <xf numFmtId="0" fontId="13" fillId="0" borderId="16" xfId="0" applyFont="1" applyBorder="1" applyAlignment="1">
      <alignment horizontal="center"/>
    </xf>
    <xf numFmtId="38" fontId="13" fillId="0" borderId="19" xfId="0" applyNumberFormat="1" applyFont="1" applyBorder="1" applyAlignment="1">
      <alignment horizontal="center"/>
    </xf>
    <xf numFmtId="9" fontId="13" fillId="0" borderId="19" xfId="0" applyNumberFormat="1" applyFont="1" applyBorder="1" applyAlignment="1">
      <alignment horizontal="center"/>
    </xf>
    <xf numFmtId="167" fontId="13" fillId="0" borderId="17" xfId="0" applyNumberFormat="1" applyFont="1" applyBorder="1" applyAlignment="1">
      <alignment horizontal="center"/>
    </xf>
    <xf numFmtId="0" fontId="13" fillId="0" borderId="14" xfId="0" applyFont="1" applyBorder="1" applyAlignment="1">
      <alignment horizontal="left"/>
    </xf>
    <xf numFmtId="0" fontId="13" fillId="0" borderId="14" xfId="0" quotePrefix="1" applyFont="1" applyBorder="1" applyAlignment="1">
      <alignment horizontal="left"/>
    </xf>
    <xf numFmtId="0" fontId="10" fillId="2" borderId="16" xfId="0" applyFont="1" applyFill="1" applyBorder="1" applyAlignment="1">
      <alignment horizontal="left"/>
    </xf>
    <xf numFmtId="167" fontId="10" fillId="2" borderId="17" xfId="0" applyNumberFormat="1" applyFont="1" applyFill="1" applyBorder="1" applyAlignment="1">
      <alignment horizontal="center"/>
    </xf>
    <xf numFmtId="2" fontId="4" fillId="3" borderId="12" xfId="0" applyNumberFormat="1" applyFont="1" applyFill="1" applyBorder="1"/>
    <xf numFmtId="2" fontId="3" fillId="0" borderId="14" xfId="0" applyNumberFormat="1" applyFont="1" applyBorder="1"/>
    <xf numFmtId="166" fontId="3" fillId="0" borderId="15" xfId="1" applyNumberFormat="1" applyFont="1" applyBorder="1"/>
    <xf numFmtId="9" fontId="3" fillId="0" borderId="15" xfId="2" applyFont="1" applyBorder="1"/>
    <xf numFmtId="166" fontId="3" fillId="0" borderId="15" xfId="0" applyNumberFormat="1" applyFont="1" applyBorder="1"/>
    <xf numFmtId="2" fontId="3" fillId="0" borderId="16" xfId="0" applyNumberFormat="1" applyFont="1" applyBorder="1"/>
    <xf numFmtId="9" fontId="3" fillId="0" borderId="19" xfId="2" applyFont="1" applyBorder="1"/>
    <xf numFmtId="9" fontId="3" fillId="0" borderId="17" xfId="2" applyFont="1" applyBorder="1"/>
    <xf numFmtId="166" fontId="3" fillId="0" borderId="19" xfId="1" applyNumberFormat="1" applyFont="1" applyBorder="1"/>
    <xf numFmtId="166" fontId="3" fillId="0" borderId="17" xfId="1" applyNumberFormat="1" applyFont="1" applyBorder="1"/>
    <xf numFmtId="167" fontId="3" fillId="0" borderId="15" xfId="1" applyNumberFormat="1" applyFont="1" applyBorder="1"/>
    <xf numFmtId="167" fontId="3" fillId="0" borderId="19" xfId="1" applyNumberFormat="1" applyFont="1" applyBorder="1"/>
    <xf numFmtId="167" fontId="3" fillId="0" borderId="17" xfId="1" applyNumberFormat="1" applyFont="1" applyBorder="1"/>
    <xf numFmtId="167" fontId="5" fillId="5" borderId="4" xfId="1" applyNumberFormat="1" applyFont="1" applyFill="1" applyBorder="1"/>
    <xf numFmtId="2" fontId="4" fillId="5" borderId="14" xfId="0" applyNumberFormat="1" applyFont="1" applyFill="1" applyBorder="1"/>
    <xf numFmtId="167" fontId="4" fillId="5" borderId="15" xfId="1" applyNumberFormat="1" applyFont="1" applyFill="1" applyBorder="1"/>
    <xf numFmtId="0" fontId="5" fillId="5" borderId="16" xfId="0" applyFont="1" applyFill="1" applyBorder="1"/>
    <xf numFmtId="167" fontId="5" fillId="5" borderId="19" xfId="1" applyNumberFormat="1" applyFont="1" applyFill="1" applyBorder="1"/>
    <xf numFmtId="167" fontId="5" fillId="5" borderId="17" xfId="1" applyNumberFormat="1" applyFont="1" applyFill="1" applyBorder="1"/>
    <xf numFmtId="167" fontId="3" fillId="0" borderId="15" xfId="1" applyNumberFormat="1" applyFont="1" applyFill="1" applyBorder="1"/>
    <xf numFmtId="2" fontId="4" fillId="0" borderId="14" xfId="0" applyNumberFormat="1" applyFont="1" applyBorder="1"/>
    <xf numFmtId="2" fontId="10" fillId="4" borderId="4" xfId="0" applyNumberFormat="1" applyFont="1" applyFill="1" applyBorder="1"/>
    <xf numFmtId="167" fontId="5" fillId="0" borderId="4" xfId="1" applyNumberFormat="1" applyFont="1" applyFill="1" applyBorder="1"/>
    <xf numFmtId="167" fontId="10" fillId="4" borderId="4" xfId="1" applyNumberFormat="1" applyFont="1" applyFill="1" applyBorder="1"/>
    <xf numFmtId="2" fontId="10" fillId="4" borderId="14" xfId="0" applyNumberFormat="1" applyFont="1" applyFill="1" applyBorder="1"/>
    <xf numFmtId="2" fontId="10" fillId="4" borderId="15" xfId="0" applyNumberFormat="1" applyFont="1" applyFill="1" applyBorder="1"/>
    <xf numFmtId="2" fontId="5" fillId="5" borderId="14" xfId="0" applyNumberFormat="1" applyFont="1" applyFill="1" applyBorder="1"/>
    <xf numFmtId="167" fontId="5" fillId="5" borderId="15" xfId="1" applyNumberFormat="1" applyFont="1" applyFill="1" applyBorder="1"/>
    <xf numFmtId="2" fontId="5" fillId="0" borderId="14" xfId="0" applyNumberFormat="1" applyFont="1" applyFill="1" applyBorder="1"/>
    <xf numFmtId="167" fontId="5" fillId="0" borderId="15" xfId="1" applyNumberFormat="1" applyFont="1" applyFill="1" applyBorder="1"/>
    <xf numFmtId="2" fontId="8" fillId="0" borderId="14" xfId="0" applyNumberFormat="1" applyFont="1" applyBorder="1"/>
    <xf numFmtId="167" fontId="10" fillId="4" borderId="15" xfId="1" applyNumberFormat="1" applyFont="1" applyFill="1" applyBorder="1"/>
    <xf numFmtId="0" fontId="5" fillId="3" borderId="12" xfId="0" applyFont="1" applyFill="1" applyBorder="1" applyAlignment="1">
      <alignment wrapText="1"/>
    </xf>
    <xf numFmtId="0" fontId="5" fillId="3" borderId="13" xfId="0" applyFont="1" applyFill="1" applyBorder="1" applyAlignment="1">
      <alignment horizontal="left"/>
    </xf>
    <xf numFmtId="0" fontId="5" fillId="0" borderId="16" xfId="0" applyFont="1" applyBorder="1" applyAlignment="1">
      <alignment vertical="center"/>
    </xf>
    <xf numFmtId="0" fontId="6" fillId="0" borderId="17" xfId="0" applyFont="1" applyBorder="1" applyAlignment="1">
      <alignment wrapText="1"/>
    </xf>
    <xf numFmtId="0" fontId="5" fillId="0" borderId="23" xfId="0" applyFont="1" applyBorder="1" applyAlignment="1">
      <alignment vertical="center"/>
    </xf>
    <xf numFmtId="0" fontId="6" fillId="0" borderId="25" xfId="0" applyFont="1" applyBorder="1" applyAlignment="1">
      <alignment wrapText="1"/>
    </xf>
    <xf numFmtId="0" fontId="18" fillId="0" borderId="14" xfId="0" applyFont="1" applyBorder="1"/>
    <xf numFmtId="167" fontId="18" fillId="0" borderId="4" xfId="1" applyNumberFormat="1" applyFont="1" applyBorder="1"/>
    <xf numFmtId="167" fontId="18" fillId="0" borderId="15" xfId="1" applyNumberFormat="1" applyFont="1" applyBorder="1"/>
    <xf numFmtId="0" fontId="8" fillId="0" borderId="14" xfId="0" applyFont="1" applyBorder="1"/>
    <xf numFmtId="2" fontId="18" fillId="0" borderId="14" xfId="0" applyNumberFormat="1" applyFont="1" applyBorder="1"/>
    <xf numFmtId="167" fontId="18" fillId="0" borderId="4" xfId="1" applyNumberFormat="1" applyFont="1" applyFill="1" applyBorder="1"/>
    <xf numFmtId="167" fontId="18" fillId="0" borderId="15" xfId="1" applyNumberFormat="1" applyFont="1" applyFill="1" applyBorder="1"/>
    <xf numFmtId="2" fontId="8" fillId="5" borderId="14" xfId="0" applyNumberFormat="1" applyFont="1" applyFill="1" applyBorder="1"/>
    <xf numFmtId="167" fontId="8" fillId="5" borderId="4" xfId="1" applyNumberFormat="1" applyFont="1" applyFill="1" applyBorder="1"/>
    <xf numFmtId="167" fontId="8" fillId="5" borderId="15" xfId="1" applyNumberFormat="1" applyFont="1" applyFill="1" applyBorder="1"/>
    <xf numFmtId="2" fontId="18" fillId="0" borderId="14" xfId="0" applyNumberFormat="1" applyFont="1" applyBorder="1" applyAlignment="1">
      <alignment horizontal="left"/>
    </xf>
    <xf numFmtId="2" fontId="18" fillId="0" borderId="16" xfId="0" applyNumberFormat="1" applyFont="1" applyBorder="1"/>
    <xf numFmtId="167" fontId="18" fillId="0" borderId="19" xfId="1" applyNumberFormat="1" applyFont="1" applyBorder="1"/>
    <xf numFmtId="167" fontId="18" fillId="0" borderId="17" xfId="1" applyNumberFormat="1" applyFont="1" applyBorder="1"/>
    <xf numFmtId="0" fontId="18" fillId="0" borderId="14" xfId="0" applyFont="1" applyFill="1" applyBorder="1"/>
    <xf numFmtId="0" fontId="12" fillId="0" borderId="0" xfId="0" applyFont="1" applyBorder="1" applyAlignment="1">
      <alignment horizontal="left"/>
    </xf>
    <xf numFmtId="0" fontId="0" fillId="0" borderId="0" xfId="0" applyAlignment="1">
      <alignment horizontal="left"/>
    </xf>
    <xf numFmtId="167" fontId="8" fillId="0" borderId="0" xfId="1" applyNumberFormat="1" applyFont="1" applyFill="1" applyBorder="1" applyAlignment="1">
      <alignment horizontal="left"/>
    </xf>
    <xf numFmtId="0" fontId="25" fillId="0" borderId="0" xfId="0" applyFont="1" applyBorder="1"/>
    <xf numFmtId="167" fontId="6" fillId="0" borderId="1" xfId="1" applyNumberFormat="1" applyFont="1" applyFill="1" applyBorder="1" applyAlignment="1">
      <alignment horizontal="center"/>
    </xf>
    <xf numFmtId="167" fontId="6" fillId="0" borderId="3" xfId="1" applyNumberFormat="1" applyFont="1" applyFill="1" applyBorder="1" applyAlignment="1">
      <alignment horizontal="center"/>
    </xf>
    <xf numFmtId="2" fontId="18" fillId="0" borderId="14" xfId="0" applyNumberFormat="1" applyFont="1" applyFill="1" applyBorder="1"/>
    <xf numFmtId="0" fontId="5" fillId="3" borderId="14" xfId="0" applyFont="1" applyFill="1" applyBorder="1" applyAlignment="1">
      <alignment horizontal="left"/>
    </xf>
    <xf numFmtId="9" fontId="5" fillId="3" borderId="15" xfId="2" applyFont="1" applyFill="1" applyBorder="1" applyAlignment="1">
      <alignment horizontal="right"/>
    </xf>
    <xf numFmtId="0" fontId="27" fillId="0" borderId="0" xfId="0" applyFont="1" applyBorder="1" applyAlignment="1">
      <alignment horizontal="center"/>
    </xf>
    <xf numFmtId="0" fontId="7" fillId="0" borderId="0" xfId="0" applyFont="1" applyBorder="1" applyAlignment="1">
      <alignment horizontal="center"/>
    </xf>
    <xf numFmtId="9" fontId="18" fillId="0" borderId="15" xfId="2" applyFont="1" applyFill="1" applyBorder="1" applyAlignment="1">
      <alignment horizontal="right"/>
    </xf>
    <xf numFmtId="0" fontId="13" fillId="0" borderId="14" xfId="0" applyFont="1" applyBorder="1" applyAlignment="1">
      <alignment horizontal="left" vertical="top"/>
    </xf>
    <xf numFmtId="167" fontId="18" fillId="0" borderId="15" xfId="1" applyNumberFormat="1" applyFont="1" applyFill="1" applyBorder="1" applyAlignment="1">
      <alignment horizontal="left"/>
    </xf>
    <xf numFmtId="167" fontId="6" fillId="0" borderId="15" xfId="1" applyNumberFormat="1" applyFont="1" applyFill="1" applyBorder="1" applyAlignment="1">
      <alignment horizontal="left"/>
    </xf>
    <xf numFmtId="169" fontId="18" fillId="0" borderId="15" xfId="2" applyNumberFormat="1" applyFont="1" applyFill="1" applyBorder="1" applyAlignment="1">
      <alignment horizontal="left" indent="5"/>
    </xf>
    <xf numFmtId="0" fontId="13" fillId="0" borderId="16" xfId="0" applyFont="1" applyBorder="1" applyAlignment="1">
      <alignment horizontal="left"/>
    </xf>
    <xf numFmtId="169" fontId="18" fillId="0" borderId="17" xfId="2" applyNumberFormat="1" applyFont="1" applyFill="1" applyBorder="1" applyAlignment="1">
      <alignment horizontal="left" indent="5"/>
    </xf>
    <xf numFmtId="169" fontId="6" fillId="0" borderId="15" xfId="2" applyNumberFormat="1" applyFont="1" applyFill="1" applyBorder="1" applyAlignment="1">
      <alignment horizontal="right"/>
    </xf>
    <xf numFmtId="166" fontId="6" fillId="0" borderId="15" xfId="1" applyNumberFormat="1" applyFont="1" applyFill="1" applyBorder="1" applyAlignment="1">
      <alignment horizontal="left" indent="1"/>
    </xf>
    <xf numFmtId="169" fontId="6" fillId="0" borderId="17" xfId="2" applyNumberFormat="1" applyFont="1" applyFill="1" applyBorder="1" applyAlignment="1">
      <alignment horizontal="left" indent="5"/>
    </xf>
    <xf numFmtId="9" fontId="8" fillId="0" borderId="15" xfId="0" applyNumberFormat="1" applyFont="1" applyBorder="1"/>
    <xf numFmtId="0" fontId="18" fillId="3" borderId="0" xfId="0" applyFont="1" applyFill="1"/>
    <xf numFmtId="49" fontId="12" fillId="3" borderId="23" xfId="0" applyNumberFormat="1" applyFont="1" applyFill="1" applyBorder="1" applyAlignment="1">
      <alignment horizontal="center"/>
    </xf>
    <xf numFmtId="49" fontId="12" fillId="3" borderId="25" xfId="0" applyNumberFormat="1" applyFont="1" applyFill="1" applyBorder="1" applyAlignment="1">
      <alignment horizontal="center"/>
    </xf>
    <xf numFmtId="0" fontId="37" fillId="0" borderId="0" xfId="0" applyFont="1" applyAlignment="1">
      <alignment horizontal="left"/>
    </xf>
    <xf numFmtId="0" fontId="5" fillId="5" borderId="7"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0" fillId="5" borderId="8" xfId="0" applyFill="1" applyBorder="1" applyAlignment="1">
      <alignment horizontal="center" vertical="center" wrapText="1"/>
    </xf>
    <xf numFmtId="0" fontId="0" fillId="5" borderId="9" xfId="0" applyFill="1" applyBorder="1" applyAlignment="1">
      <alignment horizontal="center" vertical="center" wrapText="1"/>
    </xf>
    <xf numFmtId="0" fontId="0" fillId="5" borderId="2"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0"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11" xfId="0" applyFill="1" applyBorder="1" applyAlignment="1">
      <alignment horizontal="center" vertical="center" wrapText="1"/>
    </xf>
    <xf numFmtId="0" fontId="15" fillId="5" borderId="12" xfId="0" applyFont="1" applyFill="1" applyBorder="1" applyAlignment="1">
      <alignment horizontal="center"/>
    </xf>
    <xf numFmtId="0" fontId="15" fillId="5" borderId="13" xfId="0" applyFont="1" applyFill="1" applyBorder="1" applyAlignment="1">
      <alignment horizontal="center"/>
    </xf>
    <xf numFmtId="0" fontId="15" fillId="5" borderId="29" xfId="0" applyFont="1" applyFill="1" applyBorder="1" applyAlignment="1">
      <alignment horizontal="center"/>
    </xf>
    <xf numFmtId="0" fontId="15" fillId="5" borderId="30" xfId="0" applyFont="1" applyFill="1" applyBorder="1" applyAlignment="1">
      <alignment horizontal="center"/>
    </xf>
    <xf numFmtId="0" fontId="27" fillId="0" borderId="31" xfId="0" applyFont="1" applyFill="1" applyBorder="1" applyAlignment="1">
      <alignment horizontal="center"/>
    </xf>
    <xf numFmtId="0" fontId="27" fillId="0" borderId="32" xfId="0" applyFont="1" applyFill="1" applyBorder="1" applyAlignment="1">
      <alignment horizontal="center"/>
    </xf>
    <xf numFmtId="0" fontId="30" fillId="5" borderId="7" xfId="0" applyFont="1" applyFill="1" applyBorder="1" applyAlignment="1">
      <alignment horizontal="center" vertical="center" wrapText="1"/>
    </xf>
    <xf numFmtId="0" fontId="30" fillId="5" borderId="9" xfId="0" applyFont="1" applyFill="1" applyBorder="1" applyAlignment="1">
      <alignment horizontal="center" vertical="center" wrapText="1"/>
    </xf>
    <xf numFmtId="0" fontId="30" fillId="5" borderId="2" xfId="0" applyFont="1" applyFill="1" applyBorder="1" applyAlignment="1">
      <alignment horizontal="center" vertical="center" wrapText="1"/>
    </xf>
    <xf numFmtId="0" fontId="30" fillId="5" borderId="10" xfId="0" applyFont="1" applyFill="1" applyBorder="1" applyAlignment="1">
      <alignment horizontal="center" vertical="center" wrapText="1"/>
    </xf>
    <xf numFmtId="0" fontId="30" fillId="5" borderId="5" xfId="0" applyFont="1" applyFill="1" applyBorder="1" applyAlignment="1">
      <alignment horizontal="center" vertical="center" wrapText="1"/>
    </xf>
    <xf numFmtId="0" fontId="30" fillId="5" borderId="11" xfId="0" applyFont="1" applyFill="1" applyBorder="1" applyAlignment="1">
      <alignment horizontal="center" vertical="center" wrapText="1"/>
    </xf>
    <xf numFmtId="0" fontId="32" fillId="0" borderId="0" xfId="3" applyFont="1" applyAlignment="1" applyProtection="1">
      <alignment horizontal="center"/>
    </xf>
    <xf numFmtId="0" fontId="19" fillId="5" borderId="20" xfId="0" applyFont="1" applyFill="1" applyBorder="1" applyAlignment="1">
      <alignment horizontal="center"/>
    </xf>
    <xf numFmtId="0" fontId="19" fillId="5" borderId="22" xfId="0" applyFont="1" applyFill="1" applyBorder="1" applyAlignment="1">
      <alignment horizontal="center"/>
    </xf>
    <xf numFmtId="0" fontId="21" fillId="0" borderId="21" xfId="0" applyFont="1" applyBorder="1" applyAlignment="1">
      <alignment horizontal="center"/>
    </xf>
    <xf numFmtId="0" fontId="15" fillId="5" borderId="23" xfId="0" applyFont="1" applyFill="1" applyBorder="1" applyAlignment="1">
      <alignment horizontal="center"/>
    </xf>
    <xf numFmtId="0" fontId="15" fillId="5" borderId="24" xfId="0" applyFont="1" applyFill="1" applyBorder="1" applyAlignment="1">
      <alignment horizontal="center"/>
    </xf>
    <xf numFmtId="0" fontId="15" fillId="5" borderId="25" xfId="0" applyFont="1" applyFill="1" applyBorder="1" applyAlignment="1">
      <alignment horizontal="center"/>
    </xf>
    <xf numFmtId="0" fontId="27" fillId="0" borderId="20" xfId="0" applyFont="1" applyFill="1" applyBorder="1" applyAlignment="1">
      <alignment horizontal="center"/>
    </xf>
    <xf numFmtId="0" fontId="27" fillId="0" borderId="21" xfId="0" applyFont="1" applyFill="1" applyBorder="1" applyAlignment="1">
      <alignment horizontal="center"/>
    </xf>
    <xf numFmtId="0" fontId="27" fillId="0" borderId="22" xfId="0" applyFont="1" applyFill="1" applyBorder="1" applyAlignment="1">
      <alignment horizontal="center"/>
    </xf>
    <xf numFmtId="0" fontId="15" fillId="5" borderId="26" xfId="0" applyFont="1" applyFill="1" applyBorder="1" applyAlignment="1">
      <alignment horizontal="center"/>
    </xf>
    <xf numFmtId="0" fontId="15" fillId="5" borderId="27" xfId="0" applyFont="1" applyFill="1" applyBorder="1" applyAlignment="1">
      <alignment horizontal="center"/>
    </xf>
    <xf numFmtId="0" fontId="15" fillId="5" borderId="28" xfId="0" applyFont="1" applyFill="1" applyBorder="1" applyAlignment="1">
      <alignment horizontal="center"/>
    </xf>
    <xf numFmtId="0" fontId="6" fillId="5" borderId="8" xfId="0" applyFont="1" applyFill="1" applyBorder="1" applyAlignment="1">
      <alignment horizontal="center" vertical="center" wrapText="1"/>
    </xf>
    <xf numFmtId="0" fontId="6" fillId="5" borderId="9"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6" fillId="5" borderId="10"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5" borderId="11"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26" fillId="0" borderId="0" xfId="0" applyFont="1" applyFill="1" applyBorder="1" applyAlignment="1">
      <alignment horizontal="center"/>
    </xf>
    <xf numFmtId="0" fontId="16" fillId="5" borderId="12" xfId="0" applyFont="1" applyFill="1" applyBorder="1" applyAlignment="1">
      <alignment horizontal="center" vertical="center"/>
    </xf>
    <xf numFmtId="0" fontId="16" fillId="5" borderId="18" xfId="0" applyFont="1" applyFill="1" applyBorder="1" applyAlignment="1">
      <alignment horizontal="center" vertical="center"/>
    </xf>
    <xf numFmtId="0" fontId="16" fillId="5" borderId="13" xfId="0" applyFont="1" applyFill="1" applyBorder="1" applyAlignment="1">
      <alignment horizontal="center" vertical="center"/>
    </xf>
    <xf numFmtId="0" fontId="16" fillId="5" borderId="16" xfId="0" applyFont="1" applyFill="1" applyBorder="1" applyAlignment="1">
      <alignment horizontal="center" vertical="center"/>
    </xf>
    <xf numFmtId="0" fontId="16" fillId="5" borderId="19" xfId="0" applyFont="1" applyFill="1" applyBorder="1" applyAlignment="1">
      <alignment horizontal="center" vertical="center"/>
    </xf>
    <xf numFmtId="0" fontId="16" fillId="5" borderId="17" xfId="0" applyFont="1" applyFill="1" applyBorder="1" applyAlignment="1">
      <alignment horizontal="center" vertical="center"/>
    </xf>
    <xf numFmtId="0" fontId="12" fillId="3" borderId="12" xfId="0" applyFont="1" applyFill="1" applyBorder="1" applyAlignment="1">
      <alignment horizontal="center"/>
    </xf>
    <xf numFmtId="0" fontId="12" fillId="3" borderId="13" xfId="0" applyFont="1" applyFill="1" applyBorder="1" applyAlignment="1">
      <alignment horizontal="center"/>
    </xf>
    <xf numFmtId="0" fontId="27" fillId="0" borderId="0" xfId="0" applyFont="1" applyBorder="1" applyAlignment="1">
      <alignment horizontal="center"/>
    </xf>
    <xf numFmtId="0" fontId="12" fillId="3" borderId="0" xfId="0" applyFont="1" applyFill="1" applyBorder="1" applyAlignment="1">
      <alignment horizontal="center"/>
    </xf>
    <xf numFmtId="0" fontId="15" fillId="5" borderId="18" xfId="0" applyFont="1" applyFill="1" applyBorder="1" applyAlignment="1">
      <alignment horizontal="center"/>
    </xf>
    <xf numFmtId="0" fontId="12" fillId="3" borderId="18" xfId="0" applyFont="1" applyFill="1" applyBorder="1" applyAlignment="1">
      <alignment horizontal="center"/>
    </xf>
    <xf numFmtId="0" fontId="7" fillId="0" borderId="16" xfId="0" applyFont="1" applyBorder="1" applyAlignment="1">
      <alignment horizontal="center"/>
    </xf>
    <xf numFmtId="0" fontId="7" fillId="0" borderId="19" xfId="0" applyFont="1" applyBorder="1" applyAlignment="1">
      <alignment horizontal="center"/>
    </xf>
    <xf numFmtId="0" fontId="7" fillId="0" borderId="17" xfId="0" applyFont="1" applyBorder="1" applyAlignment="1">
      <alignment horizontal="center"/>
    </xf>
    <xf numFmtId="0" fontId="5" fillId="3" borderId="12" xfId="0" applyFont="1" applyFill="1" applyBorder="1" applyAlignment="1">
      <alignment horizontal="center"/>
    </xf>
    <xf numFmtId="0" fontId="5" fillId="3" borderId="13" xfId="0" applyFont="1" applyFill="1" applyBorder="1" applyAlignment="1">
      <alignment horizontal="center"/>
    </xf>
    <xf numFmtId="0" fontId="15" fillId="5" borderId="20" xfId="0" applyFont="1" applyFill="1" applyBorder="1" applyAlignment="1">
      <alignment horizontal="center"/>
    </xf>
    <xf numFmtId="0" fontId="15" fillId="5" borderId="21" xfId="0" applyFont="1" applyFill="1" applyBorder="1" applyAlignment="1">
      <alignment horizontal="center"/>
    </xf>
    <xf numFmtId="0" fontId="15" fillId="5" borderId="22" xfId="0" applyFont="1" applyFill="1" applyBorder="1" applyAlignment="1">
      <alignment horizontal="center"/>
    </xf>
    <xf numFmtId="0" fontId="27" fillId="0" borderId="0" xfId="0" applyFont="1" applyFill="1" applyBorder="1" applyAlignment="1">
      <alignment horizont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962025</xdr:colOff>
      <xdr:row>5</xdr:row>
      <xdr:rowOff>161925</xdr:rowOff>
    </xdr:from>
    <xdr:to>
      <xdr:col>11</xdr:col>
      <xdr:colOff>476250</xdr:colOff>
      <xdr:row>24</xdr:row>
      <xdr:rowOff>28575</xdr:rowOff>
    </xdr:to>
    <xdr:grpSp>
      <xdr:nvGrpSpPr>
        <xdr:cNvPr id="11" name="Group 10"/>
        <xdr:cNvGrpSpPr/>
      </xdr:nvGrpSpPr>
      <xdr:grpSpPr>
        <a:xfrm>
          <a:off x="962025" y="1200150"/>
          <a:ext cx="8486775" cy="3524250"/>
          <a:chOff x="981075" y="1219200"/>
          <a:chExt cx="8486775" cy="3514725"/>
        </a:xfrm>
      </xdr:grpSpPr>
      <xdr:grpSp>
        <xdr:nvGrpSpPr>
          <xdr:cNvPr id="12" name="Group 11"/>
          <xdr:cNvGrpSpPr/>
        </xdr:nvGrpSpPr>
        <xdr:grpSpPr>
          <a:xfrm>
            <a:off x="981075" y="2476500"/>
            <a:ext cx="8486775" cy="2257425"/>
            <a:chOff x="981075" y="2476500"/>
            <a:chExt cx="8486775" cy="2257425"/>
          </a:xfrm>
        </xdr:grpSpPr>
        <xdr:grpSp>
          <xdr:nvGrpSpPr>
            <xdr:cNvPr id="7" name="Group 6"/>
            <xdr:cNvGrpSpPr/>
          </xdr:nvGrpSpPr>
          <xdr:grpSpPr>
            <a:xfrm>
              <a:off x="1333500" y="2476500"/>
              <a:ext cx="8134350" cy="2257425"/>
              <a:chOff x="1028700" y="2552700"/>
              <a:chExt cx="8134350" cy="2257425"/>
            </a:xfrm>
          </xdr:grpSpPr>
          <xdr:pic>
            <xdr:nvPicPr>
              <xdr:cNvPr id="8199"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028700" y="2552700"/>
                <a:ext cx="8134350" cy="2257425"/>
              </a:xfrm>
              <a:prstGeom prst="rect">
                <a:avLst/>
              </a:prstGeom>
              <a:noFill/>
            </xdr:spPr>
          </xdr:pic>
          <xdr:sp macro="" textlink="">
            <xdr:nvSpPr>
              <xdr:cNvPr id="5" name="Rounded Rectangle 4"/>
              <xdr:cNvSpPr/>
            </xdr:nvSpPr>
            <xdr:spPr>
              <a:xfrm>
                <a:off x="1533525" y="3362325"/>
                <a:ext cx="7267575" cy="266700"/>
              </a:xfrm>
              <a:prstGeom prst="roundRect">
                <a:avLst/>
              </a:prstGeom>
              <a:no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IN" sz="1100"/>
              </a:p>
            </xdr:txBody>
          </xdr:sp>
          <xdr:sp macro="" textlink="">
            <xdr:nvSpPr>
              <xdr:cNvPr id="6" name="Rounded Rectangle 5"/>
              <xdr:cNvSpPr/>
            </xdr:nvSpPr>
            <xdr:spPr>
              <a:xfrm>
                <a:off x="1524000" y="3771899"/>
                <a:ext cx="7267575" cy="238125"/>
              </a:xfrm>
              <a:prstGeom prst="roundRect">
                <a:avLst/>
              </a:prstGeom>
              <a:no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IN" sz="1100"/>
              </a:p>
            </xdr:txBody>
          </xdr:sp>
        </xdr:grpSp>
        <xdr:sp macro="" textlink="">
          <xdr:nvSpPr>
            <xdr:cNvPr id="10" name="TextBox 9"/>
            <xdr:cNvSpPr txBox="1"/>
          </xdr:nvSpPr>
          <xdr:spPr>
            <a:xfrm>
              <a:off x="981075" y="3448050"/>
              <a:ext cx="804516" cy="3135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IN" sz="1500" b="1">
                  <a:solidFill>
                    <a:srgbClr val="C00000"/>
                  </a:solidFill>
                  <a:latin typeface="Arial" pitchFamily="34" charset="0"/>
                  <a:cs typeface="Arial" pitchFamily="34" charset="0"/>
                </a:rPr>
                <a:t>MINUS</a:t>
              </a:r>
            </a:p>
          </xdr:txBody>
        </xdr:sp>
      </xdr:grpSp>
      <xdr:cxnSp macro="">
        <xdr:nvCxnSpPr>
          <xdr:cNvPr id="14" name="Straight Arrow Connector 13"/>
          <xdr:cNvCxnSpPr/>
        </xdr:nvCxnSpPr>
        <xdr:spPr>
          <a:xfrm>
            <a:off x="1228725" y="1219200"/>
            <a:ext cx="676275" cy="1895475"/>
          </a:xfrm>
          <a:prstGeom prst="straightConnector1">
            <a:avLst/>
          </a:prstGeom>
          <a:ln w="28575">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extBox 8"/>
          <xdr:cNvSpPr txBox="1"/>
        </xdr:nvSpPr>
        <xdr:spPr>
          <a:xfrm>
            <a:off x="3400425" y="2124101"/>
            <a:ext cx="4854919" cy="312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IN" sz="1500" b="1" u="sng">
                <a:solidFill>
                  <a:srgbClr val="C00000"/>
                </a:solidFill>
                <a:latin typeface="Arial" pitchFamily="34" charset="0"/>
                <a:cs typeface="Arial" pitchFamily="34" charset="0"/>
              </a:rPr>
              <a:t>Sample Cash Flow Statement (from Annual</a:t>
            </a:r>
            <a:r>
              <a:rPr lang="en-IN" sz="1500" b="1" u="sng" baseline="0">
                <a:solidFill>
                  <a:srgbClr val="C00000"/>
                </a:solidFill>
                <a:latin typeface="Arial" pitchFamily="34" charset="0"/>
                <a:cs typeface="Arial" pitchFamily="34" charset="0"/>
              </a:rPr>
              <a:t> Report)</a:t>
            </a:r>
            <a:endParaRPr lang="en-IN" sz="1500" b="1" u="sng">
              <a:solidFill>
                <a:srgbClr val="C00000"/>
              </a:solidFill>
              <a:latin typeface="Arial" pitchFamily="34" charset="0"/>
              <a:cs typeface="Arial" pitchFamily="34" charset="0"/>
            </a:endParaRPr>
          </a:p>
        </xdr:txBody>
      </xdr:sp>
    </xdr:grpSp>
    <xdr:clientData/>
  </xdr:twoCellAnchor>
  <xdr:twoCellAnchor>
    <xdr:from>
      <xdr:col>11</xdr:col>
      <xdr:colOff>66676</xdr:colOff>
      <xdr:row>5</xdr:row>
      <xdr:rowOff>95250</xdr:rowOff>
    </xdr:from>
    <xdr:to>
      <xdr:col>12</xdr:col>
      <xdr:colOff>628650</xdr:colOff>
      <xdr:row>5</xdr:row>
      <xdr:rowOff>95250</xdr:rowOff>
    </xdr:to>
    <xdr:cxnSp macro="">
      <xdr:nvCxnSpPr>
        <xdr:cNvPr id="13" name="Straight Arrow Connector 12"/>
        <xdr:cNvCxnSpPr/>
      </xdr:nvCxnSpPr>
      <xdr:spPr>
        <a:xfrm flipH="1">
          <a:off x="9039226" y="1133475"/>
          <a:ext cx="1171574" cy="0"/>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123825</xdr:colOff>
      <xdr:row>3</xdr:row>
      <xdr:rowOff>95250</xdr:rowOff>
    </xdr:from>
    <xdr:to>
      <xdr:col>13</xdr:col>
      <xdr:colOff>419100</xdr:colOff>
      <xdr:row>3</xdr:row>
      <xdr:rowOff>95250</xdr:rowOff>
    </xdr:to>
    <xdr:cxnSp macro="">
      <xdr:nvCxnSpPr>
        <xdr:cNvPr id="3" name="Straight Arrow Connector 2"/>
        <xdr:cNvCxnSpPr/>
      </xdr:nvCxnSpPr>
      <xdr:spPr>
        <a:xfrm flipH="1">
          <a:off x="8001000" y="752475"/>
          <a:ext cx="1266825" cy="0"/>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114301</xdr:colOff>
      <xdr:row>3</xdr:row>
      <xdr:rowOff>95250</xdr:rowOff>
    </xdr:from>
    <xdr:to>
      <xdr:col>13</xdr:col>
      <xdr:colOff>447675</xdr:colOff>
      <xdr:row>4</xdr:row>
      <xdr:rowOff>95250</xdr:rowOff>
    </xdr:to>
    <xdr:cxnSp macro="">
      <xdr:nvCxnSpPr>
        <xdr:cNvPr id="4" name="Straight Arrow Connector 3"/>
        <xdr:cNvCxnSpPr/>
      </xdr:nvCxnSpPr>
      <xdr:spPr>
        <a:xfrm flipH="1">
          <a:off x="7991476" y="752475"/>
          <a:ext cx="1304924" cy="190500"/>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152399</xdr:colOff>
      <xdr:row>10</xdr:row>
      <xdr:rowOff>95250</xdr:rowOff>
    </xdr:from>
    <xdr:to>
      <xdr:col>13</xdr:col>
      <xdr:colOff>447674</xdr:colOff>
      <xdr:row>10</xdr:row>
      <xdr:rowOff>95250</xdr:rowOff>
    </xdr:to>
    <xdr:cxnSp macro="">
      <xdr:nvCxnSpPr>
        <xdr:cNvPr id="6" name="Straight Arrow Connector 5"/>
        <xdr:cNvCxnSpPr/>
      </xdr:nvCxnSpPr>
      <xdr:spPr>
        <a:xfrm flipH="1">
          <a:off x="8029574" y="2114550"/>
          <a:ext cx="1266825" cy="0"/>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123824</xdr:colOff>
      <xdr:row>16</xdr:row>
      <xdr:rowOff>114300</xdr:rowOff>
    </xdr:from>
    <xdr:to>
      <xdr:col>13</xdr:col>
      <xdr:colOff>419099</xdr:colOff>
      <xdr:row>16</xdr:row>
      <xdr:rowOff>114300</xdr:rowOff>
    </xdr:to>
    <xdr:cxnSp macro="">
      <xdr:nvCxnSpPr>
        <xdr:cNvPr id="8" name="Straight Arrow Connector 7"/>
        <xdr:cNvCxnSpPr/>
      </xdr:nvCxnSpPr>
      <xdr:spPr>
        <a:xfrm flipH="1">
          <a:off x="8000999" y="3324225"/>
          <a:ext cx="1266825" cy="0"/>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ishal/Business/Safal%20Niveshak/Investing%20Excels%20&amp;%20Templates/OSV_DCF_Spreadsheet_Free-2010071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isclaimer"/>
      <sheetName val="DCF Valuation"/>
      <sheetName val="Data"/>
    </sheetNames>
    <sheetDataSet>
      <sheetData sheetId="0"/>
      <sheetData sheetId="1">
        <row r="13">
          <cell r="N13">
            <v>0.15</v>
          </cell>
        </row>
        <row r="14">
          <cell r="N14">
            <v>0.12</v>
          </cell>
        </row>
        <row r="15">
          <cell r="N15">
            <v>0.09</v>
          </cell>
        </row>
        <row r="16">
          <cell r="N16">
            <v>0.05</v>
          </cell>
        </row>
      </sheetData>
      <sheetData sheetId="2">
        <row r="1">
          <cell r="C1" t="str">
            <v>Financial Data</v>
          </cell>
        </row>
        <row r="2">
          <cell r="A2" t="str">
            <v>AAPL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safalniveshak.com/"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M28"/>
  <sheetViews>
    <sheetView tabSelected="1" workbookViewId="0">
      <selection sqref="A1:B5"/>
    </sheetView>
  </sheetViews>
  <sheetFormatPr defaultRowHeight="15"/>
  <cols>
    <col min="1" max="1" width="58.85546875" style="193" customWidth="1"/>
    <col min="2" max="2" width="15" style="193" bestFit="1" customWidth="1"/>
    <col min="3" max="16384" width="9.140625" style="193"/>
  </cols>
  <sheetData>
    <row r="1" spans="1:13">
      <c r="A1" s="241" t="s">
        <v>258</v>
      </c>
      <c r="B1" s="242"/>
    </row>
    <row r="2" spans="1:13" ht="15" customHeight="1" thickBot="1">
      <c r="A2" s="243"/>
      <c r="B2" s="244"/>
    </row>
    <row r="3" spans="1:13" ht="15" customHeight="1">
      <c r="A3" s="243"/>
      <c r="B3" s="244"/>
      <c r="E3" s="218" t="s">
        <v>260</v>
      </c>
      <c r="F3" s="219"/>
      <c r="G3" s="219"/>
      <c r="H3" s="219"/>
      <c r="I3" s="219"/>
      <c r="J3" s="219"/>
      <c r="K3" s="219"/>
      <c r="L3" s="219"/>
      <c r="M3" s="220"/>
    </row>
    <row r="4" spans="1:13" ht="15" customHeight="1">
      <c r="A4" s="243"/>
      <c r="B4" s="244"/>
      <c r="E4" s="221"/>
      <c r="F4" s="222"/>
      <c r="G4" s="222"/>
      <c r="H4" s="222"/>
      <c r="I4" s="222"/>
      <c r="J4" s="222"/>
      <c r="K4" s="222"/>
      <c r="L4" s="222"/>
      <c r="M4" s="223"/>
    </row>
    <row r="5" spans="1:13" ht="15.75" customHeight="1" thickBot="1">
      <c r="A5" s="245"/>
      <c r="B5" s="246"/>
      <c r="E5" s="221"/>
      <c r="F5" s="222"/>
      <c r="G5" s="222"/>
      <c r="H5" s="222"/>
      <c r="I5" s="222"/>
      <c r="J5" s="222"/>
      <c r="K5" s="222"/>
      <c r="L5" s="222"/>
      <c r="M5" s="223"/>
    </row>
    <row r="6" spans="1:13" ht="16.5" thickBot="1">
      <c r="A6" s="247" t="s">
        <v>257</v>
      </c>
      <c r="B6" s="247"/>
      <c r="E6" s="221"/>
      <c r="F6" s="222"/>
      <c r="G6" s="222"/>
      <c r="H6" s="222"/>
      <c r="I6" s="222"/>
      <c r="J6" s="222"/>
      <c r="K6" s="222"/>
      <c r="L6" s="222"/>
      <c r="M6" s="223"/>
    </row>
    <row r="7" spans="1:13" ht="20.25" thickBot="1">
      <c r="A7" s="235" t="s">
        <v>233</v>
      </c>
      <c r="B7" s="236"/>
      <c r="E7" s="224"/>
      <c r="F7" s="225"/>
      <c r="G7" s="225"/>
      <c r="H7" s="225"/>
      <c r="I7" s="225"/>
      <c r="J7" s="225"/>
      <c r="K7" s="225"/>
      <c r="L7" s="225"/>
      <c r="M7" s="226"/>
    </row>
    <row r="8" spans="1:13" ht="15.75" customHeight="1">
      <c r="A8" s="239" t="s">
        <v>237</v>
      </c>
      <c r="B8" s="240"/>
    </row>
    <row r="9" spans="1:13" ht="16.5" thickBot="1">
      <c r="A9" s="199" t="s">
        <v>222</v>
      </c>
      <c r="B9" s="200" t="s">
        <v>223</v>
      </c>
    </row>
    <row r="10" spans="1:13" ht="15.75">
      <c r="A10" s="135" t="s">
        <v>218</v>
      </c>
      <c r="B10" s="203" t="s">
        <v>209</v>
      </c>
      <c r="E10" s="218" t="s">
        <v>261</v>
      </c>
      <c r="F10" s="227"/>
      <c r="G10" s="227"/>
      <c r="H10" s="227"/>
      <c r="I10" s="227"/>
      <c r="J10" s="227"/>
      <c r="K10" s="227"/>
      <c r="L10" s="227"/>
      <c r="M10" s="228"/>
    </row>
    <row r="11" spans="1:13" ht="15.75" customHeight="1">
      <c r="A11" s="135" t="s">
        <v>216</v>
      </c>
      <c r="B11" s="203" t="s">
        <v>217</v>
      </c>
      <c r="E11" s="229"/>
      <c r="F11" s="230"/>
      <c r="G11" s="230"/>
      <c r="H11" s="230"/>
      <c r="I11" s="230"/>
      <c r="J11" s="230"/>
      <c r="K11" s="230"/>
      <c r="L11" s="230"/>
      <c r="M11" s="231"/>
    </row>
    <row r="12" spans="1:13" ht="15.75">
      <c r="A12" s="204" t="s">
        <v>240</v>
      </c>
      <c r="B12" s="203" t="s">
        <v>220</v>
      </c>
      <c r="E12" s="229"/>
      <c r="F12" s="230"/>
      <c r="G12" s="230"/>
      <c r="H12" s="230"/>
      <c r="I12" s="230"/>
      <c r="J12" s="230"/>
      <c r="K12" s="230"/>
      <c r="L12" s="230"/>
      <c r="M12" s="231"/>
    </row>
    <row r="13" spans="1:13" ht="16.5" thickBot="1">
      <c r="A13" s="135" t="s">
        <v>219</v>
      </c>
      <c r="B13" s="205">
        <v>4665</v>
      </c>
      <c r="E13" s="232"/>
      <c r="F13" s="233"/>
      <c r="G13" s="233"/>
      <c r="H13" s="233"/>
      <c r="I13" s="233"/>
      <c r="J13" s="233"/>
      <c r="K13" s="233"/>
      <c r="L13" s="233"/>
      <c r="M13" s="234"/>
    </row>
    <row r="14" spans="1:13" ht="15.75">
      <c r="A14" s="135" t="s">
        <v>228</v>
      </c>
      <c r="B14" s="205">
        <v>10</v>
      </c>
    </row>
    <row r="15" spans="1:13" ht="15.75" customHeight="1" thickBot="1">
      <c r="A15" s="135" t="s">
        <v>221</v>
      </c>
      <c r="B15" s="205">
        <v>9.5919778999999998</v>
      </c>
    </row>
    <row r="16" spans="1:13" ht="15.75">
      <c r="A16" s="135" t="s">
        <v>225</v>
      </c>
      <c r="B16" s="206">
        <f>B13*B15</f>
        <v>44746.576903499998</v>
      </c>
      <c r="E16" s="218" t="s">
        <v>262</v>
      </c>
      <c r="F16" s="219"/>
      <c r="G16" s="219"/>
      <c r="H16" s="219"/>
      <c r="I16" s="219"/>
      <c r="J16" s="219"/>
      <c r="K16" s="219"/>
      <c r="L16" s="219"/>
      <c r="M16" s="220"/>
    </row>
    <row r="17" spans="1:13" ht="15.75">
      <c r="A17" s="135" t="s">
        <v>226</v>
      </c>
      <c r="B17" s="207">
        <v>0.52790000000000004</v>
      </c>
      <c r="E17" s="221"/>
      <c r="F17" s="222"/>
      <c r="G17" s="222"/>
      <c r="H17" s="222"/>
      <c r="I17" s="222"/>
      <c r="J17" s="222"/>
      <c r="K17" s="222"/>
      <c r="L17" s="222"/>
      <c r="M17" s="223"/>
    </row>
    <row r="18" spans="1:13" ht="16.5" thickBot="1">
      <c r="A18" s="208" t="s">
        <v>227</v>
      </c>
      <c r="B18" s="209">
        <v>0.1767</v>
      </c>
      <c r="E18" s="221"/>
      <c r="F18" s="222"/>
      <c r="G18" s="222"/>
      <c r="H18" s="222"/>
      <c r="I18" s="222"/>
      <c r="J18" s="222"/>
      <c r="K18" s="222"/>
      <c r="L18" s="222"/>
      <c r="M18" s="223"/>
    </row>
    <row r="19" spans="1:13" ht="16.5" customHeight="1" thickBot="1">
      <c r="A19" s="192"/>
      <c r="B19" s="194"/>
      <c r="E19" s="221"/>
      <c r="F19" s="222"/>
      <c r="G19" s="222"/>
      <c r="H19" s="222"/>
      <c r="I19" s="222"/>
      <c r="J19" s="222"/>
      <c r="K19" s="222"/>
      <c r="L19" s="222"/>
      <c r="M19" s="223"/>
    </row>
    <row r="20" spans="1:13" ht="19.5">
      <c r="A20" s="237" t="s">
        <v>224</v>
      </c>
      <c r="B20" s="238"/>
      <c r="E20" s="221"/>
      <c r="F20" s="222"/>
      <c r="G20" s="222"/>
      <c r="H20" s="222"/>
      <c r="I20" s="222"/>
      <c r="J20" s="222"/>
      <c r="K20" s="222"/>
      <c r="L20" s="222"/>
      <c r="M20" s="223"/>
    </row>
    <row r="21" spans="1:13" ht="15.75">
      <c r="A21" s="199" t="s">
        <v>222</v>
      </c>
      <c r="B21" s="200" t="s">
        <v>223</v>
      </c>
      <c r="E21" s="221"/>
      <c r="F21" s="222"/>
      <c r="G21" s="222"/>
      <c r="H21" s="222"/>
      <c r="I21" s="222"/>
      <c r="J21" s="222"/>
      <c r="K21" s="222"/>
      <c r="L21" s="222"/>
      <c r="M21" s="223"/>
    </row>
    <row r="22" spans="1:13" ht="15.75">
      <c r="A22" s="135" t="s">
        <v>229</v>
      </c>
      <c r="B22" s="210">
        <f>'P &amp; L Account'!L4</f>
        <v>0.2035740272460167</v>
      </c>
      <c r="E22" s="221"/>
      <c r="F22" s="222"/>
      <c r="G22" s="222"/>
      <c r="H22" s="222"/>
      <c r="I22" s="222"/>
      <c r="J22" s="222"/>
      <c r="K22" s="222"/>
      <c r="L22" s="222"/>
      <c r="M22" s="223"/>
    </row>
    <row r="23" spans="1:13" ht="15.75">
      <c r="A23" s="135" t="s">
        <v>230</v>
      </c>
      <c r="B23" s="210">
        <f>'P &amp; L Account'!L15</f>
        <v>0.18064007376451774</v>
      </c>
      <c r="E23" s="221"/>
      <c r="F23" s="222"/>
      <c r="G23" s="222"/>
      <c r="H23" s="222"/>
      <c r="I23" s="222"/>
      <c r="J23" s="222"/>
      <c r="K23" s="222"/>
      <c r="L23" s="222"/>
      <c r="M23" s="223"/>
    </row>
    <row r="24" spans="1:13" ht="16.5" thickBot="1">
      <c r="A24" s="135" t="s">
        <v>231</v>
      </c>
      <c r="B24" s="210">
        <f>'P &amp; L Account'!L27</f>
        <v>0.24354003739963503</v>
      </c>
      <c r="E24" s="224"/>
      <c r="F24" s="225"/>
      <c r="G24" s="225"/>
      <c r="H24" s="225"/>
      <c r="I24" s="225"/>
      <c r="J24" s="225"/>
      <c r="K24" s="225"/>
      <c r="L24" s="225"/>
      <c r="M24" s="226"/>
    </row>
    <row r="25" spans="1:13" ht="15.75">
      <c r="A25" s="135" t="s">
        <v>259</v>
      </c>
      <c r="B25" s="211">
        <f>AVERAGE(Ratios!B34:K34)</f>
        <v>0.27442334096690296</v>
      </c>
    </row>
    <row r="26" spans="1:13" ht="16.5" thickBot="1">
      <c r="A26" s="208" t="s">
        <v>232</v>
      </c>
      <c r="B26" s="212">
        <f>AVERAGE(Ratios!B17:K17)</f>
        <v>0.35424172529433195</v>
      </c>
    </row>
    <row r="28" spans="1:13">
      <c r="A28" s="217" t="s">
        <v>266</v>
      </c>
    </row>
  </sheetData>
  <mergeCells count="8">
    <mergeCell ref="E3:M7"/>
    <mergeCell ref="E10:M13"/>
    <mergeCell ref="E16:M24"/>
    <mergeCell ref="A7:B7"/>
    <mergeCell ref="A20:B20"/>
    <mergeCell ref="A8:B8"/>
    <mergeCell ref="A1:B5"/>
    <mergeCell ref="A6:B6"/>
  </mergeCells>
  <hyperlinks>
    <hyperlink ref="A6" r:id="rId1"/>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dimension ref="A1:B26"/>
  <sheetViews>
    <sheetView workbookViewId="0">
      <selection sqref="A1:B1"/>
    </sheetView>
  </sheetViews>
  <sheetFormatPr defaultRowHeight="15"/>
  <cols>
    <col min="1" max="1" width="65.28515625" style="3" bestFit="1" customWidth="1"/>
    <col min="2" max="2" width="121.28515625" style="3" customWidth="1"/>
    <col min="3" max="3" width="92.5703125" style="3" bestFit="1" customWidth="1"/>
    <col min="4" max="16384" width="9.140625" style="3"/>
  </cols>
  <sheetData>
    <row r="1" spans="1:2" s="43" customFormat="1" ht="27" thickBot="1">
      <c r="A1" s="248" t="s">
        <v>248</v>
      </c>
      <c r="B1" s="249"/>
    </row>
    <row r="2" spans="1:2" ht="15.75" thickBot="1">
      <c r="A2" s="250" t="s">
        <v>205</v>
      </c>
      <c r="B2" s="250"/>
    </row>
    <row r="3" spans="1:2" ht="15.75">
      <c r="A3" s="171" t="s">
        <v>196</v>
      </c>
      <c r="B3" s="172" t="s">
        <v>197</v>
      </c>
    </row>
    <row r="4" spans="1:2" ht="75.75" thickBot="1">
      <c r="A4" s="173" t="s">
        <v>184</v>
      </c>
      <c r="B4" s="174" t="s">
        <v>193</v>
      </c>
    </row>
    <row r="5" spans="1:2" ht="15.75" thickBot="1">
      <c r="A5" s="44"/>
      <c r="B5" s="45"/>
    </row>
    <row r="6" spans="1:2" ht="90.75" thickBot="1">
      <c r="A6" s="175" t="s">
        <v>194</v>
      </c>
      <c r="B6" s="176" t="s">
        <v>201</v>
      </c>
    </row>
    <row r="7" spans="1:2" ht="16.5" thickBot="1">
      <c r="A7" s="46"/>
      <c r="B7" s="44"/>
    </row>
    <row r="8" spans="1:2" ht="45.75" thickBot="1">
      <c r="A8" s="175" t="s">
        <v>185</v>
      </c>
      <c r="B8" s="176" t="s">
        <v>241</v>
      </c>
    </row>
    <row r="9" spans="1:2" ht="16.5" thickBot="1">
      <c r="A9" s="46"/>
      <c r="B9" s="44"/>
    </row>
    <row r="10" spans="1:2" ht="90.75" thickBot="1">
      <c r="A10" s="175" t="s">
        <v>186</v>
      </c>
      <c r="B10" s="176" t="s">
        <v>242</v>
      </c>
    </row>
    <row r="11" spans="1:2" ht="15.75">
      <c r="A11" s="46"/>
      <c r="B11" s="44"/>
    </row>
    <row r="12" spans="1:2" ht="60">
      <c r="A12" s="47" t="s">
        <v>187</v>
      </c>
      <c r="B12" s="39" t="s">
        <v>243</v>
      </c>
    </row>
    <row r="13" spans="1:2" ht="16.5" thickBot="1">
      <c r="A13" s="46"/>
      <c r="B13" s="44"/>
    </row>
    <row r="14" spans="1:2" ht="60.75" thickBot="1">
      <c r="A14" s="175" t="s">
        <v>188</v>
      </c>
      <c r="B14" s="176" t="s">
        <v>254</v>
      </c>
    </row>
    <row r="15" spans="1:2" ht="16.5" thickBot="1">
      <c r="A15" s="46"/>
      <c r="B15" s="44"/>
    </row>
    <row r="16" spans="1:2" ht="45.75" thickBot="1">
      <c r="A16" s="175" t="s">
        <v>189</v>
      </c>
      <c r="B16" s="176" t="s">
        <v>244</v>
      </c>
    </row>
    <row r="17" spans="1:2" ht="16.5" thickBot="1">
      <c r="A17" s="46"/>
      <c r="B17" s="44"/>
    </row>
    <row r="18" spans="1:2" ht="45.75" thickBot="1">
      <c r="A18" s="175" t="s">
        <v>190</v>
      </c>
      <c r="B18" s="176" t="s">
        <v>245</v>
      </c>
    </row>
    <row r="19" spans="1:2" ht="16.5" thickBot="1">
      <c r="A19" s="46"/>
      <c r="B19" s="44"/>
    </row>
    <row r="20" spans="1:2" ht="45.75" thickBot="1">
      <c r="A20" s="175" t="s">
        <v>191</v>
      </c>
      <c r="B20" s="176" t="s">
        <v>255</v>
      </c>
    </row>
    <row r="21" spans="1:2" ht="16.5" thickBot="1">
      <c r="A21" s="46"/>
      <c r="B21" s="44"/>
    </row>
    <row r="22" spans="1:2" ht="75.75" thickBot="1">
      <c r="A22" s="175" t="s">
        <v>192</v>
      </c>
      <c r="B22" s="176" t="s">
        <v>246</v>
      </c>
    </row>
    <row r="23" spans="1:2" ht="15.75" thickBot="1">
      <c r="A23" s="214"/>
      <c r="B23" s="214"/>
    </row>
    <row r="24" spans="1:2" ht="60.75" thickBot="1">
      <c r="A24" s="175" t="s">
        <v>198</v>
      </c>
      <c r="B24" s="176" t="s">
        <v>247</v>
      </c>
    </row>
    <row r="25" spans="1:2" ht="15.75" thickBot="1">
      <c r="A25" s="45"/>
      <c r="B25" s="45"/>
    </row>
    <row r="26" spans="1:2" ht="16.5" thickBot="1">
      <c r="A26" s="175" t="s">
        <v>199</v>
      </c>
      <c r="B26" s="176" t="s">
        <v>200</v>
      </c>
    </row>
  </sheetData>
  <mergeCells count="2">
    <mergeCell ref="A1:B1"/>
    <mergeCell ref="A2:B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W34"/>
  <sheetViews>
    <sheetView workbookViewId="0">
      <selection sqref="A1:K1"/>
    </sheetView>
  </sheetViews>
  <sheetFormatPr defaultRowHeight="15"/>
  <cols>
    <col min="1" max="1" width="52.7109375" style="3" bestFit="1" customWidth="1"/>
    <col min="2" max="4" width="6.5703125" style="3" bestFit="1" customWidth="1"/>
    <col min="5" max="11" width="8.42578125" style="3" bestFit="1" customWidth="1"/>
    <col min="12" max="12" width="9.140625" style="3"/>
    <col min="13" max="13" width="20.42578125" style="3" bestFit="1" customWidth="1"/>
    <col min="14" max="14" width="18.28515625" style="3" bestFit="1" customWidth="1"/>
    <col min="15" max="15" width="14.85546875" style="3" bestFit="1" customWidth="1"/>
    <col min="16" max="16384" width="9.140625" style="3"/>
  </cols>
  <sheetData>
    <row r="1" spans="1:49" ht="20.25" thickBot="1">
      <c r="A1" s="251" t="s">
        <v>207</v>
      </c>
      <c r="B1" s="252"/>
      <c r="C1" s="252"/>
      <c r="D1" s="252"/>
      <c r="E1" s="252"/>
      <c r="F1" s="252"/>
      <c r="G1" s="252"/>
      <c r="H1" s="252"/>
      <c r="I1" s="252"/>
      <c r="J1" s="252"/>
      <c r="K1" s="253"/>
    </row>
    <row r="2" spans="1:49" ht="15.75" thickBot="1">
      <c r="A2" s="254" t="s">
        <v>237</v>
      </c>
      <c r="B2" s="255"/>
      <c r="C2" s="255"/>
      <c r="D2" s="255"/>
      <c r="E2" s="255"/>
      <c r="F2" s="255"/>
      <c r="G2" s="255"/>
      <c r="H2" s="255"/>
      <c r="I2" s="255"/>
      <c r="J2" s="255"/>
      <c r="K2" s="256"/>
    </row>
    <row r="3" spans="1:49" ht="15.75">
      <c r="A3" s="98" t="s">
        <v>206</v>
      </c>
      <c r="B3" s="99" t="s">
        <v>25</v>
      </c>
      <c r="C3" s="99" t="s">
        <v>24</v>
      </c>
      <c r="D3" s="99" t="s">
        <v>26</v>
      </c>
      <c r="E3" s="99" t="s">
        <v>27</v>
      </c>
      <c r="F3" s="99" t="s">
        <v>28</v>
      </c>
      <c r="G3" s="99" t="s">
        <v>17</v>
      </c>
      <c r="H3" s="99" t="s">
        <v>18</v>
      </c>
      <c r="I3" s="99" t="s">
        <v>19</v>
      </c>
      <c r="J3" s="99" t="s">
        <v>20</v>
      </c>
      <c r="K3" s="100" t="s">
        <v>21</v>
      </c>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row>
    <row r="4" spans="1:49" ht="15.75">
      <c r="A4" s="163" t="s">
        <v>106</v>
      </c>
      <c r="B4" s="160"/>
      <c r="C4" s="160"/>
      <c r="D4" s="160"/>
      <c r="E4" s="160"/>
      <c r="F4" s="160"/>
      <c r="G4" s="160"/>
      <c r="H4" s="160"/>
      <c r="I4" s="160"/>
      <c r="J4" s="160"/>
      <c r="K4" s="164"/>
    </row>
    <row r="5" spans="1:49">
      <c r="A5" s="181" t="s">
        <v>10</v>
      </c>
      <c r="B5" s="178">
        <v>64.19</v>
      </c>
      <c r="C5" s="178">
        <v>95.92</v>
      </c>
      <c r="D5" s="178">
        <v>95.92</v>
      </c>
      <c r="E5" s="178">
        <v>95.92</v>
      </c>
      <c r="F5" s="178">
        <v>95.92</v>
      </c>
      <c r="G5" s="178">
        <v>95.92</v>
      </c>
      <c r="H5" s="178">
        <v>95.92</v>
      </c>
      <c r="I5" s="178">
        <v>95.92</v>
      </c>
      <c r="J5" s="178">
        <v>95.92</v>
      </c>
      <c r="K5" s="179">
        <v>95.92</v>
      </c>
      <c r="L5" s="2"/>
      <c r="M5" s="2"/>
    </row>
    <row r="6" spans="1:49">
      <c r="A6" s="181" t="s">
        <v>102</v>
      </c>
      <c r="B6" s="178">
        <v>413.35</v>
      </c>
      <c r="C6" s="178">
        <v>433.56</v>
      </c>
      <c r="D6" s="178">
        <v>471.25999999999993</v>
      </c>
      <c r="E6" s="178">
        <v>550.33000000000004</v>
      </c>
      <c r="F6" s="178">
        <v>681.87</v>
      </c>
      <c r="G6" s="178">
        <v>886.45</v>
      </c>
      <c r="H6" s="178">
        <v>1107.25</v>
      </c>
      <c r="I6" s="178">
        <v>1614.06</v>
      </c>
      <c r="J6" s="178">
        <v>2091.5</v>
      </c>
      <c r="K6" s="179">
        <v>2652.58</v>
      </c>
      <c r="L6" s="2"/>
      <c r="M6" s="2"/>
    </row>
    <row r="7" spans="1:49" ht="15.75">
      <c r="A7" s="165" t="s">
        <v>15</v>
      </c>
      <c r="B7" s="152">
        <f t="shared" ref="B7:J7" si="0">B5+B6</f>
        <v>477.54</v>
      </c>
      <c r="C7" s="152">
        <f t="shared" si="0"/>
        <v>529.48</v>
      </c>
      <c r="D7" s="152">
        <f t="shared" si="0"/>
        <v>567.17999999999995</v>
      </c>
      <c r="E7" s="152">
        <f t="shared" si="0"/>
        <v>646.25</v>
      </c>
      <c r="F7" s="152">
        <f t="shared" si="0"/>
        <v>777.79</v>
      </c>
      <c r="G7" s="152">
        <f t="shared" si="0"/>
        <v>982.37</v>
      </c>
      <c r="H7" s="152">
        <f t="shared" si="0"/>
        <v>1203.17</v>
      </c>
      <c r="I7" s="152">
        <f t="shared" si="0"/>
        <v>1709.98</v>
      </c>
      <c r="J7" s="152">
        <f t="shared" si="0"/>
        <v>2187.42</v>
      </c>
      <c r="K7" s="166">
        <f>K5+K6</f>
        <v>2748.5</v>
      </c>
      <c r="L7" s="2"/>
      <c r="M7" s="2"/>
    </row>
    <row r="8" spans="1:49" ht="15.75">
      <c r="A8" s="167"/>
      <c r="B8" s="161"/>
      <c r="C8" s="161"/>
      <c r="D8" s="161"/>
      <c r="E8" s="161"/>
      <c r="F8" s="161"/>
      <c r="G8" s="161"/>
      <c r="H8" s="161"/>
      <c r="I8" s="161"/>
      <c r="J8" s="161"/>
      <c r="K8" s="168"/>
      <c r="L8" s="2"/>
      <c r="M8" s="2"/>
    </row>
    <row r="9" spans="1:49" ht="15.75">
      <c r="A9" s="184" t="s">
        <v>11</v>
      </c>
      <c r="B9" s="185">
        <v>75.150000000000006</v>
      </c>
      <c r="C9" s="185">
        <v>69.78</v>
      </c>
      <c r="D9" s="185">
        <v>63.85</v>
      </c>
      <c r="E9" s="185">
        <v>60.03</v>
      </c>
      <c r="F9" s="185">
        <v>60.08</v>
      </c>
      <c r="G9" s="185">
        <v>57.37</v>
      </c>
      <c r="H9" s="185">
        <v>75.569999999999993</v>
      </c>
      <c r="I9" s="185">
        <v>94.45</v>
      </c>
      <c r="J9" s="185">
        <v>109.89</v>
      </c>
      <c r="K9" s="186">
        <v>136.69</v>
      </c>
      <c r="L9" s="2"/>
      <c r="M9" s="2"/>
    </row>
    <row r="10" spans="1:49" ht="15.75">
      <c r="A10" s="167"/>
      <c r="B10" s="161"/>
      <c r="C10" s="161"/>
      <c r="D10" s="161"/>
      <c r="E10" s="161"/>
      <c r="F10" s="161"/>
      <c r="G10" s="161"/>
      <c r="H10" s="161"/>
      <c r="I10" s="161"/>
      <c r="J10" s="161"/>
      <c r="K10" s="168"/>
      <c r="L10" s="2"/>
      <c r="M10" s="2"/>
    </row>
    <row r="11" spans="1:49" ht="15.75">
      <c r="A11" s="165" t="s">
        <v>103</v>
      </c>
      <c r="B11" s="152"/>
      <c r="C11" s="152"/>
      <c r="D11" s="152"/>
      <c r="E11" s="152"/>
      <c r="F11" s="152"/>
      <c r="G11" s="152"/>
      <c r="H11" s="152"/>
      <c r="I11" s="152"/>
      <c r="J11" s="152"/>
      <c r="K11" s="166"/>
      <c r="L11" s="2"/>
      <c r="M11" s="2"/>
    </row>
    <row r="12" spans="1:49">
      <c r="A12" s="181" t="s">
        <v>104</v>
      </c>
      <c r="B12" s="178">
        <v>196.94</v>
      </c>
      <c r="C12" s="178">
        <v>160.23999999999998</v>
      </c>
      <c r="D12" s="178">
        <v>239.5</v>
      </c>
      <c r="E12" s="178">
        <v>261.27999999999997</v>
      </c>
      <c r="F12" s="178">
        <v>179.95000000000002</v>
      </c>
      <c r="G12" s="178">
        <v>179.21999999999997</v>
      </c>
      <c r="H12" s="178">
        <v>151.58000000000001</v>
      </c>
      <c r="I12" s="178">
        <v>104.41</v>
      </c>
      <c r="J12" s="178">
        <v>147.43</v>
      </c>
      <c r="K12" s="179">
        <v>147.66999999999999</v>
      </c>
      <c r="L12" s="2"/>
      <c r="M12" s="2"/>
    </row>
    <row r="13" spans="1:49">
      <c r="A13" s="140"/>
      <c r="B13" s="30"/>
      <c r="C13" s="30"/>
      <c r="D13" s="30"/>
      <c r="E13" s="30"/>
      <c r="F13" s="30"/>
      <c r="G13" s="30"/>
      <c r="H13" s="30"/>
      <c r="I13" s="30"/>
      <c r="J13" s="30"/>
      <c r="K13" s="149"/>
      <c r="L13" s="2"/>
      <c r="M13" s="2"/>
    </row>
    <row r="14" spans="1:49" ht="15.75">
      <c r="A14" s="165" t="s">
        <v>14</v>
      </c>
      <c r="B14" s="34">
        <f>SUM(B15:B18)</f>
        <v>513.80999999999995</v>
      </c>
      <c r="C14" s="34">
        <f t="shared" ref="C14:K14" si="1">SUM(C15:C18)</f>
        <v>581.12</v>
      </c>
      <c r="D14" s="34">
        <f t="shared" si="1"/>
        <v>617.80000000000007</v>
      </c>
      <c r="E14" s="34">
        <f t="shared" si="1"/>
        <v>704.59</v>
      </c>
      <c r="F14" s="34">
        <f t="shared" si="1"/>
        <v>979.46</v>
      </c>
      <c r="G14" s="34">
        <f t="shared" si="1"/>
        <v>1248.3200000000002</v>
      </c>
      <c r="H14" s="34">
        <f t="shared" si="1"/>
        <v>2516.71</v>
      </c>
      <c r="I14" s="34">
        <f t="shared" si="1"/>
        <v>3314.75</v>
      </c>
      <c r="J14" s="34">
        <f t="shared" si="1"/>
        <v>2080.66</v>
      </c>
      <c r="K14" s="154">
        <f t="shared" si="1"/>
        <v>2770.52</v>
      </c>
      <c r="L14" s="2"/>
      <c r="M14" s="2"/>
    </row>
    <row r="15" spans="1:49">
      <c r="A15" s="181" t="s">
        <v>108</v>
      </c>
      <c r="B15" s="178">
        <v>0</v>
      </c>
      <c r="C15" s="178">
        <v>9.0800000000000125</v>
      </c>
      <c r="D15" s="178">
        <v>0</v>
      </c>
      <c r="E15" s="178">
        <v>0</v>
      </c>
      <c r="F15" s="178">
        <v>126.22</v>
      </c>
      <c r="G15" s="178">
        <v>95.990000000000009</v>
      </c>
      <c r="H15" s="178">
        <v>157.04</v>
      </c>
      <c r="I15" s="178">
        <v>124.82</v>
      </c>
      <c r="J15" s="178">
        <v>0</v>
      </c>
      <c r="K15" s="179">
        <v>0</v>
      </c>
      <c r="L15" s="2"/>
      <c r="M15" s="2"/>
    </row>
    <row r="16" spans="1:49">
      <c r="A16" s="181" t="s">
        <v>105</v>
      </c>
      <c r="B16" s="178">
        <v>232.21</v>
      </c>
      <c r="C16" s="178">
        <v>272.43</v>
      </c>
      <c r="D16" s="178">
        <v>294.51</v>
      </c>
      <c r="E16" s="178">
        <v>329.63</v>
      </c>
      <c r="F16" s="178">
        <v>448.53</v>
      </c>
      <c r="G16" s="178">
        <v>571.96</v>
      </c>
      <c r="H16" s="178">
        <v>554.15</v>
      </c>
      <c r="I16" s="178">
        <v>718.32</v>
      </c>
      <c r="J16" s="178">
        <v>1087.44</v>
      </c>
      <c r="K16" s="179">
        <v>1296.83</v>
      </c>
      <c r="L16" s="2"/>
      <c r="M16" s="2"/>
    </row>
    <row r="17" spans="1:13">
      <c r="A17" s="181" t="s">
        <v>117</v>
      </c>
      <c r="B17" s="178">
        <v>176.80999999999997</v>
      </c>
      <c r="C17" s="178">
        <v>163.45999999999998</v>
      </c>
      <c r="D17" s="178">
        <v>206.09000000000003</v>
      </c>
      <c r="E17" s="178">
        <v>249.11</v>
      </c>
      <c r="F17" s="178">
        <v>338.51</v>
      </c>
      <c r="G17" s="178">
        <v>413.96999999999991</v>
      </c>
      <c r="H17" s="178">
        <v>460.53</v>
      </c>
      <c r="I17" s="178">
        <v>661.33</v>
      </c>
      <c r="J17" s="178">
        <v>703.02</v>
      </c>
      <c r="K17" s="179">
        <v>1107.1399999999999</v>
      </c>
      <c r="L17" s="2"/>
      <c r="M17" s="2"/>
    </row>
    <row r="18" spans="1:13">
      <c r="A18" s="181" t="s">
        <v>116</v>
      </c>
      <c r="B18" s="178">
        <v>104.79</v>
      </c>
      <c r="C18" s="178">
        <v>136.15</v>
      </c>
      <c r="D18" s="178">
        <v>117.2</v>
      </c>
      <c r="E18" s="178">
        <v>125.85</v>
      </c>
      <c r="F18" s="178">
        <v>66.2</v>
      </c>
      <c r="G18" s="178">
        <v>166.4</v>
      </c>
      <c r="H18" s="178">
        <v>1344.99</v>
      </c>
      <c r="I18" s="178">
        <v>1810.28</v>
      </c>
      <c r="J18" s="178">
        <v>290.2</v>
      </c>
      <c r="K18" s="179">
        <v>366.55</v>
      </c>
      <c r="L18" s="2"/>
      <c r="M18" s="2"/>
    </row>
    <row r="19" spans="1:13" ht="15.75">
      <c r="A19" s="169"/>
      <c r="B19" s="55"/>
      <c r="C19" s="55"/>
      <c r="D19" s="55"/>
      <c r="E19" s="55"/>
      <c r="F19" s="55"/>
      <c r="G19" s="55"/>
      <c r="H19" s="55"/>
      <c r="I19" s="55"/>
      <c r="J19" s="55"/>
      <c r="K19" s="103"/>
      <c r="L19" s="2"/>
      <c r="M19" s="7"/>
    </row>
    <row r="20" spans="1:13" ht="15.75">
      <c r="A20" s="163" t="s">
        <v>107</v>
      </c>
      <c r="B20" s="162"/>
      <c r="C20" s="162"/>
      <c r="D20" s="162"/>
      <c r="E20" s="162"/>
      <c r="F20" s="162"/>
      <c r="G20" s="162"/>
      <c r="H20" s="162"/>
      <c r="I20" s="162"/>
      <c r="J20" s="162"/>
      <c r="K20" s="170"/>
      <c r="L20" s="2"/>
      <c r="M20" s="2"/>
    </row>
    <row r="21" spans="1:13" ht="15.75">
      <c r="A21" s="165" t="s">
        <v>109</v>
      </c>
      <c r="B21" s="34">
        <f>SUM(B22:B25)</f>
        <v>35</v>
      </c>
      <c r="C21" s="34">
        <f t="shared" ref="C21:K21" si="2">SUM(C22:C25)</f>
        <v>34</v>
      </c>
      <c r="D21" s="34">
        <f t="shared" si="2"/>
        <v>37.300000000000004</v>
      </c>
      <c r="E21" s="34">
        <f t="shared" si="2"/>
        <v>40.930000000000007</v>
      </c>
      <c r="F21" s="34">
        <f t="shared" si="2"/>
        <v>44.923000000000009</v>
      </c>
      <c r="G21" s="34">
        <f t="shared" si="2"/>
        <v>49.315300000000015</v>
      </c>
      <c r="H21" s="34">
        <f t="shared" si="2"/>
        <v>54.146830000000008</v>
      </c>
      <c r="I21" s="34">
        <f t="shared" si="2"/>
        <v>59.461513000000018</v>
      </c>
      <c r="J21" s="34">
        <f t="shared" si="2"/>
        <v>65.307664300000027</v>
      </c>
      <c r="K21" s="154">
        <f t="shared" si="2"/>
        <v>71.738430730000047</v>
      </c>
      <c r="L21" s="2"/>
      <c r="M21" s="2"/>
    </row>
    <row r="22" spans="1:13">
      <c r="A22" s="181" t="s">
        <v>110</v>
      </c>
      <c r="B22" s="178">
        <v>20</v>
      </c>
      <c r="C22" s="178">
        <f t="shared" ref="C22:K22" si="3">B22*1.1</f>
        <v>22</v>
      </c>
      <c r="D22" s="178">
        <f t="shared" si="3"/>
        <v>24.200000000000003</v>
      </c>
      <c r="E22" s="178">
        <f t="shared" si="3"/>
        <v>26.620000000000005</v>
      </c>
      <c r="F22" s="178">
        <f t="shared" si="3"/>
        <v>29.282000000000007</v>
      </c>
      <c r="G22" s="178">
        <f t="shared" si="3"/>
        <v>32.210200000000007</v>
      </c>
      <c r="H22" s="178">
        <f t="shared" si="3"/>
        <v>35.43122000000001</v>
      </c>
      <c r="I22" s="178">
        <f t="shared" si="3"/>
        <v>38.974342000000014</v>
      </c>
      <c r="J22" s="178">
        <f t="shared" si="3"/>
        <v>42.871776200000021</v>
      </c>
      <c r="K22" s="179">
        <f t="shared" si="3"/>
        <v>47.158953820000029</v>
      </c>
      <c r="L22" s="2"/>
      <c r="M22" s="2"/>
    </row>
    <row r="23" spans="1:13">
      <c r="A23" s="187" t="s">
        <v>111</v>
      </c>
      <c r="B23" s="178">
        <v>5</v>
      </c>
      <c r="C23" s="178">
        <f t="shared" ref="C23:K23" si="4">B23*1.1</f>
        <v>5.5</v>
      </c>
      <c r="D23" s="178">
        <f t="shared" si="4"/>
        <v>6.0500000000000007</v>
      </c>
      <c r="E23" s="178">
        <f t="shared" si="4"/>
        <v>6.6550000000000011</v>
      </c>
      <c r="F23" s="178">
        <f t="shared" si="4"/>
        <v>7.3205000000000018</v>
      </c>
      <c r="G23" s="178">
        <f t="shared" si="4"/>
        <v>8.0525500000000019</v>
      </c>
      <c r="H23" s="178">
        <f t="shared" si="4"/>
        <v>8.8578050000000026</v>
      </c>
      <c r="I23" s="178">
        <f t="shared" si="4"/>
        <v>9.7435855000000036</v>
      </c>
      <c r="J23" s="178">
        <f t="shared" si="4"/>
        <v>10.717944050000005</v>
      </c>
      <c r="K23" s="179">
        <f t="shared" si="4"/>
        <v>11.789738455000007</v>
      </c>
      <c r="L23" s="2"/>
      <c r="M23" s="2"/>
    </row>
    <row r="24" spans="1:13">
      <c r="A24" s="187" t="s">
        <v>129</v>
      </c>
      <c r="B24" s="178">
        <v>5</v>
      </c>
      <c r="C24" s="178">
        <v>1</v>
      </c>
      <c r="D24" s="178">
        <v>1</v>
      </c>
      <c r="E24" s="178">
        <v>1</v>
      </c>
      <c r="F24" s="178">
        <v>1</v>
      </c>
      <c r="G24" s="178">
        <v>1</v>
      </c>
      <c r="H24" s="178">
        <v>1</v>
      </c>
      <c r="I24" s="178">
        <v>1</v>
      </c>
      <c r="J24" s="178">
        <v>1</v>
      </c>
      <c r="K24" s="179">
        <v>1</v>
      </c>
      <c r="L24" s="2"/>
      <c r="M24" s="2"/>
    </row>
    <row r="25" spans="1:13">
      <c r="A25" s="181" t="s">
        <v>112</v>
      </c>
      <c r="B25" s="178">
        <v>5</v>
      </c>
      <c r="C25" s="178">
        <f t="shared" ref="C25:K25" si="5">B25*1.1</f>
        <v>5.5</v>
      </c>
      <c r="D25" s="178">
        <f t="shared" si="5"/>
        <v>6.0500000000000007</v>
      </c>
      <c r="E25" s="178">
        <f t="shared" si="5"/>
        <v>6.6550000000000011</v>
      </c>
      <c r="F25" s="178">
        <f t="shared" si="5"/>
        <v>7.3205000000000018</v>
      </c>
      <c r="G25" s="178">
        <f t="shared" si="5"/>
        <v>8.0525500000000019</v>
      </c>
      <c r="H25" s="178">
        <f t="shared" si="5"/>
        <v>8.8578050000000026</v>
      </c>
      <c r="I25" s="178">
        <f t="shared" si="5"/>
        <v>9.7435855000000036</v>
      </c>
      <c r="J25" s="178">
        <f t="shared" si="5"/>
        <v>10.717944050000005</v>
      </c>
      <c r="K25" s="179">
        <f t="shared" si="5"/>
        <v>11.789738455000007</v>
      </c>
      <c r="L25" s="2"/>
      <c r="M25" s="2"/>
    </row>
    <row r="26" spans="1:13">
      <c r="A26" s="140"/>
      <c r="B26" s="30"/>
      <c r="C26" s="30"/>
      <c r="D26" s="30"/>
      <c r="E26" s="30"/>
      <c r="F26" s="30"/>
      <c r="G26" s="30"/>
      <c r="H26" s="30"/>
      <c r="I26" s="30"/>
      <c r="J26" s="30"/>
      <c r="K26" s="149"/>
      <c r="L26" s="2"/>
      <c r="M26" s="2"/>
    </row>
    <row r="27" spans="1:13" ht="15.75">
      <c r="A27" s="165" t="s">
        <v>113</v>
      </c>
      <c r="B27" s="34">
        <f>SUM(B28:B33)</f>
        <v>736.64999999999986</v>
      </c>
      <c r="C27" s="34">
        <f t="shared" ref="C27:K27" si="6">SUM(C28:C33)</f>
        <v>771.81000000000006</v>
      </c>
      <c r="D27" s="34">
        <f t="shared" si="6"/>
        <v>949.84</v>
      </c>
      <c r="E27" s="34">
        <f t="shared" si="6"/>
        <v>1120.1099999999999</v>
      </c>
      <c r="F27" s="34">
        <f t="shared" si="6"/>
        <v>1405.5600000000002</v>
      </c>
      <c r="G27" s="34">
        <f t="shared" si="6"/>
        <v>1691.79</v>
      </c>
      <c r="H27" s="34">
        <f t="shared" si="6"/>
        <v>2966.25</v>
      </c>
      <c r="I27" s="34">
        <f t="shared" si="6"/>
        <v>3870.5699999999997</v>
      </c>
      <c r="J27" s="34">
        <f t="shared" si="6"/>
        <v>3067.6</v>
      </c>
      <c r="K27" s="154">
        <f t="shared" si="6"/>
        <v>3559.8699999999994</v>
      </c>
      <c r="L27" s="2"/>
      <c r="M27" s="2"/>
    </row>
    <row r="28" spans="1:13">
      <c r="A28" s="181" t="s">
        <v>114</v>
      </c>
      <c r="B28" s="178">
        <v>0</v>
      </c>
      <c r="C28" s="178">
        <v>11.54</v>
      </c>
      <c r="D28" s="178">
        <v>26.97</v>
      </c>
      <c r="E28" s="178">
        <v>74.67</v>
      </c>
      <c r="F28" s="178">
        <v>114.23</v>
      </c>
      <c r="G28" s="178">
        <v>198.17</v>
      </c>
      <c r="H28" s="178">
        <v>0</v>
      </c>
      <c r="I28" s="178">
        <v>531.64</v>
      </c>
      <c r="J28" s="178">
        <v>366.51</v>
      </c>
      <c r="K28" s="179">
        <v>285.02</v>
      </c>
      <c r="L28" s="2"/>
      <c r="M28" s="2"/>
    </row>
    <row r="29" spans="1:13">
      <c r="A29" s="187" t="s">
        <v>12</v>
      </c>
      <c r="B29" s="178">
        <v>322.19</v>
      </c>
      <c r="C29" s="178">
        <v>318.19</v>
      </c>
      <c r="D29" s="178">
        <v>454.54</v>
      </c>
      <c r="E29" s="178">
        <v>488.87</v>
      </c>
      <c r="F29" s="178">
        <v>598.01</v>
      </c>
      <c r="G29" s="178">
        <v>714.01</v>
      </c>
      <c r="H29" s="178">
        <v>768.95</v>
      </c>
      <c r="I29" s="178">
        <v>955.88</v>
      </c>
      <c r="J29" s="178">
        <v>1305.43</v>
      </c>
      <c r="K29" s="179">
        <v>1598.89</v>
      </c>
      <c r="L29" s="2"/>
      <c r="M29" s="2"/>
    </row>
    <row r="30" spans="1:13">
      <c r="A30" s="181" t="s">
        <v>115</v>
      </c>
      <c r="B30" s="178">
        <v>255.6</v>
      </c>
      <c r="C30" s="178">
        <v>264.98</v>
      </c>
      <c r="D30" s="178">
        <v>295.87</v>
      </c>
      <c r="E30" s="178">
        <v>347.52</v>
      </c>
      <c r="F30" s="178">
        <v>420.61</v>
      </c>
      <c r="G30" s="178">
        <v>460.33</v>
      </c>
      <c r="H30" s="178">
        <v>571.91999999999996</v>
      </c>
      <c r="I30" s="178">
        <v>542.52</v>
      </c>
      <c r="J30" s="178">
        <v>573.1</v>
      </c>
      <c r="K30" s="179">
        <v>781.25</v>
      </c>
      <c r="L30" s="2"/>
      <c r="M30" s="2"/>
    </row>
    <row r="31" spans="1:13">
      <c r="A31" s="181" t="s">
        <v>119</v>
      </c>
      <c r="B31" s="178">
        <v>68.03</v>
      </c>
      <c r="C31" s="178">
        <v>69.8</v>
      </c>
      <c r="D31" s="178">
        <v>60.82</v>
      </c>
      <c r="E31" s="178">
        <v>73.41</v>
      </c>
      <c r="F31" s="178">
        <v>105.39</v>
      </c>
      <c r="G31" s="178">
        <v>110.71</v>
      </c>
      <c r="H31" s="178">
        <v>210.37</v>
      </c>
      <c r="I31" s="178">
        <v>105.83</v>
      </c>
      <c r="J31" s="178">
        <v>626.23</v>
      </c>
      <c r="K31" s="179">
        <v>624.30999999999995</v>
      </c>
      <c r="L31" s="2"/>
      <c r="M31" s="2"/>
    </row>
    <row r="32" spans="1:13">
      <c r="A32" s="181" t="s">
        <v>118</v>
      </c>
      <c r="B32" s="178">
        <v>55.42</v>
      </c>
      <c r="C32" s="178">
        <v>76.09</v>
      </c>
      <c r="D32" s="178">
        <v>79.959999999999994</v>
      </c>
      <c r="E32" s="178">
        <v>74.430000000000007</v>
      </c>
      <c r="F32" s="178">
        <v>97.93</v>
      </c>
      <c r="G32" s="178">
        <v>152.52000000000001</v>
      </c>
      <c r="H32" s="178">
        <v>1365.34</v>
      </c>
      <c r="I32" s="178">
        <v>1669.86</v>
      </c>
      <c r="J32" s="178">
        <v>106.47</v>
      </c>
      <c r="K32" s="179">
        <v>186.18</v>
      </c>
      <c r="L32" s="2"/>
      <c r="M32" s="2"/>
    </row>
    <row r="33" spans="1:13" ht="15.75" thickBot="1">
      <c r="A33" s="188" t="s">
        <v>13</v>
      </c>
      <c r="B33" s="189">
        <v>35.409999999999997</v>
      </c>
      <c r="C33" s="189">
        <v>31.21</v>
      </c>
      <c r="D33" s="189">
        <v>31.68</v>
      </c>
      <c r="E33" s="189">
        <v>61.21</v>
      </c>
      <c r="F33" s="189">
        <v>69.39</v>
      </c>
      <c r="G33" s="189">
        <v>56.05</v>
      </c>
      <c r="H33" s="189">
        <v>49.67</v>
      </c>
      <c r="I33" s="189">
        <v>64.84</v>
      </c>
      <c r="J33" s="189">
        <v>89.86</v>
      </c>
      <c r="K33" s="190">
        <v>84.22</v>
      </c>
      <c r="L33" s="2"/>
      <c r="M33" s="2"/>
    </row>
    <row r="34" spans="1:13">
      <c r="A34" s="1"/>
      <c r="B34" s="4"/>
      <c r="C34" s="4"/>
      <c r="D34" s="4"/>
      <c r="E34" s="4"/>
      <c r="F34" s="4"/>
      <c r="G34" s="4"/>
      <c r="H34" s="4"/>
      <c r="I34" s="4"/>
      <c r="J34" s="4"/>
      <c r="K34" s="4"/>
      <c r="L34" s="2"/>
      <c r="M34" s="2"/>
    </row>
  </sheetData>
  <mergeCells count="2">
    <mergeCell ref="A1:K1"/>
    <mergeCell ref="A2:K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dimension ref="A1:GG92"/>
  <sheetViews>
    <sheetView workbookViewId="0">
      <selection sqref="A1:K1"/>
    </sheetView>
  </sheetViews>
  <sheetFormatPr defaultRowHeight="15"/>
  <cols>
    <col min="1" max="1" width="40.140625" style="3" bestFit="1" customWidth="1"/>
    <col min="2" max="11" width="8.42578125" style="3" bestFit="1" customWidth="1"/>
    <col min="12" max="12" width="8" style="3" bestFit="1" customWidth="1"/>
    <col min="13" max="16384" width="9.140625" style="3"/>
  </cols>
  <sheetData>
    <row r="1" spans="1:189" ht="20.25" thickBot="1">
      <c r="A1" s="251" t="s">
        <v>208</v>
      </c>
      <c r="B1" s="252"/>
      <c r="C1" s="252"/>
      <c r="D1" s="252"/>
      <c r="E1" s="252"/>
      <c r="F1" s="252"/>
      <c r="G1" s="252"/>
      <c r="H1" s="252"/>
      <c r="I1" s="252"/>
      <c r="J1" s="252"/>
      <c r="K1" s="253"/>
    </row>
    <row r="2" spans="1:189" ht="16.5" customHeight="1" thickBot="1">
      <c r="A2" s="254" t="s">
        <v>237</v>
      </c>
      <c r="B2" s="255"/>
      <c r="C2" s="255"/>
      <c r="D2" s="255"/>
      <c r="E2" s="255"/>
      <c r="F2" s="255"/>
      <c r="G2" s="255"/>
      <c r="H2" s="255"/>
      <c r="I2" s="255"/>
      <c r="J2" s="255"/>
      <c r="K2" s="256"/>
    </row>
    <row r="3" spans="1:189" ht="15.75">
      <c r="A3" s="98" t="s">
        <v>206</v>
      </c>
      <c r="B3" s="99" t="s">
        <v>25</v>
      </c>
      <c r="C3" s="99" t="s">
        <v>24</v>
      </c>
      <c r="D3" s="99" t="s">
        <v>26</v>
      </c>
      <c r="E3" s="99" t="s">
        <v>27</v>
      </c>
      <c r="F3" s="99" t="s">
        <v>28</v>
      </c>
      <c r="G3" s="99" t="s">
        <v>17</v>
      </c>
      <c r="H3" s="99" t="s">
        <v>18</v>
      </c>
      <c r="I3" s="99" t="s">
        <v>19</v>
      </c>
      <c r="J3" s="99" t="s">
        <v>20</v>
      </c>
      <c r="K3" s="100" t="s">
        <v>21</v>
      </c>
      <c r="L3" s="38" t="s">
        <v>127</v>
      </c>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row>
    <row r="4" spans="1:189">
      <c r="A4" s="198" t="s">
        <v>76</v>
      </c>
      <c r="B4" s="182">
        <v>1817.49</v>
      </c>
      <c r="C4" s="182">
        <v>2373.2800000000002</v>
      </c>
      <c r="D4" s="182">
        <v>2573.86</v>
      </c>
      <c r="E4" s="182">
        <v>3021.04</v>
      </c>
      <c r="F4" s="182">
        <v>3669.97</v>
      </c>
      <c r="G4" s="182">
        <v>4407.2299999999996</v>
      </c>
      <c r="H4" s="182">
        <v>5463.9</v>
      </c>
      <c r="I4" s="182">
        <v>6680.94</v>
      </c>
      <c r="J4" s="182">
        <v>7722.3</v>
      </c>
      <c r="K4" s="183">
        <v>9632.24</v>
      </c>
      <c r="L4" s="28">
        <f>(K4/B4)^(1/9)-1</f>
        <v>0.2035740272460167</v>
      </c>
    </row>
    <row r="5" spans="1:189">
      <c r="A5" s="140"/>
      <c r="B5" s="35"/>
      <c r="C5" s="35"/>
      <c r="D5" s="35"/>
      <c r="E5" s="35"/>
      <c r="F5" s="35"/>
      <c r="G5" s="35"/>
      <c r="H5" s="35"/>
      <c r="I5" s="35"/>
      <c r="J5" s="35"/>
      <c r="K5" s="158"/>
      <c r="L5" s="28"/>
    </row>
    <row r="6" spans="1:189" ht="15.75">
      <c r="A6" s="159" t="s">
        <v>93</v>
      </c>
      <c r="B6" s="35"/>
      <c r="C6" s="35"/>
      <c r="D6" s="35"/>
      <c r="E6" s="35"/>
      <c r="F6" s="35"/>
      <c r="G6" s="35"/>
      <c r="H6" s="35"/>
      <c r="I6" s="35"/>
      <c r="J6" s="35"/>
      <c r="K6" s="158"/>
    </row>
    <row r="7" spans="1:189">
      <c r="A7" s="181" t="s">
        <v>77</v>
      </c>
      <c r="B7" s="182">
        <v>-37.56</v>
      </c>
      <c r="C7" s="182">
        <v>1.95</v>
      </c>
      <c r="D7" s="182">
        <v>-60.6</v>
      </c>
      <c r="E7" s="182">
        <v>-10.43</v>
      </c>
      <c r="F7" s="182">
        <v>-70.02</v>
      </c>
      <c r="G7" s="182">
        <v>-35.67</v>
      </c>
      <c r="H7" s="182">
        <v>-27.34</v>
      </c>
      <c r="I7" s="182">
        <v>-101.52</v>
      </c>
      <c r="J7" s="182">
        <v>-151.43</v>
      </c>
      <c r="K7" s="183">
        <v>-172.95</v>
      </c>
    </row>
    <row r="8" spans="1:189">
      <c r="A8" s="181" t="s">
        <v>78</v>
      </c>
      <c r="B8" s="182">
        <v>974.52</v>
      </c>
      <c r="C8" s="182">
        <v>1290.2</v>
      </c>
      <c r="D8" s="182">
        <v>1563.34</v>
      </c>
      <c r="E8" s="182">
        <v>1802.53</v>
      </c>
      <c r="F8" s="182">
        <v>2269.42</v>
      </c>
      <c r="G8" s="182">
        <v>2613.31</v>
      </c>
      <c r="H8" s="182">
        <v>2865.93</v>
      </c>
      <c r="I8" s="182">
        <v>3227.37</v>
      </c>
      <c r="J8" s="182">
        <v>3906.17</v>
      </c>
      <c r="K8" s="183">
        <v>5099.3500000000004</v>
      </c>
    </row>
    <row r="9" spans="1:189">
      <c r="A9" s="181" t="s">
        <v>79</v>
      </c>
      <c r="B9" s="182">
        <v>120.47</v>
      </c>
      <c r="C9" s="182">
        <v>182.56</v>
      </c>
      <c r="D9" s="182">
        <v>198.51</v>
      </c>
      <c r="E9" s="182">
        <v>219.42</v>
      </c>
      <c r="F9" s="182">
        <v>257.12</v>
      </c>
      <c r="G9" s="182">
        <v>300.88</v>
      </c>
      <c r="H9" s="182">
        <v>365.43</v>
      </c>
      <c r="I9" s="182">
        <v>432.85</v>
      </c>
      <c r="J9" s="182">
        <v>453.99</v>
      </c>
      <c r="K9" s="183">
        <v>525.97</v>
      </c>
    </row>
    <row r="10" spans="1:189">
      <c r="A10" s="181" t="s">
        <v>80</v>
      </c>
      <c r="B10" s="182">
        <v>65.509999999999991</v>
      </c>
      <c r="C10" s="182">
        <v>74.289999999999992</v>
      </c>
      <c r="D10" s="182">
        <v>86.36</v>
      </c>
      <c r="E10" s="182">
        <v>95.81</v>
      </c>
      <c r="F10" s="182">
        <v>112.19999999999999</v>
      </c>
      <c r="G10" s="182">
        <v>121.99000000000001</v>
      </c>
      <c r="H10" s="182">
        <v>682.04</v>
      </c>
      <c r="I10" s="182">
        <v>797.16</v>
      </c>
      <c r="J10" s="182">
        <v>922.31999999999994</v>
      </c>
      <c r="K10" s="183">
        <v>1073.17</v>
      </c>
    </row>
    <row r="11" spans="1:189">
      <c r="A11" s="181" t="s">
        <v>81</v>
      </c>
      <c r="B11" s="182">
        <v>60.15</v>
      </c>
      <c r="C11" s="182">
        <v>83.83</v>
      </c>
      <c r="D11" s="182">
        <v>86.79</v>
      </c>
      <c r="E11" s="182">
        <v>98.91</v>
      </c>
      <c r="F11" s="182">
        <v>121.93</v>
      </c>
      <c r="G11" s="182">
        <v>144.51</v>
      </c>
      <c r="H11" s="182">
        <v>166.95</v>
      </c>
      <c r="I11" s="182">
        <v>199.67</v>
      </c>
      <c r="J11" s="182">
        <v>206.12</v>
      </c>
      <c r="K11" s="183">
        <v>268.75</v>
      </c>
    </row>
    <row r="12" spans="1:189">
      <c r="A12" s="181" t="s">
        <v>82</v>
      </c>
      <c r="B12" s="182">
        <v>300.73</v>
      </c>
      <c r="C12" s="182">
        <v>358.21</v>
      </c>
      <c r="D12" s="182">
        <v>296.94</v>
      </c>
      <c r="E12" s="182">
        <v>345.16</v>
      </c>
      <c r="F12" s="182">
        <v>411.25</v>
      </c>
      <c r="G12" s="182">
        <v>535.19000000000005</v>
      </c>
      <c r="H12" s="182">
        <v>646.16</v>
      </c>
      <c r="I12" s="182">
        <v>800.71</v>
      </c>
      <c r="J12" s="182">
        <v>969.04</v>
      </c>
      <c r="K12" s="183">
        <v>1207.3800000000001</v>
      </c>
      <c r="L12" s="41"/>
    </row>
    <row r="13" spans="1:189">
      <c r="A13" s="181" t="s">
        <v>83</v>
      </c>
      <c r="B13" s="182">
        <v>55.77</v>
      </c>
      <c r="C13" s="182">
        <v>85.09</v>
      </c>
      <c r="D13" s="182">
        <v>67.900000000000006</v>
      </c>
      <c r="E13" s="182">
        <v>78.97</v>
      </c>
      <c r="F13" s="182">
        <v>84.93</v>
      </c>
      <c r="G13" s="182">
        <v>62.82</v>
      </c>
      <c r="H13" s="182">
        <v>90.79</v>
      </c>
      <c r="I13" s="182">
        <v>89.02</v>
      </c>
      <c r="J13" s="182">
        <v>85.22</v>
      </c>
      <c r="K13" s="183">
        <v>120.28</v>
      </c>
    </row>
    <row r="14" spans="1:189" ht="15.75">
      <c r="A14" s="153" t="s">
        <v>84</v>
      </c>
      <c r="B14" s="34">
        <f>SUM(B7:B13)</f>
        <v>1539.5900000000001</v>
      </c>
      <c r="C14" s="34">
        <f t="shared" ref="C14:K14" si="0">SUM(C7:C13)</f>
        <v>2076.13</v>
      </c>
      <c r="D14" s="34">
        <f t="shared" si="0"/>
        <v>2239.2399999999998</v>
      </c>
      <c r="E14" s="34">
        <f t="shared" si="0"/>
        <v>2630.3699999999994</v>
      </c>
      <c r="F14" s="34">
        <f t="shared" si="0"/>
        <v>3186.8299999999995</v>
      </c>
      <c r="G14" s="34">
        <f t="shared" si="0"/>
        <v>3743.0300000000007</v>
      </c>
      <c r="H14" s="34">
        <f t="shared" si="0"/>
        <v>4789.9599999999991</v>
      </c>
      <c r="I14" s="34">
        <f t="shared" si="0"/>
        <v>5445.26</v>
      </c>
      <c r="J14" s="34">
        <f t="shared" si="0"/>
        <v>6391.43</v>
      </c>
      <c r="K14" s="154">
        <f t="shared" si="0"/>
        <v>8121.9500000000007</v>
      </c>
      <c r="L14" s="28">
        <f>(K14/B14)^(1/9)-1</f>
        <v>0.20295832251699975</v>
      </c>
    </row>
    <row r="15" spans="1:189" ht="15.75">
      <c r="A15" s="153" t="s">
        <v>195</v>
      </c>
      <c r="B15" s="34">
        <f>B4-B7-B8-B10</f>
        <v>815.02</v>
      </c>
      <c r="C15" s="34">
        <f t="shared" ref="C15:K15" si="1">C4-C7-C8-C10</f>
        <v>1006.8400000000004</v>
      </c>
      <c r="D15" s="34">
        <f t="shared" si="1"/>
        <v>984.7600000000001</v>
      </c>
      <c r="E15" s="34">
        <f t="shared" si="1"/>
        <v>1133.1299999999999</v>
      </c>
      <c r="F15" s="34">
        <f t="shared" si="1"/>
        <v>1358.3699999999997</v>
      </c>
      <c r="G15" s="34">
        <f t="shared" si="1"/>
        <v>1707.5999999999997</v>
      </c>
      <c r="H15" s="34">
        <f t="shared" si="1"/>
        <v>1943.27</v>
      </c>
      <c r="I15" s="34">
        <f t="shared" si="1"/>
        <v>2757.9300000000003</v>
      </c>
      <c r="J15" s="34">
        <f t="shared" si="1"/>
        <v>3045.2400000000007</v>
      </c>
      <c r="K15" s="154">
        <f t="shared" si="1"/>
        <v>3632.67</v>
      </c>
      <c r="L15" s="28">
        <f>(K15/B15)^(1/9)-1</f>
        <v>0.18064007376451774</v>
      </c>
    </row>
    <row r="16" spans="1:189" ht="15.75">
      <c r="A16" s="153" t="s">
        <v>94</v>
      </c>
      <c r="B16" s="34">
        <f>B4-B14</f>
        <v>277.89999999999986</v>
      </c>
      <c r="C16" s="34">
        <f t="shared" ref="C16:K16" si="2">C4-C14</f>
        <v>297.15000000000009</v>
      </c>
      <c r="D16" s="34">
        <f t="shared" si="2"/>
        <v>334.62000000000035</v>
      </c>
      <c r="E16" s="34">
        <f t="shared" si="2"/>
        <v>390.67000000000053</v>
      </c>
      <c r="F16" s="34">
        <f t="shared" si="2"/>
        <v>483.14000000000033</v>
      </c>
      <c r="G16" s="34">
        <f t="shared" si="2"/>
        <v>664.19999999999891</v>
      </c>
      <c r="H16" s="34">
        <f t="shared" si="2"/>
        <v>673.94000000000051</v>
      </c>
      <c r="I16" s="34">
        <f t="shared" si="2"/>
        <v>1235.6799999999994</v>
      </c>
      <c r="J16" s="34">
        <f t="shared" si="2"/>
        <v>1330.87</v>
      </c>
      <c r="K16" s="154">
        <f t="shared" si="2"/>
        <v>1510.2899999999991</v>
      </c>
      <c r="L16" s="28">
        <f>(K16/B16)^(1/9)-1</f>
        <v>0.20694020784933254</v>
      </c>
    </row>
    <row r="17" spans="1:12">
      <c r="A17" s="181" t="s">
        <v>85</v>
      </c>
      <c r="B17" s="178">
        <v>10.58</v>
      </c>
      <c r="C17" s="178">
        <v>26.56</v>
      </c>
      <c r="D17" s="178">
        <v>32.369999999999997</v>
      </c>
      <c r="E17" s="178">
        <v>32.03</v>
      </c>
      <c r="F17" s="178">
        <v>39.9</v>
      </c>
      <c r="G17" s="178">
        <v>59.6</v>
      </c>
      <c r="H17" s="178">
        <v>51.01</v>
      </c>
      <c r="I17" s="178">
        <v>140.5</v>
      </c>
      <c r="J17" s="178">
        <v>67.98</v>
      </c>
      <c r="K17" s="179">
        <v>108.3</v>
      </c>
    </row>
    <row r="18" spans="1:12">
      <c r="A18" s="181" t="s">
        <v>87</v>
      </c>
      <c r="B18" s="178">
        <v>48.67</v>
      </c>
      <c r="C18" s="178">
        <v>70.66</v>
      </c>
      <c r="D18" s="178">
        <v>69.069999999999993</v>
      </c>
      <c r="E18" s="178">
        <v>68.22</v>
      </c>
      <c r="F18" s="178">
        <v>61.14</v>
      </c>
      <c r="G18" s="178">
        <v>59.17</v>
      </c>
      <c r="H18" s="178">
        <v>74.38</v>
      </c>
      <c r="I18" s="178">
        <v>83.56</v>
      </c>
      <c r="J18" s="178">
        <v>113.13</v>
      </c>
      <c r="K18" s="179">
        <v>121.13</v>
      </c>
    </row>
    <row r="19" spans="1:12" ht="15.75">
      <c r="A19" s="153" t="s">
        <v>95</v>
      </c>
      <c r="B19" s="34">
        <f>B16+B17-B18</f>
        <v>239.80999999999983</v>
      </c>
      <c r="C19" s="34">
        <f t="shared" ref="C19:K19" si="3">C16+C17-C18</f>
        <v>253.0500000000001</v>
      </c>
      <c r="D19" s="34">
        <f t="shared" si="3"/>
        <v>297.92000000000036</v>
      </c>
      <c r="E19" s="34">
        <f t="shared" si="3"/>
        <v>354.48000000000047</v>
      </c>
      <c r="F19" s="34">
        <f t="shared" si="3"/>
        <v>461.90000000000032</v>
      </c>
      <c r="G19" s="34">
        <f t="shared" si="3"/>
        <v>664.62999999999897</v>
      </c>
      <c r="H19" s="34">
        <f t="shared" si="3"/>
        <v>650.5700000000005</v>
      </c>
      <c r="I19" s="34">
        <f t="shared" si="3"/>
        <v>1292.6199999999994</v>
      </c>
      <c r="J19" s="34">
        <f t="shared" si="3"/>
        <v>1285.7199999999998</v>
      </c>
      <c r="K19" s="154">
        <f t="shared" si="3"/>
        <v>1497.4599999999991</v>
      </c>
      <c r="L19" s="28">
        <f>(K19/B19)^(1/9)-1</f>
        <v>0.22570949117945194</v>
      </c>
    </row>
    <row r="20" spans="1:12">
      <c r="A20" s="181" t="s">
        <v>86</v>
      </c>
      <c r="B20" s="178">
        <v>13.73</v>
      </c>
      <c r="C20" s="178">
        <v>15.2</v>
      </c>
      <c r="D20" s="178">
        <v>10.82</v>
      </c>
      <c r="E20" s="178">
        <v>11.43</v>
      </c>
      <c r="F20" s="178">
        <v>23.99</v>
      </c>
      <c r="G20" s="178">
        <v>26.37</v>
      </c>
      <c r="H20" s="178">
        <v>32.46</v>
      </c>
      <c r="I20" s="178">
        <v>36.75</v>
      </c>
      <c r="J20" s="178">
        <v>25.98</v>
      </c>
      <c r="K20" s="179">
        <v>43.38</v>
      </c>
    </row>
    <row r="21" spans="1:12">
      <c r="A21" s="181" t="s">
        <v>88</v>
      </c>
      <c r="B21" s="178">
        <v>0</v>
      </c>
      <c r="C21" s="178">
        <v>0</v>
      </c>
      <c r="D21" s="178">
        <v>0</v>
      </c>
      <c r="E21" s="178">
        <v>0</v>
      </c>
      <c r="F21" s="178">
        <v>-7.76</v>
      </c>
      <c r="G21" s="178">
        <v>-6.84</v>
      </c>
      <c r="H21" s="178">
        <v>-1.24</v>
      </c>
      <c r="I21" s="178">
        <v>1.1499999999999999</v>
      </c>
      <c r="J21" s="178">
        <v>0</v>
      </c>
      <c r="K21" s="179">
        <v>0</v>
      </c>
    </row>
    <row r="22" spans="1:12" ht="15.75">
      <c r="A22" s="153" t="s">
        <v>89</v>
      </c>
      <c r="B22" s="34">
        <f t="shared" ref="B22:H22" si="4">B19-B20+B21</f>
        <v>226.07999999999984</v>
      </c>
      <c r="C22" s="34">
        <f t="shared" si="4"/>
        <v>237.85000000000011</v>
      </c>
      <c r="D22" s="34">
        <f t="shared" si="4"/>
        <v>287.10000000000036</v>
      </c>
      <c r="E22" s="34">
        <f t="shared" si="4"/>
        <v>343.05000000000047</v>
      </c>
      <c r="F22" s="34">
        <f t="shared" si="4"/>
        <v>430.15000000000032</v>
      </c>
      <c r="G22" s="34">
        <f t="shared" si="4"/>
        <v>631.41999999999894</v>
      </c>
      <c r="H22" s="34">
        <f t="shared" si="4"/>
        <v>616.87000000000046</v>
      </c>
      <c r="I22" s="34">
        <f>I19-I20+I21</f>
        <v>1257.0199999999995</v>
      </c>
      <c r="J22" s="34">
        <f t="shared" ref="J22:K22" si="5">J19-J20+J21</f>
        <v>1259.7399999999998</v>
      </c>
      <c r="K22" s="154">
        <f t="shared" si="5"/>
        <v>1454.079999999999</v>
      </c>
      <c r="L22" s="28">
        <f>(K22/B22)^(1/9)-1</f>
        <v>0.22974203234392321</v>
      </c>
    </row>
    <row r="23" spans="1:12">
      <c r="A23" s="181" t="s">
        <v>90</v>
      </c>
      <c r="B23" s="178">
        <v>86.19</v>
      </c>
      <c r="C23" s="178">
        <v>94.05</v>
      </c>
      <c r="D23" s="178">
        <v>106.01</v>
      </c>
      <c r="E23" s="178">
        <v>132.29</v>
      </c>
      <c r="F23" s="178">
        <v>146.66</v>
      </c>
      <c r="G23" s="178">
        <v>203.37</v>
      </c>
      <c r="H23" s="178">
        <v>197.39</v>
      </c>
      <c r="I23" s="178">
        <v>373.11</v>
      </c>
      <c r="J23" s="178">
        <v>378.39</v>
      </c>
      <c r="K23" s="179">
        <v>433.5</v>
      </c>
    </row>
    <row r="24" spans="1:12" ht="15.75">
      <c r="A24" s="153" t="s">
        <v>91</v>
      </c>
      <c r="B24" s="34">
        <f t="shared" ref="B24:K24" si="6">B22-B23</f>
        <v>139.88999999999984</v>
      </c>
      <c r="C24" s="34">
        <f t="shared" si="6"/>
        <v>143.80000000000013</v>
      </c>
      <c r="D24" s="34">
        <f t="shared" si="6"/>
        <v>181.09000000000037</v>
      </c>
      <c r="E24" s="34">
        <f t="shared" si="6"/>
        <v>210.76000000000047</v>
      </c>
      <c r="F24" s="34">
        <f t="shared" si="6"/>
        <v>283.49000000000035</v>
      </c>
      <c r="G24" s="34">
        <f t="shared" si="6"/>
        <v>428.04999999999893</v>
      </c>
      <c r="H24" s="34">
        <f t="shared" si="6"/>
        <v>419.48000000000047</v>
      </c>
      <c r="I24" s="34">
        <f t="shared" si="6"/>
        <v>883.90999999999951</v>
      </c>
      <c r="J24" s="34">
        <f t="shared" si="6"/>
        <v>881.3499999999998</v>
      </c>
      <c r="K24" s="154">
        <f t="shared" si="6"/>
        <v>1020.579999999999</v>
      </c>
      <c r="L24" s="28">
        <f>(K24/B24)^(1/9)-1</f>
        <v>0.24708368653283386</v>
      </c>
    </row>
    <row r="25" spans="1:12">
      <c r="A25" s="181" t="s">
        <v>11</v>
      </c>
      <c r="B25" s="178">
        <v>-0.85</v>
      </c>
      <c r="C25" s="178">
        <v>-2.83</v>
      </c>
      <c r="D25" s="178">
        <v>-7.16</v>
      </c>
      <c r="E25" s="178">
        <v>2.33</v>
      </c>
      <c r="F25" s="178">
        <v>-2.06</v>
      </c>
      <c r="G25" s="178">
        <v>-18.87</v>
      </c>
      <c r="H25" s="178">
        <v>-21.64</v>
      </c>
      <c r="I25" s="178">
        <v>-48.27</v>
      </c>
      <c r="J25" s="178">
        <v>-38.11</v>
      </c>
      <c r="K25" s="179">
        <v>-31.85</v>
      </c>
    </row>
    <row r="26" spans="1:12">
      <c r="A26" s="181" t="s">
        <v>92</v>
      </c>
      <c r="B26" s="178">
        <v>0</v>
      </c>
      <c r="C26" s="178">
        <v>3.91</v>
      </c>
      <c r="D26" s="178">
        <v>0.15</v>
      </c>
      <c r="E26" s="178">
        <v>-0.93</v>
      </c>
      <c r="F26" s="178">
        <v>-0.4</v>
      </c>
      <c r="G26" s="178">
        <v>0</v>
      </c>
      <c r="H26" s="178">
        <v>0</v>
      </c>
      <c r="I26" s="178">
        <v>0</v>
      </c>
      <c r="J26" s="178">
        <v>0</v>
      </c>
      <c r="K26" s="179">
        <v>0</v>
      </c>
    </row>
    <row r="27" spans="1:12" ht="15.75">
      <c r="A27" s="153" t="s">
        <v>100</v>
      </c>
      <c r="B27" s="34">
        <f t="shared" ref="B27:J27" si="7">B24+B25+B26</f>
        <v>139.03999999999985</v>
      </c>
      <c r="C27" s="34">
        <f t="shared" si="7"/>
        <v>144.88000000000011</v>
      </c>
      <c r="D27" s="34">
        <f t="shared" si="7"/>
        <v>174.08000000000038</v>
      </c>
      <c r="E27" s="34">
        <f t="shared" si="7"/>
        <v>212.16000000000048</v>
      </c>
      <c r="F27" s="34">
        <f t="shared" si="7"/>
        <v>281.03000000000037</v>
      </c>
      <c r="G27" s="34">
        <f t="shared" si="7"/>
        <v>409.17999999999893</v>
      </c>
      <c r="H27" s="34">
        <f t="shared" si="7"/>
        <v>397.84000000000049</v>
      </c>
      <c r="I27" s="34">
        <f t="shared" si="7"/>
        <v>835.63999999999953</v>
      </c>
      <c r="J27" s="34">
        <f t="shared" si="7"/>
        <v>843.23999999999978</v>
      </c>
      <c r="K27" s="154">
        <f>K24+K25+K26</f>
        <v>988.729999999999</v>
      </c>
      <c r="L27" s="28">
        <f>(K27/B27)^(1/9)-1</f>
        <v>0.24354003739963503</v>
      </c>
    </row>
    <row r="28" spans="1:12" ht="15.75">
      <c r="A28" s="153" t="s">
        <v>202</v>
      </c>
      <c r="B28" s="48">
        <f>B27/'First Page'!$B$15</f>
        <v>14.49544624159318</v>
      </c>
      <c r="C28" s="48">
        <f>C27/'First Page'!$B$15</f>
        <v>15.104288344951264</v>
      </c>
      <c r="D28" s="48">
        <f>D27/'First Page'!$B$15</f>
        <v>18.148498861741579</v>
      </c>
      <c r="E28" s="48">
        <f>E27/'First Page'!$B$15</f>
        <v>22.118482987747552</v>
      </c>
      <c r="F28" s="48">
        <f>F27/'First Page'!$B$15</f>
        <v>29.298441148410109</v>
      </c>
      <c r="G28" s="48">
        <f>G27/'First Page'!$B$15</f>
        <v>42.658563673296094</v>
      </c>
      <c r="H28" s="48">
        <f>H27/'First Page'!$B$15</f>
        <v>41.476325753419481</v>
      </c>
      <c r="I28" s="48">
        <f>I27/'First Page'!$B$15</f>
        <v>87.118632748309352</v>
      </c>
      <c r="J28" s="48">
        <f>J27/'First Page'!$B$15</f>
        <v>87.910961512953421</v>
      </c>
      <c r="K28" s="48">
        <f>K27/'First Page'!$B$15</f>
        <v>103.07884466664576</v>
      </c>
      <c r="L28" s="28"/>
    </row>
    <row r="29" spans="1:12">
      <c r="A29" s="181" t="s">
        <v>97</v>
      </c>
      <c r="B29" s="178">
        <v>28.59</v>
      </c>
      <c r="C29" s="178">
        <v>33.57</v>
      </c>
      <c r="D29" s="178">
        <v>38.369999999999997</v>
      </c>
      <c r="E29" s="178">
        <v>67.14</v>
      </c>
      <c r="F29" s="178">
        <v>115.1</v>
      </c>
      <c r="G29" s="178">
        <v>62.34</v>
      </c>
      <c r="H29" s="178">
        <v>62.35</v>
      </c>
      <c r="I29" s="178">
        <v>81.53</v>
      </c>
      <c r="J29" s="178">
        <v>81.53</v>
      </c>
      <c r="K29" s="179">
        <v>91.13</v>
      </c>
    </row>
    <row r="30" spans="1:12">
      <c r="A30" s="181" t="s">
        <v>96</v>
      </c>
      <c r="B30" s="178">
        <v>41.57</v>
      </c>
      <c r="C30" s="178">
        <v>47.96</v>
      </c>
      <c r="D30" s="178">
        <v>52.76</v>
      </c>
      <c r="E30" s="178">
        <v>52.76</v>
      </c>
      <c r="F30" s="178">
        <v>9.59</v>
      </c>
      <c r="G30" s="178">
        <v>100.71</v>
      </c>
      <c r="H30" s="178">
        <v>105.51</v>
      </c>
      <c r="I30" s="178">
        <v>177.45</v>
      </c>
      <c r="J30" s="178">
        <v>225.41</v>
      </c>
      <c r="K30" s="179">
        <v>292.56</v>
      </c>
    </row>
    <row r="31" spans="1:12" ht="15.75">
      <c r="A31" s="153" t="s">
        <v>98</v>
      </c>
      <c r="B31" s="34">
        <f>B29+B30</f>
        <v>70.16</v>
      </c>
      <c r="C31" s="34">
        <f t="shared" ref="C31:K31" si="8">C29+C30</f>
        <v>81.53</v>
      </c>
      <c r="D31" s="34">
        <f t="shared" si="8"/>
        <v>91.13</v>
      </c>
      <c r="E31" s="34">
        <f t="shared" si="8"/>
        <v>119.9</v>
      </c>
      <c r="F31" s="34">
        <f t="shared" si="8"/>
        <v>124.69</v>
      </c>
      <c r="G31" s="34">
        <f t="shared" si="8"/>
        <v>163.05000000000001</v>
      </c>
      <c r="H31" s="34">
        <f t="shared" si="8"/>
        <v>167.86</v>
      </c>
      <c r="I31" s="34">
        <f t="shared" si="8"/>
        <v>258.98</v>
      </c>
      <c r="J31" s="34">
        <f t="shared" si="8"/>
        <v>306.94</v>
      </c>
      <c r="K31" s="154">
        <f t="shared" si="8"/>
        <v>383.69</v>
      </c>
      <c r="L31" s="28">
        <f>(K31/B31)^(1/9)-1</f>
        <v>0.20778012256649392</v>
      </c>
    </row>
    <row r="32" spans="1:12">
      <c r="A32" s="1"/>
      <c r="B32" s="4"/>
      <c r="C32" s="4"/>
      <c r="D32" s="4"/>
      <c r="E32" s="4"/>
      <c r="F32" s="4"/>
      <c r="G32" s="4"/>
      <c r="H32" s="4"/>
      <c r="I32" s="4"/>
      <c r="J32" s="4"/>
      <c r="K32" s="4"/>
    </row>
    <row r="33" spans="1:11">
      <c r="A33" s="1"/>
      <c r="B33" s="4"/>
      <c r="C33" s="4"/>
      <c r="D33" s="4"/>
      <c r="E33" s="4"/>
      <c r="F33" s="4"/>
      <c r="G33" s="4"/>
      <c r="H33" s="4"/>
      <c r="I33" s="4"/>
      <c r="J33" s="4"/>
      <c r="K33" s="4"/>
    </row>
    <row r="34" spans="1:11">
      <c r="B34" s="2"/>
      <c r="C34" s="2"/>
      <c r="D34" s="2"/>
      <c r="E34" s="2"/>
      <c r="F34" s="2"/>
      <c r="G34" s="2"/>
      <c r="H34" s="2"/>
      <c r="I34" s="2"/>
      <c r="J34" s="2"/>
      <c r="K34" s="2"/>
    </row>
    <row r="35" spans="1:11">
      <c r="B35" s="2"/>
      <c r="C35" s="2"/>
      <c r="D35" s="2"/>
      <c r="E35" s="2"/>
      <c r="F35" s="2"/>
      <c r="G35" s="2"/>
      <c r="H35" s="2"/>
      <c r="I35" s="2"/>
      <c r="J35" s="2"/>
      <c r="K35" s="2"/>
    </row>
    <row r="36" spans="1:11">
      <c r="B36" s="2"/>
      <c r="C36" s="2"/>
      <c r="D36" s="2"/>
      <c r="E36" s="2"/>
      <c r="F36" s="2"/>
      <c r="G36" s="2"/>
      <c r="H36" s="2"/>
      <c r="I36" s="2"/>
      <c r="J36" s="2"/>
      <c r="K36" s="2"/>
    </row>
    <row r="37" spans="1:11">
      <c r="B37" s="2"/>
      <c r="C37" s="2"/>
      <c r="D37" s="2"/>
      <c r="E37" s="2"/>
      <c r="F37" s="2"/>
      <c r="G37" s="2"/>
      <c r="H37" s="2"/>
      <c r="I37" s="2"/>
      <c r="J37" s="2"/>
      <c r="K37" s="2"/>
    </row>
    <row r="38" spans="1:11">
      <c r="B38" s="2"/>
      <c r="C38" s="2"/>
      <c r="D38" s="2"/>
      <c r="E38" s="2"/>
      <c r="F38" s="2"/>
      <c r="G38" s="2"/>
      <c r="H38" s="2"/>
      <c r="I38" s="2"/>
      <c r="J38" s="2"/>
      <c r="K38" s="2"/>
    </row>
    <row r="39" spans="1:11">
      <c r="B39" s="2"/>
      <c r="C39" s="2"/>
      <c r="D39" s="2"/>
      <c r="E39" s="2"/>
      <c r="F39" s="2"/>
      <c r="G39" s="2"/>
      <c r="H39" s="2"/>
      <c r="I39" s="2"/>
      <c r="J39" s="2"/>
      <c r="K39" s="2"/>
    </row>
    <row r="40" spans="1:11">
      <c r="B40" s="2"/>
      <c r="C40" s="2"/>
      <c r="D40" s="2"/>
      <c r="E40" s="2"/>
      <c r="F40" s="2"/>
      <c r="G40" s="2"/>
      <c r="H40" s="2"/>
      <c r="I40" s="2"/>
      <c r="J40" s="2"/>
      <c r="K40" s="2"/>
    </row>
    <row r="41" spans="1:11">
      <c r="B41" s="2"/>
      <c r="C41" s="2"/>
      <c r="D41" s="2"/>
      <c r="E41" s="2"/>
      <c r="F41" s="2"/>
      <c r="G41" s="2"/>
      <c r="H41" s="2"/>
      <c r="I41" s="2"/>
      <c r="J41" s="2"/>
      <c r="K41" s="2"/>
    </row>
    <row r="42" spans="1:11">
      <c r="B42" s="2"/>
      <c r="C42" s="2"/>
      <c r="D42" s="2"/>
      <c r="E42" s="2"/>
      <c r="F42" s="2"/>
      <c r="G42" s="2"/>
      <c r="H42" s="2"/>
      <c r="I42" s="2"/>
      <c r="J42" s="2"/>
      <c r="K42" s="2"/>
    </row>
    <row r="43" spans="1:11">
      <c r="B43" s="2"/>
      <c r="C43" s="2"/>
      <c r="D43" s="2"/>
      <c r="E43" s="2"/>
      <c r="F43" s="2"/>
      <c r="G43" s="2"/>
      <c r="H43" s="2"/>
      <c r="I43" s="2"/>
      <c r="J43" s="2"/>
      <c r="K43" s="2"/>
    </row>
    <row r="44" spans="1:11">
      <c r="B44" s="2"/>
      <c r="C44" s="2"/>
      <c r="D44" s="2"/>
      <c r="E44" s="2"/>
      <c r="F44" s="2"/>
      <c r="G44" s="2"/>
      <c r="H44" s="2"/>
      <c r="I44" s="2"/>
      <c r="J44" s="2"/>
      <c r="K44" s="2"/>
    </row>
    <row r="45" spans="1:11">
      <c r="B45" s="2"/>
      <c r="C45" s="2"/>
      <c r="D45" s="2"/>
      <c r="E45" s="2"/>
      <c r="F45" s="2"/>
      <c r="G45" s="2"/>
      <c r="H45" s="2"/>
      <c r="I45" s="2"/>
      <c r="J45" s="2"/>
      <c r="K45" s="2"/>
    </row>
    <row r="46" spans="1:11">
      <c r="B46" s="2"/>
      <c r="C46" s="2"/>
      <c r="D46" s="2"/>
      <c r="E46" s="2"/>
      <c r="F46" s="2"/>
      <c r="G46" s="2"/>
      <c r="H46" s="2"/>
      <c r="I46" s="2"/>
      <c r="J46" s="2"/>
      <c r="K46" s="2"/>
    </row>
    <row r="47" spans="1:11">
      <c r="B47" s="2"/>
      <c r="C47" s="2"/>
      <c r="D47" s="2"/>
      <c r="E47" s="2"/>
      <c r="F47" s="2"/>
      <c r="G47" s="2"/>
      <c r="H47" s="2"/>
      <c r="I47" s="2"/>
      <c r="J47" s="2"/>
      <c r="K47" s="2"/>
    </row>
    <row r="48" spans="1:11">
      <c r="B48" s="2"/>
      <c r="C48" s="2"/>
      <c r="D48" s="2"/>
      <c r="E48" s="2"/>
      <c r="F48" s="2"/>
      <c r="G48" s="2"/>
      <c r="H48" s="2"/>
      <c r="I48" s="2"/>
      <c r="J48" s="2"/>
      <c r="K48" s="2"/>
    </row>
    <row r="49" spans="2:11">
      <c r="B49" s="2"/>
      <c r="C49" s="2"/>
      <c r="D49" s="2"/>
      <c r="E49" s="2"/>
      <c r="F49" s="2"/>
      <c r="G49" s="2"/>
      <c r="H49" s="2"/>
      <c r="I49" s="2"/>
      <c r="J49" s="2"/>
      <c r="K49" s="2"/>
    </row>
    <row r="50" spans="2:11">
      <c r="B50" s="2"/>
      <c r="C50" s="2"/>
      <c r="D50" s="2"/>
      <c r="E50" s="2"/>
      <c r="F50" s="2"/>
      <c r="G50" s="2"/>
      <c r="H50" s="2"/>
      <c r="I50" s="2"/>
      <c r="J50" s="2"/>
      <c r="K50" s="2"/>
    </row>
    <row r="51" spans="2:11">
      <c r="B51" s="2"/>
      <c r="C51" s="2"/>
      <c r="D51" s="2"/>
      <c r="E51" s="2"/>
      <c r="F51" s="2"/>
      <c r="G51" s="2"/>
      <c r="H51" s="2"/>
      <c r="I51" s="2"/>
      <c r="J51" s="2"/>
      <c r="K51" s="2"/>
    </row>
    <row r="52" spans="2:11">
      <c r="B52" s="2"/>
      <c r="C52" s="2"/>
      <c r="D52" s="2"/>
      <c r="E52" s="2"/>
      <c r="F52" s="2"/>
      <c r="G52" s="2"/>
      <c r="H52" s="2"/>
      <c r="I52" s="2"/>
      <c r="J52" s="2"/>
      <c r="K52" s="2"/>
    </row>
    <row r="53" spans="2:11">
      <c r="B53" s="2"/>
      <c r="C53" s="2"/>
      <c r="D53" s="2"/>
      <c r="E53" s="2"/>
      <c r="F53" s="2"/>
      <c r="G53" s="2"/>
      <c r="H53" s="2"/>
      <c r="I53" s="2"/>
      <c r="J53" s="2"/>
      <c r="K53" s="2"/>
    </row>
    <row r="54" spans="2:11">
      <c r="B54" s="2"/>
      <c r="C54" s="2"/>
      <c r="D54" s="2"/>
      <c r="E54" s="2"/>
      <c r="F54" s="2"/>
      <c r="G54" s="2"/>
      <c r="H54" s="2"/>
      <c r="I54" s="2"/>
      <c r="J54" s="2"/>
      <c r="K54" s="2"/>
    </row>
    <row r="55" spans="2:11">
      <c r="B55" s="2"/>
      <c r="C55" s="2"/>
      <c r="D55" s="2"/>
      <c r="E55" s="2"/>
      <c r="F55" s="2"/>
      <c r="G55" s="2"/>
      <c r="H55" s="2"/>
      <c r="I55" s="2"/>
      <c r="J55" s="2"/>
      <c r="K55" s="2"/>
    </row>
    <row r="56" spans="2:11">
      <c r="B56" s="2"/>
      <c r="C56" s="2"/>
      <c r="D56" s="2"/>
      <c r="E56" s="2"/>
      <c r="F56" s="2"/>
      <c r="G56" s="2"/>
      <c r="H56" s="2"/>
      <c r="I56" s="2"/>
      <c r="J56" s="2"/>
      <c r="K56" s="2"/>
    </row>
    <row r="57" spans="2:11">
      <c r="B57" s="2"/>
      <c r="C57" s="2"/>
      <c r="D57" s="2"/>
      <c r="E57" s="2"/>
      <c r="F57" s="2"/>
      <c r="G57" s="2"/>
      <c r="H57" s="2"/>
      <c r="I57" s="2"/>
      <c r="J57" s="2"/>
      <c r="K57" s="2"/>
    </row>
    <row r="58" spans="2:11">
      <c r="B58" s="2"/>
      <c r="C58" s="2"/>
      <c r="D58" s="2"/>
      <c r="E58" s="2"/>
      <c r="F58" s="2"/>
      <c r="G58" s="2"/>
      <c r="H58" s="2"/>
      <c r="I58" s="2"/>
      <c r="J58" s="2"/>
      <c r="K58" s="2"/>
    </row>
    <row r="59" spans="2:11">
      <c r="B59" s="2"/>
      <c r="C59" s="2"/>
      <c r="D59" s="2"/>
      <c r="E59" s="2"/>
      <c r="F59" s="2"/>
      <c r="G59" s="2"/>
      <c r="H59" s="2"/>
      <c r="I59" s="2"/>
      <c r="J59" s="2"/>
      <c r="K59" s="2"/>
    </row>
    <row r="60" spans="2:11">
      <c r="B60" s="2"/>
      <c r="C60" s="2"/>
      <c r="D60" s="2"/>
      <c r="E60" s="2"/>
      <c r="F60" s="2"/>
      <c r="G60" s="2"/>
      <c r="H60" s="2"/>
      <c r="I60" s="2"/>
      <c r="J60" s="2"/>
      <c r="K60" s="2"/>
    </row>
    <row r="61" spans="2:11">
      <c r="B61" s="2"/>
      <c r="C61" s="2"/>
      <c r="D61" s="2"/>
      <c r="E61" s="2"/>
      <c r="F61" s="2"/>
      <c r="G61" s="2"/>
      <c r="H61" s="2"/>
      <c r="I61" s="2"/>
      <c r="J61" s="2"/>
      <c r="K61" s="2"/>
    </row>
    <row r="62" spans="2:11">
      <c r="B62" s="2"/>
      <c r="C62" s="2"/>
      <c r="D62" s="2"/>
      <c r="E62" s="2"/>
      <c r="F62" s="2"/>
      <c r="G62" s="2"/>
      <c r="H62" s="2"/>
      <c r="I62" s="2"/>
      <c r="J62" s="2"/>
      <c r="K62" s="2"/>
    </row>
    <row r="63" spans="2:11">
      <c r="B63" s="2"/>
      <c r="C63" s="2"/>
      <c r="D63" s="2"/>
      <c r="E63" s="2"/>
      <c r="F63" s="2"/>
      <c r="G63" s="2"/>
      <c r="H63" s="2"/>
      <c r="I63" s="2"/>
      <c r="J63" s="2"/>
      <c r="K63" s="2"/>
    </row>
    <row r="64" spans="2:11">
      <c r="B64" s="2"/>
      <c r="C64" s="2"/>
      <c r="D64" s="2"/>
      <c r="E64" s="2"/>
      <c r="F64" s="2"/>
      <c r="G64" s="2"/>
      <c r="H64" s="2"/>
      <c r="I64" s="2"/>
      <c r="J64" s="2"/>
      <c r="K64" s="2"/>
    </row>
    <row r="65" spans="2:11">
      <c r="B65" s="2"/>
      <c r="C65" s="2"/>
      <c r="D65" s="2"/>
      <c r="E65" s="2"/>
      <c r="F65" s="2"/>
      <c r="G65" s="2"/>
      <c r="H65" s="2"/>
      <c r="I65" s="2"/>
      <c r="J65" s="2"/>
      <c r="K65" s="2"/>
    </row>
    <row r="66" spans="2:11">
      <c r="B66" s="2"/>
      <c r="C66" s="2"/>
      <c r="D66" s="2"/>
      <c r="E66" s="2"/>
      <c r="F66" s="2"/>
      <c r="G66" s="2"/>
      <c r="H66" s="2"/>
      <c r="I66" s="2"/>
      <c r="J66" s="2"/>
      <c r="K66" s="2"/>
    </row>
    <row r="67" spans="2:11">
      <c r="B67" s="2"/>
      <c r="C67" s="2"/>
      <c r="D67" s="2"/>
      <c r="E67" s="2"/>
      <c r="F67" s="2"/>
      <c r="G67" s="2"/>
      <c r="H67" s="2"/>
      <c r="I67" s="2"/>
      <c r="J67" s="2"/>
      <c r="K67" s="2"/>
    </row>
    <row r="68" spans="2:11">
      <c r="B68" s="2"/>
      <c r="C68" s="2"/>
      <c r="D68" s="2"/>
      <c r="E68" s="2"/>
      <c r="F68" s="2"/>
      <c r="G68" s="2"/>
      <c r="H68" s="2"/>
      <c r="I68" s="2"/>
      <c r="J68" s="2"/>
      <c r="K68" s="2"/>
    </row>
    <row r="69" spans="2:11">
      <c r="B69" s="2"/>
      <c r="C69" s="2"/>
      <c r="D69" s="2"/>
      <c r="E69" s="2"/>
      <c r="F69" s="2"/>
      <c r="G69" s="2"/>
      <c r="H69" s="2"/>
      <c r="I69" s="2"/>
      <c r="J69" s="2"/>
      <c r="K69" s="2"/>
    </row>
    <row r="70" spans="2:11">
      <c r="B70" s="2"/>
      <c r="C70" s="2"/>
      <c r="D70" s="2"/>
      <c r="E70" s="2"/>
      <c r="F70" s="2"/>
      <c r="G70" s="2"/>
      <c r="H70" s="2"/>
      <c r="I70" s="2"/>
      <c r="J70" s="2"/>
      <c r="K70" s="2"/>
    </row>
    <row r="71" spans="2:11">
      <c r="B71" s="2"/>
      <c r="C71" s="2"/>
      <c r="D71" s="2"/>
      <c r="E71" s="2"/>
      <c r="F71" s="2"/>
      <c r="G71" s="2"/>
      <c r="H71" s="2"/>
      <c r="I71" s="2"/>
      <c r="J71" s="2"/>
      <c r="K71" s="2"/>
    </row>
    <row r="72" spans="2:11">
      <c r="B72" s="2"/>
      <c r="C72" s="2"/>
      <c r="D72" s="2"/>
      <c r="E72" s="2"/>
      <c r="F72" s="2"/>
      <c r="G72" s="2"/>
      <c r="H72" s="2"/>
      <c r="I72" s="2"/>
      <c r="J72" s="2"/>
      <c r="K72" s="2"/>
    </row>
    <row r="73" spans="2:11">
      <c r="B73" s="2"/>
      <c r="C73" s="2"/>
      <c r="D73" s="2"/>
      <c r="E73" s="2"/>
      <c r="F73" s="2"/>
      <c r="G73" s="2"/>
      <c r="H73" s="2"/>
      <c r="I73" s="2"/>
      <c r="J73" s="2"/>
      <c r="K73" s="2"/>
    </row>
    <row r="74" spans="2:11">
      <c r="B74" s="2"/>
      <c r="C74" s="2"/>
      <c r="D74" s="2"/>
      <c r="E74" s="2"/>
      <c r="F74" s="2"/>
      <c r="G74" s="2"/>
      <c r="H74" s="2"/>
      <c r="I74" s="2"/>
      <c r="J74" s="2"/>
      <c r="K74" s="2"/>
    </row>
    <row r="75" spans="2:11">
      <c r="B75" s="2"/>
      <c r="C75" s="2"/>
      <c r="D75" s="2"/>
      <c r="E75" s="2"/>
      <c r="F75" s="2"/>
      <c r="G75" s="2"/>
      <c r="H75" s="2"/>
      <c r="I75" s="2"/>
      <c r="J75" s="2"/>
      <c r="K75" s="2"/>
    </row>
    <row r="76" spans="2:11">
      <c r="B76" s="2"/>
      <c r="C76" s="2"/>
      <c r="D76" s="2"/>
      <c r="E76" s="2"/>
      <c r="F76" s="2"/>
      <c r="G76" s="2"/>
      <c r="H76" s="2"/>
      <c r="I76" s="2"/>
      <c r="J76" s="2"/>
      <c r="K76" s="2"/>
    </row>
    <row r="77" spans="2:11">
      <c r="B77" s="2"/>
      <c r="C77" s="2"/>
      <c r="D77" s="2"/>
      <c r="E77" s="2"/>
      <c r="F77" s="2"/>
      <c r="G77" s="2"/>
      <c r="H77" s="2"/>
      <c r="I77" s="2"/>
      <c r="J77" s="2"/>
      <c r="K77" s="2"/>
    </row>
    <row r="78" spans="2:11">
      <c r="B78" s="2"/>
      <c r="C78" s="2"/>
      <c r="D78" s="2"/>
      <c r="E78" s="2"/>
      <c r="F78" s="2"/>
      <c r="G78" s="2"/>
      <c r="H78" s="2"/>
      <c r="I78" s="2"/>
      <c r="J78" s="2"/>
      <c r="K78" s="2"/>
    </row>
    <row r="79" spans="2:11">
      <c r="B79" s="2"/>
      <c r="C79" s="2"/>
      <c r="D79" s="2"/>
      <c r="E79" s="2"/>
      <c r="F79" s="2"/>
      <c r="G79" s="2"/>
      <c r="H79" s="2"/>
      <c r="I79" s="2"/>
      <c r="J79" s="2"/>
      <c r="K79" s="2"/>
    </row>
    <row r="80" spans="2:11">
      <c r="B80" s="2"/>
      <c r="C80" s="2"/>
      <c r="D80" s="2"/>
      <c r="E80" s="2"/>
      <c r="F80" s="2"/>
      <c r="G80" s="2"/>
      <c r="H80" s="2"/>
      <c r="I80" s="2"/>
      <c r="J80" s="2"/>
      <c r="K80" s="2"/>
    </row>
    <row r="81" spans="2:11">
      <c r="B81" s="2"/>
      <c r="C81" s="2"/>
      <c r="D81" s="2"/>
      <c r="E81" s="2"/>
      <c r="F81" s="2"/>
      <c r="G81" s="2"/>
      <c r="H81" s="2"/>
      <c r="I81" s="2"/>
      <c r="J81" s="2"/>
      <c r="K81" s="2"/>
    </row>
    <row r="82" spans="2:11">
      <c r="B82" s="2"/>
      <c r="C82" s="2"/>
      <c r="D82" s="2"/>
      <c r="E82" s="2"/>
      <c r="F82" s="2"/>
      <c r="G82" s="2"/>
      <c r="H82" s="2"/>
      <c r="I82" s="2"/>
      <c r="J82" s="2"/>
      <c r="K82" s="2"/>
    </row>
    <row r="83" spans="2:11">
      <c r="B83" s="2"/>
      <c r="C83" s="2"/>
      <c r="D83" s="2"/>
      <c r="E83" s="2"/>
      <c r="F83" s="2"/>
      <c r="G83" s="2"/>
      <c r="H83" s="2"/>
      <c r="I83" s="2"/>
      <c r="J83" s="2"/>
      <c r="K83" s="2"/>
    </row>
    <row r="84" spans="2:11">
      <c r="B84" s="2"/>
      <c r="C84" s="2"/>
      <c r="D84" s="2"/>
      <c r="E84" s="2"/>
      <c r="F84" s="2"/>
      <c r="G84" s="2"/>
      <c r="H84" s="2"/>
      <c r="I84" s="2"/>
      <c r="J84" s="2"/>
      <c r="K84" s="2"/>
    </row>
    <row r="85" spans="2:11">
      <c r="B85" s="2"/>
      <c r="C85" s="2"/>
      <c r="D85" s="2"/>
      <c r="E85" s="2"/>
      <c r="F85" s="2"/>
      <c r="G85" s="2"/>
      <c r="H85" s="2"/>
      <c r="I85" s="2"/>
      <c r="J85" s="2"/>
      <c r="K85" s="2"/>
    </row>
    <row r="86" spans="2:11">
      <c r="B86" s="2"/>
      <c r="C86" s="2"/>
      <c r="D86" s="2"/>
      <c r="E86" s="2"/>
      <c r="F86" s="2"/>
      <c r="G86" s="2"/>
      <c r="H86" s="2"/>
      <c r="I86" s="2"/>
      <c r="J86" s="2"/>
      <c r="K86" s="2"/>
    </row>
    <row r="87" spans="2:11">
      <c r="B87" s="2"/>
      <c r="C87" s="2"/>
      <c r="D87" s="2"/>
      <c r="E87" s="2"/>
      <c r="F87" s="2"/>
      <c r="G87" s="2"/>
      <c r="H87" s="2"/>
      <c r="I87" s="2"/>
      <c r="J87" s="2"/>
      <c r="K87" s="2"/>
    </row>
    <row r="88" spans="2:11">
      <c r="B88" s="2"/>
      <c r="C88" s="2"/>
      <c r="D88" s="2"/>
      <c r="E88" s="2"/>
      <c r="F88" s="2"/>
      <c r="G88" s="2"/>
      <c r="H88" s="2"/>
      <c r="I88" s="2"/>
      <c r="J88" s="2"/>
      <c r="K88" s="2"/>
    </row>
    <row r="89" spans="2:11">
      <c r="B89" s="2"/>
      <c r="C89" s="2"/>
      <c r="D89" s="2"/>
      <c r="E89" s="2"/>
      <c r="F89" s="2"/>
      <c r="G89" s="2"/>
      <c r="H89" s="2"/>
      <c r="I89" s="2"/>
      <c r="J89" s="2"/>
      <c r="K89" s="2"/>
    </row>
    <row r="90" spans="2:11">
      <c r="B90" s="2"/>
      <c r="C90" s="2"/>
      <c r="D90" s="2"/>
      <c r="E90" s="2"/>
      <c r="F90" s="2"/>
      <c r="G90" s="2"/>
      <c r="H90" s="2"/>
      <c r="I90" s="2"/>
      <c r="J90" s="2"/>
      <c r="K90" s="2"/>
    </row>
    <row r="91" spans="2:11">
      <c r="B91" s="2"/>
      <c r="C91" s="2"/>
      <c r="D91" s="2"/>
      <c r="E91" s="2"/>
      <c r="F91" s="2"/>
      <c r="G91" s="2"/>
      <c r="H91" s="2"/>
      <c r="I91" s="2"/>
      <c r="J91" s="2"/>
      <c r="K91" s="2"/>
    </row>
    <row r="92" spans="2:11">
      <c r="B92" s="2"/>
      <c r="C92" s="2"/>
      <c r="D92" s="2"/>
      <c r="E92" s="2"/>
      <c r="F92" s="2"/>
      <c r="G92" s="2"/>
      <c r="H92" s="2"/>
      <c r="I92" s="2"/>
      <c r="J92" s="2"/>
      <c r="K92" s="2"/>
    </row>
  </sheetData>
  <mergeCells count="2">
    <mergeCell ref="A1:K1"/>
    <mergeCell ref="A2:K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AW9"/>
  <sheetViews>
    <sheetView workbookViewId="0">
      <selection sqref="A1:K1"/>
    </sheetView>
  </sheetViews>
  <sheetFormatPr defaultRowHeight="15"/>
  <cols>
    <col min="1" max="1" width="62" style="3" bestFit="1" customWidth="1"/>
    <col min="2" max="2" width="6.5703125" style="3" bestFit="1" customWidth="1"/>
    <col min="3" max="3" width="7.28515625" style="3" bestFit="1" customWidth="1"/>
    <col min="4" max="4" width="6.5703125" style="3" bestFit="1" customWidth="1"/>
    <col min="5" max="8" width="7.28515625" style="3" bestFit="1" customWidth="1"/>
    <col min="9" max="9" width="8.42578125" style="3" bestFit="1" customWidth="1"/>
    <col min="10" max="11" width="7.28515625" style="3" bestFit="1" customWidth="1"/>
    <col min="12" max="12" width="9.140625" style="3"/>
    <col min="13" max="18" width="11" style="3" customWidth="1"/>
    <col min="19" max="16384" width="9.140625" style="3"/>
  </cols>
  <sheetData>
    <row r="1" spans="1:49" ht="20.25" thickBot="1">
      <c r="A1" s="257" t="s">
        <v>211</v>
      </c>
      <c r="B1" s="258"/>
      <c r="C1" s="258"/>
      <c r="D1" s="258"/>
      <c r="E1" s="258"/>
      <c r="F1" s="258"/>
      <c r="G1" s="258"/>
      <c r="H1" s="258"/>
      <c r="I1" s="258"/>
      <c r="J1" s="258"/>
      <c r="K1" s="259"/>
    </row>
    <row r="2" spans="1:49" ht="15.75" thickBot="1">
      <c r="A2" s="254" t="s">
        <v>237</v>
      </c>
      <c r="B2" s="255"/>
      <c r="C2" s="255"/>
      <c r="D2" s="255"/>
      <c r="E2" s="255"/>
      <c r="F2" s="255"/>
      <c r="G2" s="255"/>
      <c r="H2" s="255"/>
      <c r="I2" s="255"/>
      <c r="J2" s="255"/>
      <c r="K2" s="256"/>
    </row>
    <row r="3" spans="1:49" ht="15.75" customHeight="1" thickBot="1">
      <c r="A3" s="98" t="s">
        <v>206</v>
      </c>
      <c r="B3" s="99" t="s">
        <v>25</v>
      </c>
      <c r="C3" s="99" t="s">
        <v>24</v>
      </c>
      <c r="D3" s="99" t="s">
        <v>26</v>
      </c>
      <c r="E3" s="99" t="s">
        <v>27</v>
      </c>
      <c r="F3" s="99" t="s">
        <v>28</v>
      </c>
      <c r="G3" s="99" t="s">
        <v>17</v>
      </c>
      <c r="H3" s="99" t="s">
        <v>18</v>
      </c>
      <c r="I3" s="99" t="s">
        <v>19</v>
      </c>
      <c r="J3" s="99" t="s">
        <v>20</v>
      </c>
      <c r="K3" s="100" t="s">
        <v>21</v>
      </c>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row>
    <row r="4" spans="1:49">
      <c r="A4" s="181" t="s">
        <v>120</v>
      </c>
      <c r="B4" s="178">
        <v>153.63</v>
      </c>
      <c r="C4" s="178">
        <v>248.78</v>
      </c>
      <c r="D4" s="178">
        <v>111.03</v>
      </c>
      <c r="E4" s="178">
        <v>178.68</v>
      </c>
      <c r="F4" s="178">
        <v>257.93</v>
      </c>
      <c r="G4" s="178">
        <v>479.82</v>
      </c>
      <c r="H4" s="178">
        <v>389.4</v>
      </c>
      <c r="I4" s="178">
        <v>1063.1600000000001</v>
      </c>
      <c r="J4" s="178">
        <v>762.46</v>
      </c>
      <c r="K4" s="179">
        <v>826.37</v>
      </c>
      <c r="L4" s="2"/>
      <c r="M4" s="2"/>
      <c r="N4" s="218" t="s">
        <v>251</v>
      </c>
      <c r="O4" s="260"/>
      <c r="P4" s="260"/>
      <c r="Q4" s="260"/>
      <c r="R4" s="261"/>
    </row>
    <row r="5" spans="1:49">
      <c r="A5" s="181" t="s">
        <v>121</v>
      </c>
      <c r="B5" s="178">
        <v>-39.950000000000003</v>
      </c>
      <c r="C5" s="178">
        <v>-44.19</v>
      </c>
      <c r="D5" s="178">
        <v>-96.7</v>
      </c>
      <c r="E5" s="178">
        <v>-86.72</v>
      </c>
      <c r="F5" s="178">
        <v>-81.95</v>
      </c>
      <c r="G5" s="178">
        <v>-308.05</v>
      </c>
      <c r="H5" s="178">
        <v>-310.05</v>
      </c>
      <c r="I5" s="178">
        <v>-395.31</v>
      </c>
      <c r="J5" s="178">
        <v>-156.1</v>
      </c>
      <c r="K5" s="179">
        <v>-673.16</v>
      </c>
      <c r="L5" s="2"/>
      <c r="M5" s="2"/>
      <c r="N5" s="262"/>
      <c r="O5" s="263"/>
      <c r="P5" s="263"/>
      <c r="Q5" s="263"/>
      <c r="R5" s="264"/>
    </row>
    <row r="6" spans="1:49" ht="15.75">
      <c r="A6" s="153" t="s">
        <v>125</v>
      </c>
      <c r="B6" s="34">
        <f>B4+B5</f>
        <v>113.67999999999999</v>
      </c>
      <c r="C6" s="34">
        <f t="shared" ref="C6:K6" si="0">C4+C5</f>
        <v>204.59</v>
      </c>
      <c r="D6" s="34">
        <f t="shared" si="0"/>
        <v>14.329999999999998</v>
      </c>
      <c r="E6" s="34">
        <f t="shared" si="0"/>
        <v>91.960000000000008</v>
      </c>
      <c r="F6" s="34">
        <f t="shared" si="0"/>
        <v>175.98000000000002</v>
      </c>
      <c r="G6" s="34">
        <f t="shared" si="0"/>
        <v>171.76999999999998</v>
      </c>
      <c r="H6" s="34">
        <f t="shared" si="0"/>
        <v>79.349999999999966</v>
      </c>
      <c r="I6" s="34">
        <f t="shared" si="0"/>
        <v>667.85000000000014</v>
      </c>
      <c r="J6" s="34">
        <f t="shared" si="0"/>
        <v>606.36</v>
      </c>
      <c r="K6" s="154">
        <f t="shared" si="0"/>
        <v>153.21000000000004</v>
      </c>
      <c r="L6" s="2"/>
      <c r="M6" s="2"/>
      <c r="N6" s="262"/>
      <c r="O6" s="263"/>
      <c r="P6" s="263"/>
      <c r="Q6" s="263"/>
      <c r="R6" s="264"/>
    </row>
    <row r="7" spans="1:49">
      <c r="A7" s="177" t="s">
        <v>122</v>
      </c>
      <c r="B7" s="178">
        <v>-70.36</v>
      </c>
      <c r="C7" s="178">
        <v>-113.15</v>
      </c>
      <c r="D7" s="178">
        <v>-73.849999999999994</v>
      </c>
      <c r="E7" s="178">
        <v>-125.03</v>
      </c>
      <c r="F7" s="178">
        <v>-109.47</v>
      </c>
      <c r="G7" s="178">
        <v>-334.79</v>
      </c>
      <c r="H7" s="178">
        <v>-270.05</v>
      </c>
      <c r="I7" s="178">
        <v>-299.02</v>
      </c>
      <c r="J7" s="178">
        <v>-440.4</v>
      </c>
      <c r="K7" s="179">
        <v>-512.13</v>
      </c>
      <c r="N7" s="262"/>
      <c r="O7" s="263"/>
      <c r="P7" s="263"/>
      <c r="Q7" s="263"/>
      <c r="R7" s="264"/>
    </row>
    <row r="8" spans="1:49" ht="15.75" thickBot="1">
      <c r="A8" s="177" t="s">
        <v>123</v>
      </c>
      <c r="B8" s="178">
        <v>-59.05</v>
      </c>
      <c r="C8" s="178">
        <v>-133.87</v>
      </c>
      <c r="D8" s="178">
        <v>-41.85</v>
      </c>
      <c r="E8" s="178">
        <v>-41.57</v>
      </c>
      <c r="F8" s="178">
        <v>-110.77</v>
      </c>
      <c r="G8" s="178">
        <v>-133.63</v>
      </c>
      <c r="H8" s="178">
        <v>-230.37</v>
      </c>
      <c r="I8" s="178">
        <v>-331.88</v>
      </c>
      <c r="J8" s="178">
        <v>-334.49</v>
      </c>
      <c r="K8" s="179">
        <v>-326.51</v>
      </c>
      <c r="N8" s="265"/>
      <c r="O8" s="266"/>
      <c r="P8" s="266"/>
      <c r="Q8" s="266"/>
      <c r="R8" s="267"/>
    </row>
    <row r="9" spans="1:49" ht="16.5" thickBot="1">
      <c r="A9" s="155" t="s">
        <v>124</v>
      </c>
      <c r="B9" s="156">
        <f t="shared" ref="B9:J9" si="1">B4+B7+B8</f>
        <v>24.22</v>
      </c>
      <c r="C9" s="156">
        <f t="shared" si="1"/>
        <v>1.7599999999999909</v>
      </c>
      <c r="D9" s="156">
        <f t="shared" si="1"/>
        <v>-4.6699999999999946</v>
      </c>
      <c r="E9" s="156">
        <f t="shared" si="1"/>
        <v>12.080000000000005</v>
      </c>
      <c r="F9" s="156">
        <f t="shared" si="1"/>
        <v>37.690000000000012</v>
      </c>
      <c r="G9" s="156">
        <f t="shared" si="1"/>
        <v>11.399999999999977</v>
      </c>
      <c r="H9" s="156">
        <f t="shared" si="1"/>
        <v>-111.02000000000004</v>
      </c>
      <c r="I9" s="156">
        <f t="shared" si="1"/>
        <v>432.2600000000001</v>
      </c>
      <c r="J9" s="156">
        <f t="shared" si="1"/>
        <v>-12.42999999999995</v>
      </c>
      <c r="K9" s="157">
        <f>K4+K7+K8</f>
        <v>-12.269999999999982</v>
      </c>
    </row>
  </sheetData>
  <mergeCells count="3">
    <mergeCell ref="A1:K1"/>
    <mergeCell ref="A2:K2"/>
    <mergeCell ref="N4:R8"/>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dimension ref="A1:U38"/>
  <sheetViews>
    <sheetView workbookViewId="0">
      <selection sqref="A1:K1"/>
    </sheetView>
  </sheetViews>
  <sheetFormatPr defaultColWidth="7.28515625" defaultRowHeight="15"/>
  <cols>
    <col min="1" max="1" width="36.7109375" style="3" bestFit="1" customWidth="1"/>
    <col min="2" max="6" width="7.85546875" style="3" bestFit="1" customWidth="1"/>
    <col min="7" max="11" width="8.42578125" style="3" bestFit="1" customWidth="1"/>
    <col min="12" max="16384" width="7.28515625" style="3"/>
  </cols>
  <sheetData>
    <row r="1" spans="1:21" s="22" customFormat="1" ht="20.25" thickBot="1">
      <c r="A1" s="251" t="s">
        <v>212</v>
      </c>
      <c r="B1" s="252"/>
      <c r="C1" s="252"/>
      <c r="D1" s="252"/>
      <c r="E1" s="252"/>
      <c r="F1" s="252"/>
      <c r="G1" s="252"/>
      <c r="H1" s="252"/>
      <c r="I1" s="252"/>
      <c r="J1" s="252"/>
      <c r="K1" s="253"/>
    </row>
    <row r="2" spans="1:21" s="22" customFormat="1" ht="15.75" thickBot="1">
      <c r="A2" s="269" t="s">
        <v>236</v>
      </c>
      <c r="B2" s="269"/>
      <c r="C2" s="269"/>
      <c r="D2" s="269"/>
      <c r="E2" s="269"/>
      <c r="F2" s="269"/>
      <c r="G2" s="269"/>
      <c r="H2" s="269"/>
      <c r="I2" s="269"/>
      <c r="J2" s="269"/>
      <c r="K2" s="269"/>
    </row>
    <row r="3" spans="1:21" s="23" customFormat="1" ht="15.75" customHeight="1">
      <c r="A3" s="139" t="s">
        <v>53</v>
      </c>
      <c r="B3" s="99" t="s">
        <v>25</v>
      </c>
      <c r="C3" s="99" t="s">
        <v>24</v>
      </c>
      <c r="D3" s="99" t="s">
        <v>26</v>
      </c>
      <c r="E3" s="99" t="s">
        <v>27</v>
      </c>
      <c r="F3" s="99" t="s">
        <v>28</v>
      </c>
      <c r="G3" s="99" t="s">
        <v>17</v>
      </c>
      <c r="H3" s="99" t="s">
        <v>18</v>
      </c>
      <c r="I3" s="99" t="s">
        <v>19</v>
      </c>
      <c r="J3" s="99" t="s">
        <v>20</v>
      </c>
      <c r="K3" s="100" t="s">
        <v>21</v>
      </c>
      <c r="O3" s="218" t="s">
        <v>249</v>
      </c>
      <c r="P3" s="219"/>
      <c r="Q3" s="219"/>
      <c r="R3" s="219"/>
      <c r="S3" s="219"/>
      <c r="T3" s="219"/>
      <c r="U3" s="220"/>
    </row>
    <row r="4" spans="1:21" ht="15" customHeight="1">
      <c r="A4" s="140" t="s">
        <v>234</v>
      </c>
      <c r="B4" s="29">
        <f>'P &amp; L Account'!B28</f>
        <v>14.49544624159318</v>
      </c>
      <c r="C4" s="29">
        <f>'P &amp; L Account'!C28</f>
        <v>15.104288344951264</v>
      </c>
      <c r="D4" s="29">
        <f>'P &amp; L Account'!D28</f>
        <v>18.148498861741579</v>
      </c>
      <c r="E4" s="29">
        <f>'P &amp; L Account'!E28</f>
        <v>22.118482987747552</v>
      </c>
      <c r="F4" s="29">
        <f>'P &amp; L Account'!F28</f>
        <v>29.298441148410109</v>
      </c>
      <c r="G4" s="29">
        <f>'P &amp; L Account'!G28</f>
        <v>42.658563673296094</v>
      </c>
      <c r="H4" s="29">
        <f>'P &amp; L Account'!H28</f>
        <v>41.476325753419481</v>
      </c>
      <c r="I4" s="29">
        <f>'P &amp; L Account'!I28</f>
        <v>87.118632748309352</v>
      </c>
      <c r="J4" s="29">
        <f>'P &amp; L Account'!J28</f>
        <v>87.910961512953421</v>
      </c>
      <c r="K4" s="141">
        <f>'P &amp; L Account'!K28</f>
        <v>103.07884466664576</v>
      </c>
      <c r="O4" s="221"/>
      <c r="P4" s="222"/>
      <c r="Q4" s="222"/>
      <c r="R4" s="222"/>
      <c r="S4" s="222"/>
      <c r="T4" s="222"/>
      <c r="U4" s="223"/>
    </row>
    <row r="5" spans="1:21" ht="15" customHeight="1">
      <c r="A5" s="140" t="s">
        <v>235</v>
      </c>
      <c r="B5" s="29">
        <f>'Balance Sheet'!B7/'First Page'!$B$15</f>
        <v>49.785352403699768</v>
      </c>
      <c r="C5" s="29">
        <f>'Balance Sheet'!C7/'First Page'!$B$15</f>
        <v>55.200293987332898</v>
      </c>
      <c r="D5" s="29">
        <f>'Balance Sheet'!D7/'First Page'!$B$15</f>
        <v>59.130661675106651</v>
      </c>
      <c r="E5" s="29">
        <f>'Balance Sheet'!E7/'First Page'!$B$15</f>
        <v>67.374008440949396</v>
      </c>
      <c r="F5" s="29">
        <f>'Balance Sheet'!F7/'First Page'!$B$15</f>
        <v>81.087551296380695</v>
      </c>
      <c r="G5" s="29">
        <f>'Balance Sheet'!G7/'First Page'!$B$15</f>
        <v>102.41579059518058</v>
      </c>
      <c r="H5" s="29">
        <f>'Balance Sheet'!H7/'First Page'!$B$15</f>
        <v>125.43502628378658</v>
      </c>
      <c r="I5" s="29">
        <f>'Balance Sheet'!I7/'First Page'!$B$15</f>
        <v>178.27188696921414</v>
      </c>
      <c r="J5" s="29">
        <f>'Balance Sheet'!J7/'First Page'!$B$15</f>
        <v>228.04681399443174</v>
      </c>
      <c r="K5" s="141">
        <f>'Balance Sheet'!K7/'First Page'!$B$15</f>
        <v>286.54152758212672</v>
      </c>
      <c r="O5" s="221"/>
      <c r="P5" s="222"/>
      <c r="Q5" s="222"/>
      <c r="R5" s="222"/>
      <c r="S5" s="222"/>
      <c r="T5" s="222"/>
      <c r="U5" s="223"/>
    </row>
    <row r="6" spans="1:21" ht="15" customHeight="1">
      <c r="A6" s="140" t="s">
        <v>62</v>
      </c>
      <c r="B6" s="36">
        <f>'P &amp; L Account'!B23/'P &amp; L Account'!B22</f>
        <v>0.38123673036093442</v>
      </c>
      <c r="C6" s="36">
        <f>'P &amp; L Account'!C23/'P &amp; L Account'!C22</f>
        <v>0.39541727979819197</v>
      </c>
      <c r="D6" s="36">
        <f>'P &amp; L Account'!D23/'P &amp; L Account'!D22</f>
        <v>0.36924416579588948</v>
      </c>
      <c r="E6" s="36">
        <f>'P &amp; L Account'!E23/'P &amp; L Account'!E22</f>
        <v>0.38562891706748231</v>
      </c>
      <c r="F6" s="36">
        <f>'P &amp; L Account'!F23/'P &amp; L Account'!F22</f>
        <v>0.34095083110542806</v>
      </c>
      <c r="G6" s="36">
        <f>'P &amp; L Account'!G23/'P &amp; L Account'!G22</f>
        <v>0.32208355769535391</v>
      </c>
      <c r="H6" s="36">
        <f>'P &amp; L Account'!H23/'P &amp; L Account'!H22</f>
        <v>0.31998638286835124</v>
      </c>
      <c r="I6" s="36">
        <f>'P &amp; L Account'!I23/'P &amp; L Account'!I22</f>
        <v>0.29682105296654004</v>
      </c>
      <c r="J6" s="36">
        <f>'P &amp; L Account'!J23/'P &amp; L Account'!J22</f>
        <v>0.30037150523123823</v>
      </c>
      <c r="K6" s="142">
        <f>'P &amp; L Account'!K23/'P &amp; L Account'!K22</f>
        <v>0.29812665052816922</v>
      </c>
      <c r="O6" s="221"/>
      <c r="P6" s="222"/>
      <c r="Q6" s="222"/>
      <c r="R6" s="222"/>
      <c r="S6" s="222"/>
      <c r="T6" s="222"/>
      <c r="U6" s="223"/>
    </row>
    <row r="7" spans="1:21" ht="15" customHeight="1">
      <c r="A7" s="140" t="s">
        <v>263</v>
      </c>
      <c r="B7" s="37">
        <f>'P &amp; L Account'!B31/'First Page'!$B$15</f>
        <v>7.314445543082412</v>
      </c>
      <c r="C7" s="37">
        <f>'P &amp; L Account'!C31/'First Page'!$B$15</f>
        <v>8.4998110765038355</v>
      </c>
      <c r="D7" s="37">
        <f>'P &amp; L Account'!D31/'First Page'!$B$15</f>
        <v>9.5006474107910517</v>
      </c>
      <c r="E7" s="37">
        <f>'P &amp; L Account'!E31/'First Page'!$B$15</f>
        <v>12.500028800108058</v>
      </c>
      <c r="F7" s="37">
        <f>'P &amp; L Account'!F31/'First Page'!$B$15</f>
        <v>12.99940442940345</v>
      </c>
      <c r="G7" s="37">
        <f>'P &amp; L Account'!G31/'First Page'!$B$15</f>
        <v>16.998579615159457</v>
      </c>
      <c r="H7" s="37">
        <f>'P &amp; L Account'!H31/'First Page'!$B$15</f>
        <v>17.500040320151282</v>
      </c>
      <c r="I7" s="37">
        <f>'P &amp; L Account'!I31/'First Page'!$B$15</f>
        <v>26.999645193094118</v>
      </c>
      <c r="J7" s="37">
        <f>'P &amp; L Account'!J31/'First Page'!$B$15</f>
        <v>31.999656713137341</v>
      </c>
      <c r="K7" s="143">
        <f>'P &amp; L Account'!K31/'First Page'!$B$15</f>
        <v>40.001134698194001</v>
      </c>
      <c r="O7" s="221"/>
      <c r="P7" s="222"/>
      <c r="Q7" s="222"/>
      <c r="R7" s="222"/>
      <c r="S7" s="222"/>
      <c r="T7" s="222"/>
      <c r="U7" s="223"/>
    </row>
    <row r="8" spans="1:21" ht="15.75" customHeight="1" thickBot="1">
      <c r="A8" s="144" t="s">
        <v>63</v>
      </c>
      <c r="B8" s="145">
        <f>'P &amp; L Account'!B31/'P &amp; L Account'!B27</f>
        <v>0.50460299194476466</v>
      </c>
      <c r="C8" s="145">
        <f>'P &amp; L Account'!C31/'P &amp; L Account'!C27</f>
        <v>0.56274157923798962</v>
      </c>
      <c r="D8" s="145">
        <f>'P &amp; L Account'!D31/'P &amp; L Account'!D27</f>
        <v>0.52349494485294001</v>
      </c>
      <c r="E8" s="145">
        <f>'P &amp; L Account'!E31/'P &amp; L Account'!E27</f>
        <v>0.56513951734539847</v>
      </c>
      <c r="F8" s="145">
        <f>'P &amp; L Account'!F31/'P &amp; L Account'!F27</f>
        <v>0.44368928584136863</v>
      </c>
      <c r="G8" s="145">
        <f>'P &amp; L Account'!G31/'P &amp; L Account'!G27</f>
        <v>0.3984798866024743</v>
      </c>
      <c r="H8" s="145">
        <f>'P &amp; L Account'!H31/'P &amp; L Account'!H27</f>
        <v>0.42192841343253523</v>
      </c>
      <c r="I8" s="145">
        <f>'P &amp; L Account'!I31/'P &amp; L Account'!I27</f>
        <v>0.3099181465702936</v>
      </c>
      <c r="J8" s="145">
        <f>'P &amp; L Account'!J31/'P &amp; L Account'!J27</f>
        <v>0.36400075897727818</v>
      </c>
      <c r="K8" s="146">
        <f>'P &amp; L Account'!K31/'P &amp; L Account'!K27</f>
        <v>0.38806347536739089</v>
      </c>
      <c r="O8" s="224"/>
      <c r="P8" s="225"/>
      <c r="Q8" s="225"/>
      <c r="R8" s="225"/>
      <c r="S8" s="225"/>
      <c r="T8" s="225"/>
      <c r="U8" s="226"/>
    </row>
    <row r="9" spans="1:21" ht="15.75" thickBot="1">
      <c r="A9" s="1"/>
      <c r="B9" s="1"/>
      <c r="C9" s="1"/>
      <c r="D9" s="1"/>
      <c r="E9" s="1"/>
      <c r="F9" s="1"/>
      <c r="G9" s="1"/>
      <c r="H9" s="1"/>
      <c r="I9" s="1"/>
      <c r="J9" s="1"/>
      <c r="K9" s="1"/>
    </row>
    <row r="10" spans="1:21" ht="15.75" customHeight="1">
      <c r="A10" s="139" t="s">
        <v>57</v>
      </c>
      <c r="B10" s="99" t="s">
        <v>25</v>
      </c>
      <c r="C10" s="99" t="s">
        <v>24</v>
      </c>
      <c r="D10" s="99" t="s">
        <v>26</v>
      </c>
      <c r="E10" s="99" t="s">
        <v>27</v>
      </c>
      <c r="F10" s="99" t="s">
        <v>28</v>
      </c>
      <c r="G10" s="99" t="s">
        <v>17</v>
      </c>
      <c r="H10" s="99" t="s">
        <v>18</v>
      </c>
      <c r="I10" s="99" t="s">
        <v>19</v>
      </c>
      <c r="J10" s="99" t="s">
        <v>20</v>
      </c>
      <c r="K10" s="100" t="s">
        <v>21</v>
      </c>
      <c r="L10" s="8"/>
      <c r="O10" s="218" t="s">
        <v>250</v>
      </c>
      <c r="P10" s="260"/>
      <c r="Q10" s="260"/>
      <c r="R10" s="260"/>
      <c r="S10" s="260"/>
      <c r="T10" s="260"/>
      <c r="U10" s="261"/>
    </row>
    <row r="11" spans="1:21" ht="15.75" customHeight="1">
      <c r="A11" s="140" t="s">
        <v>128</v>
      </c>
      <c r="B11" s="36">
        <f>('P &amp; L Account'!B4-'P &amp; L Account'!B7-'P &amp; L Account'!B8-'P &amp; L Account'!B10)/'P &amp; L Account'!B4</f>
        <v>0.44843162823454324</v>
      </c>
      <c r="C11" s="36">
        <f>('P &amp; L Account'!C4-'P &amp; L Account'!C7-'P &amp; L Account'!C8-'P &amp; L Account'!C10)/'P &amp; L Account'!C4</f>
        <v>0.42423987055888907</v>
      </c>
      <c r="D11" s="36">
        <f>('P &amp; L Account'!D4-'P &amp; L Account'!D7-'P &amp; L Account'!D8-'P &amp; L Account'!D10)/'P &amp; L Account'!D4</f>
        <v>0.38260045223904954</v>
      </c>
      <c r="E11" s="36">
        <f>('P &amp; L Account'!E4-'P &amp; L Account'!E7-'P &amp; L Account'!E8-'P &amp; L Account'!E10)/'P &amp; L Account'!E4</f>
        <v>0.37507944284087597</v>
      </c>
      <c r="F11" s="36">
        <f>('P &amp; L Account'!F4-'P &amp; L Account'!F7-'P &amp; L Account'!F8-'P &amp; L Account'!F10)/'P &amp; L Account'!F4</f>
        <v>0.37013109098984454</v>
      </c>
      <c r="G11" s="36">
        <f>('P &amp; L Account'!G4-'P &amp; L Account'!G7-'P &amp; L Account'!G8-'P &amp; L Account'!G10)/'P &amp; L Account'!G4</f>
        <v>0.38745425130977956</v>
      </c>
      <c r="H11" s="36">
        <f>('P &amp; L Account'!H4-'P &amp; L Account'!H7-'P &amp; L Account'!H8-'P &amp; L Account'!H10)/'P &amp; L Account'!H4</f>
        <v>0.35565621625578803</v>
      </c>
      <c r="I11" s="36">
        <f>('P &amp; L Account'!I4-'P &amp; L Account'!I7-'P &amp; L Account'!I8-'P &amp; L Account'!I10)/'P &amp; L Account'!I4</f>
        <v>0.41280568303262721</v>
      </c>
      <c r="J11" s="36">
        <f>('P &amp; L Account'!J4-'P &amp; L Account'!J7-'P &amp; L Account'!J8-'P &amp; L Account'!J10)/'P &amp; L Account'!J4</f>
        <v>0.39434365409269267</v>
      </c>
      <c r="K11" s="142">
        <f>('P &amp; L Account'!K4-'P &amp; L Account'!K7-'P &amp; L Account'!K8-'P &amp; L Account'!K10)/'P &amp; L Account'!K4</f>
        <v>0.37713657467006639</v>
      </c>
      <c r="L11" s="8"/>
      <c r="O11" s="262"/>
      <c r="P11" s="263"/>
      <c r="Q11" s="263"/>
      <c r="R11" s="263"/>
      <c r="S11" s="263"/>
      <c r="T11" s="263"/>
      <c r="U11" s="264"/>
    </row>
    <row r="12" spans="1:21" ht="15" customHeight="1">
      <c r="A12" s="140" t="s">
        <v>64</v>
      </c>
      <c r="B12" s="36">
        <f>'P &amp; L Account'!B16/'P &amp; L Account'!B4</f>
        <v>0.1529031796598605</v>
      </c>
      <c r="C12" s="36">
        <f>'P &amp; L Account'!C16/'P &amp; L Account'!C4</f>
        <v>0.12520646531382731</v>
      </c>
      <c r="D12" s="36">
        <f>'P &amp; L Account'!D16/'P &amp; L Account'!D4</f>
        <v>0.1300070710916679</v>
      </c>
      <c r="E12" s="36">
        <f>'P &amp; L Account'!E16/'P &amp; L Account'!E4</f>
        <v>0.12931639435426229</v>
      </c>
      <c r="F12" s="36">
        <f>'P &amp; L Account'!F16/'P &amp; L Account'!F4</f>
        <v>0.13164685269906848</v>
      </c>
      <c r="G12" s="36">
        <f>'P &amp; L Account'!G16/'P &amp; L Account'!G4</f>
        <v>0.15070690660573624</v>
      </c>
      <c r="H12" s="36">
        <f>'P &amp; L Account'!H16/'P &amp; L Account'!H4</f>
        <v>0.12334413148117655</v>
      </c>
      <c r="I12" s="36">
        <f>'P &amp; L Account'!I16/'P &amp; L Account'!I4</f>
        <v>0.18495600918433625</v>
      </c>
      <c r="J12" s="36">
        <f>'P &amp; L Account'!J16/'P &amp; L Account'!J4</f>
        <v>0.17234114188777952</v>
      </c>
      <c r="K12" s="142">
        <f>'P &amp; L Account'!K16/'P &amp; L Account'!K4</f>
        <v>0.15679530410371825</v>
      </c>
      <c r="O12" s="262"/>
      <c r="P12" s="263"/>
      <c r="Q12" s="263"/>
      <c r="R12" s="263"/>
      <c r="S12" s="263"/>
      <c r="T12" s="263"/>
      <c r="U12" s="264"/>
    </row>
    <row r="13" spans="1:21" ht="15" customHeight="1">
      <c r="A13" s="140" t="s">
        <v>65</v>
      </c>
      <c r="B13" s="36">
        <f>'P &amp; L Account'!B19/'P &amp; L Account'!B4</f>
        <v>0.13194570534088212</v>
      </c>
      <c r="C13" s="36">
        <f>'P &amp; L Account'!C19/'P &amp; L Account'!C4</f>
        <v>0.10662458706937238</v>
      </c>
      <c r="D13" s="36">
        <f>'P &amp; L Account'!D19/'P &amp; L Account'!D4</f>
        <v>0.11574833130007084</v>
      </c>
      <c r="E13" s="36">
        <f>'P &amp; L Account'!E19/'P &amp; L Account'!E4</f>
        <v>0.11733707597383698</v>
      </c>
      <c r="F13" s="36">
        <f>'P &amp; L Account'!F19/'P &amp; L Account'!F4</f>
        <v>0.12585933944964137</v>
      </c>
      <c r="G13" s="36">
        <f>'P &amp; L Account'!G19/'P &amp; L Account'!G4</f>
        <v>0.15080447355822116</v>
      </c>
      <c r="H13" s="36">
        <f>'P &amp; L Account'!H19/'P &amp; L Account'!H4</f>
        <v>0.11906696681857291</v>
      </c>
      <c r="I13" s="36">
        <f>'P &amp; L Account'!I19/'P &amp; L Account'!I4</f>
        <v>0.19347876197062083</v>
      </c>
      <c r="J13" s="36">
        <f>'P &amp; L Account'!J19/'P &amp; L Account'!J4</f>
        <v>0.16649443818551465</v>
      </c>
      <c r="K13" s="142">
        <f>'P &amp; L Account'!K19/'P &amp; L Account'!K4</f>
        <v>0.15546331902029009</v>
      </c>
      <c r="O13" s="262"/>
      <c r="P13" s="263"/>
      <c r="Q13" s="263"/>
      <c r="R13" s="263"/>
      <c r="S13" s="263"/>
      <c r="T13" s="263"/>
      <c r="U13" s="264"/>
    </row>
    <row r="14" spans="1:21" ht="15.75" customHeight="1" thickBot="1">
      <c r="A14" s="144" t="s">
        <v>66</v>
      </c>
      <c r="B14" s="145">
        <f>'P &amp; L Account'!B27/'P &amp; L Account'!B4</f>
        <v>7.650110867184956E-2</v>
      </c>
      <c r="C14" s="145">
        <f>'P &amp; L Account'!C27/'P &amp; L Account'!C4</f>
        <v>6.1046315647542683E-2</v>
      </c>
      <c r="D14" s="145">
        <f>'P &amp; L Account'!D27/'P &amp; L Account'!D4</f>
        <v>6.7633826237635447E-2</v>
      </c>
      <c r="E14" s="145">
        <f>'P &amp; L Account'!E27/'P &amp; L Account'!E4</f>
        <v>7.0227471334375083E-2</v>
      </c>
      <c r="F14" s="145">
        <f>'P &amp; L Account'!F27/'P &amp; L Account'!F4</f>
        <v>7.657555783834756E-2</v>
      </c>
      <c r="G14" s="145">
        <f>'P &amp; L Account'!G27/'P &amp; L Account'!G4</f>
        <v>9.2842896785509027E-2</v>
      </c>
      <c r="H14" s="145">
        <f>'P &amp; L Account'!H27/'P &amp; L Account'!H4</f>
        <v>7.2812459964494314E-2</v>
      </c>
      <c r="I14" s="145">
        <f>'P &amp; L Account'!I27/'P &amp; L Account'!I4</f>
        <v>0.12507820755761909</v>
      </c>
      <c r="J14" s="145">
        <f>'P &amp; L Account'!J27/'P &amp; L Account'!J4</f>
        <v>0.10919544695233283</v>
      </c>
      <c r="K14" s="146">
        <f>'P &amp; L Account'!K27/'P &amp; L Account'!K4</f>
        <v>0.10264798219313462</v>
      </c>
      <c r="O14" s="265"/>
      <c r="P14" s="266"/>
      <c r="Q14" s="266"/>
      <c r="R14" s="266"/>
      <c r="S14" s="266"/>
      <c r="T14" s="266"/>
      <c r="U14" s="267"/>
    </row>
    <row r="15" spans="1:21" ht="15.75" customHeight="1" thickBot="1">
      <c r="A15" s="1"/>
      <c r="B15" s="1"/>
      <c r="C15" s="1"/>
      <c r="D15" s="1"/>
      <c r="E15" s="1"/>
      <c r="F15" s="1"/>
      <c r="G15" s="1"/>
      <c r="H15" s="1"/>
      <c r="I15" s="1"/>
      <c r="J15" s="1"/>
      <c r="K15" s="1"/>
    </row>
    <row r="16" spans="1:21" ht="19.5" customHeight="1">
      <c r="A16" s="139" t="s">
        <v>54</v>
      </c>
      <c r="B16" s="99" t="s">
        <v>25</v>
      </c>
      <c r="C16" s="99" t="s">
        <v>24</v>
      </c>
      <c r="D16" s="99" t="s">
        <v>26</v>
      </c>
      <c r="E16" s="99" t="s">
        <v>27</v>
      </c>
      <c r="F16" s="99" t="s">
        <v>28</v>
      </c>
      <c r="G16" s="99" t="s">
        <v>17</v>
      </c>
      <c r="H16" s="99" t="s">
        <v>18</v>
      </c>
      <c r="I16" s="99" t="s">
        <v>19</v>
      </c>
      <c r="J16" s="99" t="s">
        <v>20</v>
      </c>
      <c r="K16" s="100" t="s">
        <v>21</v>
      </c>
      <c r="O16" s="268" t="s">
        <v>265</v>
      </c>
      <c r="P16" s="260"/>
      <c r="Q16" s="260"/>
      <c r="R16" s="260"/>
      <c r="S16" s="260"/>
      <c r="T16" s="260"/>
      <c r="U16" s="261"/>
    </row>
    <row r="17" spans="1:21" ht="15.75" customHeight="1">
      <c r="A17" s="140" t="s">
        <v>67</v>
      </c>
      <c r="B17" s="36">
        <f>'P &amp; L Account'!B27/'Balance Sheet'!B7</f>
        <v>0.29115885580265494</v>
      </c>
      <c r="C17" s="36">
        <f>'P &amp; L Account'!C27/'Balance Sheet'!C7</f>
        <v>0.27362695474805487</v>
      </c>
      <c r="D17" s="36">
        <f>'P &amp; L Account'!D27/'Balance Sheet'!D7</f>
        <v>0.30692196480835077</v>
      </c>
      <c r="E17" s="36">
        <f>'P &amp; L Account'!E27/'Balance Sheet'!E7</f>
        <v>0.32829400386847268</v>
      </c>
      <c r="F17" s="36">
        <f>'P &amp; L Account'!F27/'Balance Sheet'!F7</f>
        <v>0.36131860785044856</v>
      </c>
      <c r="G17" s="36">
        <f>'P &amp; L Account'!G27/'Balance Sheet'!G7</f>
        <v>0.41652330588271114</v>
      </c>
      <c r="H17" s="36">
        <f>'P &amp; L Account'!H27/'Balance Sheet'!H7</f>
        <v>0.33065984025532591</v>
      </c>
      <c r="I17" s="36">
        <f>'P &amp; L Account'!I27/'Balance Sheet'!I7</f>
        <v>0.48868407817635268</v>
      </c>
      <c r="J17" s="36">
        <f>'P &amp; L Account'!J27/'Balance Sheet'!J7</f>
        <v>0.38549524096881244</v>
      </c>
      <c r="K17" s="142">
        <f>'P &amp; L Account'!K27/'Balance Sheet'!K7</f>
        <v>0.35973440058213535</v>
      </c>
      <c r="O17" s="262"/>
      <c r="P17" s="263"/>
      <c r="Q17" s="263"/>
      <c r="R17" s="263"/>
      <c r="S17" s="263"/>
      <c r="T17" s="263"/>
      <c r="U17" s="264"/>
    </row>
    <row r="18" spans="1:21" ht="15.75" customHeight="1">
      <c r="A18" s="140" t="s">
        <v>68</v>
      </c>
      <c r="B18" s="36">
        <f>('P &amp; L Account'!B19*(1-Ratios!B6))/('Balance Sheet'!B22+'Balance Sheet'!B23+'Balance Sheet'!B27-'Balance Sheet'!B14)</f>
        <v>0.59871537964874222</v>
      </c>
      <c r="C18" s="36">
        <f>('P &amp; L Account'!C19*(1-Ratios!C6))/('Balance Sheet'!C22+'Balance Sheet'!C23+'Balance Sheet'!C27-'Balance Sheet'!C14)</f>
        <v>0.70117630206273218</v>
      </c>
      <c r="D18" s="36">
        <f>('P &amp; L Account'!D19*(1-Ratios!D6))/('Balance Sheet'!D22+'Balance Sheet'!D23+'Balance Sheet'!D27-'Balance Sheet'!D14)</f>
        <v>0.51868607503957842</v>
      </c>
      <c r="E18" s="36">
        <f>('P &amp; L Account'!E19*(1-Ratios!E6))/('Balance Sheet'!E22+'Balance Sheet'!E23+'Balance Sheet'!E27-'Balance Sheet'!E14)</f>
        <v>0.48525999950516202</v>
      </c>
      <c r="F18" s="36">
        <f>('P &amp; L Account'!F19*(1-Ratios!F6))/('Balance Sheet'!F22+'Balance Sheet'!F23+'Balance Sheet'!F27-'Balance Sheet'!F14)</f>
        <v>0.65790612999152343</v>
      </c>
      <c r="G18" s="36">
        <f>('P &amp; L Account'!G19*(1-Ratios!G6))/('Balance Sheet'!G22+'Balance Sheet'!G23+'Balance Sheet'!G27-'Balance Sheet'!G14)</f>
        <v>0.93143084698924417</v>
      </c>
      <c r="H18" s="36">
        <f>('P &amp; L Account'!H19*(1-Ratios!H6))/('Balance Sheet'!H22+'Balance Sheet'!H23+'Balance Sheet'!H27-'Balance Sheet'!H14)</f>
        <v>0.89584944687553969</v>
      </c>
      <c r="I18" s="36">
        <f>('P &amp; L Account'!I19*(1-Ratios!I6))/('Balance Sheet'!I22+'Balance Sheet'!I23+'Balance Sheet'!I27-'Balance Sheet'!I14)</f>
        <v>1.5035337390215129</v>
      </c>
      <c r="J18" s="36">
        <f>('P &amp; L Account'!J19*(1-Ratios!J6))/('Balance Sheet'!J22+'Balance Sheet'!J23+'Balance Sheet'!J27-'Balance Sheet'!J14)</f>
        <v>0.86448885676996323</v>
      </c>
      <c r="K18" s="142">
        <f>('P &amp; L Account'!K19*(1-Ratios!K6))/('Balance Sheet'!K22+'Balance Sheet'!K23+'Balance Sheet'!K24+'Balance Sheet'!K27-'Balance Sheet'!K14)</f>
        <v>1.2375237068653915</v>
      </c>
      <c r="O18" s="262"/>
      <c r="P18" s="263"/>
      <c r="Q18" s="263"/>
      <c r="R18" s="263"/>
      <c r="S18" s="263"/>
      <c r="T18" s="263"/>
      <c r="U18" s="264"/>
    </row>
    <row r="19" spans="1:21" ht="15.75" customHeight="1">
      <c r="A19" s="140" t="s">
        <v>69</v>
      </c>
      <c r="B19" s="36">
        <f>('P &amp; L Account'!B19*(1-Ratios!B6))/('Balance Sheet'!B7+'Balance Sheet'!B12+'Balance Sheet'!B15-'Balance Sheet'!B28-'Balance Sheet'!B31)</f>
        <v>0.24467906619200958</v>
      </c>
      <c r="C19" s="36">
        <f>('P &amp; L Account'!C19*(1-Ratios!C6))/('Balance Sheet'!C7+'Balance Sheet'!C12+'Balance Sheet'!C15-'Balance Sheet'!C28-'Balance Sheet'!C31)</f>
        <v>0.2477725801623871</v>
      </c>
      <c r="D19" s="36">
        <f>('P &amp; L Account'!D19*(1-Ratios!D6))/('Balance Sheet'!D7+'Balance Sheet'!D12+'Balance Sheet'!D15-'Balance Sheet'!D28-'Balance Sheet'!D31)</f>
        <v>0.26139573248492659</v>
      </c>
      <c r="E19" s="36">
        <f>('P &amp; L Account'!E19*(1-Ratios!E6))/('Balance Sheet'!E7+'Balance Sheet'!E12+'Balance Sheet'!E15-'Balance Sheet'!E28-'Balance Sheet'!E31)</f>
        <v>0.28676313315941693</v>
      </c>
      <c r="F19" s="36">
        <f>('P &amp; L Account'!F19*(1-Ratios!F6))/('Balance Sheet'!F7+'Balance Sheet'!F12+'Balance Sheet'!F15-'Balance Sheet'!F28-'Balance Sheet'!F31)</f>
        <v>0.35219336269570184</v>
      </c>
      <c r="G19" s="36">
        <f>('P &amp; L Account'!G19*(1-Ratios!G6))/('Balance Sheet'!G7+'Balance Sheet'!G12+'Balance Sheet'!G15-'Balance Sheet'!G28-'Balance Sheet'!G31)</f>
        <v>0.47492737962362841</v>
      </c>
      <c r="H19" s="36">
        <f>('P &amp; L Account'!H19*(1-Ratios!H6))/('Balance Sheet'!H7+'Balance Sheet'!H12+'Balance Sheet'!H15-'Balance Sheet'!H28-'Balance Sheet'!H31)</f>
        <v>0.33993365623498722</v>
      </c>
      <c r="I19" s="36">
        <f>('P &amp; L Account'!I19*(1-Ratios!I6))/('Balance Sheet'!I7+'Balance Sheet'!I12+'Balance Sheet'!I15-'Balance Sheet'!I28-'Balance Sheet'!I31)</f>
        <v>0.69825247016638536</v>
      </c>
      <c r="J19" s="36">
        <f>('P &amp; L Account'!J19*(1-Ratios!J6))/('Balance Sheet'!J7+'Balance Sheet'!J12+'Balance Sheet'!J15-'Balance Sheet'!J28-'Balance Sheet'!J31)</f>
        <v>0.67023295280870598</v>
      </c>
      <c r="K19" s="142">
        <f>('P &amp; L Account'!K19*(1-Ratios!K6))/('Balance Sheet'!K7+'Balance Sheet'!K12+'Balance Sheet'!K15-'Balance Sheet'!K28-'Balance Sheet'!K31)</f>
        <v>0.52899441620869669</v>
      </c>
      <c r="O19" s="262"/>
      <c r="P19" s="263"/>
      <c r="Q19" s="263"/>
      <c r="R19" s="263"/>
      <c r="S19" s="263"/>
      <c r="T19" s="263"/>
      <c r="U19" s="264"/>
    </row>
    <row r="20" spans="1:21" ht="16.5" customHeight="1" thickBot="1">
      <c r="A20" s="144" t="s">
        <v>70</v>
      </c>
      <c r="B20" s="147">
        <f>'P &amp; L Account'!B4/('Balance Sheet'!B27-'Balance Sheet'!B14)</f>
        <v>8.1560312331717864</v>
      </c>
      <c r="C20" s="147">
        <f>'P &amp; L Account'!C4/('Balance Sheet'!C27-'Balance Sheet'!C14)</f>
        <v>12.445749646022337</v>
      </c>
      <c r="D20" s="147">
        <f>'P &amp; L Account'!D4/('Balance Sheet'!D27-'Balance Sheet'!D14)</f>
        <v>7.7516564269365151</v>
      </c>
      <c r="E20" s="147">
        <f>'P &amp; L Account'!E4/('Balance Sheet'!E27-'Balance Sheet'!E14)</f>
        <v>7.2705044281863715</v>
      </c>
      <c r="F20" s="147">
        <f>'P &amp; L Account'!F4/('Balance Sheet'!F27-'Balance Sheet'!F14)</f>
        <v>8.61293123679887</v>
      </c>
      <c r="G20" s="147">
        <f>'P &amp; L Account'!G4/('Balance Sheet'!G27-'Balance Sheet'!G14)</f>
        <v>9.9380566892912743</v>
      </c>
      <c r="H20" s="147">
        <f>'P &amp; L Account'!H4/('Balance Sheet'!H27-'Balance Sheet'!H14)</f>
        <v>12.154424522845575</v>
      </c>
      <c r="I20" s="147">
        <f>'P &amp; L Account'!I4/('Balance Sheet'!I27-'Balance Sheet'!I14)</f>
        <v>12.01997049404484</v>
      </c>
      <c r="J20" s="147">
        <f>'P &amp; L Account'!J4/('Balance Sheet'!J27-'Balance Sheet'!J14)</f>
        <v>7.8244878108091678</v>
      </c>
      <c r="K20" s="148">
        <f>'P &amp; L Account'!K4/('Balance Sheet'!K27-'Balance Sheet'!K14)</f>
        <v>12.202749097358595</v>
      </c>
      <c r="O20" s="265"/>
      <c r="P20" s="266"/>
      <c r="Q20" s="266"/>
      <c r="R20" s="266"/>
      <c r="S20" s="266"/>
      <c r="T20" s="266"/>
      <c r="U20" s="267"/>
    </row>
    <row r="21" spans="1:21" ht="15.75" thickBot="1">
      <c r="A21" s="1"/>
      <c r="B21" s="1"/>
      <c r="C21" s="1"/>
      <c r="D21" s="1"/>
      <c r="E21" s="1"/>
      <c r="F21" s="1"/>
      <c r="G21" s="1"/>
      <c r="H21" s="1"/>
      <c r="I21" s="1"/>
      <c r="J21" s="1"/>
      <c r="K21" s="1"/>
    </row>
    <row r="22" spans="1:21" ht="15.75">
      <c r="A22" s="139" t="s">
        <v>55</v>
      </c>
      <c r="B22" s="99" t="s">
        <v>25</v>
      </c>
      <c r="C22" s="99" t="s">
        <v>24</v>
      </c>
      <c r="D22" s="99" t="s">
        <v>26</v>
      </c>
      <c r="E22" s="99" t="s">
        <v>27</v>
      </c>
      <c r="F22" s="99" t="s">
        <v>28</v>
      </c>
      <c r="G22" s="99" t="s">
        <v>17</v>
      </c>
      <c r="H22" s="99" t="s">
        <v>18</v>
      </c>
      <c r="I22" s="99" t="s">
        <v>19</v>
      </c>
      <c r="J22" s="99" t="s">
        <v>20</v>
      </c>
      <c r="K22" s="100" t="s">
        <v>21</v>
      </c>
    </row>
    <row r="23" spans="1:21" ht="15" customHeight="1">
      <c r="A23" s="140" t="s">
        <v>71</v>
      </c>
      <c r="B23" s="30">
        <f>'Balance Sheet'!B30/('P &amp; L Account'!B4/365)</f>
        <v>51.331231533598533</v>
      </c>
      <c r="C23" s="30">
        <f>'Balance Sheet'!C30/('P &amp; L Account'!C4/365)</f>
        <v>40.752755679902918</v>
      </c>
      <c r="D23" s="30">
        <f>'Balance Sheet'!D30/('P &amp; L Account'!D4/365)</f>
        <v>41.957429697030918</v>
      </c>
      <c r="E23" s="30">
        <f>'Balance Sheet'!E30/('P &amp; L Account'!E4/365)</f>
        <v>41.987130259778091</v>
      </c>
      <c r="F23" s="30">
        <f>'Balance Sheet'!F30/('P &amp; L Account'!F4/365)</f>
        <v>41.832126693133738</v>
      </c>
      <c r="G23" s="30">
        <f>'Balance Sheet'!G30/('P &amp; L Account'!G4/365)</f>
        <v>38.123821538698913</v>
      </c>
      <c r="H23" s="30">
        <f>'Balance Sheet'!H30/('P &amp; L Account'!H4/365)</f>
        <v>38.205457640147145</v>
      </c>
      <c r="I23" s="30">
        <f>'Balance Sheet'!I30/('P &amp; L Account'!I4/365)</f>
        <v>29.639511805225013</v>
      </c>
      <c r="J23" s="30">
        <f>'Balance Sheet'!J30/('P &amp; L Account'!J4/365)</f>
        <v>27.087978969995987</v>
      </c>
      <c r="K23" s="149">
        <f>'Balance Sheet'!K30/('P &amp; L Account'!K4/365)</f>
        <v>29.604354750296917</v>
      </c>
    </row>
    <row r="24" spans="1:21" ht="15" customHeight="1">
      <c r="A24" s="140" t="s">
        <v>16</v>
      </c>
      <c r="B24" s="30">
        <f>'Balance Sheet'!B29/('P &amp; L Account'!B4/365)</f>
        <v>64.70426247187055</v>
      </c>
      <c r="C24" s="30">
        <f>'Balance Sheet'!C29/('P &amp; L Account'!C4/365)</f>
        <v>48.936219072338702</v>
      </c>
      <c r="D24" s="30">
        <f>'Balance Sheet'!D29/('P &amp; L Account'!D4/365)</f>
        <v>64.458478705135477</v>
      </c>
      <c r="E24" s="30">
        <f>'Balance Sheet'!E29/('P &amp; L Account'!E4/365)</f>
        <v>59.064941212297754</v>
      </c>
      <c r="F24" s="30">
        <f>'Balance Sheet'!F29/('P &amp; L Account'!F4/365)</f>
        <v>59.475595168352882</v>
      </c>
      <c r="G24" s="30">
        <f>'Balance Sheet'!G29/('P &amp; L Account'!G4/365)</f>
        <v>59.133208387127517</v>
      </c>
      <c r="H24" s="30">
        <f>'Balance Sheet'!H29/('P &amp; L Account'!H4/365)</f>
        <v>51.367475612657628</v>
      </c>
      <c r="I24" s="30">
        <f>'Balance Sheet'!I29/('P &amp; L Account'!I4/365)</f>
        <v>52.222621367651861</v>
      </c>
      <c r="J24" s="30">
        <f>'Balance Sheet'!J29/('P &amp; L Account'!J4/365)</f>
        <v>61.702077101381718</v>
      </c>
      <c r="K24" s="149">
        <f>'Balance Sheet'!K29/('P &amp; L Account'!K4/365)</f>
        <v>60.587656661378873</v>
      </c>
    </row>
    <row r="25" spans="1:21" ht="15.75" customHeight="1" thickBot="1">
      <c r="A25" s="144" t="s">
        <v>72</v>
      </c>
      <c r="B25" s="150">
        <f>'Balance Sheet'!B16/('P &amp; L Account'!B4/365)</f>
        <v>46.633901699596699</v>
      </c>
      <c r="C25" s="150">
        <f>'Balance Sheet'!C16/('P &amp; L Account'!C4/365)</f>
        <v>41.898532832198477</v>
      </c>
      <c r="D25" s="150">
        <f>'Balance Sheet'!D16/('P &amp; L Account'!D4/365)</f>
        <v>41.764567614400157</v>
      </c>
      <c r="E25" s="150">
        <f>'Balance Sheet'!E16/('P &amp; L Account'!E4/365)</f>
        <v>39.825672616052749</v>
      </c>
      <c r="F25" s="150">
        <f>'Balance Sheet'!F16/('P &amp; L Account'!F4/365)</f>
        <v>44.608934132976565</v>
      </c>
      <c r="G25" s="150">
        <f>'Balance Sheet'!G16/('P &amp; L Account'!G4/365)</f>
        <v>47.368846191371908</v>
      </c>
      <c r="H25" s="150">
        <f>'Balance Sheet'!H16/('P &amp; L Account'!H4/365)</f>
        <v>37.018384304251541</v>
      </c>
      <c r="I25" s="150">
        <f>'Balance Sheet'!I16/('P &amp; L Account'!I4/365)</f>
        <v>39.243998598999546</v>
      </c>
      <c r="J25" s="150">
        <f>'Balance Sheet'!J16/('P &amp; L Account'!J4/365)</f>
        <v>51.398624762052762</v>
      </c>
      <c r="K25" s="151">
        <f>'Balance Sheet'!K16/('P &amp; L Account'!K4/365)</f>
        <v>49.141523674659268</v>
      </c>
    </row>
    <row r="26" spans="1:21" ht="15.75" customHeight="1" thickBot="1">
      <c r="A26" s="1"/>
      <c r="B26" s="1"/>
      <c r="C26" s="1"/>
      <c r="D26" s="1"/>
      <c r="E26" s="1"/>
      <c r="F26" s="1"/>
      <c r="G26" s="1"/>
      <c r="H26" s="1"/>
      <c r="I26" s="1"/>
      <c r="J26" s="1"/>
      <c r="K26" s="1"/>
    </row>
    <row r="27" spans="1:21" ht="15.75">
      <c r="A27" s="139" t="s">
        <v>210</v>
      </c>
      <c r="B27" s="99" t="s">
        <v>25</v>
      </c>
      <c r="C27" s="99" t="s">
        <v>24</v>
      </c>
      <c r="D27" s="99" t="s">
        <v>26</v>
      </c>
      <c r="E27" s="99" t="s">
        <v>27</v>
      </c>
      <c r="F27" s="99" t="s">
        <v>28</v>
      </c>
      <c r="G27" s="99" t="s">
        <v>17</v>
      </c>
      <c r="H27" s="99" t="s">
        <v>18</v>
      </c>
      <c r="I27" s="99" t="s">
        <v>19</v>
      </c>
      <c r="J27" s="99" t="s">
        <v>20</v>
      </c>
      <c r="K27" s="100" t="s">
        <v>21</v>
      </c>
    </row>
    <row r="28" spans="1:21" ht="15.75" customHeight="1">
      <c r="A28" s="140" t="s">
        <v>73</v>
      </c>
      <c r="B28" s="36"/>
      <c r="C28" s="36">
        <f>'P &amp; L Account'!C4/'P &amp; L Account'!B4-1</f>
        <v>0.30580085722617456</v>
      </c>
      <c r="D28" s="36">
        <f>'P &amp; L Account'!D4/'P &amp; L Account'!C4-1</f>
        <v>8.4515944178520819E-2</v>
      </c>
      <c r="E28" s="36">
        <f>'P &amp; L Account'!E4/'P &amp; L Account'!D4-1</f>
        <v>0.17373905340616802</v>
      </c>
      <c r="F28" s="36">
        <f>'P &amp; L Account'!F4/'P &amp; L Account'!E4-1</f>
        <v>0.21480351137356668</v>
      </c>
      <c r="G28" s="36">
        <f>'P &amp; L Account'!G4/'P &amp; L Account'!F4-1</f>
        <v>0.20088992553072638</v>
      </c>
      <c r="H28" s="36">
        <f>'P &amp; L Account'!H4/'P &amp; L Account'!G4-1</f>
        <v>0.23975830623770489</v>
      </c>
      <c r="I28" s="36">
        <f>'P &amp; L Account'!I4/'P &amp; L Account'!H4-1</f>
        <v>0.22274199747433143</v>
      </c>
      <c r="J28" s="36">
        <f>'P &amp; L Account'!J4/'P &amp; L Account'!I4-1</f>
        <v>0.15587028172682293</v>
      </c>
      <c r="K28" s="142">
        <f>'P &amp; L Account'!K4/'P &amp; L Account'!J4-1</f>
        <v>0.24732786864017187</v>
      </c>
    </row>
    <row r="29" spans="1:21">
      <c r="A29" s="140" t="s">
        <v>74</v>
      </c>
      <c r="B29" s="36"/>
      <c r="C29" s="36">
        <f>'P &amp; L Account'!C16/'P &amp; L Account'!B16-1</f>
        <v>6.9269521410580293E-2</v>
      </c>
      <c r="D29" s="36">
        <f>'P &amp; L Account'!D16/'P &amp; L Account'!C16-1</f>
        <v>0.12609793033821393</v>
      </c>
      <c r="E29" s="36">
        <f>'P &amp; L Account'!E16/'P &amp; L Account'!D16-1</f>
        <v>0.16750343673420631</v>
      </c>
      <c r="F29" s="36">
        <f>'P &amp; L Account'!F16/'P &amp; L Account'!E16-1</f>
        <v>0.23669593262856026</v>
      </c>
      <c r="G29" s="36">
        <f>'P &amp; L Account'!G16/'P &amp; L Account'!F16-1</f>
        <v>0.37475679927142957</v>
      </c>
      <c r="H29" s="36">
        <f>'P &amp; L Account'!H16/'P &amp; L Account'!G16-1</f>
        <v>1.4664257753691068E-2</v>
      </c>
      <c r="I29" s="36">
        <f>'P &amp; L Account'!I16/'P &amp; L Account'!H16-1</f>
        <v>0.83351633676588199</v>
      </c>
      <c r="J29" s="36">
        <f>'P &amp; L Account'!J16/'P &amp; L Account'!I16-1</f>
        <v>7.7034507315810297E-2</v>
      </c>
      <c r="K29" s="142">
        <f>'P &amp; L Account'!K16/'P &amp; L Account'!J16-1</f>
        <v>0.13481406899246307</v>
      </c>
    </row>
    <row r="30" spans="1:21">
      <c r="A30" s="140" t="s">
        <v>99</v>
      </c>
      <c r="B30" s="36"/>
      <c r="C30" s="36">
        <f>'P &amp; L Account'!C19/'P &amp; L Account'!B19-1</f>
        <v>5.5210374880114488E-2</v>
      </c>
      <c r="D30" s="36">
        <f>'P &amp; L Account'!D19/'P &amp; L Account'!C19-1</f>
        <v>0.17731673582296081</v>
      </c>
      <c r="E30" s="36">
        <f>'P &amp; L Account'!E19/'P &amp; L Account'!D19-1</f>
        <v>0.1898496240601506</v>
      </c>
      <c r="F30" s="36">
        <f>'P &amp; L Account'!F19/'P &amp; L Account'!E19-1</f>
        <v>0.30303543218235074</v>
      </c>
      <c r="G30" s="36">
        <f>'P &amp; L Account'!G19/'P &amp; L Account'!F19-1</f>
        <v>0.43890452478891206</v>
      </c>
      <c r="H30" s="36">
        <f>'P &amp; L Account'!H19/'P &amp; L Account'!G19-1</f>
        <v>-2.115462738666396E-2</v>
      </c>
      <c r="I30" s="36">
        <f>'P &amp; L Account'!I19/'P &amp; L Account'!H19-1</f>
        <v>0.9869037920592687</v>
      </c>
      <c r="J30" s="36">
        <f>'P &amp; L Account'!J19/'P &amp; L Account'!I19-1</f>
        <v>-5.3379956986582267E-3</v>
      </c>
      <c r="K30" s="142">
        <f>'P &amp; L Account'!K19/'P &amp; L Account'!J19-1</f>
        <v>0.16468593472917847</v>
      </c>
    </row>
    <row r="31" spans="1:21" ht="15.75" thickBot="1">
      <c r="A31" s="144" t="s">
        <v>75</v>
      </c>
      <c r="B31" s="145"/>
      <c r="C31" s="145">
        <f>'P &amp; L Account'!C27/'P &amp; L Account'!B27-1</f>
        <v>4.2002301495974281E-2</v>
      </c>
      <c r="D31" s="145">
        <f>'P &amp; L Account'!D27/'P &amp; L Account'!C27-1</f>
        <v>0.20154610712313814</v>
      </c>
      <c r="E31" s="145">
        <f>'P &amp; L Account'!E27/'P &amp; L Account'!D27-1</f>
        <v>0.21875</v>
      </c>
      <c r="F31" s="145">
        <f>'P &amp; L Account'!F27/'P &amp; L Account'!E27-1</f>
        <v>0.32461349924585092</v>
      </c>
      <c r="G31" s="145">
        <f>'P &amp; L Account'!G27/'P &amp; L Account'!F27-1</f>
        <v>0.45600113866846392</v>
      </c>
      <c r="H31" s="145">
        <f>'P &amp; L Account'!H27/'P &amp; L Account'!G27-1</f>
        <v>-2.7713964514390899E-2</v>
      </c>
      <c r="I31" s="145">
        <f>'P &amp; L Account'!I27/'P &amp; L Account'!H27-1</f>
        <v>1.1004423889000567</v>
      </c>
      <c r="J31" s="145">
        <f>'P &amp; L Account'!J27/'P &amp; L Account'!I27-1</f>
        <v>9.0948255229528208E-3</v>
      </c>
      <c r="K31" s="146">
        <f>'P &amp; L Account'!K27/'P &amp; L Account'!J27-1</f>
        <v>0.17253688155210756</v>
      </c>
    </row>
    <row r="32" spans="1:21" ht="15.75" thickBot="1">
      <c r="A32" s="1"/>
      <c r="B32" s="1"/>
      <c r="C32" s="1"/>
      <c r="D32" s="1"/>
      <c r="E32" s="1"/>
      <c r="F32" s="1"/>
      <c r="G32" s="1"/>
      <c r="H32" s="1"/>
      <c r="I32" s="1"/>
      <c r="J32" s="1"/>
      <c r="K32" s="1"/>
    </row>
    <row r="33" spans="1:11" ht="15.75">
      <c r="A33" s="139" t="s">
        <v>56</v>
      </c>
      <c r="B33" s="99" t="s">
        <v>25</v>
      </c>
      <c r="C33" s="99" t="s">
        <v>24</v>
      </c>
      <c r="D33" s="99" t="s">
        <v>26</v>
      </c>
      <c r="E33" s="99" t="s">
        <v>27</v>
      </c>
      <c r="F33" s="99" t="s">
        <v>28</v>
      </c>
      <c r="G33" s="99" t="s">
        <v>17</v>
      </c>
      <c r="H33" s="99" t="s">
        <v>18</v>
      </c>
      <c r="I33" s="99" t="s">
        <v>19</v>
      </c>
      <c r="J33" s="99" t="s">
        <v>20</v>
      </c>
      <c r="K33" s="100" t="s">
        <v>21</v>
      </c>
    </row>
    <row r="34" spans="1:11">
      <c r="A34" s="140" t="s">
        <v>58</v>
      </c>
      <c r="B34" s="29">
        <f>('Balance Sheet'!B15+'Balance Sheet'!B12)/'Balance Sheet'!B7</f>
        <v>0.41240524353980818</v>
      </c>
      <c r="C34" s="29">
        <f>('Balance Sheet'!C15+'Balance Sheet'!C12)/'Balance Sheet'!C7</f>
        <v>0.31978544987534935</v>
      </c>
      <c r="D34" s="29">
        <f>('Balance Sheet'!D15+'Balance Sheet'!D12)/'Balance Sheet'!D7</f>
        <v>0.42226453683134108</v>
      </c>
      <c r="E34" s="29">
        <f>('Balance Sheet'!E15+'Balance Sheet'!E12)/'Balance Sheet'!E7</f>
        <v>0.40430174081237907</v>
      </c>
      <c r="F34" s="29">
        <f>('Balance Sheet'!F15+'Balance Sheet'!F12)/'Balance Sheet'!F7</f>
        <v>0.39364095707067465</v>
      </c>
      <c r="G34" s="29">
        <f>('Balance Sheet'!G15+'Balance Sheet'!G12)/'Balance Sheet'!G7</f>
        <v>0.28014902735221964</v>
      </c>
      <c r="H34" s="29">
        <f>('Balance Sheet'!H15+'Balance Sheet'!H12)/'Balance Sheet'!H7</f>
        <v>0.25650573069474802</v>
      </c>
      <c r="I34" s="29">
        <f>('Balance Sheet'!I15+'Balance Sheet'!I12)/'Balance Sheet'!I7</f>
        <v>0.13405419946432121</v>
      </c>
      <c r="J34" s="29">
        <f>('Balance Sheet'!J15+'Balance Sheet'!J12)/'Balance Sheet'!J7</f>
        <v>6.7399036307613541E-2</v>
      </c>
      <c r="K34" s="141">
        <f>('Balance Sheet'!K15+'Balance Sheet'!K12)/'Balance Sheet'!K7</f>
        <v>5.3727487720574854E-2</v>
      </c>
    </row>
    <row r="35" spans="1:11">
      <c r="A35" s="140" t="s">
        <v>101</v>
      </c>
      <c r="B35" s="29">
        <f>'Balance Sheet'!B12/'Cash Flow'!B6</f>
        <v>1.7324067558057707</v>
      </c>
      <c r="C35" s="29">
        <f>'Balance Sheet'!C12/'Cash Flow'!C6</f>
        <v>0.78322498655848272</v>
      </c>
      <c r="D35" s="29">
        <f>'Balance Sheet'!D12/'Cash Flow'!D6</f>
        <v>16.713189113747386</v>
      </c>
      <c r="E35" s="29">
        <f>'Balance Sheet'!E12/'Cash Flow'!E6</f>
        <v>2.8412353197042188</v>
      </c>
      <c r="F35" s="29">
        <f>'Balance Sheet'!F12/'Cash Flow'!F6</f>
        <v>1.0225593817479259</v>
      </c>
      <c r="G35" s="29">
        <f>'Balance Sheet'!G12/'Cash Flow'!G6</f>
        <v>1.0433719508645281</v>
      </c>
      <c r="H35" s="29">
        <f>'Balance Sheet'!H12/'Cash Flow'!H6</f>
        <v>1.9102709514807823</v>
      </c>
      <c r="I35" s="29">
        <f>'Balance Sheet'!I12/'Cash Flow'!I6</f>
        <v>0.15633750093583884</v>
      </c>
      <c r="J35" s="29">
        <f>'Balance Sheet'!J12/'Cash Flow'!J6</f>
        <v>0.24313938914176397</v>
      </c>
      <c r="K35" s="141">
        <f>'Balance Sheet'!K12/'Cash Flow'!K6</f>
        <v>0.96384048038639747</v>
      </c>
    </row>
    <row r="36" spans="1:11">
      <c r="A36" s="140" t="s">
        <v>59</v>
      </c>
      <c r="B36" s="29">
        <f>'Balance Sheet'!B27/'Balance Sheet'!B14</f>
        <v>1.4337011735855665</v>
      </c>
      <c r="C36" s="29">
        <f>'Balance Sheet'!C27/'Balance Sheet'!C14</f>
        <v>1.3281422081497798</v>
      </c>
      <c r="D36" s="29">
        <f>'Balance Sheet'!D27/'Balance Sheet'!D14</f>
        <v>1.53745548721269</v>
      </c>
      <c r="E36" s="29">
        <f>'Balance Sheet'!E27/'Balance Sheet'!E14</f>
        <v>1.589733036233838</v>
      </c>
      <c r="F36" s="29">
        <f>'Balance Sheet'!F27/'Balance Sheet'!F14</f>
        <v>1.4350356318787905</v>
      </c>
      <c r="G36" s="29">
        <f>'Balance Sheet'!G27/'Balance Sheet'!G14</f>
        <v>1.3552534606511148</v>
      </c>
      <c r="H36" s="29">
        <f>'Balance Sheet'!H27/'Balance Sheet'!H14</f>
        <v>1.1786220899507691</v>
      </c>
      <c r="I36" s="29">
        <f>'Balance Sheet'!I27/'Balance Sheet'!I14</f>
        <v>1.1676808205747038</v>
      </c>
      <c r="J36" s="29">
        <f>'Balance Sheet'!J27/'Balance Sheet'!J14</f>
        <v>1.4743398729249373</v>
      </c>
      <c r="K36" s="141">
        <f>'Balance Sheet'!K27/'Balance Sheet'!K14</f>
        <v>1.2849104139295149</v>
      </c>
    </row>
    <row r="37" spans="1:11">
      <c r="A37" s="140" t="s">
        <v>60</v>
      </c>
      <c r="B37" s="29">
        <f>('Balance Sheet'!B27-'Balance Sheet'!B29)/'Balance Sheet'!B14</f>
        <v>0.80664058698740759</v>
      </c>
      <c r="C37" s="29">
        <f>('Balance Sheet'!C27-'Balance Sheet'!C29)/'Balance Sheet'!C14</f>
        <v>0.78059609030837018</v>
      </c>
      <c r="D37" s="29">
        <f>('Balance Sheet'!D27-'Balance Sheet'!D29)/'Balance Sheet'!D14</f>
        <v>0.80171576561994162</v>
      </c>
      <c r="E37" s="29">
        <f>('Balance Sheet'!E27-'Balance Sheet'!E29)/'Balance Sheet'!E14</f>
        <v>0.8958969045828068</v>
      </c>
      <c r="F37" s="29">
        <f>('Balance Sheet'!F27-'Balance Sheet'!F29)/'Balance Sheet'!F14</f>
        <v>0.82448492026218545</v>
      </c>
      <c r="G37" s="29">
        <f>('Balance Sheet'!G27-'Balance Sheet'!G29)/'Balance Sheet'!G14</f>
        <v>0.78327672391694425</v>
      </c>
      <c r="H37" s="29">
        <f>('Balance Sheet'!H27-'Balance Sheet'!H29)/'Balance Sheet'!H14</f>
        <v>0.87308430450866414</v>
      </c>
      <c r="I37" s="29">
        <f>('Balance Sheet'!I27-'Balance Sheet'!I29)/'Balance Sheet'!I14</f>
        <v>0.87930914850290354</v>
      </c>
      <c r="J37" s="29">
        <f>('Balance Sheet'!J27-'Balance Sheet'!J29)/'Balance Sheet'!J14</f>
        <v>0.84692837849528513</v>
      </c>
      <c r="K37" s="141">
        <f>('Balance Sheet'!K27-'Balance Sheet'!K29)/'Balance Sheet'!K14</f>
        <v>0.70780214544562003</v>
      </c>
    </row>
    <row r="38" spans="1:11" ht="15.75" thickBot="1">
      <c r="A38" s="144" t="s">
        <v>61</v>
      </c>
      <c r="B38" s="147">
        <f>'P &amp; L Account'!B19/'P &amp; L Account'!B20</f>
        <v>17.466132556445725</v>
      </c>
      <c r="C38" s="147">
        <f>'P &amp; L Account'!C19/'P &amp; L Account'!C20</f>
        <v>16.64802631578948</v>
      </c>
      <c r="D38" s="147">
        <f>'P &amp; L Account'!D19/'P &amp; L Account'!D20</f>
        <v>27.534195933456594</v>
      </c>
      <c r="E38" s="147">
        <f>'P &amp; L Account'!E19/'P &amp; L Account'!E20</f>
        <v>31.013123359580096</v>
      </c>
      <c r="F38" s="147">
        <f>'P &amp; L Account'!F19/'P &amp; L Account'!F20</f>
        <v>19.253855773238865</v>
      </c>
      <c r="G38" s="147">
        <f>'P &amp; L Account'!G19/'P &amp; L Account'!G20</f>
        <v>25.204019719378042</v>
      </c>
      <c r="H38" s="147">
        <f>'P &amp; L Account'!H19/'P &amp; L Account'!H20</f>
        <v>20.042205791743701</v>
      </c>
      <c r="I38" s="147">
        <f>'P &amp; L Account'!I19/'P &amp; L Account'!I20</f>
        <v>35.173333333333318</v>
      </c>
      <c r="J38" s="147">
        <f>'P &amp; L Account'!J19/'P &amp; L Account'!J20</f>
        <v>49.488837567359496</v>
      </c>
      <c r="K38" s="148">
        <f>'P &amp; L Account'!K19/'P &amp; L Account'!K20</f>
        <v>34.519594283079741</v>
      </c>
    </row>
  </sheetData>
  <mergeCells count="5">
    <mergeCell ref="O3:U8"/>
    <mergeCell ref="O10:U14"/>
    <mergeCell ref="O16:U20"/>
    <mergeCell ref="A1:K1"/>
    <mergeCell ref="A2:K2"/>
  </mergeCell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dimension ref="A1:K38"/>
  <sheetViews>
    <sheetView workbookViewId="0">
      <selection activeCell="D17" sqref="D17"/>
    </sheetView>
  </sheetViews>
  <sheetFormatPr defaultRowHeight="15"/>
  <cols>
    <col min="1" max="1" width="30.140625" style="3" bestFit="1" customWidth="1"/>
    <col min="2" max="2" width="9.7109375" style="3" bestFit="1" customWidth="1"/>
    <col min="3" max="3" width="15.7109375" style="3" customWidth="1"/>
    <col min="4" max="4" width="16.5703125" style="3" bestFit="1" customWidth="1"/>
    <col min="5" max="5" width="5.85546875" style="3" bestFit="1" customWidth="1"/>
    <col min="6" max="6" width="9.140625" style="3"/>
    <col min="7" max="7" width="14.5703125" style="3" customWidth="1"/>
    <col min="8" max="243" width="9.140625" style="3"/>
    <col min="244" max="244" width="28.5703125" style="3" bestFit="1" customWidth="1"/>
    <col min="245" max="245" width="13.42578125" style="3" bestFit="1" customWidth="1"/>
    <col min="246" max="246" width="9.140625" style="3"/>
    <col min="247" max="247" width="15.140625" style="3" bestFit="1" customWidth="1"/>
    <col min="248" max="248" width="9.140625" style="3"/>
    <col min="249" max="249" width="10.85546875" style="3" bestFit="1" customWidth="1"/>
    <col min="250" max="250" width="12.7109375" style="3" bestFit="1" customWidth="1"/>
    <col min="251" max="499" width="9.140625" style="3"/>
    <col min="500" max="500" width="28.5703125" style="3" bestFit="1" customWidth="1"/>
    <col min="501" max="501" width="13.42578125" style="3" bestFit="1" customWidth="1"/>
    <col min="502" max="502" width="9.140625" style="3"/>
    <col min="503" max="503" width="15.140625" style="3" bestFit="1" customWidth="1"/>
    <col min="504" max="504" width="9.140625" style="3"/>
    <col min="505" max="505" width="10.85546875" style="3" bestFit="1" customWidth="1"/>
    <col min="506" max="506" width="12.7109375" style="3" bestFit="1" customWidth="1"/>
    <col min="507" max="755" width="9.140625" style="3"/>
    <col min="756" max="756" width="28.5703125" style="3" bestFit="1" customWidth="1"/>
    <col min="757" max="757" width="13.42578125" style="3" bestFit="1" customWidth="1"/>
    <col min="758" max="758" width="9.140625" style="3"/>
    <col min="759" max="759" width="15.140625" style="3" bestFit="1" customWidth="1"/>
    <col min="760" max="760" width="9.140625" style="3"/>
    <col min="761" max="761" width="10.85546875" style="3" bestFit="1" customWidth="1"/>
    <col min="762" max="762" width="12.7109375" style="3" bestFit="1" customWidth="1"/>
    <col min="763" max="1011" width="9.140625" style="3"/>
    <col min="1012" max="1012" width="28.5703125" style="3" bestFit="1" customWidth="1"/>
    <col min="1013" max="1013" width="13.42578125" style="3" bestFit="1" customWidth="1"/>
    <col min="1014" max="1014" width="9.140625" style="3"/>
    <col min="1015" max="1015" width="15.140625" style="3" bestFit="1" customWidth="1"/>
    <col min="1016" max="1016" width="9.140625" style="3"/>
    <col min="1017" max="1017" width="10.85546875" style="3" bestFit="1" customWidth="1"/>
    <col min="1018" max="1018" width="12.7109375" style="3" bestFit="1" customWidth="1"/>
    <col min="1019" max="1267" width="9.140625" style="3"/>
    <col min="1268" max="1268" width="28.5703125" style="3" bestFit="1" customWidth="1"/>
    <col min="1269" max="1269" width="13.42578125" style="3" bestFit="1" customWidth="1"/>
    <col min="1270" max="1270" width="9.140625" style="3"/>
    <col min="1271" max="1271" width="15.140625" style="3" bestFit="1" customWidth="1"/>
    <col min="1272" max="1272" width="9.140625" style="3"/>
    <col min="1273" max="1273" width="10.85546875" style="3" bestFit="1" customWidth="1"/>
    <col min="1274" max="1274" width="12.7109375" style="3" bestFit="1" customWidth="1"/>
    <col min="1275" max="1523" width="9.140625" style="3"/>
    <col min="1524" max="1524" width="28.5703125" style="3" bestFit="1" customWidth="1"/>
    <col min="1525" max="1525" width="13.42578125" style="3" bestFit="1" customWidth="1"/>
    <col min="1526" max="1526" width="9.140625" style="3"/>
    <col min="1527" max="1527" width="15.140625" style="3" bestFit="1" customWidth="1"/>
    <col min="1528" max="1528" width="9.140625" style="3"/>
    <col min="1529" max="1529" width="10.85546875" style="3" bestFit="1" customWidth="1"/>
    <col min="1530" max="1530" width="12.7109375" style="3" bestFit="1" customWidth="1"/>
    <col min="1531" max="1779" width="9.140625" style="3"/>
    <col min="1780" max="1780" width="28.5703125" style="3" bestFit="1" customWidth="1"/>
    <col min="1781" max="1781" width="13.42578125" style="3" bestFit="1" customWidth="1"/>
    <col min="1782" max="1782" width="9.140625" style="3"/>
    <col min="1783" max="1783" width="15.140625" style="3" bestFit="1" customWidth="1"/>
    <col min="1784" max="1784" width="9.140625" style="3"/>
    <col min="1785" max="1785" width="10.85546875" style="3" bestFit="1" customWidth="1"/>
    <col min="1786" max="1786" width="12.7109375" style="3" bestFit="1" customWidth="1"/>
    <col min="1787" max="2035" width="9.140625" style="3"/>
    <col min="2036" max="2036" width="28.5703125" style="3" bestFit="1" customWidth="1"/>
    <col min="2037" max="2037" width="13.42578125" style="3" bestFit="1" customWidth="1"/>
    <col min="2038" max="2038" width="9.140625" style="3"/>
    <col min="2039" max="2039" width="15.140625" style="3" bestFit="1" customWidth="1"/>
    <col min="2040" max="2040" width="9.140625" style="3"/>
    <col min="2041" max="2041" width="10.85546875" style="3" bestFit="1" customWidth="1"/>
    <col min="2042" max="2042" width="12.7109375" style="3" bestFit="1" customWidth="1"/>
    <col min="2043" max="2291" width="9.140625" style="3"/>
    <col min="2292" max="2292" width="28.5703125" style="3" bestFit="1" customWidth="1"/>
    <col min="2293" max="2293" width="13.42578125" style="3" bestFit="1" customWidth="1"/>
    <col min="2294" max="2294" width="9.140625" style="3"/>
    <col min="2295" max="2295" width="15.140625" style="3" bestFit="1" customWidth="1"/>
    <col min="2296" max="2296" width="9.140625" style="3"/>
    <col min="2297" max="2297" width="10.85546875" style="3" bestFit="1" customWidth="1"/>
    <col min="2298" max="2298" width="12.7109375" style="3" bestFit="1" customWidth="1"/>
    <col min="2299" max="2547" width="9.140625" style="3"/>
    <col min="2548" max="2548" width="28.5703125" style="3" bestFit="1" customWidth="1"/>
    <col min="2549" max="2549" width="13.42578125" style="3" bestFit="1" customWidth="1"/>
    <col min="2550" max="2550" width="9.140625" style="3"/>
    <col min="2551" max="2551" width="15.140625" style="3" bestFit="1" customWidth="1"/>
    <col min="2552" max="2552" width="9.140625" style="3"/>
    <col min="2553" max="2553" width="10.85546875" style="3" bestFit="1" customWidth="1"/>
    <col min="2554" max="2554" width="12.7109375" style="3" bestFit="1" customWidth="1"/>
    <col min="2555" max="2803" width="9.140625" style="3"/>
    <col min="2804" max="2804" width="28.5703125" style="3" bestFit="1" customWidth="1"/>
    <col min="2805" max="2805" width="13.42578125" style="3" bestFit="1" customWidth="1"/>
    <col min="2806" max="2806" width="9.140625" style="3"/>
    <col min="2807" max="2807" width="15.140625" style="3" bestFit="1" customWidth="1"/>
    <col min="2808" max="2808" width="9.140625" style="3"/>
    <col min="2809" max="2809" width="10.85546875" style="3" bestFit="1" customWidth="1"/>
    <col min="2810" max="2810" width="12.7109375" style="3" bestFit="1" customWidth="1"/>
    <col min="2811" max="3059" width="9.140625" style="3"/>
    <col min="3060" max="3060" width="28.5703125" style="3" bestFit="1" customWidth="1"/>
    <col min="3061" max="3061" width="13.42578125" style="3" bestFit="1" customWidth="1"/>
    <col min="3062" max="3062" width="9.140625" style="3"/>
    <col min="3063" max="3063" width="15.140625" style="3" bestFit="1" customWidth="1"/>
    <col min="3064" max="3064" width="9.140625" style="3"/>
    <col min="3065" max="3065" width="10.85546875" style="3" bestFit="1" customWidth="1"/>
    <col min="3066" max="3066" width="12.7109375" style="3" bestFit="1" customWidth="1"/>
    <col min="3067" max="3315" width="9.140625" style="3"/>
    <col min="3316" max="3316" width="28.5703125" style="3" bestFit="1" customWidth="1"/>
    <col min="3317" max="3317" width="13.42578125" style="3" bestFit="1" customWidth="1"/>
    <col min="3318" max="3318" width="9.140625" style="3"/>
    <col min="3319" max="3319" width="15.140625" style="3" bestFit="1" customWidth="1"/>
    <col min="3320" max="3320" width="9.140625" style="3"/>
    <col min="3321" max="3321" width="10.85546875" style="3" bestFit="1" customWidth="1"/>
    <col min="3322" max="3322" width="12.7109375" style="3" bestFit="1" customWidth="1"/>
    <col min="3323" max="3571" width="9.140625" style="3"/>
    <col min="3572" max="3572" width="28.5703125" style="3" bestFit="1" customWidth="1"/>
    <col min="3573" max="3573" width="13.42578125" style="3" bestFit="1" customWidth="1"/>
    <col min="3574" max="3574" width="9.140625" style="3"/>
    <col min="3575" max="3575" width="15.140625" style="3" bestFit="1" customWidth="1"/>
    <col min="3576" max="3576" width="9.140625" style="3"/>
    <col min="3577" max="3577" width="10.85546875" style="3" bestFit="1" customWidth="1"/>
    <col min="3578" max="3578" width="12.7109375" style="3" bestFit="1" customWidth="1"/>
    <col min="3579" max="3827" width="9.140625" style="3"/>
    <col min="3828" max="3828" width="28.5703125" style="3" bestFit="1" customWidth="1"/>
    <col min="3829" max="3829" width="13.42578125" style="3" bestFit="1" customWidth="1"/>
    <col min="3830" max="3830" width="9.140625" style="3"/>
    <col min="3831" max="3831" width="15.140625" style="3" bestFit="1" customWidth="1"/>
    <col min="3832" max="3832" width="9.140625" style="3"/>
    <col min="3833" max="3833" width="10.85546875" style="3" bestFit="1" customWidth="1"/>
    <col min="3834" max="3834" width="12.7109375" style="3" bestFit="1" customWidth="1"/>
    <col min="3835" max="4083" width="9.140625" style="3"/>
    <col min="4084" max="4084" width="28.5703125" style="3" bestFit="1" customWidth="1"/>
    <col min="4085" max="4085" width="13.42578125" style="3" bestFit="1" customWidth="1"/>
    <col min="4086" max="4086" width="9.140625" style="3"/>
    <col min="4087" max="4087" width="15.140625" style="3" bestFit="1" customWidth="1"/>
    <col min="4088" max="4088" width="9.140625" style="3"/>
    <col min="4089" max="4089" width="10.85546875" style="3" bestFit="1" customWidth="1"/>
    <col min="4090" max="4090" width="12.7109375" style="3" bestFit="1" customWidth="1"/>
    <col min="4091" max="4339" width="9.140625" style="3"/>
    <col min="4340" max="4340" width="28.5703125" style="3" bestFit="1" customWidth="1"/>
    <col min="4341" max="4341" width="13.42578125" style="3" bestFit="1" customWidth="1"/>
    <col min="4342" max="4342" width="9.140625" style="3"/>
    <col min="4343" max="4343" width="15.140625" style="3" bestFit="1" customWidth="1"/>
    <col min="4344" max="4344" width="9.140625" style="3"/>
    <col min="4345" max="4345" width="10.85546875" style="3" bestFit="1" customWidth="1"/>
    <col min="4346" max="4346" width="12.7109375" style="3" bestFit="1" customWidth="1"/>
    <col min="4347" max="4595" width="9.140625" style="3"/>
    <col min="4596" max="4596" width="28.5703125" style="3" bestFit="1" customWidth="1"/>
    <col min="4597" max="4597" width="13.42578125" style="3" bestFit="1" customWidth="1"/>
    <col min="4598" max="4598" width="9.140625" style="3"/>
    <col min="4599" max="4599" width="15.140625" style="3" bestFit="1" customWidth="1"/>
    <col min="4600" max="4600" width="9.140625" style="3"/>
    <col min="4601" max="4601" width="10.85546875" style="3" bestFit="1" customWidth="1"/>
    <col min="4602" max="4602" width="12.7109375" style="3" bestFit="1" customWidth="1"/>
    <col min="4603" max="4851" width="9.140625" style="3"/>
    <col min="4852" max="4852" width="28.5703125" style="3" bestFit="1" customWidth="1"/>
    <col min="4853" max="4853" width="13.42578125" style="3" bestFit="1" customWidth="1"/>
    <col min="4854" max="4854" width="9.140625" style="3"/>
    <col min="4855" max="4855" width="15.140625" style="3" bestFit="1" customWidth="1"/>
    <col min="4856" max="4856" width="9.140625" style="3"/>
    <col min="4857" max="4857" width="10.85546875" style="3" bestFit="1" customWidth="1"/>
    <col min="4858" max="4858" width="12.7109375" style="3" bestFit="1" customWidth="1"/>
    <col min="4859" max="5107" width="9.140625" style="3"/>
    <col min="5108" max="5108" width="28.5703125" style="3" bestFit="1" customWidth="1"/>
    <col min="5109" max="5109" width="13.42578125" style="3" bestFit="1" customWidth="1"/>
    <col min="5110" max="5110" width="9.140625" style="3"/>
    <col min="5111" max="5111" width="15.140625" style="3" bestFit="1" customWidth="1"/>
    <col min="5112" max="5112" width="9.140625" style="3"/>
    <col min="5113" max="5113" width="10.85546875" style="3" bestFit="1" customWidth="1"/>
    <col min="5114" max="5114" width="12.7109375" style="3" bestFit="1" customWidth="1"/>
    <col min="5115" max="5363" width="9.140625" style="3"/>
    <col min="5364" max="5364" width="28.5703125" style="3" bestFit="1" customWidth="1"/>
    <col min="5365" max="5365" width="13.42578125" style="3" bestFit="1" customWidth="1"/>
    <col min="5366" max="5366" width="9.140625" style="3"/>
    <col min="5367" max="5367" width="15.140625" style="3" bestFit="1" customWidth="1"/>
    <col min="5368" max="5368" width="9.140625" style="3"/>
    <col min="5369" max="5369" width="10.85546875" style="3" bestFit="1" customWidth="1"/>
    <col min="5370" max="5370" width="12.7109375" style="3" bestFit="1" customWidth="1"/>
    <col min="5371" max="5619" width="9.140625" style="3"/>
    <col min="5620" max="5620" width="28.5703125" style="3" bestFit="1" customWidth="1"/>
    <col min="5621" max="5621" width="13.42578125" style="3" bestFit="1" customWidth="1"/>
    <col min="5622" max="5622" width="9.140625" style="3"/>
    <col min="5623" max="5623" width="15.140625" style="3" bestFit="1" customWidth="1"/>
    <col min="5624" max="5624" width="9.140625" style="3"/>
    <col min="5625" max="5625" width="10.85546875" style="3" bestFit="1" customWidth="1"/>
    <col min="5626" max="5626" width="12.7109375" style="3" bestFit="1" customWidth="1"/>
    <col min="5627" max="5875" width="9.140625" style="3"/>
    <col min="5876" max="5876" width="28.5703125" style="3" bestFit="1" customWidth="1"/>
    <col min="5877" max="5877" width="13.42578125" style="3" bestFit="1" customWidth="1"/>
    <col min="5878" max="5878" width="9.140625" style="3"/>
    <col min="5879" max="5879" width="15.140625" style="3" bestFit="1" customWidth="1"/>
    <col min="5880" max="5880" width="9.140625" style="3"/>
    <col min="5881" max="5881" width="10.85546875" style="3" bestFit="1" customWidth="1"/>
    <col min="5882" max="5882" width="12.7109375" style="3" bestFit="1" customWidth="1"/>
    <col min="5883" max="6131" width="9.140625" style="3"/>
    <col min="6132" max="6132" width="28.5703125" style="3" bestFit="1" customWidth="1"/>
    <col min="6133" max="6133" width="13.42578125" style="3" bestFit="1" customWidth="1"/>
    <col min="6134" max="6134" width="9.140625" style="3"/>
    <col min="6135" max="6135" width="15.140625" style="3" bestFit="1" customWidth="1"/>
    <col min="6136" max="6136" width="9.140625" style="3"/>
    <col min="6137" max="6137" width="10.85546875" style="3" bestFit="1" customWidth="1"/>
    <col min="6138" max="6138" width="12.7109375" style="3" bestFit="1" customWidth="1"/>
    <col min="6139" max="6387" width="9.140625" style="3"/>
    <col min="6388" max="6388" width="28.5703125" style="3" bestFit="1" customWidth="1"/>
    <col min="6389" max="6389" width="13.42578125" style="3" bestFit="1" customWidth="1"/>
    <col min="6390" max="6390" width="9.140625" style="3"/>
    <col min="6391" max="6391" width="15.140625" style="3" bestFit="1" customWidth="1"/>
    <col min="6392" max="6392" width="9.140625" style="3"/>
    <col min="6393" max="6393" width="10.85546875" style="3" bestFit="1" customWidth="1"/>
    <col min="6394" max="6394" width="12.7109375" style="3" bestFit="1" customWidth="1"/>
    <col min="6395" max="6643" width="9.140625" style="3"/>
    <col min="6644" max="6644" width="28.5703125" style="3" bestFit="1" customWidth="1"/>
    <col min="6645" max="6645" width="13.42578125" style="3" bestFit="1" customWidth="1"/>
    <col min="6646" max="6646" width="9.140625" style="3"/>
    <col min="6647" max="6647" width="15.140625" style="3" bestFit="1" customWidth="1"/>
    <col min="6648" max="6648" width="9.140625" style="3"/>
    <col min="6649" max="6649" width="10.85546875" style="3" bestFit="1" customWidth="1"/>
    <col min="6650" max="6650" width="12.7109375" style="3" bestFit="1" customWidth="1"/>
    <col min="6651" max="6899" width="9.140625" style="3"/>
    <col min="6900" max="6900" width="28.5703125" style="3" bestFit="1" customWidth="1"/>
    <col min="6901" max="6901" width="13.42578125" style="3" bestFit="1" customWidth="1"/>
    <col min="6902" max="6902" width="9.140625" style="3"/>
    <col min="6903" max="6903" width="15.140625" style="3" bestFit="1" customWidth="1"/>
    <col min="6904" max="6904" width="9.140625" style="3"/>
    <col min="6905" max="6905" width="10.85546875" style="3" bestFit="1" customWidth="1"/>
    <col min="6906" max="6906" width="12.7109375" style="3" bestFit="1" customWidth="1"/>
    <col min="6907" max="7155" width="9.140625" style="3"/>
    <col min="7156" max="7156" width="28.5703125" style="3" bestFit="1" customWidth="1"/>
    <col min="7157" max="7157" width="13.42578125" style="3" bestFit="1" customWidth="1"/>
    <col min="7158" max="7158" width="9.140625" style="3"/>
    <col min="7159" max="7159" width="15.140625" style="3" bestFit="1" customWidth="1"/>
    <col min="7160" max="7160" width="9.140625" style="3"/>
    <col min="7161" max="7161" width="10.85546875" style="3" bestFit="1" customWidth="1"/>
    <col min="7162" max="7162" width="12.7109375" style="3" bestFit="1" customWidth="1"/>
    <col min="7163" max="7411" width="9.140625" style="3"/>
    <col min="7412" max="7412" width="28.5703125" style="3" bestFit="1" customWidth="1"/>
    <col min="7413" max="7413" width="13.42578125" style="3" bestFit="1" customWidth="1"/>
    <col min="7414" max="7414" width="9.140625" style="3"/>
    <col min="7415" max="7415" width="15.140625" style="3" bestFit="1" customWidth="1"/>
    <col min="7416" max="7416" width="9.140625" style="3"/>
    <col min="7417" max="7417" width="10.85546875" style="3" bestFit="1" customWidth="1"/>
    <col min="7418" max="7418" width="12.7109375" style="3" bestFit="1" customWidth="1"/>
    <col min="7419" max="7667" width="9.140625" style="3"/>
    <col min="7668" max="7668" width="28.5703125" style="3" bestFit="1" customWidth="1"/>
    <col min="7669" max="7669" width="13.42578125" style="3" bestFit="1" customWidth="1"/>
    <col min="7670" max="7670" width="9.140625" style="3"/>
    <col min="7671" max="7671" width="15.140625" style="3" bestFit="1" customWidth="1"/>
    <col min="7672" max="7672" width="9.140625" style="3"/>
    <col min="7673" max="7673" width="10.85546875" style="3" bestFit="1" customWidth="1"/>
    <col min="7674" max="7674" width="12.7109375" style="3" bestFit="1" customWidth="1"/>
    <col min="7675" max="7923" width="9.140625" style="3"/>
    <col min="7924" max="7924" width="28.5703125" style="3" bestFit="1" customWidth="1"/>
    <col min="7925" max="7925" width="13.42578125" style="3" bestFit="1" customWidth="1"/>
    <col min="7926" max="7926" width="9.140625" style="3"/>
    <col min="7927" max="7927" width="15.140625" style="3" bestFit="1" customWidth="1"/>
    <col min="7928" max="7928" width="9.140625" style="3"/>
    <col min="7929" max="7929" width="10.85546875" style="3" bestFit="1" customWidth="1"/>
    <col min="7930" max="7930" width="12.7109375" style="3" bestFit="1" customWidth="1"/>
    <col min="7931" max="8179" width="9.140625" style="3"/>
    <col min="8180" max="8180" width="28.5703125" style="3" bestFit="1" customWidth="1"/>
    <col min="8181" max="8181" width="13.42578125" style="3" bestFit="1" customWidth="1"/>
    <col min="8182" max="8182" width="9.140625" style="3"/>
    <col min="8183" max="8183" width="15.140625" style="3" bestFit="1" customWidth="1"/>
    <col min="8184" max="8184" width="9.140625" style="3"/>
    <col min="8185" max="8185" width="10.85546875" style="3" bestFit="1" customWidth="1"/>
    <col min="8186" max="8186" width="12.7109375" style="3" bestFit="1" customWidth="1"/>
    <col min="8187" max="8435" width="9.140625" style="3"/>
    <col min="8436" max="8436" width="28.5703125" style="3" bestFit="1" customWidth="1"/>
    <col min="8437" max="8437" width="13.42578125" style="3" bestFit="1" customWidth="1"/>
    <col min="8438" max="8438" width="9.140625" style="3"/>
    <col min="8439" max="8439" width="15.140625" style="3" bestFit="1" customWidth="1"/>
    <col min="8440" max="8440" width="9.140625" style="3"/>
    <col min="8441" max="8441" width="10.85546875" style="3" bestFit="1" customWidth="1"/>
    <col min="8442" max="8442" width="12.7109375" style="3" bestFit="1" customWidth="1"/>
    <col min="8443" max="8691" width="9.140625" style="3"/>
    <col min="8692" max="8692" width="28.5703125" style="3" bestFit="1" customWidth="1"/>
    <col min="8693" max="8693" width="13.42578125" style="3" bestFit="1" customWidth="1"/>
    <col min="8694" max="8694" width="9.140625" style="3"/>
    <col min="8695" max="8695" width="15.140625" style="3" bestFit="1" customWidth="1"/>
    <col min="8696" max="8696" width="9.140625" style="3"/>
    <col min="8697" max="8697" width="10.85546875" style="3" bestFit="1" customWidth="1"/>
    <col min="8698" max="8698" width="12.7109375" style="3" bestFit="1" customWidth="1"/>
    <col min="8699" max="8947" width="9.140625" style="3"/>
    <col min="8948" max="8948" width="28.5703125" style="3" bestFit="1" customWidth="1"/>
    <col min="8949" max="8949" width="13.42578125" style="3" bestFit="1" customWidth="1"/>
    <col min="8950" max="8950" width="9.140625" style="3"/>
    <col min="8951" max="8951" width="15.140625" style="3" bestFit="1" customWidth="1"/>
    <col min="8952" max="8952" width="9.140625" style="3"/>
    <col min="8953" max="8953" width="10.85546875" style="3" bestFit="1" customWidth="1"/>
    <col min="8954" max="8954" width="12.7109375" style="3" bestFit="1" customWidth="1"/>
    <col min="8955" max="9203" width="9.140625" style="3"/>
    <col min="9204" max="9204" width="28.5703125" style="3" bestFit="1" customWidth="1"/>
    <col min="9205" max="9205" width="13.42578125" style="3" bestFit="1" customWidth="1"/>
    <col min="9206" max="9206" width="9.140625" style="3"/>
    <col min="9207" max="9207" width="15.140625" style="3" bestFit="1" customWidth="1"/>
    <col min="9208" max="9208" width="9.140625" style="3"/>
    <col min="9209" max="9209" width="10.85546875" style="3" bestFit="1" customWidth="1"/>
    <col min="9210" max="9210" width="12.7109375" style="3" bestFit="1" customWidth="1"/>
    <col min="9211" max="9459" width="9.140625" style="3"/>
    <col min="9460" max="9460" width="28.5703125" style="3" bestFit="1" customWidth="1"/>
    <col min="9461" max="9461" width="13.42578125" style="3" bestFit="1" customWidth="1"/>
    <col min="9462" max="9462" width="9.140625" style="3"/>
    <col min="9463" max="9463" width="15.140625" style="3" bestFit="1" customWidth="1"/>
    <col min="9464" max="9464" width="9.140625" style="3"/>
    <col min="9465" max="9465" width="10.85546875" style="3" bestFit="1" customWidth="1"/>
    <col min="9466" max="9466" width="12.7109375" style="3" bestFit="1" customWidth="1"/>
    <col min="9467" max="9715" width="9.140625" style="3"/>
    <col min="9716" max="9716" width="28.5703125" style="3" bestFit="1" customWidth="1"/>
    <col min="9717" max="9717" width="13.42578125" style="3" bestFit="1" customWidth="1"/>
    <col min="9718" max="9718" width="9.140625" style="3"/>
    <col min="9719" max="9719" width="15.140625" style="3" bestFit="1" customWidth="1"/>
    <col min="9720" max="9720" width="9.140625" style="3"/>
    <col min="9721" max="9721" width="10.85546875" style="3" bestFit="1" customWidth="1"/>
    <col min="9722" max="9722" width="12.7109375" style="3" bestFit="1" customWidth="1"/>
    <col min="9723" max="9971" width="9.140625" style="3"/>
    <col min="9972" max="9972" width="28.5703125" style="3" bestFit="1" customWidth="1"/>
    <col min="9973" max="9973" width="13.42578125" style="3" bestFit="1" customWidth="1"/>
    <col min="9974" max="9974" width="9.140625" style="3"/>
    <col min="9975" max="9975" width="15.140625" style="3" bestFit="1" customWidth="1"/>
    <col min="9976" max="9976" width="9.140625" style="3"/>
    <col min="9977" max="9977" width="10.85546875" style="3" bestFit="1" customWidth="1"/>
    <col min="9978" max="9978" width="12.7109375" style="3" bestFit="1" customWidth="1"/>
    <col min="9979" max="10227" width="9.140625" style="3"/>
    <col min="10228" max="10228" width="28.5703125" style="3" bestFit="1" customWidth="1"/>
    <col min="10229" max="10229" width="13.42578125" style="3" bestFit="1" customWidth="1"/>
    <col min="10230" max="10230" width="9.140625" style="3"/>
    <col min="10231" max="10231" width="15.140625" style="3" bestFit="1" customWidth="1"/>
    <col min="10232" max="10232" width="9.140625" style="3"/>
    <col min="10233" max="10233" width="10.85546875" style="3" bestFit="1" customWidth="1"/>
    <col min="10234" max="10234" width="12.7109375" style="3" bestFit="1" customWidth="1"/>
    <col min="10235" max="10483" width="9.140625" style="3"/>
    <col min="10484" max="10484" width="28.5703125" style="3" bestFit="1" customWidth="1"/>
    <col min="10485" max="10485" width="13.42578125" style="3" bestFit="1" customWidth="1"/>
    <col min="10486" max="10486" width="9.140625" style="3"/>
    <col min="10487" max="10487" width="15.140625" style="3" bestFit="1" customWidth="1"/>
    <col min="10488" max="10488" width="9.140625" style="3"/>
    <col min="10489" max="10489" width="10.85546875" style="3" bestFit="1" customWidth="1"/>
    <col min="10490" max="10490" width="12.7109375" style="3" bestFit="1" customWidth="1"/>
    <col min="10491" max="10739" width="9.140625" style="3"/>
    <col min="10740" max="10740" width="28.5703125" style="3" bestFit="1" customWidth="1"/>
    <col min="10741" max="10741" width="13.42578125" style="3" bestFit="1" customWidth="1"/>
    <col min="10742" max="10742" width="9.140625" style="3"/>
    <col min="10743" max="10743" width="15.140625" style="3" bestFit="1" customWidth="1"/>
    <col min="10744" max="10744" width="9.140625" style="3"/>
    <col min="10745" max="10745" width="10.85546875" style="3" bestFit="1" customWidth="1"/>
    <col min="10746" max="10746" width="12.7109375" style="3" bestFit="1" customWidth="1"/>
    <col min="10747" max="10995" width="9.140625" style="3"/>
    <col min="10996" max="10996" width="28.5703125" style="3" bestFit="1" customWidth="1"/>
    <col min="10997" max="10997" width="13.42578125" style="3" bestFit="1" customWidth="1"/>
    <col min="10998" max="10998" width="9.140625" style="3"/>
    <col min="10999" max="10999" width="15.140625" style="3" bestFit="1" customWidth="1"/>
    <col min="11000" max="11000" width="9.140625" style="3"/>
    <col min="11001" max="11001" width="10.85546875" style="3" bestFit="1" customWidth="1"/>
    <col min="11002" max="11002" width="12.7109375" style="3" bestFit="1" customWidth="1"/>
    <col min="11003" max="11251" width="9.140625" style="3"/>
    <col min="11252" max="11252" width="28.5703125" style="3" bestFit="1" customWidth="1"/>
    <col min="11253" max="11253" width="13.42578125" style="3" bestFit="1" customWidth="1"/>
    <col min="11254" max="11254" width="9.140625" style="3"/>
    <col min="11255" max="11255" width="15.140625" style="3" bestFit="1" customWidth="1"/>
    <col min="11256" max="11256" width="9.140625" style="3"/>
    <col min="11257" max="11257" width="10.85546875" style="3" bestFit="1" customWidth="1"/>
    <col min="11258" max="11258" width="12.7109375" style="3" bestFit="1" customWidth="1"/>
    <col min="11259" max="11507" width="9.140625" style="3"/>
    <col min="11508" max="11508" width="28.5703125" style="3" bestFit="1" customWidth="1"/>
    <col min="11509" max="11509" width="13.42578125" style="3" bestFit="1" customWidth="1"/>
    <col min="11510" max="11510" width="9.140625" style="3"/>
    <col min="11511" max="11511" width="15.140625" style="3" bestFit="1" customWidth="1"/>
    <col min="11512" max="11512" width="9.140625" style="3"/>
    <col min="11513" max="11513" width="10.85546875" style="3" bestFit="1" customWidth="1"/>
    <col min="11514" max="11514" width="12.7109375" style="3" bestFit="1" customWidth="1"/>
    <col min="11515" max="11763" width="9.140625" style="3"/>
    <col min="11764" max="11764" width="28.5703125" style="3" bestFit="1" customWidth="1"/>
    <col min="11765" max="11765" width="13.42578125" style="3" bestFit="1" customWidth="1"/>
    <col min="11766" max="11766" width="9.140625" style="3"/>
    <col min="11767" max="11767" width="15.140625" style="3" bestFit="1" customWidth="1"/>
    <col min="11768" max="11768" width="9.140625" style="3"/>
    <col min="11769" max="11769" width="10.85546875" style="3" bestFit="1" customWidth="1"/>
    <col min="11770" max="11770" width="12.7109375" style="3" bestFit="1" customWidth="1"/>
    <col min="11771" max="12019" width="9.140625" style="3"/>
    <col min="12020" max="12020" width="28.5703125" style="3" bestFit="1" customWidth="1"/>
    <col min="12021" max="12021" width="13.42578125" style="3" bestFit="1" customWidth="1"/>
    <col min="12022" max="12022" width="9.140625" style="3"/>
    <col min="12023" max="12023" width="15.140625" style="3" bestFit="1" customWidth="1"/>
    <col min="12024" max="12024" width="9.140625" style="3"/>
    <col min="12025" max="12025" width="10.85546875" style="3" bestFit="1" customWidth="1"/>
    <col min="12026" max="12026" width="12.7109375" style="3" bestFit="1" customWidth="1"/>
    <col min="12027" max="12275" width="9.140625" style="3"/>
    <col min="12276" max="12276" width="28.5703125" style="3" bestFit="1" customWidth="1"/>
    <col min="12277" max="12277" width="13.42578125" style="3" bestFit="1" customWidth="1"/>
    <col min="12278" max="12278" width="9.140625" style="3"/>
    <col min="12279" max="12279" width="15.140625" style="3" bestFit="1" customWidth="1"/>
    <col min="12280" max="12280" width="9.140625" style="3"/>
    <col min="12281" max="12281" width="10.85546875" style="3" bestFit="1" customWidth="1"/>
    <col min="12282" max="12282" width="12.7109375" style="3" bestFit="1" customWidth="1"/>
    <col min="12283" max="12531" width="9.140625" style="3"/>
    <col min="12532" max="12532" width="28.5703125" style="3" bestFit="1" customWidth="1"/>
    <col min="12533" max="12533" width="13.42578125" style="3" bestFit="1" customWidth="1"/>
    <col min="12534" max="12534" width="9.140625" style="3"/>
    <col min="12535" max="12535" width="15.140625" style="3" bestFit="1" customWidth="1"/>
    <col min="12536" max="12536" width="9.140625" style="3"/>
    <col min="12537" max="12537" width="10.85546875" style="3" bestFit="1" customWidth="1"/>
    <col min="12538" max="12538" width="12.7109375" style="3" bestFit="1" customWidth="1"/>
    <col min="12539" max="12787" width="9.140625" style="3"/>
    <col min="12788" max="12788" width="28.5703125" style="3" bestFit="1" customWidth="1"/>
    <col min="12789" max="12789" width="13.42578125" style="3" bestFit="1" customWidth="1"/>
    <col min="12790" max="12790" width="9.140625" style="3"/>
    <col min="12791" max="12791" width="15.140625" style="3" bestFit="1" customWidth="1"/>
    <col min="12792" max="12792" width="9.140625" style="3"/>
    <col min="12793" max="12793" width="10.85546875" style="3" bestFit="1" customWidth="1"/>
    <col min="12794" max="12794" width="12.7109375" style="3" bestFit="1" customWidth="1"/>
    <col min="12795" max="13043" width="9.140625" style="3"/>
    <col min="13044" max="13044" width="28.5703125" style="3" bestFit="1" customWidth="1"/>
    <col min="13045" max="13045" width="13.42578125" style="3" bestFit="1" customWidth="1"/>
    <col min="13046" max="13046" width="9.140625" style="3"/>
    <col min="13047" max="13047" width="15.140625" style="3" bestFit="1" customWidth="1"/>
    <col min="13048" max="13048" width="9.140625" style="3"/>
    <col min="13049" max="13049" width="10.85546875" style="3" bestFit="1" customWidth="1"/>
    <col min="13050" max="13050" width="12.7109375" style="3" bestFit="1" customWidth="1"/>
    <col min="13051" max="13299" width="9.140625" style="3"/>
    <col min="13300" max="13300" width="28.5703125" style="3" bestFit="1" customWidth="1"/>
    <col min="13301" max="13301" width="13.42578125" style="3" bestFit="1" customWidth="1"/>
    <col min="13302" max="13302" width="9.140625" style="3"/>
    <col min="13303" max="13303" width="15.140625" style="3" bestFit="1" customWidth="1"/>
    <col min="13304" max="13304" width="9.140625" style="3"/>
    <col min="13305" max="13305" width="10.85546875" style="3" bestFit="1" customWidth="1"/>
    <col min="13306" max="13306" width="12.7109375" style="3" bestFit="1" customWidth="1"/>
    <col min="13307" max="13555" width="9.140625" style="3"/>
    <col min="13556" max="13556" width="28.5703125" style="3" bestFit="1" customWidth="1"/>
    <col min="13557" max="13557" width="13.42578125" style="3" bestFit="1" customWidth="1"/>
    <col min="13558" max="13558" width="9.140625" style="3"/>
    <col min="13559" max="13559" width="15.140625" style="3" bestFit="1" customWidth="1"/>
    <col min="13560" max="13560" width="9.140625" style="3"/>
    <col min="13561" max="13561" width="10.85546875" style="3" bestFit="1" customWidth="1"/>
    <col min="13562" max="13562" width="12.7109375" style="3" bestFit="1" customWidth="1"/>
    <col min="13563" max="13811" width="9.140625" style="3"/>
    <col min="13812" max="13812" width="28.5703125" style="3" bestFit="1" customWidth="1"/>
    <col min="13813" max="13813" width="13.42578125" style="3" bestFit="1" customWidth="1"/>
    <col min="13814" max="13814" width="9.140625" style="3"/>
    <col min="13815" max="13815" width="15.140625" style="3" bestFit="1" customWidth="1"/>
    <col min="13816" max="13816" width="9.140625" style="3"/>
    <col min="13817" max="13817" width="10.85546875" style="3" bestFit="1" customWidth="1"/>
    <col min="13818" max="13818" width="12.7109375" style="3" bestFit="1" customWidth="1"/>
    <col min="13819" max="14067" width="9.140625" style="3"/>
    <col min="14068" max="14068" width="28.5703125" style="3" bestFit="1" customWidth="1"/>
    <col min="14069" max="14069" width="13.42578125" style="3" bestFit="1" customWidth="1"/>
    <col min="14070" max="14070" width="9.140625" style="3"/>
    <col min="14071" max="14071" width="15.140625" style="3" bestFit="1" customWidth="1"/>
    <col min="14072" max="14072" width="9.140625" style="3"/>
    <col min="14073" max="14073" width="10.85546875" style="3" bestFit="1" customWidth="1"/>
    <col min="14074" max="14074" width="12.7109375" style="3" bestFit="1" customWidth="1"/>
    <col min="14075" max="14323" width="9.140625" style="3"/>
    <col min="14324" max="14324" width="28.5703125" style="3" bestFit="1" customWidth="1"/>
    <col min="14325" max="14325" width="13.42578125" style="3" bestFit="1" customWidth="1"/>
    <col min="14326" max="14326" width="9.140625" style="3"/>
    <col min="14327" max="14327" width="15.140625" style="3" bestFit="1" customWidth="1"/>
    <col min="14328" max="14328" width="9.140625" style="3"/>
    <col min="14329" max="14329" width="10.85546875" style="3" bestFit="1" customWidth="1"/>
    <col min="14330" max="14330" width="12.7109375" style="3" bestFit="1" customWidth="1"/>
    <col min="14331" max="14579" width="9.140625" style="3"/>
    <col min="14580" max="14580" width="28.5703125" style="3" bestFit="1" customWidth="1"/>
    <col min="14581" max="14581" width="13.42578125" style="3" bestFit="1" customWidth="1"/>
    <col min="14582" max="14582" width="9.140625" style="3"/>
    <col min="14583" max="14583" width="15.140625" style="3" bestFit="1" customWidth="1"/>
    <col min="14584" max="14584" width="9.140625" style="3"/>
    <col min="14585" max="14585" width="10.85546875" style="3" bestFit="1" customWidth="1"/>
    <col min="14586" max="14586" width="12.7109375" style="3" bestFit="1" customWidth="1"/>
    <col min="14587" max="14835" width="9.140625" style="3"/>
    <col min="14836" max="14836" width="28.5703125" style="3" bestFit="1" customWidth="1"/>
    <col min="14837" max="14837" width="13.42578125" style="3" bestFit="1" customWidth="1"/>
    <col min="14838" max="14838" width="9.140625" style="3"/>
    <col min="14839" max="14839" width="15.140625" style="3" bestFit="1" customWidth="1"/>
    <col min="14840" max="14840" width="9.140625" style="3"/>
    <col min="14841" max="14841" width="10.85546875" style="3" bestFit="1" customWidth="1"/>
    <col min="14842" max="14842" width="12.7109375" style="3" bestFit="1" customWidth="1"/>
    <col min="14843" max="15091" width="9.140625" style="3"/>
    <col min="15092" max="15092" width="28.5703125" style="3" bestFit="1" customWidth="1"/>
    <col min="15093" max="15093" width="13.42578125" style="3" bestFit="1" customWidth="1"/>
    <col min="15094" max="15094" width="9.140625" style="3"/>
    <col min="15095" max="15095" width="15.140625" style="3" bestFit="1" customWidth="1"/>
    <col min="15096" max="15096" width="9.140625" style="3"/>
    <col min="15097" max="15097" width="10.85546875" style="3" bestFit="1" customWidth="1"/>
    <col min="15098" max="15098" width="12.7109375" style="3" bestFit="1" customWidth="1"/>
    <col min="15099" max="15347" width="9.140625" style="3"/>
    <col min="15348" max="15348" width="28.5703125" style="3" bestFit="1" customWidth="1"/>
    <col min="15349" max="15349" width="13.42578125" style="3" bestFit="1" customWidth="1"/>
    <col min="15350" max="15350" width="9.140625" style="3"/>
    <col min="15351" max="15351" width="15.140625" style="3" bestFit="1" customWidth="1"/>
    <col min="15352" max="15352" width="9.140625" style="3"/>
    <col min="15353" max="15353" width="10.85546875" style="3" bestFit="1" customWidth="1"/>
    <col min="15354" max="15354" width="12.7109375" style="3" bestFit="1" customWidth="1"/>
    <col min="15355" max="15603" width="9.140625" style="3"/>
    <col min="15604" max="15604" width="28.5703125" style="3" bestFit="1" customWidth="1"/>
    <col min="15605" max="15605" width="13.42578125" style="3" bestFit="1" customWidth="1"/>
    <col min="15606" max="15606" width="9.140625" style="3"/>
    <col min="15607" max="15607" width="15.140625" style="3" bestFit="1" customWidth="1"/>
    <col min="15608" max="15608" width="9.140625" style="3"/>
    <col min="15609" max="15609" width="10.85546875" style="3" bestFit="1" customWidth="1"/>
    <col min="15610" max="15610" width="12.7109375" style="3" bestFit="1" customWidth="1"/>
    <col min="15611" max="15859" width="9.140625" style="3"/>
    <col min="15860" max="15860" width="28.5703125" style="3" bestFit="1" customWidth="1"/>
    <col min="15861" max="15861" width="13.42578125" style="3" bestFit="1" customWidth="1"/>
    <col min="15862" max="15862" width="9.140625" style="3"/>
    <col min="15863" max="15863" width="15.140625" style="3" bestFit="1" customWidth="1"/>
    <col min="15864" max="15864" width="9.140625" style="3"/>
    <col min="15865" max="15865" width="10.85546875" style="3" bestFit="1" customWidth="1"/>
    <col min="15866" max="15866" width="12.7109375" style="3" bestFit="1" customWidth="1"/>
    <col min="15867" max="16115" width="9.140625" style="3"/>
    <col min="16116" max="16116" width="28.5703125" style="3" bestFit="1" customWidth="1"/>
    <col min="16117" max="16117" width="13.42578125" style="3" bestFit="1" customWidth="1"/>
    <col min="16118" max="16118" width="9.140625" style="3"/>
    <col min="16119" max="16119" width="15.140625" style="3" bestFit="1" customWidth="1"/>
    <col min="16120" max="16120" width="9.140625" style="3"/>
    <col min="16121" max="16121" width="10.85546875" style="3" bestFit="1" customWidth="1"/>
    <col min="16122" max="16122" width="12.7109375" style="3" bestFit="1" customWidth="1"/>
    <col min="16123" max="16384" width="9.140625" style="3"/>
  </cols>
  <sheetData>
    <row r="1" spans="1:11">
      <c r="A1" s="270" t="s">
        <v>213</v>
      </c>
      <c r="B1" s="271"/>
      <c r="C1" s="272"/>
    </row>
    <row r="2" spans="1:11" ht="15.75" thickBot="1">
      <c r="A2" s="273"/>
      <c r="B2" s="274"/>
      <c r="C2" s="275"/>
    </row>
    <row r="3" spans="1:11" ht="16.5" customHeight="1">
      <c r="A3" s="278" t="s">
        <v>239</v>
      </c>
      <c r="B3" s="278"/>
      <c r="C3" s="278"/>
    </row>
    <row r="4" spans="1:11" ht="15.75" thickBot="1">
      <c r="A4" s="201"/>
      <c r="B4" s="201"/>
      <c r="C4" s="201"/>
    </row>
    <row r="5" spans="1:11" ht="15.75" thickBot="1">
      <c r="A5" s="3" t="s">
        <v>41</v>
      </c>
      <c r="B5" s="196">
        <f>AVERAGE('Cash Flow'!I6:K6)</f>
        <v>475.80666666666667</v>
      </c>
    </row>
    <row r="6" spans="1:11" ht="15.75" thickBot="1"/>
    <row r="7" spans="1:11" ht="16.5" customHeight="1" thickBot="1">
      <c r="A7" s="33" t="s">
        <v>23</v>
      </c>
      <c r="B7" s="215" t="s">
        <v>0</v>
      </c>
      <c r="C7" s="216" t="s">
        <v>1</v>
      </c>
      <c r="D7" s="9"/>
    </row>
    <row r="8" spans="1:11" ht="16.5" customHeight="1" thickBot="1">
      <c r="A8" s="3" t="s">
        <v>42</v>
      </c>
      <c r="B8" s="49">
        <v>0.15</v>
      </c>
      <c r="C8" s="50">
        <v>0.12</v>
      </c>
      <c r="D8" s="10"/>
      <c r="H8" s="218" t="s">
        <v>253</v>
      </c>
      <c r="I8" s="219"/>
      <c r="J8" s="219"/>
      <c r="K8" s="220"/>
    </row>
    <row r="9" spans="1:11" ht="16.5" thickBot="1">
      <c r="A9" s="3" t="s">
        <v>43</v>
      </c>
      <c r="B9" s="51">
        <v>0.12</v>
      </c>
      <c r="C9" s="52"/>
      <c r="F9" s="42"/>
      <c r="H9" s="221"/>
      <c r="I9" s="222"/>
      <c r="J9" s="222"/>
      <c r="K9" s="223"/>
    </row>
    <row r="10" spans="1:11" ht="16.5" thickBot="1">
      <c r="A10" s="3" t="s">
        <v>44</v>
      </c>
      <c r="B10" s="51">
        <v>0.02</v>
      </c>
      <c r="C10" s="52"/>
      <c r="F10" s="42"/>
      <c r="H10" s="221"/>
      <c r="I10" s="222"/>
      <c r="J10" s="222"/>
      <c r="K10" s="223"/>
    </row>
    <row r="11" spans="1:11" ht="16.5" thickBot="1">
      <c r="B11" s="53"/>
      <c r="C11" s="52"/>
      <c r="F11" s="42"/>
      <c r="H11" s="221"/>
      <c r="I11" s="222"/>
      <c r="J11" s="222"/>
      <c r="K11" s="223"/>
    </row>
    <row r="12" spans="1:11" ht="16.5" thickBot="1">
      <c r="A12" s="3" t="s">
        <v>126</v>
      </c>
      <c r="B12" s="197">
        <f>'First Page'!B15</f>
        <v>9.5919778999999998</v>
      </c>
      <c r="C12" s="52"/>
      <c r="H12" s="221"/>
      <c r="I12" s="222"/>
      <c r="J12" s="222"/>
      <c r="K12" s="223"/>
    </row>
    <row r="13" spans="1:11" ht="16.5" thickBot="1">
      <c r="A13" s="11" t="s">
        <v>45</v>
      </c>
      <c r="B13" s="196">
        <f>'Balance Sheet'!K15+'Balance Sheet'!K12-'Balance Sheet'!K28-'Balance Sheet'!K31</f>
        <v>-761.66</v>
      </c>
      <c r="C13" s="52"/>
      <c r="D13" s="2"/>
      <c r="H13" s="224"/>
      <c r="I13" s="225"/>
      <c r="J13" s="225"/>
      <c r="K13" s="226"/>
    </row>
    <row r="14" spans="1:11" ht="15.75" thickBot="1"/>
    <row r="15" spans="1:11" ht="15.75">
      <c r="A15" s="126" t="s">
        <v>2</v>
      </c>
      <c r="B15" s="121" t="s">
        <v>38</v>
      </c>
      <c r="C15" s="121" t="s">
        <v>3</v>
      </c>
      <c r="D15" s="109" t="s">
        <v>39</v>
      </c>
    </row>
    <row r="16" spans="1:11">
      <c r="A16" s="129">
        <v>1</v>
      </c>
      <c r="B16" s="31">
        <f>(B5*C16)+B5</f>
        <v>547.17766666666671</v>
      </c>
      <c r="C16" s="32">
        <f>$B$8</f>
        <v>0.15</v>
      </c>
      <c r="D16" s="130">
        <f>B16/((1+$B$9)^A16)</f>
        <v>488.55148809523808</v>
      </c>
    </row>
    <row r="17" spans="1:6">
      <c r="A17" s="129">
        <v>2</v>
      </c>
      <c r="B17" s="31">
        <f t="shared" ref="B17:B25" si="0">(B16*C17)+B16</f>
        <v>629.25431666666668</v>
      </c>
      <c r="C17" s="32">
        <f>$B$8</f>
        <v>0.15</v>
      </c>
      <c r="D17" s="130">
        <f t="shared" ref="D17:D25" si="1">B17/((1+$B$9)^A17)</f>
        <v>501.63768866921765</v>
      </c>
    </row>
    <row r="18" spans="1:6">
      <c r="A18" s="129">
        <v>3</v>
      </c>
      <c r="B18" s="31">
        <f t="shared" si="0"/>
        <v>723.64246416666674</v>
      </c>
      <c r="C18" s="32">
        <f>$B$8</f>
        <v>0.15</v>
      </c>
      <c r="D18" s="130">
        <f t="shared" si="1"/>
        <v>515.07441247285738</v>
      </c>
      <c r="F18" s="41"/>
    </row>
    <row r="19" spans="1:6">
      <c r="A19" s="129">
        <v>4</v>
      </c>
      <c r="B19" s="31">
        <f t="shared" si="0"/>
        <v>832.18883379166675</v>
      </c>
      <c r="C19" s="32">
        <f>$B$8</f>
        <v>0.15</v>
      </c>
      <c r="D19" s="130">
        <f t="shared" si="1"/>
        <v>528.87104852123753</v>
      </c>
      <c r="F19" s="42"/>
    </row>
    <row r="20" spans="1:6">
      <c r="A20" s="129">
        <v>5</v>
      </c>
      <c r="B20" s="31">
        <f t="shared" si="0"/>
        <v>957.01715886041677</v>
      </c>
      <c r="C20" s="32">
        <f>$B$8</f>
        <v>0.15</v>
      </c>
      <c r="D20" s="130">
        <f t="shared" si="1"/>
        <v>543.0372373209135</v>
      </c>
      <c r="F20" s="42"/>
    </row>
    <row r="21" spans="1:6">
      <c r="A21" s="129">
        <v>6</v>
      </c>
      <c r="B21" s="31">
        <f t="shared" si="0"/>
        <v>1071.8592179236668</v>
      </c>
      <c r="C21" s="32">
        <f>$C$8</f>
        <v>0.12</v>
      </c>
      <c r="D21" s="130">
        <f t="shared" si="1"/>
        <v>543.03723732091339</v>
      </c>
      <c r="F21" s="42"/>
    </row>
    <row r="22" spans="1:6">
      <c r="A22" s="129">
        <v>7</v>
      </c>
      <c r="B22" s="31">
        <f t="shared" si="0"/>
        <v>1200.4823240745068</v>
      </c>
      <c r="C22" s="32">
        <f>$C$8</f>
        <v>0.12</v>
      </c>
      <c r="D22" s="130">
        <f t="shared" si="1"/>
        <v>543.03723732091339</v>
      </c>
      <c r="F22" s="42"/>
    </row>
    <row r="23" spans="1:6">
      <c r="A23" s="129">
        <v>8</v>
      </c>
      <c r="B23" s="31">
        <f t="shared" si="0"/>
        <v>1344.5402029634477</v>
      </c>
      <c r="C23" s="32">
        <f>$C$8</f>
        <v>0.12</v>
      </c>
      <c r="D23" s="130">
        <f t="shared" si="1"/>
        <v>543.03723732091339</v>
      </c>
    </row>
    <row r="24" spans="1:6">
      <c r="A24" s="129">
        <v>9</v>
      </c>
      <c r="B24" s="31">
        <f t="shared" si="0"/>
        <v>1505.8850273190615</v>
      </c>
      <c r="C24" s="32">
        <f>$C$8</f>
        <v>0.12</v>
      </c>
      <c r="D24" s="130">
        <f t="shared" si="1"/>
        <v>543.03723732091339</v>
      </c>
    </row>
    <row r="25" spans="1:6" ht="15.75" thickBot="1">
      <c r="A25" s="131">
        <v>10</v>
      </c>
      <c r="B25" s="132">
        <f t="shared" si="0"/>
        <v>1686.5912305973488</v>
      </c>
      <c r="C25" s="133">
        <f>$C$8</f>
        <v>0.12</v>
      </c>
      <c r="D25" s="134">
        <f t="shared" si="1"/>
        <v>543.03723732091328</v>
      </c>
    </row>
    <row r="26" spans="1:6" ht="15.75" thickBot="1">
      <c r="A26" s="13"/>
      <c r="B26" s="14"/>
      <c r="C26" s="12"/>
      <c r="D26" s="15"/>
    </row>
    <row r="27" spans="1:6" ht="15.75">
      <c r="A27" s="276" t="s">
        <v>40</v>
      </c>
      <c r="B27" s="277"/>
      <c r="C27" s="12"/>
      <c r="D27" s="15"/>
    </row>
    <row r="28" spans="1:6">
      <c r="A28" s="135" t="s">
        <v>4</v>
      </c>
      <c r="B28" s="130">
        <f>(B25*B10)+B25</f>
        <v>1720.3230552092957</v>
      </c>
      <c r="C28" s="16"/>
      <c r="D28" s="17"/>
    </row>
    <row r="29" spans="1:6">
      <c r="A29" s="136" t="s">
        <v>37</v>
      </c>
      <c r="B29" s="130">
        <f>SUM(D16:D25)</f>
        <v>5292.3580616840309</v>
      </c>
      <c r="C29" s="11"/>
    </row>
    <row r="30" spans="1:6">
      <c r="A30" s="135" t="s">
        <v>36</v>
      </c>
      <c r="B30" s="130">
        <f>((B28)/($B$9-$B$10))/(1+$B$9)^A25</f>
        <v>5538.9798206733158</v>
      </c>
      <c r="C30" s="11"/>
    </row>
    <row r="31" spans="1:6">
      <c r="A31" s="135" t="s">
        <v>35</v>
      </c>
      <c r="B31" s="130">
        <f>B29+B30</f>
        <v>10831.337882357348</v>
      </c>
      <c r="C31" s="11"/>
    </row>
    <row r="32" spans="1:6">
      <c r="A32" s="135" t="s">
        <v>34</v>
      </c>
      <c r="B32" s="130">
        <f>B12</f>
        <v>9.5919778999999998</v>
      </c>
      <c r="C32" s="11"/>
    </row>
    <row r="33" spans="1:4" ht="16.5" thickBot="1">
      <c r="A33" s="137" t="s">
        <v>46</v>
      </c>
      <c r="B33" s="138">
        <f>(B31-B13)/B32</f>
        <v>1208.613906664375</v>
      </c>
      <c r="C33" s="11"/>
    </row>
    <row r="35" spans="1:4">
      <c r="A35" s="18"/>
      <c r="D35" s="2"/>
    </row>
    <row r="37" spans="1:4">
      <c r="A37" s="19"/>
      <c r="D37" s="20"/>
    </row>
    <row r="38" spans="1:4">
      <c r="A38" s="21"/>
    </row>
  </sheetData>
  <mergeCells count="4">
    <mergeCell ref="A1:C2"/>
    <mergeCell ref="A27:B27"/>
    <mergeCell ref="A3:C3"/>
    <mergeCell ref="H8:K13"/>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dimension ref="A1:R65"/>
  <sheetViews>
    <sheetView topLeftCell="A10" workbookViewId="0">
      <selection sqref="A1:J1"/>
    </sheetView>
  </sheetViews>
  <sheetFormatPr defaultRowHeight="15"/>
  <cols>
    <col min="1" max="1" width="19" style="40" customWidth="1"/>
    <col min="2" max="2" width="13.7109375" style="40" customWidth="1"/>
    <col min="3" max="3" width="11.7109375" style="40" bestFit="1" customWidth="1"/>
    <col min="4" max="4" width="9.5703125" style="40" bestFit="1" customWidth="1"/>
    <col min="5" max="5" width="12.5703125" style="40" bestFit="1" customWidth="1"/>
    <col min="6" max="6" width="12.42578125" style="40" customWidth="1"/>
    <col min="7" max="9" width="7.7109375" style="40" customWidth="1"/>
    <col min="10" max="10" width="12.5703125" style="40" bestFit="1" customWidth="1"/>
    <col min="11" max="12" width="10.28515625" style="40" customWidth="1"/>
    <col min="13" max="256" width="9.140625" style="40"/>
    <col min="257" max="257" width="9.28515625" style="40" customWidth="1"/>
    <col min="258" max="258" width="7.7109375" style="40" customWidth="1"/>
    <col min="259" max="259" width="10.140625" style="40" bestFit="1" customWidth="1"/>
    <col min="260" max="260" width="7.7109375" style="40" customWidth="1"/>
    <col min="261" max="261" width="10.42578125" style="40" customWidth="1"/>
    <col min="262" max="262" width="10" style="40" customWidth="1"/>
    <col min="263" max="266" width="7.7109375" style="40" customWidth="1"/>
    <col min="267" max="268" width="10.28515625" style="40" customWidth="1"/>
    <col min="269" max="512" width="9.140625" style="40"/>
    <col min="513" max="513" width="9.28515625" style="40" customWidth="1"/>
    <col min="514" max="514" width="7.7109375" style="40" customWidth="1"/>
    <col min="515" max="515" width="10.140625" style="40" bestFit="1" customWidth="1"/>
    <col min="516" max="516" width="7.7109375" style="40" customWidth="1"/>
    <col min="517" max="517" width="10.42578125" style="40" customWidth="1"/>
    <col min="518" max="518" width="10" style="40" customWidth="1"/>
    <col min="519" max="522" width="7.7109375" style="40" customWidth="1"/>
    <col min="523" max="524" width="10.28515625" style="40" customWidth="1"/>
    <col min="525" max="768" width="9.140625" style="40"/>
    <col min="769" max="769" width="9.28515625" style="40" customWidth="1"/>
    <col min="770" max="770" width="7.7109375" style="40" customWidth="1"/>
    <col min="771" max="771" width="10.140625" style="40" bestFit="1" customWidth="1"/>
    <col min="772" max="772" width="7.7109375" style="40" customWidth="1"/>
    <col min="773" max="773" width="10.42578125" style="40" customWidth="1"/>
    <col min="774" max="774" width="10" style="40" customWidth="1"/>
    <col min="775" max="778" width="7.7109375" style="40" customWidth="1"/>
    <col min="779" max="780" width="10.28515625" style="40" customWidth="1"/>
    <col min="781" max="1024" width="9.140625" style="40"/>
    <col min="1025" max="1025" width="9.28515625" style="40" customWidth="1"/>
    <col min="1026" max="1026" width="7.7109375" style="40" customWidth="1"/>
    <col min="1027" max="1027" width="10.140625" style="40" bestFit="1" customWidth="1"/>
    <col min="1028" max="1028" width="7.7109375" style="40" customWidth="1"/>
    <col min="1029" max="1029" width="10.42578125" style="40" customWidth="1"/>
    <col min="1030" max="1030" width="10" style="40" customWidth="1"/>
    <col min="1031" max="1034" width="7.7109375" style="40" customWidth="1"/>
    <col min="1035" max="1036" width="10.28515625" style="40" customWidth="1"/>
    <col min="1037" max="1280" width="9.140625" style="40"/>
    <col min="1281" max="1281" width="9.28515625" style="40" customWidth="1"/>
    <col min="1282" max="1282" width="7.7109375" style="40" customWidth="1"/>
    <col min="1283" max="1283" width="10.140625" style="40" bestFit="1" customWidth="1"/>
    <col min="1284" max="1284" width="7.7109375" style="40" customWidth="1"/>
    <col min="1285" max="1285" width="10.42578125" style="40" customWidth="1"/>
    <col min="1286" max="1286" width="10" style="40" customWidth="1"/>
    <col min="1287" max="1290" width="7.7109375" style="40" customWidth="1"/>
    <col min="1291" max="1292" width="10.28515625" style="40" customWidth="1"/>
    <col min="1293" max="1536" width="9.140625" style="40"/>
    <col min="1537" max="1537" width="9.28515625" style="40" customWidth="1"/>
    <col min="1538" max="1538" width="7.7109375" style="40" customWidth="1"/>
    <col min="1539" max="1539" width="10.140625" style="40" bestFit="1" customWidth="1"/>
    <col min="1540" max="1540" width="7.7109375" style="40" customWidth="1"/>
    <col min="1541" max="1541" width="10.42578125" style="40" customWidth="1"/>
    <col min="1542" max="1542" width="10" style="40" customWidth="1"/>
    <col min="1543" max="1546" width="7.7109375" style="40" customWidth="1"/>
    <col min="1547" max="1548" width="10.28515625" style="40" customWidth="1"/>
    <col min="1549" max="1792" width="9.140625" style="40"/>
    <col min="1793" max="1793" width="9.28515625" style="40" customWidth="1"/>
    <col min="1794" max="1794" width="7.7109375" style="40" customWidth="1"/>
    <col min="1795" max="1795" width="10.140625" style="40" bestFit="1" customWidth="1"/>
    <col min="1796" max="1796" width="7.7109375" style="40" customWidth="1"/>
    <col min="1797" max="1797" width="10.42578125" style="40" customWidth="1"/>
    <col min="1798" max="1798" width="10" style="40" customWidth="1"/>
    <col min="1799" max="1802" width="7.7109375" style="40" customWidth="1"/>
    <col min="1803" max="1804" width="10.28515625" style="40" customWidth="1"/>
    <col min="1805" max="2048" width="9.140625" style="40"/>
    <col min="2049" max="2049" width="9.28515625" style="40" customWidth="1"/>
    <col min="2050" max="2050" width="7.7109375" style="40" customWidth="1"/>
    <col min="2051" max="2051" width="10.140625" style="40" bestFit="1" customWidth="1"/>
    <col min="2052" max="2052" width="7.7109375" style="40" customWidth="1"/>
    <col min="2053" max="2053" width="10.42578125" style="40" customWidth="1"/>
    <col min="2054" max="2054" width="10" style="40" customWidth="1"/>
    <col min="2055" max="2058" width="7.7109375" style="40" customWidth="1"/>
    <col min="2059" max="2060" width="10.28515625" style="40" customWidth="1"/>
    <col min="2061" max="2304" width="9.140625" style="40"/>
    <col min="2305" max="2305" width="9.28515625" style="40" customWidth="1"/>
    <col min="2306" max="2306" width="7.7109375" style="40" customWidth="1"/>
    <col min="2307" max="2307" width="10.140625" style="40" bestFit="1" customWidth="1"/>
    <col min="2308" max="2308" width="7.7109375" style="40" customWidth="1"/>
    <col min="2309" max="2309" width="10.42578125" style="40" customWidth="1"/>
    <col min="2310" max="2310" width="10" style="40" customWidth="1"/>
    <col min="2311" max="2314" width="7.7109375" style="40" customWidth="1"/>
    <col min="2315" max="2316" width="10.28515625" style="40" customWidth="1"/>
    <col min="2317" max="2560" width="9.140625" style="40"/>
    <col min="2561" max="2561" width="9.28515625" style="40" customWidth="1"/>
    <col min="2562" max="2562" width="7.7109375" style="40" customWidth="1"/>
    <col min="2563" max="2563" width="10.140625" style="40" bestFit="1" customWidth="1"/>
    <col min="2564" max="2564" width="7.7109375" style="40" customWidth="1"/>
    <col min="2565" max="2565" width="10.42578125" style="40" customWidth="1"/>
    <col min="2566" max="2566" width="10" style="40" customWidth="1"/>
    <col min="2567" max="2570" width="7.7109375" style="40" customWidth="1"/>
    <col min="2571" max="2572" width="10.28515625" style="40" customWidth="1"/>
    <col min="2573" max="2816" width="9.140625" style="40"/>
    <col min="2817" max="2817" width="9.28515625" style="40" customWidth="1"/>
    <col min="2818" max="2818" width="7.7109375" style="40" customWidth="1"/>
    <col min="2819" max="2819" width="10.140625" style="40" bestFit="1" customWidth="1"/>
    <col min="2820" max="2820" width="7.7109375" style="40" customWidth="1"/>
    <col min="2821" max="2821" width="10.42578125" style="40" customWidth="1"/>
    <col min="2822" max="2822" width="10" style="40" customWidth="1"/>
    <col min="2823" max="2826" width="7.7109375" style="40" customWidth="1"/>
    <col min="2827" max="2828" width="10.28515625" style="40" customWidth="1"/>
    <col min="2829" max="3072" width="9.140625" style="40"/>
    <col min="3073" max="3073" width="9.28515625" style="40" customWidth="1"/>
    <col min="3074" max="3074" width="7.7109375" style="40" customWidth="1"/>
    <col min="3075" max="3075" width="10.140625" style="40" bestFit="1" customWidth="1"/>
    <col min="3076" max="3076" width="7.7109375" style="40" customWidth="1"/>
    <col min="3077" max="3077" width="10.42578125" style="40" customWidth="1"/>
    <col min="3078" max="3078" width="10" style="40" customWidth="1"/>
    <col min="3079" max="3082" width="7.7109375" style="40" customWidth="1"/>
    <col min="3083" max="3084" width="10.28515625" style="40" customWidth="1"/>
    <col min="3085" max="3328" width="9.140625" style="40"/>
    <col min="3329" max="3329" width="9.28515625" style="40" customWidth="1"/>
    <col min="3330" max="3330" width="7.7109375" style="40" customWidth="1"/>
    <col min="3331" max="3331" width="10.140625" style="40" bestFit="1" customWidth="1"/>
    <col min="3332" max="3332" width="7.7109375" style="40" customWidth="1"/>
    <col min="3333" max="3333" width="10.42578125" style="40" customWidth="1"/>
    <col min="3334" max="3334" width="10" style="40" customWidth="1"/>
    <col min="3335" max="3338" width="7.7109375" style="40" customWidth="1"/>
    <col min="3339" max="3340" width="10.28515625" style="40" customWidth="1"/>
    <col min="3341" max="3584" width="9.140625" style="40"/>
    <col min="3585" max="3585" width="9.28515625" style="40" customWidth="1"/>
    <col min="3586" max="3586" width="7.7109375" style="40" customWidth="1"/>
    <col min="3587" max="3587" width="10.140625" style="40" bestFit="1" customWidth="1"/>
    <col min="3588" max="3588" width="7.7109375" style="40" customWidth="1"/>
    <col min="3589" max="3589" width="10.42578125" style="40" customWidth="1"/>
    <col min="3590" max="3590" width="10" style="40" customWidth="1"/>
    <col min="3591" max="3594" width="7.7109375" style="40" customWidth="1"/>
    <col min="3595" max="3596" width="10.28515625" style="40" customWidth="1"/>
    <col min="3597" max="3840" width="9.140625" style="40"/>
    <col min="3841" max="3841" width="9.28515625" style="40" customWidth="1"/>
    <col min="3842" max="3842" width="7.7109375" style="40" customWidth="1"/>
    <col min="3843" max="3843" width="10.140625" style="40" bestFit="1" customWidth="1"/>
    <col min="3844" max="3844" width="7.7109375" style="40" customWidth="1"/>
    <col min="3845" max="3845" width="10.42578125" style="40" customWidth="1"/>
    <col min="3846" max="3846" width="10" style="40" customWidth="1"/>
    <col min="3847" max="3850" width="7.7109375" style="40" customWidth="1"/>
    <col min="3851" max="3852" width="10.28515625" style="40" customWidth="1"/>
    <col min="3853" max="4096" width="9.140625" style="40"/>
    <col min="4097" max="4097" width="9.28515625" style="40" customWidth="1"/>
    <col min="4098" max="4098" width="7.7109375" style="40" customWidth="1"/>
    <col min="4099" max="4099" width="10.140625" style="40" bestFit="1" customWidth="1"/>
    <col min="4100" max="4100" width="7.7109375" style="40" customWidth="1"/>
    <col min="4101" max="4101" width="10.42578125" style="40" customWidth="1"/>
    <col min="4102" max="4102" width="10" style="40" customWidth="1"/>
    <col min="4103" max="4106" width="7.7109375" style="40" customWidth="1"/>
    <col min="4107" max="4108" width="10.28515625" style="40" customWidth="1"/>
    <col min="4109" max="4352" width="9.140625" style="40"/>
    <col min="4353" max="4353" width="9.28515625" style="40" customWidth="1"/>
    <col min="4354" max="4354" width="7.7109375" style="40" customWidth="1"/>
    <col min="4355" max="4355" width="10.140625" style="40" bestFit="1" customWidth="1"/>
    <col min="4356" max="4356" width="7.7109375" style="40" customWidth="1"/>
    <col min="4357" max="4357" width="10.42578125" style="40" customWidth="1"/>
    <col min="4358" max="4358" width="10" style="40" customWidth="1"/>
    <col min="4359" max="4362" width="7.7109375" style="40" customWidth="1"/>
    <col min="4363" max="4364" width="10.28515625" style="40" customWidth="1"/>
    <col min="4365" max="4608" width="9.140625" style="40"/>
    <col min="4609" max="4609" width="9.28515625" style="40" customWidth="1"/>
    <col min="4610" max="4610" width="7.7109375" style="40" customWidth="1"/>
    <col min="4611" max="4611" width="10.140625" style="40" bestFit="1" customWidth="1"/>
    <col min="4612" max="4612" width="7.7109375" style="40" customWidth="1"/>
    <col min="4613" max="4613" width="10.42578125" style="40" customWidth="1"/>
    <col min="4614" max="4614" width="10" style="40" customWidth="1"/>
    <col min="4615" max="4618" width="7.7109375" style="40" customWidth="1"/>
    <col min="4619" max="4620" width="10.28515625" style="40" customWidth="1"/>
    <col min="4621" max="4864" width="9.140625" style="40"/>
    <col min="4865" max="4865" width="9.28515625" style="40" customWidth="1"/>
    <col min="4866" max="4866" width="7.7109375" style="40" customWidth="1"/>
    <col min="4867" max="4867" width="10.140625" style="40" bestFit="1" customWidth="1"/>
    <col min="4868" max="4868" width="7.7109375" style="40" customWidth="1"/>
    <col min="4869" max="4869" width="10.42578125" style="40" customWidth="1"/>
    <col min="4870" max="4870" width="10" style="40" customWidth="1"/>
    <col min="4871" max="4874" width="7.7109375" style="40" customWidth="1"/>
    <col min="4875" max="4876" width="10.28515625" style="40" customWidth="1"/>
    <col min="4877" max="5120" width="9.140625" style="40"/>
    <col min="5121" max="5121" width="9.28515625" style="40" customWidth="1"/>
    <col min="5122" max="5122" width="7.7109375" style="40" customWidth="1"/>
    <col min="5123" max="5123" width="10.140625" style="40" bestFit="1" customWidth="1"/>
    <col min="5124" max="5124" width="7.7109375" style="40" customWidth="1"/>
    <col min="5125" max="5125" width="10.42578125" style="40" customWidth="1"/>
    <col min="5126" max="5126" width="10" style="40" customWidth="1"/>
    <col min="5127" max="5130" width="7.7109375" style="40" customWidth="1"/>
    <col min="5131" max="5132" width="10.28515625" style="40" customWidth="1"/>
    <col min="5133" max="5376" width="9.140625" style="40"/>
    <col min="5377" max="5377" width="9.28515625" style="40" customWidth="1"/>
    <col min="5378" max="5378" width="7.7109375" style="40" customWidth="1"/>
    <col min="5379" max="5379" width="10.140625" style="40" bestFit="1" customWidth="1"/>
    <col min="5380" max="5380" width="7.7109375" style="40" customWidth="1"/>
    <col min="5381" max="5381" width="10.42578125" style="40" customWidth="1"/>
    <col min="5382" max="5382" width="10" style="40" customWidth="1"/>
    <col min="5383" max="5386" width="7.7109375" style="40" customWidth="1"/>
    <col min="5387" max="5388" width="10.28515625" style="40" customWidth="1"/>
    <col min="5389" max="5632" width="9.140625" style="40"/>
    <col min="5633" max="5633" width="9.28515625" style="40" customWidth="1"/>
    <col min="5634" max="5634" width="7.7109375" style="40" customWidth="1"/>
    <col min="5635" max="5635" width="10.140625" style="40" bestFit="1" customWidth="1"/>
    <col min="5636" max="5636" width="7.7109375" style="40" customWidth="1"/>
    <col min="5637" max="5637" width="10.42578125" style="40" customWidth="1"/>
    <col min="5638" max="5638" width="10" style="40" customWidth="1"/>
    <col min="5639" max="5642" width="7.7109375" style="40" customWidth="1"/>
    <col min="5643" max="5644" width="10.28515625" style="40" customWidth="1"/>
    <col min="5645" max="5888" width="9.140625" style="40"/>
    <col min="5889" max="5889" width="9.28515625" style="40" customWidth="1"/>
    <col min="5890" max="5890" width="7.7109375" style="40" customWidth="1"/>
    <col min="5891" max="5891" width="10.140625" style="40" bestFit="1" customWidth="1"/>
    <col min="5892" max="5892" width="7.7109375" style="40" customWidth="1"/>
    <col min="5893" max="5893" width="10.42578125" style="40" customWidth="1"/>
    <col min="5894" max="5894" width="10" style="40" customWidth="1"/>
    <col min="5895" max="5898" width="7.7109375" style="40" customWidth="1"/>
    <col min="5899" max="5900" width="10.28515625" style="40" customWidth="1"/>
    <col min="5901" max="6144" width="9.140625" style="40"/>
    <col min="6145" max="6145" width="9.28515625" style="40" customWidth="1"/>
    <col min="6146" max="6146" width="7.7109375" style="40" customWidth="1"/>
    <col min="6147" max="6147" width="10.140625" style="40" bestFit="1" customWidth="1"/>
    <col min="6148" max="6148" width="7.7109375" style="40" customWidth="1"/>
    <col min="6149" max="6149" width="10.42578125" style="40" customWidth="1"/>
    <col min="6150" max="6150" width="10" style="40" customWidth="1"/>
    <col min="6151" max="6154" width="7.7109375" style="40" customWidth="1"/>
    <col min="6155" max="6156" width="10.28515625" style="40" customWidth="1"/>
    <col min="6157" max="6400" width="9.140625" style="40"/>
    <col min="6401" max="6401" width="9.28515625" style="40" customWidth="1"/>
    <col min="6402" max="6402" width="7.7109375" style="40" customWidth="1"/>
    <col min="6403" max="6403" width="10.140625" style="40" bestFit="1" customWidth="1"/>
    <col min="6404" max="6404" width="7.7109375" style="40" customWidth="1"/>
    <col min="6405" max="6405" width="10.42578125" style="40" customWidth="1"/>
    <col min="6406" max="6406" width="10" style="40" customWidth="1"/>
    <col min="6407" max="6410" width="7.7109375" style="40" customWidth="1"/>
    <col min="6411" max="6412" width="10.28515625" style="40" customWidth="1"/>
    <col min="6413" max="6656" width="9.140625" style="40"/>
    <col min="6657" max="6657" width="9.28515625" style="40" customWidth="1"/>
    <col min="6658" max="6658" width="7.7109375" style="40" customWidth="1"/>
    <col min="6659" max="6659" width="10.140625" style="40" bestFit="1" customWidth="1"/>
    <col min="6660" max="6660" width="7.7109375" style="40" customWidth="1"/>
    <col min="6661" max="6661" width="10.42578125" style="40" customWidth="1"/>
    <col min="6662" max="6662" width="10" style="40" customWidth="1"/>
    <col min="6663" max="6666" width="7.7109375" style="40" customWidth="1"/>
    <col min="6667" max="6668" width="10.28515625" style="40" customWidth="1"/>
    <col min="6669" max="6912" width="9.140625" style="40"/>
    <col min="6913" max="6913" width="9.28515625" style="40" customWidth="1"/>
    <col min="6914" max="6914" width="7.7109375" style="40" customWidth="1"/>
    <col min="6915" max="6915" width="10.140625" style="40" bestFit="1" customWidth="1"/>
    <col min="6916" max="6916" width="7.7109375" style="40" customWidth="1"/>
    <col min="6917" max="6917" width="10.42578125" style="40" customWidth="1"/>
    <col min="6918" max="6918" width="10" style="40" customWidth="1"/>
    <col min="6919" max="6922" width="7.7109375" style="40" customWidth="1"/>
    <col min="6923" max="6924" width="10.28515625" style="40" customWidth="1"/>
    <col min="6925" max="7168" width="9.140625" style="40"/>
    <col min="7169" max="7169" width="9.28515625" style="40" customWidth="1"/>
    <col min="7170" max="7170" width="7.7109375" style="40" customWidth="1"/>
    <col min="7171" max="7171" width="10.140625" style="40" bestFit="1" customWidth="1"/>
    <col min="7172" max="7172" width="7.7109375" style="40" customWidth="1"/>
    <col min="7173" max="7173" width="10.42578125" style="40" customWidth="1"/>
    <col min="7174" max="7174" width="10" style="40" customWidth="1"/>
    <col min="7175" max="7178" width="7.7109375" style="40" customWidth="1"/>
    <col min="7179" max="7180" width="10.28515625" style="40" customWidth="1"/>
    <col min="7181" max="7424" width="9.140625" style="40"/>
    <col min="7425" max="7425" width="9.28515625" style="40" customWidth="1"/>
    <col min="7426" max="7426" width="7.7109375" style="40" customWidth="1"/>
    <col min="7427" max="7427" width="10.140625" style="40" bestFit="1" customWidth="1"/>
    <col min="7428" max="7428" width="7.7109375" style="40" customWidth="1"/>
    <col min="7429" max="7429" width="10.42578125" style="40" customWidth="1"/>
    <col min="7430" max="7430" width="10" style="40" customWidth="1"/>
    <col min="7431" max="7434" width="7.7109375" style="40" customWidth="1"/>
    <col min="7435" max="7436" width="10.28515625" style="40" customWidth="1"/>
    <col min="7437" max="7680" width="9.140625" style="40"/>
    <col min="7681" max="7681" width="9.28515625" style="40" customWidth="1"/>
    <col min="7682" max="7682" width="7.7109375" style="40" customWidth="1"/>
    <col min="7683" max="7683" width="10.140625" style="40" bestFit="1" customWidth="1"/>
    <col min="7684" max="7684" width="7.7109375" style="40" customWidth="1"/>
    <col min="7685" max="7685" width="10.42578125" style="40" customWidth="1"/>
    <col min="7686" max="7686" width="10" style="40" customWidth="1"/>
    <col min="7687" max="7690" width="7.7109375" style="40" customWidth="1"/>
    <col min="7691" max="7692" width="10.28515625" style="40" customWidth="1"/>
    <col min="7693" max="7936" width="9.140625" style="40"/>
    <col min="7937" max="7937" width="9.28515625" style="40" customWidth="1"/>
    <col min="7938" max="7938" width="7.7109375" style="40" customWidth="1"/>
    <col min="7939" max="7939" width="10.140625" style="40" bestFit="1" customWidth="1"/>
    <col min="7940" max="7940" width="7.7109375" style="40" customWidth="1"/>
    <col min="7941" max="7941" width="10.42578125" style="40" customWidth="1"/>
    <col min="7942" max="7942" width="10" style="40" customWidth="1"/>
    <col min="7943" max="7946" width="7.7109375" style="40" customWidth="1"/>
    <col min="7947" max="7948" width="10.28515625" style="40" customWidth="1"/>
    <col min="7949" max="8192" width="9.140625" style="40"/>
    <col min="8193" max="8193" width="9.28515625" style="40" customWidth="1"/>
    <col min="8194" max="8194" width="7.7109375" style="40" customWidth="1"/>
    <col min="8195" max="8195" width="10.140625" style="40" bestFit="1" customWidth="1"/>
    <col min="8196" max="8196" width="7.7109375" style="40" customWidth="1"/>
    <col min="8197" max="8197" width="10.42578125" style="40" customWidth="1"/>
    <col min="8198" max="8198" width="10" style="40" customWidth="1"/>
    <col min="8199" max="8202" width="7.7109375" style="40" customWidth="1"/>
    <col min="8203" max="8204" width="10.28515625" style="40" customWidth="1"/>
    <col min="8205" max="8448" width="9.140625" style="40"/>
    <col min="8449" max="8449" width="9.28515625" style="40" customWidth="1"/>
    <col min="8450" max="8450" width="7.7109375" style="40" customWidth="1"/>
    <col min="8451" max="8451" width="10.140625" style="40" bestFit="1" customWidth="1"/>
    <col min="8452" max="8452" width="7.7109375" style="40" customWidth="1"/>
    <col min="8453" max="8453" width="10.42578125" style="40" customWidth="1"/>
    <col min="8454" max="8454" width="10" style="40" customWidth="1"/>
    <col min="8455" max="8458" width="7.7109375" style="40" customWidth="1"/>
    <col min="8459" max="8460" width="10.28515625" style="40" customWidth="1"/>
    <col min="8461" max="8704" width="9.140625" style="40"/>
    <col min="8705" max="8705" width="9.28515625" style="40" customWidth="1"/>
    <col min="8706" max="8706" width="7.7109375" style="40" customWidth="1"/>
    <col min="8707" max="8707" width="10.140625" style="40" bestFit="1" customWidth="1"/>
    <col min="8708" max="8708" width="7.7109375" style="40" customWidth="1"/>
    <col min="8709" max="8709" width="10.42578125" style="40" customWidth="1"/>
    <col min="8710" max="8710" width="10" style="40" customWidth="1"/>
    <col min="8711" max="8714" width="7.7109375" style="40" customWidth="1"/>
    <col min="8715" max="8716" width="10.28515625" style="40" customWidth="1"/>
    <col min="8717" max="8960" width="9.140625" style="40"/>
    <col min="8961" max="8961" width="9.28515625" style="40" customWidth="1"/>
    <col min="8962" max="8962" width="7.7109375" style="40" customWidth="1"/>
    <col min="8963" max="8963" width="10.140625" style="40" bestFit="1" customWidth="1"/>
    <col min="8964" max="8964" width="7.7109375" style="40" customWidth="1"/>
    <col min="8965" max="8965" width="10.42578125" style="40" customWidth="1"/>
    <col min="8966" max="8966" width="10" style="40" customWidth="1"/>
    <col min="8967" max="8970" width="7.7109375" style="40" customWidth="1"/>
    <col min="8971" max="8972" width="10.28515625" style="40" customWidth="1"/>
    <col min="8973" max="9216" width="9.140625" style="40"/>
    <col min="9217" max="9217" width="9.28515625" style="40" customWidth="1"/>
    <col min="9218" max="9218" width="7.7109375" style="40" customWidth="1"/>
    <col min="9219" max="9219" width="10.140625" style="40" bestFit="1" customWidth="1"/>
    <col min="9220" max="9220" width="7.7109375" style="40" customWidth="1"/>
    <col min="9221" max="9221" width="10.42578125" style="40" customWidth="1"/>
    <col min="9222" max="9222" width="10" style="40" customWidth="1"/>
    <col min="9223" max="9226" width="7.7109375" style="40" customWidth="1"/>
    <col min="9227" max="9228" width="10.28515625" style="40" customWidth="1"/>
    <col min="9229" max="9472" width="9.140625" style="40"/>
    <col min="9473" max="9473" width="9.28515625" style="40" customWidth="1"/>
    <col min="9474" max="9474" width="7.7109375" style="40" customWidth="1"/>
    <col min="9475" max="9475" width="10.140625" style="40" bestFit="1" customWidth="1"/>
    <col min="9476" max="9476" width="7.7109375" style="40" customWidth="1"/>
    <col min="9477" max="9477" width="10.42578125" style="40" customWidth="1"/>
    <col min="9478" max="9478" width="10" style="40" customWidth="1"/>
    <col min="9479" max="9482" width="7.7109375" style="40" customWidth="1"/>
    <col min="9483" max="9484" width="10.28515625" style="40" customWidth="1"/>
    <col min="9485" max="9728" width="9.140625" style="40"/>
    <col min="9729" max="9729" width="9.28515625" style="40" customWidth="1"/>
    <col min="9730" max="9730" width="7.7109375" style="40" customWidth="1"/>
    <col min="9731" max="9731" width="10.140625" style="40" bestFit="1" customWidth="1"/>
    <col min="9732" max="9732" width="7.7109375" style="40" customWidth="1"/>
    <col min="9733" max="9733" width="10.42578125" style="40" customWidth="1"/>
    <col min="9734" max="9734" width="10" style="40" customWidth="1"/>
    <col min="9735" max="9738" width="7.7109375" style="40" customWidth="1"/>
    <col min="9739" max="9740" width="10.28515625" style="40" customWidth="1"/>
    <col min="9741" max="9984" width="9.140625" style="40"/>
    <col min="9985" max="9985" width="9.28515625" style="40" customWidth="1"/>
    <col min="9986" max="9986" width="7.7109375" style="40" customWidth="1"/>
    <col min="9987" max="9987" width="10.140625" style="40" bestFit="1" customWidth="1"/>
    <col min="9988" max="9988" width="7.7109375" style="40" customWidth="1"/>
    <col min="9989" max="9989" width="10.42578125" style="40" customWidth="1"/>
    <col min="9990" max="9990" width="10" style="40" customWidth="1"/>
    <col min="9991" max="9994" width="7.7109375" style="40" customWidth="1"/>
    <col min="9995" max="9996" width="10.28515625" style="40" customWidth="1"/>
    <col min="9997" max="10240" width="9.140625" style="40"/>
    <col min="10241" max="10241" width="9.28515625" style="40" customWidth="1"/>
    <col min="10242" max="10242" width="7.7109375" style="40" customWidth="1"/>
    <col min="10243" max="10243" width="10.140625" style="40" bestFit="1" customWidth="1"/>
    <col min="10244" max="10244" width="7.7109375" style="40" customWidth="1"/>
    <col min="10245" max="10245" width="10.42578125" style="40" customWidth="1"/>
    <col min="10246" max="10246" width="10" style="40" customWidth="1"/>
    <col min="10247" max="10250" width="7.7109375" style="40" customWidth="1"/>
    <col min="10251" max="10252" width="10.28515625" style="40" customWidth="1"/>
    <col min="10253" max="10496" width="9.140625" style="40"/>
    <col min="10497" max="10497" width="9.28515625" style="40" customWidth="1"/>
    <col min="10498" max="10498" width="7.7109375" style="40" customWidth="1"/>
    <col min="10499" max="10499" width="10.140625" style="40" bestFit="1" customWidth="1"/>
    <col min="10500" max="10500" width="7.7109375" style="40" customWidth="1"/>
    <col min="10501" max="10501" width="10.42578125" style="40" customWidth="1"/>
    <col min="10502" max="10502" width="10" style="40" customWidth="1"/>
    <col min="10503" max="10506" width="7.7109375" style="40" customWidth="1"/>
    <col min="10507" max="10508" width="10.28515625" style="40" customWidth="1"/>
    <col min="10509" max="10752" width="9.140625" style="40"/>
    <col min="10753" max="10753" width="9.28515625" style="40" customWidth="1"/>
    <col min="10754" max="10754" width="7.7109375" style="40" customWidth="1"/>
    <col min="10755" max="10755" width="10.140625" style="40" bestFit="1" customWidth="1"/>
    <col min="10756" max="10756" width="7.7109375" style="40" customWidth="1"/>
    <col min="10757" max="10757" width="10.42578125" style="40" customWidth="1"/>
    <col min="10758" max="10758" width="10" style="40" customWidth="1"/>
    <col min="10759" max="10762" width="7.7109375" style="40" customWidth="1"/>
    <col min="10763" max="10764" width="10.28515625" style="40" customWidth="1"/>
    <col min="10765" max="11008" width="9.140625" style="40"/>
    <col min="11009" max="11009" width="9.28515625" style="40" customWidth="1"/>
    <col min="11010" max="11010" width="7.7109375" style="40" customWidth="1"/>
    <col min="11011" max="11011" width="10.140625" style="40" bestFit="1" customWidth="1"/>
    <col min="11012" max="11012" width="7.7109375" style="40" customWidth="1"/>
    <col min="11013" max="11013" width="10.42578125" style="40" customWidth="1"/>
    <col min="11014" max="11014" width="10" style="40" customWidth="1"/>
    <col min="11015" max="11018" width="7.7109375" style="40" customWidth="1"/>
    <col min="11019" max="11020" width="10.28515625" style="40" customWidth="1"/>
    <col min="11021" max="11264" width="9.140625" style="40"/>
    <col min="11265" max="11265" width="9.28515625" style="40" customWidth="1"/>
    <col min="11266" max="11266" width="7.7109375" style="40" customWidth="1"/>
    <col min="11267" max="11267" width="10.140625" style="40" bestFit="1" customWidth="1"/>
    <col min="11268" max="11268" width="7.7109375" style="40" customWidth="1"/>
    <col min="11269" max="11269" width="10.42578125" style="40" customWidth="1"/>
    <col min="11270" max="11270" width="10" style="40" customWidth="1"/>
    <col min="11271" max="11274" width="7.7109375" style="40" customWidth="1"/>
    <col min="11275" max="11276" width="10.28515625" style="40" customWidth="1"/>
    <col min="11277" max="11520" width="9.140625" style="40"/>
    <col min="11521" max="11521" width="9.28515625" style="40" customWidth="1"/>
    <col min="11522" max="11522" width="7.7109375" style="40" customWidth="1"/>
    <col min="11523" max="11523" width="10.140625" style="40" bestFit="1" customWidth="1"/>
    <col min="11524" max="11524" width="7.7109375" style="40" customWidth="1"/>
    <col min="11525" max="11525" width="10.42578125" style="40" customWidth="1"/>
    <col min="11526" max="11526" width="10" style="40" customWidth="1"/>
    <col min="11527" max="11530" width="7.7109375" style="40" customWidth="1"/>
    <col min="11531" max="11532" width="10.28515625" style="40" customWidth="1"/>
    <col min="11533" max="11776" width="9.140625" style="40"/>
    <col min="11777" max="11777" width="9.28515625" style="40" customWidth="1"/>
    <col min="11778" max="11778" width="7.7109375" style="40" customWidth="1"/>
    <col min="11779" max="11779" width="10.140625" style="40" bestFit="1" customWidth="1"/>
    <col min="11780" max="11780" width="7.7109375" style="40" customWidth="1"/>
    <col min="11781" max="11781" width="10.42578125" style="40" customWidth="1"/>
    <col min="11782" max="11782" width="10" style="40" customWidth="1"/>
    <col min="11783" max="11786" width="7.7109375" style="40" customWidth="1"/>
    <col min="11787" max="11788" width="10.28515625" style="40" customWidth="1"/>
    <col min="11789" max="12032" width="9.140625" style="40"/>
    <col min="12033" max="12033" width="9.28515625" style="40" customWidth="1"/>
    <col min="12034" max="12034" width="7.7109375" style="40" customWidth="1"/>
    <col min="12035" max="12035" width="10.140625" style="40" bestFit="1" customWidth="1"/>
    <col min="12036" max="12036" width="7.7109375" style="40" customWidth="1"/>
    <col min="12037" max="12037" width="10.42578125" style="40" customWidth="1"/>
    <col min="12038" max="12038" width="10" style="40" customWidth="1"/>
    <col min="12039" max="12042" width="7.7109375" style="40" customWidth="1"/>
    <col min="12043" max="12044" width="10.28515625" style="40" customWidth="1"/>
    <col min="12045" max="12288" width="9.140625" style="40"/>
    <col min="12289" max="12289" width="9.28515625" style="40" customWidth="1"/>
    <col min="12290" max="12290" width="7.7109375" style="40" customWidth="1"/>
    <col min="12291" max="12291" width="10.140625" style="40" bestFit="1" customWidth="1"/>
    <col min="12292" max="12292" width="7.7109375" style="40" customWidth="1"/>
    <col min="12293" max="12293" width="10.42578125" style="40" customWidth="1"/>
    <col min="12294" max="12294" width="10" style="40" customWidth="1"/>
    <col min="12295" max="12298" width="7.7109375" style="40" customWidth="1"/>
    <col min="12299" max="12300" width="10.28515625" style="40" customWidth="1"/>
    <col min="12301" max="12544" width="9.140625" style="40"/>
    <col min="12545" max="12545" width="9.28515625" style="40" customWidth="1"/>
    <col min="12546" max="12546" width="7.7109375" style="40" customWidth="1"/>
    <col min="12547" max="12547" width="10.140625" style="40" bestFit="1" customWidth="1"/>
    <col min="12548" max="12548" width="7.7109375" style="40" customWidth="1"/>
    <col min="12549" max="12549" width="10.42578125" style="40" customWidth="1"/>
    <col min="12550" max="12550" width="10" style="40" customWidth="1"/>
    <col min="12551" max="12554" width="7.7109375" style="40" customWidth="1"/>
    <col min="12555" max="12556" width="10.28515625" style="40" customWidth="1"/>
    <col min="12557" max="12800" width="9.140625" style="40"/>
    <col min="12801" max="12801" width="9.28515625" style="40" customWidth="1"/>
    <col min="12802" max="12802" width="7.7109375" style="40" customWidth="1"/>
    <col min="12803" max="12803" width="10.140625" style="40" bestFit="1" customWidth="1"/>
    <col min="12804" max="12804" width="7.7109375" style="40" customWidth="1"/>
    <col min="12805" max="12805" width="10.42578125" style="40" customWidth="1"/>
    <col min="12806" max="12806" width="10" style="40" customWidth="1"/>
    <col min="12807" max="12810" width="7.7109375" style="40" customWidth="1"/>
    <col min="12811" max="12812" width="10.28515625" style="40" customWidth="1"/>
    <col min="12813" max="13056" width="9.140625" style="40"/>
    <col min="13057" max="13057" width="9.28515625" style="40" customWidth="1"/>
    <col min="13058" max="13058" width="7.7109375" style="40" customWidth="1"/>
    <col min="13059" max="13059" width="10.140625" style="40" bestFit="1" customWidth="1"/>
    <col min="13060" max="13060" width="7.7109375" style="40" customWidth="1"/>
    <col min="13061" max="13061" width="10.42578125" style="40" customWidth="1"/>
    <col min="13062" max="13062" width="10" style="40" customWidth="1"/>
    <col min="13063" max="13066" width="7.7109375" style="40" customWidth="1"/>
    <col min="13067" max="13068" width="10.28515625" style="40" customWidth="1"/>
    <col min="13069" max="13312" width="9.140625" style="40"/>
    <col min="13313" max="13313" width="9.28515625" style="40" customWidth="1"/>
    <col min="13314" max="13314" width="7.7109375" style="40" customWidth="1"/>
    <col min="13315" max="13315" width="10.140625" style="40" bestFit="1" customWidth="1"/>
    <col min="13316" max="13316" width="7.7109375" style="40" customWidth="1"/>
    <col min="13317" max="13317" width="10.42578125" style="40" customWidth="1"/>
    <col min="13318" max="13318" width="10" style="40" customWidth="1"/>
    <col min="13319" max="13322" width="7.7109375" style="40" customWidth="1"/>
    <col min="13323" max="13324" width="10.28515625" style="40" customWidth="1"/>
    <col min="13325" max="13568" width="9.140625" style="40"/>
    <col min="13569" max="13569" width="9.28515625" style="40" customWidth="1"/>
    <col min="13570" max="13570" width="7.7109375" style="40" customWidth="1"/>
    <col min="13571" max="13571" width="10.140625" style="40" bestFit="1" customWidth="1"/>
    <col min="13572" max="13572" width="7.7109375" style="40" customWidth="1"/>
    <col min="13573" max="13573" width="10.42578125" style="40" customWidth="1"/>
    <col min="13574" max="13574" width="10" style="40" customWidth="1"/>
    <col min="13575" max="13578" width="7.7109375" style="40" customWidth="1"/>
    <col min="13579" max="13580" width="10.28515625" style="40" customWidth="1"/>
    <col min="13581" max="13824" width="9.140625" style="40"/>
    <col min="13825" max="13825" width="9.28515625" style="40" customWidth="1"/>
    <col min="13826" max="13826" width="7.7109375" style="40" customWidth="1"/>
    <col min="13827" max="13827" width="10.140625" style="40" bestFit="1" customWidth="1"/>
    <col min="13828" max="13828" width="7.7109375" style="40" customWidth="1"/>
    <col min="13829" max="13829" width="10.42578125" style="40" customWidth="1"/>
    <col min="13830" max="13830" width="10" style="40" customWidth="1"/>
    <col min="13831" max="13834" width="7.7109375" style="40" customWidth="1"/>
    <col min="13835" max="13836" width="10.28515625" style="40" customWidth="1"/>
    <col min="13837" max="14080" width="9.140625" style="40"/>
    <col min="14081" max="14081" width="9.28515625" style="40" customWidth="1"/>
    <col min="14082" max="14082" width="7.7109375" style="40" customWidth="1"/>
    <col min="14083" max="14083" width="10.140625" style="40" bestFit="1" customWidth="1"/>
    <col min="14084" max="14084" width="7.7109375" style="40" customWidth="1"/>
    <col min="14085" max="14085" width="10.42578125" style="40" customWidth="1"/>
    <col min="14086" max="14086" width="10" style="40" customWidth="1"/>
    <col min="14087" max="14090" width="7.7109375" style="40" customWidth="1"/>
    <col min="14091" max="14092" width="10.28515625" style="40" customWidth="1"/>
    <col min="14093" max="14336" width="9.140625" style="40"/>
    <col min="14337" max="14337" width="9.28515625" style="40" customWidth="1"/>
    <col min="14338" max="14338" width="7.7109375" style="40" customWidth="1"/>
    <col min="14339" max="14339" width="10.140625" style="40" bestFit="1" customWidth="1"/>
    <col min="14340" max="14340" width="7.7109375" style="40" customWidth="1"/>
    <col min="14341" max="14341" width="10.42578125" style="40" customWidth="1"/>
    <col min="14342" max="14342" width="10" style="40" customWidth="1"/>
    <col min="14343" max="14346" width="7.7109375" style="40" customWidth="1"/>
    <col min="14347" max="14348" width="10.28515625" style="40" customWidth="1"/>
    <col min="14349" max="14592" width="9.140625" style="40"/>
    <col min="14593" max="14593" width="9.28515625" style="40" customWidth="1"/>
    <col min="14594" max="14594" width="7.7109375" style="40" customWidth="1"/>
    <col min="14595" max="14595" width="10.140625" style="40" bestFit="1" customWidth="1"/>
    <col min="14596" max="14596" width="7.7109375" style="40" customWidth="1"/>
    <col min="14597" max="14597" width="10.42578125" style="40" customWidth="1"/>
    <col min="14598" max="14598" width="10" style="40" customWidth="1"/>
    <col min="14599" max="14602" width="7.7109375" style="40" customWidth="1"/>
    <col min="14603" max="14604" width="10.28515625" style="40" customWidth="1"/>
    <col min="14605" max="14848" width="9.140625" style="40"/>
    <col min="14849" max="14849" width="9.28515625" style="40" customWidth="1"/>
    <col min="14850" max="14850" width="7.7109375" style="40" customWidth="1"/>
    <col min="14851" max="14851" width="10.140625" style="40" bestFit="1" customWidth="1"/>
    <col min="14852" max="14852" width="7.7109375" style="40" customWidth="1"/>
    <col min="14853" max="14853" width="10.42578125" style="40" customWidth="1"/>
    <col min="14854" max="14854" width="10" style="40" customWidth="1"/>
    <col min="14855" max="14858" width="7.7109375" style="40" customWidth="1"/>
    <col min="14859" max="14860" width="10.28515625" style="40" customWidth="1"/>
    <col min="14861" max="15104" width="9.140625" style="40"/>
    <col min="15105" max="15105" width="9.28515625" style="40" customWidth="1"/>
    <col min="15106" max="15106" width="7.7109375" style="40" customWidth="1"/>
    <col min="15107" max="15107" width="10.140625" style="40" bestFit="1" customWidth="1"/>
    <col min="15108" max="15108" width="7.7109375" style="40" customWidth="1"/>
    <col min="15109" max="15109" width="10.42578125" style="40" customWidth="1"/>
    <col min="15110" max="15110" width="10" style="40" customWidth="1"/>
    <col min="15111" max="15114" width="7.7109375" style="40" customWidth="1"/>
    <col min="15115" max="15116" width="10.28515625" style="40" customWidth="1"/>
    <col min="15117" max="15360" width="9.140625" style="40"/>
    <col min="15361" max="15361" width="9.28515625" style="40" customWidth="1"/>
    <col min="15362" max="15362" width="7.7109375" style="40" customWidth="1"/>
    <col min="15363" max="15363" width="10.140625" style="40" bestFit="1" customWidth="1"/>
    <col min="15364" max="15364" width="7.7109375" style="40" customWidth="1"/>
    <col min="15365" max="15365" width="10.42578125" style="40" customWidth="1"/>
    <col min="15366" max="15366" width="10" style="40" customWidth="1"/>
    <col min="15367" max="15370" width="7.7109375" style="40" customWidth="1"/>
    <col min="15371" max="15372" width="10.28515625" style="40" customWidth="1"/>
    <col min="15373" max="15616" width="9.140625" style="40"/>
    <col min="15617" max="15617" width="9.28515625" style="40" customWidth="1"/>
    <col min="15618" max="15618" width="7.7109375" style="40" customWidth="1"/>
    <col min="15619" max="15619" width="10.140625" style="40" bestFit="1" customWidth="1"/>
    <col min="15620" max="15620" width="7.7109375" style="40" customWidth="1"/>
    <col min="15621" max="15621" width="10.42578125" style="40" customWidth="1"/>
    <col min="15622" max="15622" width="10" style="40" customWidth="1"/>
    <col min="15623" max="15626" width="7.7109375" style="40" customWidth="1"/>
    <col min="15627" max="15628" width="10.28515625" style="40" customWidth="1"/>
    <col min="15629" max="15872" width="9.140625" style="40"/>
    <col min="15873" max="15873" width="9.28515625" style="40" customWidth="1"/>
    <col min="15874" max="15874" width="7.7109375" style="40" customWidth="1"/>
    <col min="15875" max="15875" width="10.140625" style="40" bestFit="1" customWidth="1"/>
    <col min="15876" max="15876" width="7.7109375" style="40" customWidth="1"/>
    <col min="15877" max="15877" width="10.42578125" style="40" customWidth="1"/>
    <col min="15878" max="15878" width="10" style="40" customWidth="1"/>
    <col min="15879" max="15882" width="7.7109375" style="40" customWidth="1"/>
    <col min="15883" max="15884" width="10.28515625" style="40" customWidth="1"/>
    <col min="15885" max="16128" width="9.140625" style="40"/>
    <col min="16129" max="16129" width="9.28515625" style="40" customWidth="1"/>
    <col min="16130" max="16130" width="7.7109375" style="40" customWidth="1"/>
    <col min="16131" max="16131" width="10.140625" style="40" bestFit="1" customWidth="1"/>
    <col min="16132" max="16132" width="7.7109375" style="40" customWidth="1"/>
    <col min="16133" max="16133" width="10.42578125" style="40" customWidth="1"/>
    <col min="16134" max="16134" width="10" style="40" customWidth="1"/>
    <col min="16135" max="16138" width="7.7109375" style="40" customWidth="1"/>
    <col min="16139" max="16140" width="10.28515625" style="40" customWidth="1"/>
    <col min="16141" max="16384" width="9.140625" style="40"/>
  </cols>
  <sheetData>
    <row r="1" spans="1:18" ht="19.5">
      <c r="A1" s="235" t="s">
        <v>214</v>
      </c>
      <c r="B1" s="280"/>
      <c r="C1" s="280"/>
      <c r="D1" s="280"/>
      <c r="E1" s="280"/>
      <c r="F1" s="280"/>
      <c r="G1" s="280"/>
      <c r="H1" s="280"/>
      <c r="I1" s="280"/>
      <c r="J1" s="236"/>
    </row>
    <row r="2" spans="1:18" ht="16.5" thickBot="1">
      <c r="A2" s="282" t="s">
        <v>238</v>
      </c>
      <c r="B2" s="283"/>
      <c r="C2" s="283"/>
      <c r="D2" s="283"/>
      <c r="E2" s="283"/>
      <c r="F2" s="283"/>
      <c r="G2" s="283"/>
      <c r="H2" s="283"/>
      <c r="I2" s="283"/>
      <c r="J2" s="284"/>
      <c r="K2" s="25"/>
      <c r="L2" s="25"/>
      <c r="M2" s="25"/>
    </row>
    <row r="3" spans="1:18" ht="15.75">
      <c r="A3" s="202"/>
      <c r="B3" s="202"/>
      <c r="C3" s="202"/>
      <c r="D3" s="202"/>
      <c r="E3" s="202"/>
      <c r="F3" s="202"/>
      <c r="G3" s="202"/>
      <c r="H3" s="202"/>
      <c r="I3" s="202"/>
      <c r="J3" s="202"/>
      <c r="K3" s="25"/>
      <c r="L3" s="25"/>
      <c r="M3" s="25"/>
    </row>
    <row r="4" spans="1:18" ht="16.5" thickBot="1">
      <c r="A4" s="25"/>
      <c r="B4" s="58" t="s">
        <v>130</v>
      </c>
      <c r="C4" s="59">
        <f ca="1">TODAY()</f>
        <v>41344</v>
      </c>
      <c r="D4" s="25"/>
      <c r="E4" s="25"/>
      <c r="F4" s="25"/>
      <c r="G4" s="25"/>
      <c r="H4" s="25"/>
      <c r="I4" s="25"/>
      <c r="J4" s="25"/>
      <c r="K4" s="57"/>
      <c r="L4" s="25"/>
      <c r="M4" s="25"/>
    </row>
    <row r="5" spans="1:18" ht="15.75">
      <c r="A5" s="25"/>
      <c r="B5" s="25"/>
      <c r="C5" s="25"/>
      <c r="D5" s="25"/>
      <c r="E5" s="25"/>
      <c r="F5" s="25"/>
      <c r="G5" s="25"/>
      <c r="H5" s="25"/>
      <c r="I5" s="25"/>
      <c r="J5" s="25"/>
      <c r="K5" s="57"/>
      <c r="L5" s="25"/>
      <c r="M5" s="218" t="s">
        <v>252</v>
      </c>
      <c r="N5" s="260"/>
      <c r="O5" s="260"/>
      <c r="P5" s="260"/>
      <c r="Q5" s="260"/>
      <c r="R5" s="261"/>
    </row>
    <row r="6" spans="1:18" ht="15.75">
      <c r="A6" s="25"/>
      <c r="B6" s="279" t="s">
        <v>131</v>
      </c>
      <c r="C6" s="279"/>
      <c r="D6" s="25"/>
      <c r="E6" s="60"/>
      <c r="F6" s="279" t="s">
        <v>177</v>
      </c>
      <c r="G6" s="279"/>
      <c r="H6" s="279"/>
      <c r="I6" s="60"/>
      <c r="J6" s="25"/>
      <c r="K6" s="57"/>
      <c r="L6" s="25"/>
      <c r="M6" s="262"/>
      <c r="N6" s="263"/>
      <c r="O6" s="263"/>
      <c r="P6" s="263"/>
      <c r="Q6" s="263"/>
      <c r="R6" s="264"/>
    </row>
    <row r="7" spans="1:18" ht="15.75">
      <c r="A7" s="25"/>
      <c r="B7" s="58" t="s">
        <v>134</v>
      </c>
      <c r="C7" s="63">
        <f>'First Page'!B13</f>
        <v>4665</v>
      </c>
      <c r="D7" s="25"/>
      <c r="E7" s="25"/>
      <c r="F7" s="25"/>
      <c r="G7" s="58" t="s">
        <v>132</v>
      </c>
      <c r="H7" s="61">
        <f>AVERAGE($I$21:$I$30)</f>
        <v>0.35424172529433195</v>
      </c>
      <c r="I7" s="25"/>
      <c r="J7" s="25"/>
      <c r="K7" s="25"/>
      <c r="L7" s="25"/>
      <c r="M7" s="262"/>
      <c r="N7" s="263"/>
      <c r="O7" s="263"/>
      <c r="P7" s="263"/>
      <c r="Q7" s="263"/>
      <c r="R7" s="264"/>
    </row>
    <row r="8" spans="1:18" ht="15.75">
      <c r="A8" s="25"/>
      <c r="B8" s="58" t="s">
        <v>136</v>
      </c>
      <c r="C8" s="63">
        <f>Ratios!K4</f>
        <v>103.07884466664576</v>
      </c>
      <c r="D8" s="25"/>
      <c r="E8" s="25"/>
      <c r="F8" s="25"/>
      <c r="G8" s="58" t="s">
        <v>133</v>
      </c>
      <c r="H8" s="61">
        <f>AVERAGE($J$21:$J$30)</f>
        <v>0.44820590001724331</v>
      </c>
      <c r="I8" s="25"/>
      <c r="J8" s="25"/>
      <c r="K8" s="25"/>
      <c r="L8" s="25"/>
      <c r="M8" s="262"/>
      <c r="N8" s="263"/>
      <c r="O8" s="263"/>
      <c r="P8" s="263"/>
      <c r="Q8" s="263"/>
      <c r="R8" s="264"/>
    </row>
    <row r="9" spans="1:18" ht="15.75">
      <c r="A9" s="25"/>
      <c r="B9" s="58" t="s">
        <v>138</v>
      </c>
      <c r="C9" s="63">
        <f>Ratios!K7</f>
        <v>40.001134698194001</v>
      </c>
      <c r="D9" s="25"/>
      <c r="E9" s="25"/>
      <c r="F9" s="25"/>
      <c r="G9" s="58" t="s">
        <v>135</v>
      </c>
      <c r="H9" s="62">
        <f>AVERAGE($G$21:$G$30)</f>
        <v>30.570567504249755</v>
      </c>
      <c r="I9" s="25"/>
      <c r="J9" s="25"/>
      <c r="K9" s="25"/>
      <c r="L9" s="25"/>
      <c r="M9" s="262"/>
      <c r="N9" s="263"/>
      <c r="O9" s="263"/>
      <c r="P9" s="263"/>
      <c r="Q9" s="263"/>
      <c r="R9" s="264"/>
    </row>
    <row r="10" spans="1:18" ht="15.75">
      <c r="A10" s="25"/>
      <c r="B10" s="58" t="s">
        <v>140</v>
      </c>
      <c r="C10" s="63">
        <f>Ratios!K5</f>
        <v>286.54152758212672</v>
      </c>
      <c r="D10" s="25"/>
      <c r="E10" s="25"/>
      <c r="F10" s="25"/>
      <c r="G10" s="58" t="s">
        <v>137</v>
      </c>
      <c r="H10" s="62">
        <f>AVERAGE($H$21:$H$30)</f>
        <v>20.2674186891145</v>
      </c>
      <c r="I10" s="25"/>
      <c r="J10" s="25"/>
      <c r="K10" s="25"/>
      <c r="L10" s="25"/>
      <c r="M10" s="262"/>
      <c r="N10" s="263"/>
      <c r="O10" s="263"/>
      <c r="P10" s="263"/>
      <c r="Q10" s="263"/>
      <c r="R10" s="264"/>
    </row>
    <row r="11" spans="1:18" ht="15.75">
      <c r="A11" s="25"/>
      <c r="B11" s="58" t="s">
        <v>142</v>
      </c>
      <c r="C11" s="63">
        <f>$C$7/$C$8</f>
        <v>45.256618999625829</v>
      </c>
      <c r="D11" s="25"/>
      <c r="E11" s="25"/>
      <c r="F11" s="25"/>
      <c r="G11" s="58" t="s">
        <v>139</v>
      </c>
      <c r="H11" s="62">
        <f>AVERAGE($H$9:$H$10)</f>
        <v>25.418993096682129</v>
      </c>
      <c r="I11" s="25"/>
      <c r="J11" s="25"/>
      <c r="K11" s="25"/>
      <c r="L11" s="25"/>
      <c r="M11" s="262"/>
      <c r="N11" s="263"/>
      <c r="O11" s="263"/>
      <c r="P11" s="263"/>
      <c r="Q11" s="263"/>
      <c r="R11" s="264"/>
    </row>
    <row r="12" spans="1:18" ht="15.75">
      <c r="A12" s="25"/>
      <c r="B12" s="58" t="s">
        <v>143</v>
      </c>
      <c r="C12" s="65">
        <f>$C$8/$C$7</f>
        <v>2.209621536262503E-2</v>
      </c>
      <c r="D12" s="25"/>
      <c r="E12" s="25"/>
      <c r="F12" s="25"/>
      <c r="G12" s="58" t="s">
        <v>141</v>
      </c>
      <c r="H12" s="61">
        <f>$H$7*(1-$H$8)</f>
        <v>0.19546849398512481</v>
      </c>
      <c r="I12" s="64"/>
      <c r="J12" s="25"/>
      <c r="K12" s="25"/>
      <c r="L12" s="25"/>
      <c r="M12" s="262"/>
      <c r="N12" s="263"/>
      <c r="O12" s="263"/>
      <c r="P12" s="263"/>
      <c r="Q12" s="263"/>
      <c r="R12" s="264"/>
    </row>
    <row r="13" spans="1:18" ht="15.75">
      <c r="A13" s="25"/>
      <c r="B13" s="58" t="s">
        <v>144</v>
      </c>
      <c r="C13" s="65">
        <f>$C$9/$C$7</f>
        <v>8.5747341260866018E-3</v>
      </c>
      <c r="D13" s="25"/>
      <c r="E13" s="25"/>
      <c r="F13" s="25"/>
      <c r="G13" s="58"/>
      <c r="H13" s="25"/>
      <c r="I13" s="25"/>
      <c r="J13" s="25"/>
      <c r="K13" s="25"/>
      <c r="L13" s="25"/>
      <c r="M13" s="262"/>
      <c r="N13" s="263"/>
      <c r="O13" s="263"/>
      <c r="P13" s="263"/>
      <c r="Q13" s="263"/>
      <c r="R13" s="264"/>
    </row>
    <row r="14" spans="1:18" ht="15.75">
      <c r="A14" s="25"/>
      <c r="B14" s="58" t="s">
        <v>145</v>
      </c>
      <c r="C14" s="66">
        <f>$C$7/$C$10</f>
        <v>16.280362708204475</v>
      </c>
      <c r="D14" s="25"/>
      <c r="E14" s="25"/>
      <c r="F14" s="25"/>
      <c r="G14" s="25"/>
      <c r="H14" s="25"/>
      <c r="I14" s="25"/>
      <c r="J14" s="25"/>
      <c r="K14" s="25"/>
      <c r="L14" s="25"/>
      <c r="M14" s="262"/>
      <c r="N14" s="263"/>
      <c r="O14" s="263"/>
      <c r="P14" s="263"/>
      <c r="Q14" s="263"/>
      <c r="R14" s="264"/>
    </row>
    <row r="15" spans="1:18" ht="15.75">
      <c r="A15" s="25"/>
      <c r="B15" s="25"/>
      <c r="C15" s="57"/>
      <c r="D15" s="25"/>
      <c r="E15" s="25"/>
      <c r="F15" s="25"/>
      <c r="G15" s="25"/>
      <c r="H15" s="25"/>
      <c r="I15" s="25"/>
      <c r="J15" s="25"/>
      <c r="K15" s="25"/>
      <c r="L15" s="25"/>
      <c r="M15" s="262"/>
      <c r="N15" s="263"/>
      <c r="O15" s="263"/>
      <c r="P15" s="263"/>
      <c r="Q15" s="263"/>
      <c r="R15" s="264"/>
    </row>
    <row r="16" spans="1:18" ht="16.5" thickBot="1">
      <c r="A16" s="25"/>
      <c r="B16" s="58" t="s">
        <v>256</v>
      </c>
      <c r="C16" s="67">
        <v>0.08</v>
      </c>
      <c r="D16" s="25"/>
      <c r="E16" s="25"/>
      <c r="F16" s="25"/>
      <c r="G16" s="25"/>
      <c r="H16" s="25"/>
      <c r="I16" s="25"/>
      <c r="J16" s="25"/>
      <c r="K16" s="25"/>
      <c r="L16" s="25"/>
      <c r="M16" s="265"/>
      <c r="N16" s="266"/>
      <c r="O16" s="266"/>
      <c r="P16" s="266"/>
      <c r="Q16" s="266"/>
      <c r="R16" s="267"/>
    </row>
    <row r="17" spans="1:13" ht="15.75">
      <c r="A17" s="25"/>
      <c r="D17" s="25"/>
      <c r="E17" s="25"/>
      <c r="F17" s="25"/>
      <c r="G17" s="25"/>
      <c r="H17" s="25"/>
      <c r="I17" s="25"/>
      <c r="J17" s="25"/>
      <c r="K17" s="25"/>
      <c r="L17" s="25"/>
      <c r="M17" s="25"/>
    </row>
    <row r="18" spans="1:13" ht="20.25" thickBot="1">
      <c r="A18" s="195" t="s">
        <v>146</v>
      </c>
      <c r="B18" s="25"/>
      <c r="C18" s="25"/>
      <c r="D18" s="25"/>
      <c r="E18" s="25"/>
      <c r="F18" s="25"/>
      <c r="G18" s="25"/>
      <c r="H18" s="25"/>
      <c r="I18" s="25"/>
      <c r="J18" s="25"/>
      <c r="K18" s="25"/>
      <c r="L18" s="25"/>
      <c r="M18" s="25"/>
    </row>
    <row r="19" spans="1:13" ht="15.75">
      <c r="A19" s="107"/>
      <c r="B19" s="108"/>
      <c r="C19" s="108"/>
      <c r="D19" s="108"/>
      <c r="E19" s="281" t="s">
        <v>147</v>
      </c>
      <c r="F19" s="281"/>
      <c r="G19" s="281" t="s">
        <v>148</v>
      </c>
      <c r="H19" s="281"/>
      <c r="I19" s="108"/>
      <c r="J19" s="109"/>
      <c r="K19" s="25"/>
      <c r="L19" s="68"/>
      <c r="M19" s="25"/>
    </row>
    <row r="20" spans="1:13" ht="15.75">
      <c r="A20" s="110" t="s">
        <v>2</v>
      </c>
      <c r="B20" s="69" t="s">
        <v>149</v>
      </c>
      <c r="C20" s="69" t="s">
        <v>150</v>
      </c>
      <c r="D20" s="69" t="s">
        <v>151</v>
      </c>
      <c r="E20" s="69" t="s">
        <v>152</v>
      </c>
      <c r="F20" s="69" t="s">
        <v>153</v>
      </c>
      <c r="G20" s="69" t="s">
        <v>152</v>
      </c>
      <c r="H20" s="69" t="s">
        <v>153</v>
      </c>
      <c r="I20" s="69" t="s">
        <v>154</v>
      </c>
      <c r="J20" s="111" t="s">
        <v>178</v>
      </c>
      <c r="K20" s="25"/>
      <c r="L20" s="25"/>
      <c r="M20" s="25"/>
    </row>
    <row r="21" spans="1:13" ht="15.75">
      <c r="A21" s="112" t="s">
        <v>25</v>
      </c>
      <c r="B21" s="70">
        <f>'P &amp; L Account'!B28</f>
        <v>14.49544624159318</v>
      </c>
      <c r="C21" s="70">
        <f>Ratios!B7</f>
        <v>7.314445543082412</v>
      </c>
      <c r="D21" s="70">
        <f>Ratios!B5</f>
        <v>49.785352403699768</v>
      </c>
      <c r="E21" s="56">
        <f>'Fair Value'!B5</f>
        <v>324</v>
      </c>
      <c r="F21" s="56">
        <f>'Fair Value'!B7</f>
        <v>221</v>
      </c>
      <c r="G21" s="71">
        <f t="shared" ref="G21:G22" si="0">E21/$B21</f>
        <v>22.351847235327988</v>
      </c>
      <c r="H21" s="71">
        <f t="shared" ref="H21:H22" si="1">F21/$B21</f>
        <v>15.24616740434409</v>
      </c>
      <c r="I21" s="72">
        <f t="shared" ref="I21:I22" si="2">B21/D21</f>
        <v>0.29115885580265494</v>
      </c>
      <c r="J21" s="113">
        <f t="shared" ref="J21:J22" si="3">C21/B21</f>
        <v>0.50460299194476466</v>
      </c>
      <c r="K21" s="25"/>
      <c r="L21" s="25"/>
      <c r="M21" s="25"/>
    </row>
    <row r="22" spans="1:13" ht="15.75">
      <c r="A22" s="112" t="s">
        <v>24</v>
      </c>
      <c r="B22" s="70">
        <f>'P &amp; L Account'!C28</f>
        <v>15.104288344951264</v>
      </c>
      <c r="C22" s="70">
        <f>Ratios!C7</f>
        <v>8.4998110765038355</v>
      </c>
      <c r="D22" s="70">
        <f>Ratios!C5</f>
        <v>55.200293987332898</v>
      </c>
      <c r="E22" s="56">
        <f>'Fair Value'!C5</f>
        <v>361</v>
      </c>
      <c r="F22" s="56">
        <f>'Fair Value'!C7</f>
        <v>225</v>
      </c>
      <c r="G22" s="71">
        <f t="shared" si="0"/>
        <v>23.900497114163429</v>
      </c>
      <c r="H22" s="71">
        <f t="shared" si="1"/>
        <v>14.896431719353938</v>
      </c>
      <c r="I22" s="72">
        <f t="shared" si="2"/>
        <v>0.27362695474805487</v>
      </c>
      <c r="J22" s="113">
        <f t="shared" si="3"/>
        <v>0.56274157923798962</v>
      </c>
      <c r="K22" s="25"/>
      <c r="L22" s="25"/>
      <c r="M22" s="25"/>
    </row>
    <row r="23" spans="1:13" ht="15.75">
      <c r="A23" s="112" t="s">
        <v>26</v>
      </c>
      <c r="B23" s="70">
        <f>'P &amp; L Account'!D28</f>
        <v>18.148498861741579</v>
      </c>
      <c r="C23" s="70">
        <f>Ratios!D7</f>
        <v>9.5006474107910517</v>
      </c>
      <c r="D23" s="70">
        <f>Ratios!D5</f>
        <v>59.130661675106651</v>
      </c>
      <c r="E23" s="56">
        <f>'Fair Value'!D5</f>
        <v>471</v>
      </c>
      <c r="F23" s="56">
        <f>'Fair Value'!D7</f>
        <v>327</v>
      </c>
      <c r="G23" s="71">
        <f t="shared" ref="G23:H30" si="4">E23/$B23</f>
        <v>25.952559690372187</v>
      </c>
      <c r="H23" s="71">
        <f t="shared" si="4"/>
        <v>18.01801914809279</v>
      </c>
      <c r="I23" s="72">
        <f t="shared" ref="I23:I30" si="5">B23/D23</f>
        <v>0.30692196480835077</v>
      </c>
      <c r="J23" s="113">
        <f t="shared" ref="J23:J30" si="6">C23/B23</f>
        <v>0.5234949448529399</v>
      </c>
      <c r="K23" s="25"/>
      <c r="L23" s="25"/>
      <c r="M23" s="25"/>
    </row>
    <row r="24" spans="1:13" ht="15.75">
      <c r="A24" s="112" t="s">
        <v>27</v>
      </c>
      <c r="B24" s="70">
        <f>'P &amp; L Account'!E28</f>
        <v>22.118482987747552</v>
      </c>
      <c r="C24" s="70">
        <f>Ratios!E7</f>
        <v>12.500028800108058</v>
      </c>
      <c r="D24" s="70">
        <f>Ratios!E5</f>
        <v>67.374008440949396</v>
      </c>
      <c r="E24" s="56">
        <f>'Fair Value'!E5</f>
        <v>862</v>
      </c>
      <c r="F24" s="56">
        <f>'Fair Value'!E7</f>
        <v>449</v>
      </c>
      <c r="G24" s="71">
        <f t="shared" si="4"/>
        <v>38.97193132447201</v>
      </c>
      <c r="H24" s="71">
        <f t="shared" si="4"/>
        <v>20.299764692213376</v>
      </c>
      <c r="I24" s="72">
        <f t="shared" si="5"/>
        <v>0.32829400386847268</v>
      </c>
      <c r="J24" s="113">
        <f t="shared" si="6"/>
        <v>0.56513951734539847</v>
      </c>
      <c r="K24" s="25"/>
      <c r="L24" s="25"/>
      <c r="M24" s="25"/>
    </row>
    <row r="25" spans="1:13" ht="15.75">
      <c r="A25" s="112" t="s">
        <v>28</v>
      </c>
      <c r="B25" s="70">
        <f>'P &amp; L Account'!F28</f>
        <v>29.298441148410109</v>
      </c>
      <c r="C25" s="70">
        <f>Ratios!F7</f>
        <v>12.99940442940345</v>
      </c>
      <c r="D25" s="70">
        <f>Ratios!F5</f>
        <v>81.087551296380695</v>
      </c>
      <c r="E25" s="56">
        <f>'Fair Value'!F5</f>
        <v>972</v>
      </c>
      <c r="F25" s="56">
        <f>'Fair Value'!F7</f>
        <v>683</v>
      </c>
      <c r="G25" s="71">
        <f t="shared" si="4"/>
        <v>33.175826491121896</v>
      </c>
      <c r="H25" s="71">
        <f t="shared" si="4"/>
        <v>23.311820466498204</v>
      </c>
      <c r="I25" s="72">
        <f t="shared" si="5"/>
        <v>0.36131860785044856</v>
      </c>
      <c r="J25" s="113">
        <f t="shared" si="6"/>
        <v>0.44368928584136863</v>
      </c>
      <c r="K25" s="25"/>
      <c r="L25" s="25"/>
      <c r="M25" s="25"/>
    </row>
    <row r="26" spans="1:13" ht="15.75">
      <c r="A26" s="112" t="s">
        <v>17</v>
      </c>
      <c r="B26" s="70">
        <f>'P &amp; L Account'!G28</f>
        <v>42.658563673296094</v>
      </c>
      <c r="C26" s="70">
        <f>Ratios!G7</f>
        <v>16.998579615159457</v>
      </c>
      <c r="D26" s="70">
        <f>Ratios!G5</f>
        <v>102.41579059518058</v>
      </c>
      <c r="E26" s="56">
        <f>'Fair Value'!G5</f>
        <v>1316</v>
      </c>
      <c r="F26" s="56">
        <f>'Fair Value'!G7</f>
        <v>1043</v>
      </c>
      <c r="G26" s="71">
        <f t="shared" si="4"/>
        <v>30.849608769734669</v>
      </c>
      <c r="H26" s="71">
        <f t="shared" si="4"/>
        <v>24.449955886651413</v>
      </c>
      <c r="I26" s="72">
        <f t="shared" si="5"/>
        <v>0.41652330588271114</v>
      </c>
      <c r="J26" s="113">
        <f t="shared" si="6"/>
        <v>0.3984798866024743</v>
      </c>
      <c r="K26" s="25"/>
      <c r="L26" s="25"/>
      <c r="M26" s="25"/>
    </row>
    <row r="27" spans="1:13" ht="15.75">
      <c r="A27" s="112" t="s">
        <v>18</v>
      </c>
      <c r="B27" s="70">
        <f>'P &amp; L Account'!H28</f>
        <v>41.476325753419481</v>
      </c>
      <c r="C27" s="70">
        <f>Ratios!H7</f>
        <v>17.500040320151282</v>
      </c>
      <c r="D27" s="70">
        <f>Ratios!H5</f>
        <v>125.43502628378658</v>
      </c>
      <c r="E27" s="56">
        <f>'Fair Value'!H5</f>
        <v>1264</v>
      </c>
      <c r="F27" s="56">
        <f>'Fair Value'!H7</f>
        <v>715</v>
      </c>
      <c r="G27" s="71">
        <f t="shared" si="4"/>
        <v>30.475216332193806</v>
      </c>
      <c r="H27" s="71">
        <f t="shared" si="4"/>
        <v>17.238749744872287</v>
      </c>
      <c r="I27" s="72">
        <f t="shared" si="5"/>
        <v>0.33065984025532591</v>
      </c>
      <c r="J27" s="113">
        <f t="shared" si="6"/>
        <v>0.42192841343253518</v>
      </c>
      <c r="K27" s="25"/>
      <c r="L27" s="25"/>
      <c r="M27" s="25"/>
    </row>
    <row r="28" spans="1:13" ht="15.75">
      <c r="A28" s="112" t="s">
        <v>19</v>
      </c>
      <c r="B28" s="70">
        <f>'P &amp; L Account'!I28</f>
        <v>87.118632748309352</v>
      </c>
      <c r="C28" s="70">
        <f>Ratios!I7</f>
        <v>26.999645193094118</v>
      </c>
      <c r="D28" s="70">
        <f>Ratios!I5</f>
        <v>178.27188696921414</v>
      </c>
      <c r="E28" s="56">
        <f>'Fair Value'!I5</f>
        <v>2545</v>
      </c>
      <c r="F28" s="56">
        <f>'Fair Value'!I7</f>
        <v>1640</v>
      </c>
      <c r="G28" s="71">
        <f t="shared" si="4"/>
        <v>29.213038815159653</v>
      </c>
      <c r="H28" s="71">
        <f t="shared" si="4"/>
        <v>18.824905169690307</v>
      </c>
      <c r="I28" s="72">
        <f t="shared" si="5"/>
        <v>0.48868407817635268</v>
      </c>
      <c r="J28" s="113">
        <f t="shared" si="6"/>
        <v>0.3099181465702936</v>
      </c>
      <c r="K28" s="25"/>
      <c r="L28" s="25"/>
      <c r="M28" s="25"/>
    </row>
    <row r="29" spans="1:13" ht="15.75">
      <c r="A29" s="112" t="s">
        <v>20</v>
      </c>
      <c r="B29" s="70">
        <f>'P &amp; L Account'!J28</f>
        <v>87.910961512953421</v>
      </c>
      <c r="C29" s="70">
        <f>Ratios!J7</f>
        <v>31.999656713137341</v>
      </c>
      <c r="D29" s="70">
        <f>Ratios!J5</f>
        <v>228.04681399443174</v>
      </c>
      <c r="E29" s="56">
        <f>'Fair Value'!J5</f>
        <v>3017</v>
      </c>
      <c r="F29" s="56">
        <f>'Fair Value'!J7</f>
        <v>2040</v>
      </c>
      <c r="G29" s="71">
        <f t="shared" si="4"/>
        <v>34.318814719771368</v>
      </c>
      <c r="H29" s="71">
        <f t="shared" si="4"/>
        <v>23.205297324605102</v>
      </c>
      <c r="I29" s="72">
        <f t="shared" si="5"/>
        <v>0.38549524096881249</v>
      </c>
      <c r="J29" s="113">
        <f t="shared" si="6"/>
        <v>0.36400075897727824</v>
      </c>
      <c r="K29" s="25"/>
      <c r="L29" s="25"/>
      <c r="M29" s="25"/>
    </row>
    <row r="30" spans="1:13" ht="16.5" thickBot="1">
      <c r="A30" s="114" t="s">
        <v>21</v>
      </c>
      <c r="B30" s="115">
        <f>'P &amp; L Account'!K28</f>
        <v>103.07884466664576</v>
      </c>
      <c r="C30" s="115">
        <f>Ratios!K7</f>
        <v>40.001134698194001</v>
      </c>
      <c r="D30" s="115">
        <f>Ratios!K5</f>
        <v>286.54152758212672</v>
      </c>
      <c r="E30" s="116">
        <f>'Fair Value'!K5</f>
        <v>3762</v>
      </c>
      <c r="F30" s="116">
        <f>'Fair Value'!K7</f>
        <v>2802</v>
      </c>
      <c r="G30" s="117">
        <f t="shared" si="4"/>
        <v>36.49633455018057</v>
      </c>
      <c r="H30" s="117">
        <f t="shared" si="4"/>
        <v>27.183075334823485</v>
      </c>
      <c r="I30" s="118">
        <f t="shared" si="5"/>
        <v>0.35973440058213535</v>
      </c>
      <c r="J30" s="119">
        <f t="shared" si="6"/>
        <v>0.38806347536739089</v>
      </c>
      <c r="K30" s="25"/>
      <c r="L30" s="25"/>
      <c r="M30" s="25"/>
    </row>
    <row r="31" spans="1:13" ht="15.75">
      <c r="A31" s="25"/>
      <c r="B31" s="25"/>
      <c r="C31" s="25"/>
      <c r="D31" s="25"/>
      <c r="E31" s="25"/>
      <c r="F31" s="25"/>
      <c r="G31" s="73"/>
      <c r="H31" s="73"/>
      <c r="I31" s="74"/>
      <c r="J31" s="74"/>
      <c r="K31" s="25"/>
      <c r="L31" s="25"/>
      <c r="M31" s="25"/>
    </row>
    <row r="32" spans="1:13" ht="20.25" thickBot="1">
      <c r="A32" s="195" t="s">
        <v>182</v>
      </c>
      <c r="B32" s="25"/>
      <c r="C32" s="25"/>
      <c r="D32" s="25"/>
      <c r="E32" s="75"/>
      <c r="F32" s="75"/>
      <c r="G32" s="60"/>
      <c r="H32" s="25"/>
      <c r="I32" s="76"/>
      <c r="J32" s="25"/>
      <c r="K32" s="25"/>
      <c r="L32" s="25"/>
      <c r="M32" s="25"/>
    </row>
    <row r="33" spans="1:13" ht="15.75">
      <c r="A33" s="120" t="s">
        <v>179</v>
      </c>
      <c r="B33" s="121" t="s">
        <v>149</v>
      </c>
      <c r="C33" s="121" t="s">
        <v>150</v>
      </c>
      <c r="D33" s="121" t="s">
        <v>151</v>
      </c>
      <c r="E33" s="122" t="s">
        <v>155</v>
      </c>
      <c r="F33" s="123" t="s">
        <v>156</v>
      </c>
      <c r="G33" s="60"/>
      <c r="H33" s="25"/>
      <c r="I33" s="76"/>
      <c r="J33" s="25"/>
      <c r="K33" s="25"/>
      <c r="L33" s="25"/>
      <c r="M33" s="25"/>
    </row>
    <row r="34" spans="1:13" ht="15.75">
      <c r="A34" s="124" t="s">
        <v>181</v>
      </c>
      <c r="B34" s="72">
        <f>(B30/B21)^(1/9)-1</f>
        <v>0.24354003739963503</v>
      </c>
      <c r="C34" s="72">
        <f>(C30/C21)^(1/9)-1</f>
        <v>0.20778012256649392</v>
      </c>
      <c r="D34" s="72">
        <f>(D30/D21)^(1/9)-1</f>
        <v>0.21465795412179589</v>
      </c>
      <c r="E34" s="72">
        <f>(E30/E21)^(1/9)-1</f>
        <v>0.31316503057133049</v>
      </c>
      <c r="F34" s="113">
        <f>(F30/F21)^(1/9)-1</f>
        <v>0.32606247073209405</v>
      </c>
      <c r="G34" s="25"/>
      <c r="H34" s="25"/>
      <c r="I34" s="25"/>
      <c r="J34" s="25"/>
      <c r="K34" s="25"/>
      <c r="L34" s="25"/>
      <c r="M34" s="25"/>
    </row>
    <row r="35" spans="1:13" ht="16.5" thickBot="1">
      <c r="A35" s="125" t="s">
        <v>180</v>
      </c>
      <c r="B35" s="118">
        <f>(B30/B25)^(1/5)-1</f>
        <v>0.2860711787362229</v>
      </c>
      <c r="C35" s="118">
        <f t="shared" ref="C35:F35" si="7">(C30/C25)^(1/5)-1</f>
        <v>0.25207334793614944</v>
      </c>
      <c r="D35" s="118">
        <f t="shared" si="7"/>
        <v>0.28720191508652904</v>
      </c>
      <c r="E35" s="118">
        <f t="shared" si="7"/>
        <v>0.3108424748519838</v>
      </c>
      <c r="F35" s="119">
        <f t="shared" si="7"/>
        <v>0.32620141043116324</v>
      </c>
      <c r="G35" s="25"/>
      <c r="H35" s="25"/>
      <c r="I35" s="25"/>
      <c r="J35" s="25"/>
      <c r="K35" s="25"/>
      <c r="L35" s="25"/>
      <c r="M35" s="25"/>
    </row>
    <row r="36" spans="1:13" ht="15.75">
      <c r="A36" s="77"/>
      <c r="B36" s="74"/>
      <c r="C36" s="74"/>
      <c r="D36" s="74"/>
      <c r="E36" s="74"/>
      <c r="F36" s="74"/>
      <c r="G36" s="25"/>
      <c r="H36" s="25"/>
      <c r="I36" s="25"/>
      <c r="J36" s="25"/>
      <c r="K36" s="25"/>
      <c r="L36" s="25"/>
      <c r="M36" s="25"/>
    </row>
    <row r="37" spans="1:13" ht="20.25" thickBot="1">
      <c r="A37" s="195" t="s">
        <v>157</v>
      </c>
      <c r="B37" s="25"/>
      <c r="C37" s="25"/>
      <c r="D37" s="25"/>
      <c r="E37" s="25"/>
      <c r="F37" s="25"/>
      <c r="G37" s="25"/>
      <c r="H37" s="25"/>
      <c r="I37" s="25"/>
      <c r="J37" s="25"/>
      <c r="K37" s="25"/>
      <c r="L37" s="78"/>
      <c r="M37" s="25"/>
    </row>
    <row r="38" spans="1:13" ht="15.75">
      <c r="A38" s="126" t="s">
        <v>2</v>
      </c>
      <c r="B38" s="121" t="s">
        <v>149</v>
      </c>
      <c r="C38" s="109" t="s">
        <v>150</v>
      </c>
      <c r="D38" s="25"/>
      <c r="E38" s="79"/>
      <c r="F38" s="25"/>
      <c r="G38" s="25"/>
      <c r="H38" s="25"/>
      <c r="I38" s="25"/>
      <c r="J38" s="25"/>
      <c r="K38" s="25"/>
      <c r="L38" s="25"/>
      <c r="M38" s="25"/>
    </row>
    <row r="39" spans="1:13" ht="15.75">
      <c r="A39" s="112" t="s">
        <v>183</v>
      </c>
      <c r="B39" s="70">
        <f>$C$8</f>
        <v>103.07884466664576</v>
      </c>
      <c r="C39" s="127">
        <f t="shared" ref="C39:C49" si="8">B39*$H$8</f>
        <v>46.200546346551583</v>
      </c>
      <c r="D39" s="25"/>
      <c r="E39" s="80">
        <f>$B$49</f>
        <v>911.52223573796152</v>
      </c>
      <c r="F39" s="60" t="s">
        <v>158</v>
      </c>
      <c r="G39" s="25"/>
      <c r="H39" s="25"/>
      <c r="I39" s="25"/>
      <c r="J39" s="25"/>
      <c r="K39" s="25"/>
      <c r="L39" s="25"/>
      <c r="M39" s="25"/>
    </row>
    <row r="40" spans="1:13" ht="15.75">
      <c r="A40" s="112" t="s">
        <v>167</v>
      </c>
      <c r="B40" s="70">
        <f t="shared" ref="B40:B49" si="9">B39*(1+$B$34)</f>
        <v>128.18267035187185</v>
      </c>
      <c r="C40" s="127">
        <f t="shared" si="8"/>
        <v>57.452229131674329</v>
      </c>
      <c r="D40" s="25"/>
      <c r="E40" s="80">
        <f>SUM($C$39:$C$49)</f>
        <v>1896.391649734893</v>
      </c>
      <c r="F40" s="60" t="s">
        <v>159</v>
      </c>
      <c r="G40" s="25"/>
      <c r="H40" s="25"/>
      <c r="I40" s="25"/>
      <c r="J40" s="25"/>
      <c r="K40" s="25"/>
      <c r="L40" s="25"/>
      <c r="M40" s="25"/>
    </row>
    <row r="41" spans="1:13" ht="15.75">
      <c r="A41" s="112" t="s">
        <v>168</v>
      </c>
      <c r="B41" s="70">
        <f t="shared" si="9"/>
        <v>159.4002826833518</v>
      </c>
      <c r="C41" s="127">
        <f t="shared" si="8"/>
        <v>71.444147163094698</v>
      </c>
      <c r="D41" s="25"/>
      <c r="E41" s="80"/>
      <c r="F41" s="25"/>
      <c r="G41" s="25"/>
      <c r="H41" s="25"/>
      <c r="I41" s="25"/>
      <c r="J41" s="25"/>
      <c r="K41" s="25"/>
      <c r="L41" s="25"/>
      <c r="M41" s="25"/>
    </row>
    <row r="42" spans="1:13" ht="15.75">
      <c r="A42" s="112" t="s">
        <v>169</v>
      </c>
      <c r="B42" s="70">
        <f t="shared" si="9"/>
        <v>198.22063348956769</v>
      </c>
      <c r="C42" s="127">
        <f t="shared" si="8"/>
        <v>88.843657435179807</v>
      </c>
      <c r="D42" s="25"/>
      <c r="E42" s="84">
        <f>$H$11*$E$39</f>
        <v>23169.977417695503</v>
      </c>
      <c r="F42" s="60" t="s">
        <v>160</v>
      </c>
      <c r="G42" s="25"/>
      <c r="H42" s="25"/>
      <c r="I42" s="25"/>
      <c r="J42" s="25"/>
      <c r="K42" s="25"/>
      <c r="L42" s="25"/>
      <c r="M42" s="25"/>
    </row>
    <row r="43" spans="1:13" ht="15.75">
      <c r="A43" s="112" t="s">
        <v>170</v>
      </c>
      <c r="B43" s="70">
        <f t="shared" si="9"/>
        <v>246.49529398299634</v>
      </c>
      <c r="C43" s="127">
        <f t="shared" si="8"/>
        <v>110.48064508966385</v>
      </c>
      <c r="D43" s="25"/>
      <c r="E43" s="85">
        <f>$E$42+$E$40</f>
        <v>25066.369067430398</v>
      </c>
      <c r="F43" s="60" t="s">
        <v>161</v>
      </c>
      <c r="G43" s="25"/>
      <c r="H43" s="25"/>
      <c r="I43" s="25"/>
      <c r="J43" s="25"/>
      <c r="K43" s="25"/>
      <c r="L43" s="25"/>
    </row>
    <row r="44" spans="1:13" ht="15.75">
      <c r="A44" s="112" t="s">
        <v>171</v>
      </c>
      <c r="B44" s="70">
        <f t="shared" si="9"/>
        <v>306.52676709844928</v>
      </c>
      <c r="C44" s="127">
        <f t="shared" si="8"/>
        <v>137.38710552673638</v>
      </c>
      <c r="D44" s="25"/>
      <c r="E44" s="81"/>
      <c r="F44" s="25"/>
      <c r="G44" s="25"/>
      <c r="H44" s="25"/>
      <c r="I44" s="25"/>
      <c r="J44" s="25"/>
      <c r="K44" s="25"/>
      <c r="L44" s="25"/>
    </row>
    <row r="45" spans="1:13" ht="15.75">
      <c r="A45" s="112" t="s">
        <v>172</v>
      </c>
      <c r="B45" s="70">
        <f t="shared" si="9"/>
        <v>381.17830742159487</v>
      </c>
      <c r="C45" s="127">
        <f t="shared" si="8"/>
        <v>170.84636634494538</v>
      </c>
      <c r="D45" s="25"/>
      <c r="E45" s="82">
        <f>($E$43/$C$7)^(1/10)-1</f>
        <v>0.1831068753492664</v>
      </c>
      <c r="F45" s="60" t="s">
        <v>162</v>
      </c>
      <c r="G45" s="25"/>
      <c r="H45" s="25"/>
      <c r="I45" s="25"/>
      <c r="J45" s="25"/>
      <c r="K45" s="25"/>
      <c r="L45" s="25"/>
    </row>
    <row r="46" spans="1:13" ht="15.75">
      <c r="A46" s="112" t="s">
        <v>173</v>
      </c>
      <c r="B46" s="70">
        <f t="shared" si="9"/>
        <v>474.01048666697966</v>
      </c>
      <c r="C46" s="127">
        <f t="shared" si="8"/>
        <v>212.45429679418513</v>
      </c>
      <c r="D46" s="25"/>
      <c r="E46" s="25"/>
      <c r="F46" s="60" t="s">
        <v>163</v>
      </c>
      <c r="G46" s="25"/>
      <c r="H46" s="25"/>
      <c r="I46" s="25"/>
      <c r="J46" s="25"/>
      <c r="K46" s="25"/>
      <c r="L46" s="25"/>
    </row>
    <row r="47" spans="1:13" ht="15.75">
      <c r="A47" s="112" t="s">
        <v>174</v>
      </c>
      <c r="B47" s="70">
        <f t="shared" si="9"/>
        <v>589.45101831767511</v>
      </c>
      <c r="C47" s="127">
        <f t="shared" si="8"/>
        <v>264.19542418115412</v>
      </c>
      <c r="D47" s="25"/>
      <c r="E47" s="25"/>
      <c r="F47" s="25"/>
      <c r="G47" s="25"/>
      <c r="H47" s="25"/>
      <c r="I47" s="25"/>
      <c r="J47" s="25"/>
      <c r="K47" s="25"/>
      <c r="L47" s="25"/>
    </row>
    <row r="48" spans="1:13" ht="15.75">
      <c r="A48" s="112" t="s">
        <v>175</v>
      </c>
      <c r="B48" s="70">
        <f t="shared" si="9"/>
        <v>733.00594136401469</v>
      </c>
      <c r="C48" s="127">
        <f t="shared" si="8"/>
        <v>328.53758766704487</v>
      </c>
      <c r="D48" s="25"/>
      <c r="E48" s="25"/>
      <c r="F48" s="25"/>
      <c r="G48" s="25"/>
      <c r="H48" s="25"/>
      <c r="I48" s="25"/>
      <c r="J48" s="25"/>
      <c r="K48" s="25"/>
      <c r="L48" s="25"/>
    </row>
    <row r="49" spans="1:13" ht="16.5" thickBot="1">
      <c r="A49" s="114" t="s">
        <v>176</v>
      </c>
      <c r="B49" s="115">
        <f t="shared" si="9"/>
        <v>911.52223573796152</v>
      </c>
      <c r="C49" s="128">
        <f t="shared" si="8"/>
        <v>408.54964405466285</v>
      </c>
      <c r="D49" s="25"/>
      <c r="E49" s="25"/>
      <c r="F49" s="25"/>
      <c r="G49" s="25"/>
      <c r="H49" s="25"/>
      <c r="I49" s="25"/>
      <c r="J49" s="25"/>
      <c r="K49" s="25"/>
      <c r="L49" s="25"/>
    </row>
    <row r="50" spans="1:13" ht="15.75">
      <c r="A50" s="25"/>
      <c r="B50" s="86"/>
      <c r="C50" s="86"/>
      <c r="D50" s="86"/>
      <c r="E50" s="25"/>
      <c r="F50" s="25"/>
      <c r="G50" s="25"/>
      <c r="H50" s="25"/>
      <c r="I50" s="25"/>
      <c r="J50" s="25"/>
      <c r="K50" s="25"/>
      <c r="L50" s="25"/>
    </row>
    <row r="51" spans="1:13" ht="20.25" thickBot="1">
      <c r="A51" s="195" t="s">
        <v>164</v>
      </c>
      <c r="B51" s="25"/>
      <c r="C51" s="25"/>
      <c r="D51" s="25"/>
      <c r="E51" s="25"/>
      <c r="F51" s="25"/>
      <c r="G51" s="25"/>
      <c r="H51" s="25"/>
      <c r="I51" s="25"/>
      <c r="J51" s="25"/>
      <c r="K51" s="25"/>
      <c r="L51" s="25"/>
    </row>
    <row r="52" spans="1:13" ht="15.75">
      <c r="A52" s="126" t="s">
        <v>2</v>
      </c>
      <c r="B52" s="121" t="s">
        <v>151</v>
      </c>
      <c r="C52" s="121" t="s">
        <v>149</v>
      </c>
      <c r="D52" s="109" t="s">
        <v>150</v>
      </c>
      <c r="E52" s="25"/>
      <c r="F52" s="25"/>
      <c r="G52" s="25"/>
      <c r="H52" s="25"/>
      <c r="I52" s="25"/>
      <c r="J52" s="25"/>
      <c r="K52" s="25"/>
      <c r="L52" s="25"/>
    </row>
    <row r="53" spans="1:13" ht="15.75">
      <c r="A53" s="112" t="s">
        <v>183</v>
      </c>
      <c r="B53" s="70">
        <f>$C$10</f>
        <v>286.54152758212672</v>
      </c>
      <c r="C53" s="70">
        <f t="shared" ref="C53:C63" si="10">B53*$H$7</f>
        <v>101.50496509916597</v>
      </c>
      <c r="D53" s="127">
        <f t="shared" ref="D53:D63" si="11">C53*$H$8</f>
        <v>45.495124238490554</v>
      </c>
      <c r="E53" s="80">
        <f>$C$63</f>
        <v>605.15780081550008</v>
      </c>
      <c r="F53" s="60" t="s">
        <v>165</v>
      </c>
      <c r="G53" s="25"/>
      <c r="H53" s="25"/>
      <c r="I53" s="25"/>
      <c r="J53" s="25"/>
      <c r="K53" s="25"/>
      <c r="L53" s="25"/>
    </row>
    <row r="54" spans="1:13" ht="15.75">
      <c r="A54" s="112" t="s">
        <v>167</v>
      </c>
      <c r="B54" s="70">
        <f t="shared" ref="B54:B63" si="12">B53+C53-D53</f>
        <v>342.55136844280213</v>
      </c>
      <c r="C54" s="70">
        <f>B54*$H$7</f>
        <v>121.3459877591126</v>
      </c>
      <c r="D54" s="127">
        <f t="shared" si="11"/>
        <v>54.387987657054452</v>
      </c>
      <c r="E54" s="80">
        <f>SUM($D$53:$D$63)</f>
        <v>1426.1026000657539</v>
      </c>
      <c r="F54" s="60" t="s">
        <v>159</v>
      </c>
      <c r="G54" s="25"/>
      <c r="H54" s="25"/>
      <c r="I54" s="25"/>
      <c r="J54" s="25"/>
      <c r="K54" s="25"/>
      <c r="L54" s="25"/>
    </row>
    <row r="55" spans="1:13" ht="15.75">
      <c r="A55" s="112" t="s">
        <v>168</v>
      </c>
      <c r="B55" s="70">
        <f t="shared" si="12"/>
        <v>409.50936854486025</v>
      </c>
      <c r="C55" s="70">
        <f t="shared" si="10"/>
        <v>145.06530523752372</v>
      </c>
      <c r="D55" s="127">
        <f t="shared" si="11"/>
        <v>65.019125695260442</v>
      </c>
      <c r="E55" s="80"/>
      <c r="F55" s="25"/>
      <c r="G55" s="25"/>
      <c r="H55" s="25"/>
      <c r="I55" s="25"/>
      <c r="J55" s="25"/>
      <c r="K55" s="25"/>
      <c r="L55" s="25"/>
      <c r="M55" s="25"/>
    </row>
    <row r="56" spans="1:13" ht="15.75">
      <c r="A56" s="112" t="s">
        <v>169</v>
      </c>
      <c r="B56" s="70">
        <f t="shared" si="12"/>
        <v>489.55554808712361</v>
      </c>
      <c r="C56" s="70">
        <f t="shared" si="10"/>
        <v>173.42100198179497</v>
      </c>
      <c r="D56" s="127">
        <f t="shared" si="11"/>
        <v>77.728316275142546</v>
      </c>
      <c r="E56" s="84">
        <f>$H$11*$E$53</f>
        <v>15382.501961332535</v>
      </c>
      <c r="F56" s="60" t="s">
        <v>160</v>
      </c>
      <c r="G56" s="25"/>
      <c r="H56" s="25"/>
      <c r="I56" s="25"/>
      <c r="J56" s="25"/>
      <c r="K56" s="25"/>
      <c r="L56" s="25"/>
      <c r="M56" s="25"/>
    </row>
    <row r="57" spans="1:13" ht="15.75">
      <c r="A57" s="112" t="s">
        <v>170</v>
      </c>
      <c r="B57" s="70">
        <f t="shared" si="12"/>
        <v>585.24823379377608</v>
      </c>
      <c r="C57" s="70">
        <f t="shared" si="10"/>
        <v>207.31934406456779</v>
      </c>
      <c r="D57" s="127">
        <f t="shared" si="11"/>
        <v>92.921753197444133</v>
      </c>
      <c r="E57" s="85">
        <f>$E$56+$E$54</f>
        <v>16808.60456139829</v>
      </c>
      <c r="F57" s="60" t="s">
        <v>161</v>
      </c>
      <c r="G57" s="25"/>
      <c r="H57" s="25"/>
      <c r="I57" s="25"/>
      <c r="J57" s="25"/>
      <c r="K57" s="25"/>
      <c r="L57" s="25"/>
      <c r="M57" s="25"/>
    </row>
    <row r="58" spans="1:13" ht="15.75">
      <c r="A58" s="112" t="s">
        <v>171</v>
      </c>
      <c r="B58" s="70">
        <f t="shared" si="12"/>
        <v>699.64582466089973</v>
      </c>
      <c r="C58" s="70">
        <f t="shared" si="10"/>
        <v>247.84374402285277</v>
      </c>
      <c r="D58" s="127">
        <f t="shared" si="11"/>
        <v>111.08502835340599</v>
      </c>
      <c r="E58" s="83"/>
      <c r="F58" s="25"/>
      <c r="G58" s="25"/>
      <c r="H58" s="25"/>
      <c r="I58" s="25"/>
      <c r="J58" s="25"/>
      <c r="K58" s="25"/>
      <c r="L58" s="25"/>
      <c r="M58" s="25"/>
    </row>
    <row r="59" spans="1:13" ht="15.75">
      <c r="A59" s="112" t="s">
        <v>172</v>
      </c>
      <c r="B59" s="70">
        <f t="shared" si="12"/>
        <v>836.40454033034655</v>
      </c>
      <c r="C59" s="70">
        <f t="shared" si="10"/>
        <v>296.28938741063462</v>
      </c>
      <c r="D59" s="127">
        <f t="shared" si="11"/>
        <v>132.79865154994116</v>
      </c>
      <c r="E59" s="82">
        <f>($E$57/$C$7)^(1/10)-1</f>
        <v>0.1367579527349434</v>
      </c>
      <c r="F59" s="60" t="s">
        <v>166</v>
      </c>
      <c r="G59" s="25"/>
      <c r="H59" s="25"/>
      <c r="I59" s="25"/>
      <c r="J59" s="25"/>
      <c r="K59" s="25"/>
      <c r="L59" s="25"/>
      <c r="M59" s="25"/>
    </row>
    <row r="60" spans="1:13" ht="15.75">
      <c r="A60" s="112" t="s">
        <v>173</v>
      </c>
      <c r="B60" s="70">
        <f t="shared" si="12"/>
        <v>999.8952761910399</v>
      </c>
      <c r="C60" s="70">
        <f t="shared" si="10"/>
        <v>354.20462775156653</v>
      </c>
      <c r="D60" s="127">
        <f t="shared" si="11"/>
        <v>158.75660397166351</v>
      </c>
      <c r="E60" s="25"/>
      <c r="F60" s="60"/>
      <c r="G60" s="25"/>
      <c r="H60" s="25"/>
      <c r="I60" s="25"/>
      <c r="J60" s="25"/>
      <c r="K60" s="25"/>
      <c r="L60" s="25"/>
      <c r="M60" s="25"/>
    </row>
    <row r="61" spans="1:13" ht="15.75">
      <c r="A61" s="112" t="s">
        <v>174</v>
      </c>
      <c r="B61" s="70">
        <f t="shared" si="12"/>
        <v>1195.343299970943</v>
      </c>
      <c r="C61" s="70">
        <f t="shared" si="10"/>
        <v>423.44047290072706</v>
      </c>
      <c r="D61" s="127">
        <f t="shared" si="11"/>
        <v>189.78851826019749</v>
      </c>
      <c r="E61" s="25"/>
      <c r="F61" s="25"/>
      <c r="G61" s="25"/>
      <c r="H61" s="25"/>
      <c r="I61" s="25"/>
      <c r="J61" s="25"/>
      <c r="K61" s="25"/>
      <c r="L61" s="25"/>
      <c r="M61" s="25"/>
    </row>
    <row r="62" spans="1:13" ht="15.75">
      <c r="A62" s="112" t="s">
        <v>175</v>
      </c>
      <c r="B62" s="70">
        <f t="shared" si="12"/>
        <v>1428.9952546114725</v>
      </c>
      <c r="C62" s="70">
        <f t="shared" si="10"/>
        <v>506.20974443098123</v>
      </c>
      <c r="D62" s="127">
        <f t="shared" si="11"/>
        <v>226.88619410018666</v>
      </c>
      <c r="E62" s="25"/>
      <c r="F62" s="25"/>
      <c r="G62" s="25"/>
      <c r="H62" s="25"/>
      <c r="I62" s="25"/>
      <c r="J62" s="25"/>
      <c r="K62" s="25"/>
      <c r="L62" s="25"/>
      <c r="M62" s="25"/>
    </row>
    <row r="63" spans="1:13" ht="16.5" thickBot="1">
      <c r="A63" s="114" t="s">
        <v>176</v>
      </c>
      <c r="B63" s="115">
        <f t="shared" si="12"/>
        <v>1708.3188049422672</v>
      </c>
      <c r="C63" s="115">
        <f t="shared" si="10"/>
        <v>605.15780081550008</v>
      </c>
      <c r="D63" s="128">
        <f t="shared" si="11"/>
        <v>271.23529676696688</v>
      </c>
      <c r="E63" s="25"/>
      <c r="F63" s="25"/>
      <c r="G63" s="25"/>
      <c r="H63" s="25"/>
      <c r="I63" s="25"/>
      <c r="J63" s="25"/>
      <c r="K63" s="25"/>
      <c r="L63" s="25"/>
      <c r="M63" s="25"/>
    </row>
    <row r="65" spans="2:4" ht="15.75">
      <c r="B65" s="86"/>
      <c r="C65" s="86"/>
      <c r="D65" s="86"/>
    </row>
  </sheetData>
  <mergeCells count="7">
    <mergeCell ref="M5:R16"/>
    <mergeCell ref="F6:H6"/>
    <mergeCell ref="A1:J1"/>
    <mergeCell ref="G19:H19"/>
    <mergeCell ref="E19:F19"/>
    <mergeCell ref="A2:J2"/>
    <mergeCell ref="B6:C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N27"/>
  <sheetViews>
    <sheetView workbookViewId="0">
      <selection sqref="A1:K1"/>
    </sheetView>
  </sheetViews>
  <sheetFormatPr defaultRowHeight="15"/>
  <cols>
    <col min="1" max="1" width="32.7109375" style="3" bestFit="1" customWidth="1"/>
    <col min="2" max="2" width="10.85546875" style="3" bestFit="1" customWidth="1"/>
    <col min="3" max="6" width="7.140625" style="3" bestFit="1" customWidth="1"/>
    <col min="7" max="11" width="8.42578125" style="3" bestFit="1" customWidth="1"/>
    <col min="12" max="12" width="12" style="3" bestFit="1" customWidth="1"/>
    <col min="13" max="13" width="11.85546875" style="3" bestFit="1" customWidth="1"/>
    <col min="14" max="16384" width="9.140625" style="3"/>
  </cols>
  <sheetData>
    <row r="1" spans="1:14" s="22" customFormat="1" ht="20.25" thickBot="1">
      <c r="A1" s="287" t="s">
        <v>215</v>
      </c>
      <c r="B1" s="288"/>
      <c r="C1" s="288"/>
      <c r="D1" s="288"/>
      <c r="E1" s="288"/>
      <c r="F1" s="288"/>
      <c r="G1" s="288"/>
      <c r="H1" s="288"/>
      <c r="I1" s="288"/>
      <c r="J1" s="288"/>
      <c r="K1" s="289"/>
    </row>
    <row r="2" spans="1:14" s="22" customFormat="1" ht="16.5" customHeight="1" thickBot="1">
      <c r="A2" s="290" t="s">
        <v>237</v>
      </c>
      <c r="B2" s="290"/>
      <c r="C2" s="290"/>
      <c r="D2" s="290"/>
      <c r="E2" s="290"/>
      <c r="F2" s="290"/>
      <c r="G2" s="290"/>
      <c r="H2" s="290"/>
      <c r="I2" s="290"/>
      <c r="J2" s="290"/>
      <c r="K2" s="290"/>
      <c r="L2" s="83"/>
    </row>
    <row r="3" spans="1:14" s="22" customFormat="1" ht="15.75">
      <c r="A3" s="98" t="s">
        <v>2</v>
      </c>
      <c r="B3" s="99" t="s">
        <v>25</v>
      </c>
      <c r="C3" s="99" t="s">
        <v>24</v>
      </c>
      <c r="D3" s="99" t="s">
        <v>26</v>
      </c>
      <c r="E3" s="99" t="s">
        <v>27</v>
      </c>
      <c r="F3" s="99" t="s">
        <v>28</v>
      </c>
      <c r="G3" s="99" t="s">
        <v>17</v>
      </c>
      <c r="H3" s="99" t="s">
        <v>18</v>
      </c>
      <c r="I3" s="99" t="s">
        <v>19</v>
      </c>
      <c r="J3" s="99" t="s">
        <v>20</v>
      </c>
      <c r="K3" s="100" t="s">
        <v>21</v>
      </c>
      <c r="N3" s="23"/>
    </row>
    <row r="4" spans="1:14">
      <c r="A4" s="101" t="s">
        <v>202</v>
      </c>
      <c r="B4" s="54">
        <f>'P &amp; L Account'!B28</f>
        <v>14.49544624159318</v>
      </c>
      <c r="C4" s="54">
        <f>'P &amp; L Account'!C28</f>
        <v>15.104288344951264</v>
      </c>
      <c r="D4" s="54">
        <f>'P &amp; L Account'!D28</f>
        <v>18.148498861741579</v>
      </c>
      <c r="E4" s="54">
        <f>'P &amp; L Account'!E28</f>
        <v>22.118482987747552</v>
      </c>
      <c r="F4" s="54">
        <f>'P &amp; L Account'!F28</f>
        <v>29.298441148410109</v>
      </c>
      <c r="G4" s="54">
        <f>'P &amp; L Account'!G28</f>
        <v>42.658563673296094</v>
      </c>
      <c r="H4" s="54">
        <f>'P &amp; L Account'!H28</f>
        <v>41.476325753419481</v>
      </c>
      <c r="I4" s="54">
        <f>'P &amp; L Account'!I28</f>
        <v>87.118632748309352</v>
      </c>
      <c r="J4" s="54">
        <f>'P &amp; L Account'!J28</f>
        <v>87.910961512953421</v>
      </c>
      <c r="K4" s="102">
        <f>'P &amp; L Account'!K28</f>
        <v>103.07884466664576</v>
      </c>
      <c r="L4" s="24"/>
    </row>
    <row r="5" spans="1:14">
      <c r="A5" s="191" t="s">
        <v>47</v>
      </c>
      <c r="B5" s="178">
        <v>324</v>
      </c>
      <c r="C5" s="178">
        <v>361</v>
      </c>
      <c r="D5" s="178">
        <v>471</v>
      </c>
      <c r="E5" s="178">
        <v>862</v>
      </c>
      <c r="F5" s="178">
        <v>972</v>
      </c>
      <c r="G5" s="178">
        <v>1316</v>
      </c>
      <c r="H5" s="178">
        <v>1264</v>
      </c>
      <c r="I5" s="178">
        <v>2545</v>
      </c>
      <c r="J5" s="178">
        <v>3017</v>
      </c>
      <c r="K5" s="179">
        <v>3762</v>
      </c>
      <c r="L5" s="24"/>
    </row>
    <row r="6" spans="1:14">
      <c r="A6" s="101" t="s">
        <v>49</v>
      </c>
      <c r="B6" s="54">
        <f>B5/B4</f>
        <v>22.351847235327988</v>
      </c>
      <c r="C6" s="54">
        <f t="shared" ref="C6:K6" si="0">C5/C4</f>
        <v>23.900497114163429</v>
      </c>
      <c r="D6" s="54">
        <f t="shared" si="0"/>
        <v>25.952559690372187</v>
      </c>
      <c r="E6" s="54">
        <f t="shared" si="0"/>
        <v>38.97193132447201</v>
      </c>
      <c r="F6" s="54">
        <f t="shared" si="0"/>
        <v>33.175826491121896</v>
      </c>
      <c r="G6" s="54">
        <f t="shared" si="0"/>
        <v>30.849608769734669</v>
      </c>
      <c r="H6" s="54">
        <f t="shared" si="0"/>
        <v>30.475216332193806</v>
      </c>
      <c r="I6" s="54">
        <f t="shared" si="0"/>
        <v>29.213038815159653</v>
      </c>
      <c r="J6" s="54">
        <f t="shared" si="0"/>
        <v>34.318814719771368</v>
      </c>
      <c r="K6" s="102">
        <f t="shared" si="0"/>
        <v>36.49633455018057</v>
      </c>
    </row>
    <row r="7" spans="1:14">
      <c r="A7" s="191" t="s">
        <v>48</v>
      </c>
      <c r="B7" s="178">
        <v>221</v>
      </c>
      <c r="C7" s="178">
        <v>225</v>
      </c>
      <c r="D7" s="178">
        <v>327</v>
      </c>
      <c r="E7" s="178">
        <v>449</v>
      </c>
      <c r="F7" s="178">
        <v>683</v>
      </c>
      <c r="G7" s="178">
        <v>1043</v>
      </c>
      <c r="H7" s="178">
        <v>715</v>
      </c>
      <c r="I7" s="178">
        <v>1640</v>
      </c>
      <c r="J7" s="178">
        <v>2040</v>
      </c>
      <c r="K7" s="179">
        <v>2802</v>
      </c>
      <c r="L7" s="24"/>
    </row>
    <row r="8" spans="1:14">
      <c r="A8" s="101" t="s">
        <v>50</v>
      </c>
      <c r="B8" s="54">
        <f>B7/B4</f>
        <v>15.24616740434409</v>
      </c>
      <c r="C8" s="54">
        <f t="shared" ref="C8:K8" si="1">C7/C4</f>
        <v>14.896431719353938</v>
      </c>
      <c r="D8" s="54">
        <f t="shared" si="1"/>
        <v>18.01801914809279</v>
      </c>
      <c r="E8" s="54">
        <f t="shared" si="1"/>
        <v>20.299764692213376</v>
      </c>
      <c r="F8" s="54">
        <f t="shared" si="1"/>
        <v>23.311820466498204</v>
      </c>
      <c r="G8" s="54">
        <f t="shared" si="1"/>
        <v>24.449955886651413</v>
      </c>
      <c r="H8" s="54">
        <f t="shared" si="1"/>
        <v>17.238749744872287</v>
      </c>
      <c r="I8" s="54">
        <f t="shared" si="1"/>
        <v>18.824905169690307</v>
      </c>
      <c r="J8" s="54">
        <f t="shared" si="1"/>
        <v>23.205297324605102</v>
      </c>
      <c r="K8" s="102">
        <f t="shared" si="1"/>
        <v>27.183075334823485</v>
      </c>
    </row>
    <row r="9" spans="1:14" ht="15.75" thickBot="1">
      <c r="A9" s="104" t="s">
        <v>51</v>
      </c>
      <c r="B9" s="105">
        <f>(B6+B8)/2</f>
        <v>18.79900731983604</v>
      </c>
      <c r="C9" s="105">
        <f t="shared" ref="C9:K9" si="2">(C6+C8)/2</f>
        <v>19.398464416758685</v>
      </c>
      <c r="D9" s="105">
        <f t="shared" si="2"/>
        <v>21.985289419232487</v>
      </c>
      <c r="E9" s="105">
        <f t="shared" si="2"/>
        <v>29.635848008342691</v>
      </c>
      <c r="F9" s="105">
        <f t="shared" si="2"/>
        <v>28.24382347881005</v>
      </c>
      <c r="G9" s="105">
        <f t="shared" si="2"/>
        <v>27.649782328193041</v>
      </c>
      <c r="H9" s="105">
        <f t="shared" si="2"/>
        <v>23.856983038533045</v>
      </c>
      <c r="I9" s="105">
        <f t="shared" si="2"/>
        <v>24.01897199242498</v>
      </c>
      <c r="J9" s="105">
        <f t="shared" si="2"/>
        <v>28.762056022188233</v>
      </c>
      <c r="K9" s="106">
        <f t="shared" si="2"/>
        <v>31.839704942502028</v>
      </c>
    </row>
    <row r="10" spans="1:14" ht="15.75" thickBot="1">
      <c r="A10" s="25"/>
      <c r="B10" s="25"/>
      <c r="C10" s="25"/>
      <c r="D10" s="26"/>
      <c r="E10" s="26"/>
      <c r="F10" s="26"/>
      <c r="G10" s="26"/>
      <c r="H10" s="26"/>
      <c r="I10" s="26"/>
      <c r="J10" s="26"/>
      <c r="K10" s="26"/>
      <c r="L10" s="26"/>
      <c r="M10" s="26"/>
    </row>
    <row r="11" spans="1:14" ht="19.5" customHeight="1">
      <c r="A11" s="285" t="s">
        <v>52</v>
      </c>
      <c r="B11" s="286"/>
      <c r="F11" s="218" t="s">
        <v>264</v>
      </c>
      <c r="G11" s="219"/>
      <c r="H11" s="219"/>
      <c r="I11" s="219"/>
      <c r="J11" s="219"/>
      <c r="K11" s="219"/>
      <c r="L11" s="219"/>
      <c r="M11" s="220"/>
    </row>
    <row r="12" spans="1:14" ht="15.75" customHeight="1">
      <c r="A12" s="95" t="s">
        <v>22</v>
      </c>
      <c r="B12" s="96">
        <f>SQRT(22.5*Ratios!K5*AVERAGE(I4:K4))</f>
        <v>773.09257332425989</v>
      </c>
      <c r="D12" s="2"/>
      <c r="F12" s="221"/>
      <c r="G12" s="222"/>
      <c r="H12" s="222"/>
      <c r="I12" s="222"/>
      <c r="J12" s="222"/>
      <c r="K12" s="222"/>
      <c r="L12" s="222"/>
      <c r="M12" s="223"/>
    </row>
    <row r="13" spans="1:14" ht="15.75" customHeight="1">
      <c r="A13" s="95" t="s">
        <v>8</v>
      </c>
      <c r="B13" s="88">
        <f>AVERAGE(B9:K9)*AVERAGE(I4:K4)</f>
        <v>2356.4121630791833</v>
      </c>
      <c r="D13" s="2"/>
      <c r="F13" s="221"/>
      <c r="G13" s="222"/>
      <c r="H13" s="222"/>
      <c r="I13" s="222"/>
      <c r="J13" s="222"/>
      <c r="K13" s="222"/>
      <c r="L13" s="222"/>
      <c r="M13" s="223"/>
    </row>
    <row r="14" spans="1:14" ht="19.5" customHeight="1">
      <c r="A14" s="95" t="s">
        <v>9</v>
      </c>
      <c r="B14" s="88">
        <f>(K4*1/DCF!B9)</f>
        <v>858.99037222204811</v>
      </c>
      <c r="D14" s="2"/>
      <c r="F14" s="221"/>
      <c r="G14" s="222"/>
      <c r="H14" s="222"/>
      <c r="I14" s="222"/>
      <c r="J14" s="222"/>
      <c r="K14" s="222"/>
      <c r="L14" s="222"/>
      <c r="M14" s="223"/>
    </row>
    <row r="15" spans="1:14" ht="15.75" customHeight="1">
      <c r="A15" s="95" t="s">
        <v>5</v>
      </c>
      <c r="B15" s="88">
        <f>DCF!B33</f>
        <v>1208.613906664375</v>
      </c>
      <c r="D15" s="2"/>
      <c r="F15" s="221"/>
      <c r="G15" s="222"/>
      <c r="H15" s="222"/>
      <c r="I15" s="222"/>
      <c r="J15" s="222"/>
      <c r="K15" s="222"/>
      <c r="L15" s="222"/>
      <c r="M15" s="223"/>
    </row>
    <row r="16" spans="1:14" ht="15.75" customHeight="1">
      <c r="A16" s="95" t="s">
        <v>203</v>
      </c>
      <c r="B16" s="88">
        <f>'Buffett Valuation'!E42/((1+DCF!B9)^10)</f>
        <v>7460.1126209087579</v>
      </c>
      <c r="C16" s="25"/>
      <c r="F16" s="221"/>
      <c r="G16" s="222"/>
      <c r="H16" s="222"/>
      <c r="I16" s="222"/>
      <c r="J16" s="222"/>
      <c r="K16" s="222"/>
      <c r="L16" s="222"/>
      <c r="M16" s="223"/>
    </row>
    <row r="17" spans="1:13" ht="16.5" customHeight="1" thickBot="1">
      <c r="A17" s="93" t="s">
        <v>204</v>
      </c>
      <c r="B17" s="97">
        <f>'Buffett Valuation'!E56/((1+DCF!B9)^10)</f>
        <v>4952.7539433529655</v>
      </c>
      <c r="C17" s="25"/>
      <c r="F17" s="221"/>
      <c r="G17" s="222"/>
      <c r="H17" s="222"/>
      <c r="I17" s="222"/>
      <c r="J17" s="222"/>
      <c r="K17" s="222"/>
      <c r="L17" s="222"/>
      <c r="M17" s="223"/>
    </row>
    <row r="18" spans="1:13" ht="16.5" customHeight="1" thickBot="1">
      <c r="A18" s="25"/>
      <c r="B18" s="25"/>
      <c r="C18" s="25"/>
      <c r="F18" s="221"/>
      <c r="G18" s="222"/>
      <c r="H18" s="222"/>
      <c r="I18" s="222"/>
      <c r="J18" s="222"/>
      <c r="K18" s="222"/>
      <c r="L18" s="222"/>
      <c r="M18" s="223"/>
    </row>
    <row r="19" spans="1:13" ht="15.75" customHeight="1">
      <c r="A19" s="285" t="s">
        <v>30</v>
      </c>
      <c r="B19" s="286"/>
      <c r="F19" s="221"/>
      <c r="G19" s="222"/>
      <c r="H19" s="222"/>
      <c r="I19" s="222"/>
      <c r="J19" s="222"/>
      <c r="K19" s="222"/>
      <c r="L19" s="222"/>
      <c r="M19" s="223"/>
    </row>
    <row r="20" spans="1:13" ht="15.75" customHeight="1">
      <c r="A20" s="87" t="s">
        <v>6</v>
      </c>
      <c r="B20" s="88">
        <f>AVERAGE(B12:B17)</f>
        <v>2934.9959299252646</v>
      </c>
      <c r="C20" s="27"/>
      <c r="D20" s="6"/>
      <c r="E20" s="28"/>
      <c r="F20" s="221"/>
      <c r="G20" s="222"/>
      <c r="H20" s="222"/>
      <c r="I20" s="222"/>
      <c r="J20" s="222"/>
      <c r="K20" s="222"/>
      <c r="L20" s="222"/>
      <c r="M20" s="223"/>
    </row>
    <row r="21" spans="1:13" ht="15.75" customHeight="1">
      <c r="A21" s="87" t="s">
        <v>7</v>
      </c>
      <c r="B21" s="88">
        <f>AVERAGE(B12:B17)-(0.5)*(STDEV(B12,B13,B14,B15,B16,B17))</f>
        <v>1577.6675294973761</v>
      </c>
      <c r="C21" s="2"/>
      <c r="D21" s="6"/>
      <c r="F21" s="221"/>
      <c r="G21" s="222"/>
      <c r="H21" s="222"/>
      <c r="I21" s="222"/>
      <c r="J21" s="222"/>
      <c r="K21" s="222"/>
      <c r="L21" s="222"/>
      <c r="M21" s="223"/>
    </row>
    <row r="22" spans="1:13" ht="15.75">
      <c r="A22" s="180" t="s">
        <v>31</v>
      </c>
      <c r="B22" s="213">
        <v>0.5</v>
      </c>
      <c r="F22" s="221"/>
      <c r="G22" s="222"/>
      <c r="H22" s="222"/>
      <c r="I22" s="222"/>
      <c r="J22" s="222"/>
      <c r="K22" s="222"/>
      <c r="L22" s="222"/>
      <c r="M22" s="223"/>
    </row>
    <row r="23" spans="1:13" ht="15.75">
      <c r="A23" s="90" t="s">
        <v>29</v>
      </c>
      <c r="B23" s="91">
        <f>((B20+B21)/2)*(1-B22)</f>
        <v>1128.1658648556602</v>
      </c>
      <c r="F23" s="221"/>
      <c r="G23" s="222"/>
      <c r="H23" s="222"/>
      <c r="I23" s="222"/>
      <c r="J23" s="222"/>
      <c r="K23" s="222"/>
      <c r="L23" s="222"/>
      <c r="M23" s="223"/>
    </row>
    <row r="24" spans="1:13" ht="15.75">
      <c r="A24" s="89" t="s">
        <v>32</v>
      </c>
      <c r="B24" s="92">
        <f>'First Page'!B13</f>
        <v>4665</v>
      </c>
      <c r="C24" s="27"/>
      <c r="F24" s="221"/>
      <c r="G24" s="222"/>
      <c r="H24" s="222"/>
      <c r="I24" s="222"/>
      <c r="J24" s="222"/>
      <c r="K24" s="222"/>
      <c r="L24" s="222"/>
      <c r="M24" s="223"/>
    </row>
    <row r="25" spans="1:13" ht="16.5" thickBot="1">
      <c r="A25" s="93" t="s">
        <v>33</v>
      </c>
      <c r="B25" s="94">
        <f>B24/B23-1</f>
        <v>3.1350302693273298</v>
      </c>
      <c r="F25" s="224"/>
      <c r="G25" s="225"/>
      <c r="H25" s="225"/>
      <c r="I25" s="225"/>
      <c r="J25" s="225"/>
      <c r="K25" s="225"/>
      <c r="L25" s="225"/>
      <c r="M25" s="226"/>
    </row>
    <row r="27" spans="1:13">
      <c r="B27" s="41"/>
      <c r="C27" s="41"/>
      <c r="D27" s="41"/>
      <c r="E27" s="41"/>
      <c r="F27" s="41"/>
      <c r="G27" s="41"/>
      <c r="H27" s="41"/>
      <c r="I27" s="41"/>
      <c r="J27" s="41"/>
    </row>
  </sheetData>
  <mergeCells count="5">
    <mergeCell ref="A19:B19"/>
    <mergeCell ref="A11:B11"/>
    <mergeCell ref="A1:K1"/>
    <mergeCell ref="A2:K2"/>
    <mergeCell ref="F11:M25"/>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First Page</vt:lpstr>
      <vt:lpstr>Checklist</vt:lpstr>
      <vt:lpstr>Balance Sheet</vt:lpstr>
      <vt:lpstr>P &amp; L Account</vt:lpstr>
      <vt:lpstr>Cash Flow</vt:lpstr>
      <vt:lpstr>Ratios</vt:lpstr>
      <vt:lpstr>DCF</vt:lpstr>
      <vt:lpstr>Buffett Valuation</vt:lpstr>
      <vt:lpstr>Fair Value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dc:creator>
  <cp:lastModifiedBy>Safal Niveshak</cp:lastModifiedBy>
  <dcterms:created xsi:type="dcterms:W3CDTF">2011-11-07T17:28:41Z</dcterms:created>
  <dcterms:modified xsi:type="dcterms:W3CDTF">2013-03-11T02:33:34Z</dcterms:modified>
</cp:coreProperties>
</file>