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firstSheet="2" activeTab="6"/>
  </bookViews>
  <sheets>
    <sheet name="Sheet1" sheetId="1" r:id="rId1"/>
    <sheet name="Flow chart Level 1" sheetId="2" r:id="rId2"/>
    <sheet name="ANNEX A" sheetId="3" r:id="rId3"/>
    <sheet name="Ex 4.1" sheetId="4" r:id="rId4"/>
    <sheet name="Ex 4.2 " sheetId="6" r:id="rId5"/>
    <sheet name="Ex 4.3" sheetId="8" r:id="rId6"/>
    <sheet name="Practical_2011" sheetId="10" r:id="rId7"/>
  </sheets>
  <calcPr calcId="144525"/>
</workbook>
</file>

<file path=xl/calcChain.xml><?xml version="1.0" encoding="utf-8"?>
<calcChain xmlns="http://schemas.openxmlformats.org/spreadsheetml/2006/main">
  <c r="D131" i="10" l="1"/>
  <c r="F125" i="10"/>
  <c r="F126" i="10"/>
  <c r="F140" i="10"/>
  <c r="F139" i="10"/>
  <c r="G132" i="10"/>
  <c r="C128" i="10"/>
  <c r="D121" i="10"/>
  <c r="D120" i="10"/>
  <c r="D119" i="10"/>
  <c r="D118" i="10"/>
  <c r="D117" i="10"/>
  <c r="D114" i="10"/>
  <c r="E95" i="10"/>
  <c r="E94" i="10"/>
  <c r="D53" i="10"/>
  <c r="D54" i="10" s="1"/>
  <c r="E66" i="10"/>
  <c r="E65" i="10"/>
  <c r="D45" i="10"/>
  <c r="D58" i="10"/>
  <c r="F42" i="10"/>
  <c r="D51" i="10" s="1"/>
  <c r="D56" i="10" s="1"/>
  <c r="D59" i="10" s="1"/>
  <c r="D40" i="10"/>
  <c r="D68" i="10" s="1"/>
  <c r="E40" i="10"/>
  <c r="E68" i="10" s="1"/>
  <c r="D84" i="10" s="1"/>
  <c r="F40" i="10"/>
  <c r="F68" i="10" s="1"/>
  <c r="D83" i="10" s="1"/>
  <c r="G40" i="10"/>
  <c r="G68" i="10" s="1"/>
  <c r="H40" i="10"/>
  <c r="H68" i="10" s="1"/>
  <c r="D85" i="10" s="1"/>
  <c r="I40" i="10"/>
  <c r="I68" i="10" s="1"/>
  <c r="D86" i="10" s="1"/>
  <c r="J40" i="10"/>
  <c r="J68" i="10" s="1"/>
  <c r="C40" i="10"/>
  <c r="C68" i="10" s="1"/>
  <c r="K34" i="10"/>
  <c r="D97" i="10" s="1"/>
  <c r="D113" i="10" s="1"/>
  <c r="K35" i="10"/>
  <c r="E97" i="10" s="1"/>
  <c r="K36" i="10"/>
  <c r="F97" i="10" s="1"/>
  <c r="D115" i="10" s="1"/>
  <c r="K37" i="10"/>
  <c r="G97" i="10" s="1"/>
  <c r="D116" i="10" s="1"/>
  <c r="K38" i="10"/>
  <c r="H97" i="10" s="1"/>
  <c r="K39" i="10"/>
  <c r="I97" i="10" s="1"/>
  <c r="K33" i="10"/>
  <c r="C97" i="10" s="1"/>
  <c r="D60" i="10"/>
  <c r="D46" i="10"/>
  <c r="D111" i="10" l="1"/>
  <c r="D112" i="10" s="1"/>
  <c r="D47" i="10"/>
  <c r="D81" i="10"/>
  <c r="D82" i="10" s="1"/>
  <c r="D88" i="10" s="1"/>
  <c r="D48" i="10"/>
  <c r="D61" i="10"/>
  <c r="D110" i="10" s="1"/>
  <c r="J87" i="8"/>
  <c r="I87" i="8"/>
  <c r="H87" i="8"/>
  <c r="G87" i="8"/>
  <c r="F87" i="8"/>
  <c r="E87" i="8"/>
  <c r="D100" i="8" s="1"/>
  <c r="D87" i="8"/>
  <c r="C87" i="8"/>
  <c r="D112" i="8"/>
  <c r="D73" i="8"/>
  <c r="D69" i="8"/>
  <c r="D56" i="8"/>
  <c r="E56" i="8"/>
  <c r="F56" i="8"/>
  <c r="D70" i="8" s="1"/>
  <c r="G56" i="8"/>
  <c r="D71" i="8" s="1"/>
  <c r="H56" i="8"/>
  <c r="D72" i="8" s="1"/>
  <c r="I56" i="8"/>
  <c r="J56" i="8"/>
  <c r="C56" i="8"/>
  <c r="C142" i="10" l="1"/>
  <c r="D80" i="10"/>
  <c r="D49" i="10"/>
  <c r="C134" i="10" s="1"/>
  <c r="D68" i="8"/>
  <c r="F121" i="6"/>
  <c r="D113" i="6"/>
  <c r="D115" i="6" s="1"/>
  <c r="D114" i="6"/>
  <c r="D116" i="6"/>
  <c r="D112" i="6"/>
  <c r="D111" i="6"/>
  <c r="D110" i="6"/>
  <c r="D87" i="6"/>
  <c r="D86" i="6"/>
  <c r="D90" i="10" l="1"/>
  <c r="D87" i="10"/>
  <c r="D117" i="6"/>
  <c r="D84" i="6"/>
  <c r="D85" i="6" s="1"/>
  <c r="G85" i="4"/>
  <c r="D89" i="10" l="1"/>
  <c r="D91" i="10" s="1"/>
  <c r="F123" i="8"/>
  <c r="C124" i="8" s="1"/>
  <c r="D104" i="8"/>
  <c r="D103" i="8"/>
  <c r="D102" i="8"/>
  <c r="D101" i="8"/>
  <c r="D40" i="8"/>
  <c r="D41" i="8" s="1"/>
  <c r="D38" i="8"/>
  <c r="D33" i="8"/>
  <c r="D47" i="8" s="1"/>
  <c r="D48" i="8" s="1"/>
  <c r="D36" i="8" l="1"/>
  <c r="F136" i="6"/>
  <c r="D127" i="6"/>
  <c r="E76" i="4"/>
  <c r="E64" i="4"/>
  <c r="E80" i="4"/>
  <c r="H98" i="6"/>
  <c r="I98" i="6"/>
  <c r="G98" i="6"/>
  <c r="F98" i="6"/>
  <c r="E98" i="6"/>
  <c r="D98" i="6"/>
  <c r="C98" i="6"/>
  <c r="F117" i="8" l="1"/>
  <c r="C118" i="8" s="1"/>
  <c r="F127" i="8"/>
  <c r="C128" i="8" s="1"/>
  <c r="D43" i="8"/>
  <c r="D46" i="8" s="1"/>
  <c r="D64" i="6"/>
  <c r="D57" i="6"/>
  <c r="D58" i="6" s="1"/>
  <c r="D50" i="6"/>
  <c r="D52" i="6" s="1"/>
  <c r="D55" i="6"/>
  <c r="D70" i="4"/>
  <c r="D71" i="4"/>
  <c r="D44" i="6"/>
  <c r="E44" i="6"/>
  <c r="F44" i="6"/>
  <c r="G44" i="6"/>
  <c r="H44" i="6"/>
  <c r="I44" i="6"/>
  <c r="J44" i="6"/>
  <c r="C44" i="6"/>
  <c r="C96" i="4"/>
  <c r="D61" i="4"/>
  <c r="D93" i="4"/>
  <c r="D78" i="4"/>
  <c r="D58" i="4"/>
  <c r="E49" i="4" s="1"/>
  <c r="D49" i="8" l="1"/>
  <c r="D60" i="6"/>
  <c r="D63" i="6" s="1"/>
  <c r="D65" i="6" s="1"/>
  <c r="D51" i="6"/>
  <c r="D65" i="4"/>
  <c r="E52" i="4"/>
  <c r="E44" i="4"/>
  <c r="E56" i="4"/>
  <c r="E48" i="4"/>
  <c r="E53" i="4"/>
  <c r="E45" i="4"/>
  <c r="E57" i="4"/>
  <c r="E55" i="4"/>
  <c r="E51" i="4"/>
  <c r="E47" i="4"/>
  <c r="E43" i="4"/>
  <c r="E54" i="4"/>
  <c r="E50" i="4"/>
  <c r="E46" i="4"/>
  <c r="P116" i="1"/>
  <c r="P115" i="1"/>
  <c r="S79" i="1"/>
  <c r="O90" i="1"/>
  <c r="O86" i="1"/>
  <c r="O85" i="1"/>
  <c r="N79" i="1"/>
  <c r="N78" i="1"/>
  <c r="N76" i="1"/>
  <c r="N77" i="1"/>
  <c r="N75" i="1"/>
  <c r="N74" i="1"/>
  <c r="N71" i="1"/>
  <c r="N70" i="1"/>
  <c r="N59" i="1"/>
  <c r="N58" i="1"/>
  <c r="N56" i="1"/>
  <c r="N51" i="1"/>
  <c r="N55" i="1"/>
  <c r="N57" i="1" s="1"/>
  <c r="N52" i="1"/>
  <c r="D108" i="8" l="1"/>
  <c r="D107" i="8"/>
  <c r="D110" i="8"/>
  <c r="D106" i="8"/>
  <c r="D109" i="8"/>
  <c r="D105" i="8"/>
  <c r="D77" i="8"/>
  <c r="D76" i="8"/>
  <c r="D79" i="8"/>
  <c r="D78" i="8"/>
  <c r="D74" i="8"/>
  <c r="D75" i="8"/>
  <c r="D88" i="6"/>
  <c r="D90" i="6" s="1"/>
  <c r="D89" i="6"/>
  <c r="D91" i="6" s="1"/>
  <c r="F135" i="6"/>
  <c r="C138" i="6" s="1"/>
  <c r="G84" i="4"/>
  <c r="D89" i="4"/>
  <c r="D66" i="4"/>
  <c r="D59" i="4"/>
  <c r="D60" i="4" s="1"/>
  <c r="E60" i="4" s="1"/>
  <c r="I32" i="1"/>
  <c r="I31" i="1"/>
  <c r="I46" i="1"/>
  <c r="C46" i="1"/>
  <c r="D46" i="1"/>
  <c r="E46" i="1"/>
  <c r="F46" i="1"/>
  <c r="G46" i="1"/>
  <c r="H46" i="1"/>
  <c r="J40" i="1"/>
  <c r="J41" i="1"/>
  <c r="J42" i="1"/>
  <c r="J43" i="1"/>
  <c r="J44" i="1"/>
  <c r="J45" i="1"/>
  <c r="J39" i="1"/>
  <c r="B46" i="1"/>
  <c r="N15" i="1"/>
  <c r="N33" i="1"/>
  <c r="N29" i="1"/>
  <c r="N27" i="1"/>
  <c r="N30" i="1" s="1"/>
  <c r="N28" i="1"/>
  <c r="N24" i="1"/>
  <c r="N18" i="1"/>
  <c r="N17" i="1"/>
  <c r="N16" i="1"/>
  <c r="N39" i="1" s="1"/>
  <c r="D111" i="8" l="1"/>
  <c r="D80" i="8"/>
  <c r="D81" i="8" s="1"/>
  <c r="F122" i="6"/>
  <c r="D92" i="6"/>
  <c r="C124" i="6" s="1"/>
  <c r="D72" i="4"/>
  <c r="D79" i="4"/>
  <c r="D90" i="4"/>
  <c r="E91" i="4" s="1"/>
  <c r="N34" i="1"/>
  <c r="N38" i="1" s="1"/>
  <c r="N20" i="1"/>
  <c r="N40" i="1"/>
  <c r="N19" i="1"/>
  <c r="D53" i="6" l="1"/>
  <c r="G128" i="6" s="1"/>
  <c r="C130" i="6" s="1"/>
  <c r="D73" i="4"/>
  <c r="N21" i="1"/>
  <c r="E94" i="4" l="1"/>
  <c r="C82" i="4"/>
  <c r="E87" i="4"/>
</calcChain>
</file>

<file path=xl/sharedStrings.xml><?xml version="1.0" encoding="utf-8"?>
<sst xmlns="http://schemas.openxmlformats.org/spreadsheetml/2006/main" count="709" uniqueCount="258">
  <si>
    <t>FCA</t>
  </si>
  <si>
    <t>LOSS</t>
  </si>
  <si>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charset val="222"/>
        <scheme val="minor"/>
      </rPr>
      <t>C</t>
    </r>
  </si>
  <si>
    <t>Capacity</t>
  </si>
  <si>
    <t>Equipment Type :</t>
  </si>
  <si>
    <t>Equipment No.    :</t>
  </si>
  <si>
    <t>Location :</t>
  </si>
  <si>
    <t xml:space="preserve">           Pressure Vessel</t>
  </si>
  <si>
    <t xml:space="preserve">           Storage Tank</t>
  </si>
  <si>
    <t xml:space="preserve">           Piping Component</t>
  </si>
  <si>
    <t>Picture :</t>
  </si>
  <si>
    <t>Name :</t>
  </si>
  <si>
    <t>Yield Strength :</t>
  </si>
  <si>
    <t>MPa</t>
  </si>
  <si>
    <t>Tensile Strength :</t>
  </si>
  <si>
    <t>Design Pressure :</t>
  </si>
  <si>
    <t>Design Temperature :</t>
  </si>
  <si>
    <t>Allowable Stress :</t>
  </si>
  <si>
    <t>Dimension</t>
  </si>
  <si>
    <t>Inside Diameter :</t>
  </si>
  <si>
    <t>mm</t>
  </si>
  <si>
    <t>Nominal Thickness :</t>
  </si>
  <si>
    <t>LOSS :</t>
  </si>
  <si>
    <t>FCA :</t>
  </si>
  <si>
    <t>Weld Joint Efficiency :</t>
  </si>
  <si>
    <t>Descriptions :</t>
  </si>
  <si>
    <r>
      <rPr>
        <b/>
        <sz val="10"/>
        <color theme="1"/>
        <rFont val="Calibri"/>
        <family val="2"/>
        <scheme val="minor"/>
      </rPr>
      <t>Note:</t>
    </r>
    <r>
      <rPr>
        <sz val="10"/>
        <color theme="1"/>
        <rFont val="Calibri"/>
        <family val="2"/>
        <scheme val="minor"/>
      </rPr>
      <t xml:space="preserve"> FCA = Future corrosion allowance and LOSS = Uniform Metal Loss.</t>
    </r>
  </si>
  <si>
    <t>Reference:</t>
  </si>
  <si>
    <t>t,c</t>
  </si>
  <si>
    <t>S</t>
  </si>
  <si>
    <t>E</t>
  </si>
  <si>
    <t>P</t>
  </si>
  <si>
    <t>Data Required for the Assessment of a General Metal Loss</t>
  </si>
  <si>
    <t>General Metal Loss Data</t>
  </si>
  <si>
    <t>Min. Measurement Thickness :</t>
  </si>
  <si>
    <t>t,min</t>
  </si>
  <si>
    <t>R,t</t>
  </si>
  <si>
    <t>RSF,a</t>
  </si>
  <si>
    <t>Q</t>
  </si>
  <si>
    <t>D</t>
  </si>
  <si>
    <t>L</t>
  </si>
  <si>
    <t>Longitudinal CTP</t>
  </si>
  <si>
    <t>The Level 1 Assessment</t>
  </si>
  <si>
    <t>Level 1 Assessments are limited to Type A components subject to internal or external pressure (i.e. supplemental loads are assumed to be negligible).</t>
  </si>
  <si>
    <t xml:space="preserve">Limitations :  </t>
  </si>
  <si>
    <t xml:space="preserve"> - Type A components subject to internal or external pressure.</t>
  </si>
  <si>
    <t xml:space="preserve"> - The component is not in cyclic service or less than 150 cycles.</t>
  </si>
  <si>
    <t xml:space="preserve"> - The supplemental loads are assumed to be negligible.</t>
  </si>
  <si>
    <t xml:space="preserve"> - The component is not in the creep range. (see Table 4.1)</t>
  </si>
  <si>
    <r>
      <rPr>
        <b/>
        <sz val="11"/>
        <color theme="1"/>
        <rFont val="Calibri"/>
        <family val="2"/>
        <scheme val="minor"/>
      </rPr>
      <t>Table 4.1</t>
    </r>
    <r>
      <rPr>
        <sz val="11"/>
        <color theme="1"/>
        <rFont val="Calibri"/>
        <family val="2"/>
        <scheme val="minor"/>
      </rPr>
      <t xml:space="preserve"> – Temperature Limit Used To Define The Creep Range</t>
    </r>
  </si>
  <si>
    <r>
      <rPr>
        <b/>
        <sz val="11"/>
        <color theme="1"/>
        <rFont val="Calibri"/>
        <family val="2"/>
        <scheme val="minor"/>
      </rPr>
      <t>STEP 1</t>
    </r>
    <r>
      <rPr>
        <sz val="11"/>
        <color theme="1"/>
        <rFont val="Calibri"/>
        <family val="2"/>
        <charset val="222"/>
        <scheme val="minor"/>
      </rPr>
      <t xml:space="preserve"> – Determine the minimum required thickness</t>
    </r>
  </si>
  <si>
    <t>R</t>
  </si>
  <si>
    <t>t,min,L</t>
  </si>
  <si>
    <t>t,min,C</t>
  </si>
  <si>
    <r>
      <rPr>
        <b/>
        <sz val="11"/>
        <color theme="1"/>
        <rFont val="Calibri"/>
        <family val="2"/>
        <scheme val="minor"/>
      </rPr>
      <t xml:space="preserve">STEP 2 </t>
    </r>
    <r>
      <rPr>
        <sz val="11"/>
        <color theme="1"/>
        <rFont val="Calibri"/>
        <family val="2"/>
        <charset val="222"/>
        <scheme val="minor"/>
      </rPr>
      <t>– Determine the thickness profile data</t>
    </r>
  </si>
  <si>
    <t>t,mm</t>
  </si>
  <si>
    <r>
      <rPr>
        <b/>
        <sz val="11"/>
        <color theme="1"/>
        <rFont val="Calibri"/>
        <family val="2"/>
        <scheme val="minor"/>
      </rPr>
      <t xml:space="preserve">STEP 3 </t>
    </r>
    <r>
      <rPr>
        <sz val="11"/>
        <color theme="1"/>
        <rFont val="Calibri"/>
        <family val="2"/>
        <charset val="222"/>
        <scheme val="minor"/>
      </rPr>
      <t>– Determine the wall thickness to be used in the assessment</t>
    </r>
  </si>
  <si>
    <t>t,nom</t>
  </si>
  <si>
    <r>
      <rPr>
        <b/>
        <sz val="11"/>
        <color theme="1"/>
        <rFont val="Calibri"/>
        <family val="2"/>
        <scheme val="minor"/>
      </rPr>
      <t>STEP 5</t>
    </r>
    <r>
      <rPr>
        <sz val="11"/>
        <color theme="1"/>
        <rFont val="Calibri"/>
        <family val="2"/>
        <charset val="222"/>
        <scheme val="minor"/>
      </rPr>
      <t xml:space="preserve"> – Compute the length for thickness averaging</t>
    </r>
  </si>
  <si>
    <t xml:space="preserve"> - This calculation sheet is designed for the cylintical component.</t>
  </si>
  <si>
    <t>XXX</t>
  </si>
  <si>
    <t>Inspection Data (mm)</t>
  </si>
  <si>
    <t>Min. Cir.</t>
  </si>
  <si>
    <t>Min. Long.</t>
  </si>
  <si>
    <r>
      <rPr>
        <b/>
        <sz val="11"/>
        <color theme="1"/>
        <rFont val="Calibri"/>
        <family val="2"/>
        <scheme val="minor"/>
      </rPr>
      <t xml:space="preserve">STEP 6 </t>
    </r>
    <r>
      <rPr>
        <sz val="11"/>
        <color theme="1"/>
        <rFont val="Calibri"/>
        <family val="2"/>
        <charset val="222"/>
        <scheme val="minor"/>
      </rPr>
      <t>– Establish the Critical Thickness Profiles</t>
    </r>
  </si>
  <si>
    <t>t,am,L</t>
  </si>
  <si>
    <t>Min. Meas. Long Thickness :</t>
  </si>
  <si>
    <t>Min. Meas. Cir. Thickness :</t>
  </si>
  <si>
    <t>width of the Long. Grid :</t>
  </si>
  <si>
    <t>width of the Cir. Grid :</t>
  </si>
  <si>
    <t>Circumferential CTP</t>
  </si>
  <si>
    <r>
      <t>mm</t>
    </r>
    <r>
      <rPr>
        <vertAlign val="superscript"/>
        <sz val="11"/>
        <color theme="1"/>
        <rFont val="Calibri"/>
        <family val="2"/>
        <scheme val="minor"/>
      </rPr>
      <t>2</t>
    </r>
  </si>
  <si>
    <t>t,am,C</t>
  </si>
  <si>
    <r>
      <rPr>
        <b/>
        <sz val="11"/>
        <color theme="1"/>
        <rFont val="Calibri"/>
        <family val="2"/>
        <scheme val="minor"/>
      </rPr>
      <t>Table 4.4</t>
    </r>
    <r>
      <rPr>
        <sz val="11"/>
        <color theme="1"/>
        <rFont val="Calibri"/>
        <family val="2"/>
        <scheme val="minor"/>
      </rPr>
      <t>– Acceptance Criteria For Level 1 And 2 Assessments</t>
    </r>
  </si>
  <si>
    <r>
      <rPr>
        <b/>
        <sz val="11"/>
        <color theme="1"/>
        <rFont val="Calibri"/>
        <family val="2"/>
        <scheme val="minor"/>
      </rPr>
      <t>Table 4.4</t>
    </r>
    <r>
      <rPr>
        <sz val="11"/>
        <color theme="1"/>
        <rFont val="Calibri"/>
        <family val="2"/>
        <scheme val="minor"/>
      </rPr>
      <t>– Acceptance Criteria For Level 1 And 2 Assessments (continue)</t>
    </r>
  </si>
  <si>
    <r>
      <rPr>
        <b/>
        <sz val="11"/>
        <color theme="1"/>
        <rFont val="Calibri"/>
        <family val="2"/>
        <scheme val="minor"/>
      </rPr>
      <t xml:space="preserve">STEP 7 </t>
    </r>
    <r>
      <rPr>
        <sz val="11"/>
        <color theme="1"/>
        <rFont val="Calibri"/>
        <family val="2"/>
        <charset val="222"/>
        <scheme val="minor"/>
      </rPr>
      <t>– Determine the acceptability for continued operation using Level 1 criteria</t>
    </r>
  </si>
  <si>
    <t>t,am,L-FCA&gt;=t,mm,C</t>
  </si>
  <si>
    <t>t,am,C-FCA&gt;=t,mm,L</t>
  </si>
  <si>
    <t>t,mm-FCA&gt;=max[0.5t,min,max[o.2*t,nom,2.5mm,(0.10in)]]</t>
  </si>
  <si>
    <t>(for mm)</t>
  </si>
  <si>
    <r>
      <rPr>
        <b/>
        <sz val="11"/>
        <color theme="1"/>
        <rFont val="Calibri"/>
        <family val="2"/>
        <scheme val="minor"/>
      </rPr>
      <t>CTP</t>
    </r>
    <r>
      <rPr>
        <sz val="11"/>
        <color theme="1"/>
        <rFont val="Calibri"/>
        <family val="2"/>
        <charset val="222"/>
        <scheme val="minor"/>
      </rPr>
      <t xml:space="preserve"> - Cylindrical and Conical Shells, and Elbows</t>
    </r>
  </si>
  <si>
    <r>
      <rPr>
        <b/>
        <sz val="11"/>
        <color theme="1"/>
        <rFont val="Calibri"/>
        <family val="2"/>
        <scheme val="minor"/>
      </rPr>
      <t>Minimum Measured Thickness</t>
    </r>
    <r>
      <rPr>
        <sz val="11"/>
        <color theme="1"/>
        <rFont val="Calibri"/>
        <family val="2"/>
        <charset val="222"/>
        <scheme val="minor"/>
      </rPr>
      <t xml:space="preserve"> - Pressure Vessel Components</t>
    </r>
  </si>
  <si>
    <t>read table 4.4</t>
  </si>
  <si>
    <t>The Level 2 Assessment</t>
  </si>
  <si>
    <r>
      <rPr>
        <b/>
        <sz val="11"/>
        <color theme="1"/>
        <rFont val="Calibri"/>
        <family val="2"/>
        <scheme val="minor"/>
      </rPr>
      <t>CTP</t>
    </r>
    <r>
      <rPr>
        <sz val="11"/>
        <color theme="1"/>
        <rFont val="Calibri"/>
        <family val="2"/>
        <charset val="222"/>
        <scheme val="minor"/>
      </rPr>
      <t>-Cylindrical and Conical Shells, and Elbows</t>
    </r>
  </si>
  <si>
    <t>t,am,L-FCA&gt;=RSF,a*t,mm,C</t>
  </si>
  <si>
    <t>t,am,C-FCA&gt;=RSF,a*t,mm,L</t>
  </si>
  <si>
    <t>Level 2 Assessments are limited to Type A components subject to internal or external pressure (i.e. supplemental loads are assumed to be negligible).</t>
  </si>
  <si>
    <t xml:space="preserve">Material </t>
  </si>
  <si>
    <t>t,uper</t>
  </si>
  <si>
    <t>t,lower</t>
  </si>
  <si>
    <t>t,1</t>
  </si>
  <si>
    <t>t,2</t>
  </si>
  <si>
    <t>w, G</t>
  </si>
  <si>
    <t>A,1</t>
  </si>
  <si>
    <t>A,2</t>
  </si>
  <si>
    <t>for L &lt;=2*w,G</t>
  </si>
  <si>
    <t>inside shell diameter</t>
  </si>
  <si>
    <t>4.1 Example Problem 1</t>
  </si>
  <si>
    <t>Internal corrosion on the cylindrical shell of a heat exchanger has been found during an inspection. Details</t>
  </si>
  <si>
    <t>regarding the heat exchanger and inspection data are given below. The heat exchanger was constructed to</t>
  </si>
  <si>
    <t>the ASME B&amp;PV Code, Section VIII, Division 1, Edition 1989. Determine if the heat exchanger is suitable for</t>
  </si>
  <si>
    <t>continued operation.</t>
  </si>
  <si>
    <t>Vessel Data</t>
  </si>
  <si>
    <t>Material</t>
  </si>
  <si>
    <t>Design Conditions</t>
  </si>
  <si>
    <t>Inside Diameter</t>
  </si>
  <si>
    <t>Nominal Thickness</t>
  </si>
  <si>
    <t>Future Corrosion Allowance</t>
  </si>
  <si>
    <t>Weld Joint Efficiency</t>
  </si>
  <si>
    <t>Tubesheet to tubesheet distance</t>
  </si>
  <si>
    <t>SA−516 Grade 60 Year 1989</t>
  </si>
  <si>
    <t>Inspection Data</t>
  </si>
  <si>
    <t>Based on a visual inspection, the corrosion loss is characterized as general, and point thickness readings will</t>
  </si>
  <si>
    <t>be used in the assessment (see paragraph 4.3.3.1 and 4.3.3.2). Point thickness readings were taken in</t>
  </si>
  <si>
    <t>accordance with paragraph 4.3.3.2.</t>
  </si>
  <si>
    <t>Table E4.1-1</t>
  </si>
  <si>
    <t>Location</t>
  </si>
  <si>
    <t xml:space="preserve"> MPa @380° C and full vacuum @380</t>
  </si>
  <si>
    <t xml:space="preserve"> mm</t>
  </si>
  <si>
    <t>STEP 1</t>
  </si>
  <si>
    <t xml:space="preserve"> - the Coefficient of Variation, COV</t>
  </si>
  <si>
    <t>COV</t>
  </si>
  <si>
    <t>Table E4.1-2</t>
  </si>
  <si>
    <t>%</t>
  </si>
  <si>
    <t>STEP 2</t>
  </si>
  <si>
    <r>
      <t xml:space="preserve">Check critiria: The COV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charset val="222"/>
      </rPr>
      <t xml:space="preserve"> </t>
    </r>
    <r>
      <rPr>
        <sz val="11"/>
        <color theme="1"/>
        <rFont val="Calibri"/>
        <family val="2"/>
        <charset val="222"/>
        <scheme val="minor"/>
      </rPr>
      <t>10%</t>
    </r>
  </si>
  <si>
    <t>t.am</t>
  </si>
  <si>
    <t>t.rd</t>
  </si>
  <si>
    <t>Thickness Reading, t.mm</t>
  </si>
  <si>
    <t>determine - the minimum measured thickness, t.mm</t>
  </si>
  <si>
    <t xml:space="preserve">  - the average measured thickness, t.am </t>
  </si>
  <si>
    <t>COV.critiria</t>
  </si>
  <si>
    <t xml:space="preserve">STEP 3 </t>
  </si>
  <si>
    <t xml:space="preserve"> Calculate the minimum required thickness, t.min (see Annex A).</t>
  </si>
  <si>
    <r>
      <t>(t.rd-t.am)</t>
    </r>
    <r>
      <rPr>
        <vertAlign val="superscript"/>
        <sz val="10"/>
        <color theme="1"/>
        <rFont val="Calibri"/>
        <family val="2"/>
        <charset val="222"/>
        <scheme val="minor"/>
      </rPr>
      <t>2</t>
    </r>
  </si>
  <si>
    <t xml:space="preserve"> MPa</t>
  </si>
  <si>
    <t>A.9</t>
  </si>
  <si>
    <t>t.L.min</t>
  </si>
  <si>
    <t>t.C.min</t>
  </si>
  <si>
    <t>A.15</t>
  </si>
  <si>
    <t>t.min</t>
  </si>
  <si>
    <t>STEP 4</t>
  </si>
  <si>
    <t>Determine the component is acceptable for continued operation.</t>
  </si>
  <si>
    <t>Level 1.critiria</t>
  </si>
  <si>
    <t>or evaluate from MAWP</t>
  </si>
  <si>
    <t>t</t>
  </si>
  <si>
    <t>MAWP</t>
  </si>
  <si>
    <t xml:space="preserve">evaluate from t.am </t>
  </si>
  <si>
    <t>Perform a Level 2 assessment</t>
  </si>
  <si>
    <t>RSF.a</t>
  </si>
  <si>
    <t>Level 2.critiria</t>
  </si>
  <si>
    <t>or evaluate from t.mm</t>
  </si>
  <si>
    <t>t.lim</t>
  </si>
  <si>
    <t>t.mm</t>
  </si>
  <si>
    <t>Internal corrosion at a longitudinal weld seam in a pressure vessel has been found during an inspection.</t>
  </si>
  <si>
    <t>Details regarding the pressure vessel and inspection data are given below. The vessel was constructed to the</t>
  </si>
  <si>
    <t>ASME B&amp;PV Code, Section VIII, Division 1, Edition 1998 with the 1999 Addenda. Evaluate if the vessel shell</t>
  </si>
  <si>
    <t>is fit-for-service.</t>
  </si>
  <si>
    <t xml:space="preserve">psi @ 350° F </t>
  </si>
  <si>
    <t>in</t>
  </si>
  <si>
    <t>Uniform metal loss</t>
  </si>
  <si>
    <t>The grid used for the inspection and the thickness readings are shown below. The grid spacing set by the</t>
  </si>
  <si>
    <t>Inspector in the circumferential and longitudinal directions is 1.5 in based on the corrosion profile.</t>
  </si>
  <si>
    <t>M1</t>
  </si>
  <si>
    <t>M2</t>
  </si>
  <si>
    <t>M3</t>
  </si>
  <si>
    <t>M4</t>
  </si>
  <si>
    <t>M5</t>
  </si>
  <si>
    <t>M6</t>
  </si>
  <si>
    <t>M7</t>
  </si>
  <si>
    <t>C1</t>
  </si>
  <si>
    <t>C2</t>
  </si>
  <si>
    <t>C3</t>
  </si>
  <si>
    <t>C4</t>
  </si>
  <si>
    <t>C5</t>
  </si>
  <si>
    <t>C6</t>
  </si>
  <si>
    <t>C7</t>
  </si>
  <si>
    <t>C8</t>
  </si>
  <si>
    <t>Circumferential Inspection Planes</t>
  </si>
  <si>
    <t xml:space="preserve">Long. </t>
  </si>
  <si>
    <t>Insp.</t>
  </si>
  <si>
    <t>CTP</t>
  </si>
  <si>
    <t>Circ.</t>
  </si>
  <si>
    <t>Table E4.2-1 – Inspection Data (in)</t>
  </si>
  <si>
    <t>psi</t>
  </si>
  <si>
    <t>Thickness profiles are provided, the data for thickness readings is in the above table</t>
  </si>
  <si>
    <t>Determine wall thickness to be used in the assessment</t>
  </si>
  <si>
    <t>t.c</t>
  </si>
  <si>
    <t>Compute the remaining thickness ratio, R.t</t>
  </si>
  <si>
    <t>R.t</t>
  </si>
  <si>
    <t>STEP 5</t>
  </si>
  <si>
    <t>Compute the length for thickness averaging</t>
  </si>
  <si>
    <t>Table 4.5</t>
  </si>
  <si>
    <t>STEP 6</t>
  </si>
  <si>
    <t>Establish the Critical Thickness Profiles (CTP’s)</t>
  </si>
  <si>
    <t>inspec. grid</t>
  </si>
  <si>
    <t>no. of inspec.</t>
  </si>
  <si>
    <t>points</t>
  </si>
  <si>
    <t>point</t>
  </si>
  <si>
    <t>thk. (in)</t>
  </si>
  <si>
    <t>t.1</t>
  </si>
  <si>
    <t>t.2</t>
  </si>
  <si>
    <t>t.am.s</t>
  </si>
  <si>
    <t>t.am.c</t>
  </si>
  <si>
    <t>STEP 7</t>
  </si>
  <si>
    <t>Determine the acceptability for continued operation using Level 1 criteria in Table 4.4.</t>
  </si>
  <si>
    <t>Or Use the minimum thickness criteria</t>
  </si>
  <si>
    <t>Use averaged measured thickness criteria</t>
  </si>
  <si>
    <t>t.am.s-FAC&gt;=t.min.C</t>
  </si>
  <si>
    <t>t.am.c-FAC&gt;=t.min.L</t>
  </si>
  <si>
    <t>t.mm-FAC&gt;=max[0.5t.min,t.lim]</t>
  </si>
  <si>
    <t>A localized region of internal corrosion on a 2:1 elliptical head has been found during an inspection. The</t>
  </si>
  <si>
    <t>corroded region is within the spherical portion of the elliptical head within 0.8D centered on the head</t>
  </si>
  <si>
    <t>centerline. The vessel was constructed to the ASME B&amp;PV Code, Section VIII, Division 1, Edition 1989.</t>
  </si>
  <si>
    <t>Determine if the vessel head is suitable for continued operation.</t>
  </si>
  <si>
    <t>MPa @340° C</t>
  </si>
  <si>
    <t>Head Inside Diameter</t>
  </si>
  <si>
    <t>The grid used for the inspection and the thickness readings are shown below. The grid spacing is 100 mm</t>
  </si>
  <si>
    <t>Table E4.3-1 – Inspection Data (mm)</t>
  </si>
  <si>
    <t>M8</t>
  </si>
  <si>
    <t>Mer.CTP</t>
  </si>
  <si>
    <t>Circ. CTP</t>
  </si>
  <si>
    <t>Long. Ins.</t>
  </si>
  <si>
    <t>for the spherical portion of an elliptical head and the spherical shell design equation</t>
  </si>
  <si>
    <t>R.ell</t>
  </si>
  <si>
    <t>K.c</t>
  </si>
  <si>
    <t>Mpa</t>
  </si>
  <si>
    <t>R.c</t>
  </si>
  <si>
    <t>t.am-FAC&gt;=t.min</t>
  </si>
  <si>
    <t>Use the minimum measured thickness criterion</t>
  </si>
  <si>
    <t>A.1</t>
  </si>
  <si>
    <t>p.2</t>
  </si>
  <si>
    <t>p.1</t>
  </si>
  <si>
    <t>p.o</t>
  </si>
  <si>
    <t>A.2</t>
  </si>
  <si>
    <t>in^2</t>
  </si>
  <si>
    <t>p.0</t>
  </si>
  <si>
    <t>p.4</t>
  </si>
  <si>
    <t>p.3</t>
  </si>
  <si>
    <t>A.3</t>
  </si>
  <si>
    <t>A.4</t>
  </si>
  <si>
    <t>A.5</t>
  </si>
  <si>
    <t>A.6</t>
  </si>
  <si>
    <t>A.tot</t>
  </si>
  <si>
    <t>mm^2</t>
  </si>
  <si>
    <t>ANALYSIS AND EVALUATION OF THE STRUCTURAL HEALTH OF</t>
  </si>
  <si>
    <t>PRESSURE VESSELS WITH GENERAL CORROSION APPLYING API 579</t>
  </si>
  <si>
    <t>ASTM A516 Grade 70</t>
  </si>
  <si>
    <t xml:space="preserve">psi </t>
  </si>
  <si>
    <t>Inspection
plane (in)</t>
  </si>
  <si>
    <t xml:space="preserve">Allowable stress </t>
  </si>
  <si>
    <t>Table 1. Wall thickness for the longitudinal and circunferencial inspection planes</t>
  </si>
  <si>
    <t xml:space="preserve">inspection grid distance  </t>
  </si>
  <si>
    <t>Long. CTP</t>
  </si>
  <si>
    <t>Cir. CTP</t>
  </si>
  <si>
    <t xml:space="preserve">Allowable remaining strength factor </t>
  </si>
  <si>
    <t>L/2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</si>
</sst>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15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222"/>
    </font>
    <font>
      <sz val="10"/>
      <color theme="1"/>
      <name val="Calibri"/>
      <family val="2"/>
      <charset val="222"/>
      <scheme val="minor"/>
    </font>
    <font>
      <vertAlign val="superscript"/>
      <sz val="10"/>
      <color theme="1"/>
      <name val="Calibri"/>
      <family val="2"/>
      <charset val="222"/>
      <scheme val="minor"/>
    </font>
    <font>
      <sz val="8"/>
      <color theme="1"/>
      <name val="Calibri"/>
      <family val="2"/>
      <charset val="22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165" fontId="0" fillId="0" borderId="0" xfId="0" applyNumberFormat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/>
    <xf numFmtId="0" fontId="0" fillId="0" borderId="0" xfId="0" applyBorder="1"/>
    <xf numFmtId="0" fontId="3" fillId="0" borderId="0" xfId="0" applyFont="1" applyBorder="1"/>
    <xf numFmtId="0" fontId="0" fillId="0" borderId="0" xfId="0" applyFill="1" applyBorder="1" applyAlignment="1">
      <alignment vertical="top"/>
    </xf>
    <xf numFmtId="0" fontId="3" fillId="0" borderId="0" xfId="0" applyFont="1" applyFill="1" applyBorder="1"/>
    <xf numFmtId="0" fontId="0" fillId="0" borderId="8" xfId="0" applyFill="1" applyBorder="1"/>
    <xf numFmtId="0" fontId="0" fillId="0" borderId="9" xfId="0" applyFill="1" applyBorder="1" applyAlignment="1">
      <alignment vertical="top"/>
    </xf>
    <xf numFmtId="0" fontId="3" fillId="0" borderId="10" xfId="0" applyFont="1" applyFill="1" applyBorder="1"/>
    <xf numFmtId="0" fontId="0" fillId="0" borderId="11" xfId="0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6" xfId="0" applyBorder="1"/>
    <xf numFmtId="0" fontId="0" fillId="0" borderId="7" xfId="0" applyBorder="1"/>
    <xf numFmtId="0" fontId="0" fillId="0" borderId="14" xfId="0" applyBorder="1" applyAlignment="1">
      <alignment vertical="top"/>
    </xf>
    <xf numFmtId="0" fontId="0" fillId="0" borderId="9" xfId="0" applyBorder="1"/>
    <xf numFmtId="0" fontId="0" fillId="0" borderId="16" xfId="0" applyBorder="1"/>
    <xf numFmtId="0" fontId="0" fillId="0" borderId="11" xfId="0" applyBorder="1"/>
    <xf numFmtId="0" fontId="0" fillId="0" borderId="1" xfId="0" applyBorder="1"/>
    <xf numFmtId="0" fontId="0" fillId="0" borderId="12" xfId="0" applyBorder="1"/>
    <xf numFmtId="0" fontId="0" fillId="0" borderId="8" xfId="0" applyBorder="1"/>
    <xf numFmtId="0" fontId="0" fillId="0" borderId="10" xfId="0" applyBorder="1"/>
    <xf numFmtId="0" fontId="0" fillId="0" borderId="2" xfId="0" applyBorder="1"/>
    <xf numFmtId="0" fontId="0" fillId="0" borderId="3" xfId="0" applyBorder="1" applyAlignment="1">
      <alignment vertical="top"/>
    </xf>
    <xf numFmtId="0" fontId="0" fillId="0" borderId="12" xfId="0" applyFill="1" applyBorder="1" applyAlignment="1">
      <alignment vertical="top"/>
    </xf>
    <xf numFmtId="0" fontId="0" fillId="0" borderId="1" xfId="0" applyFill="1" applyBorder="1"/>
    <xf numFmtId="0" fontId="3" fillId="0" borderId="12" xfId="0" applyFont="1" applyBorder="1"/>
    <xf numFmtId="0" fontId="0" fillId="0" borderId="15" xfId="0" applyBorder="1"/>
    <xf numFmtId="0" fontId="0" fillId="0" borderId="9" xfId="0" applyFill="1" applyBorder="1"/>
    <xf numFmtId="0" fontId="3" fillId="0" borderId="6" xfId="0" applyFont="1" applyBorder="1"/>
    <xf numFmtId="0" fontId="0" fillId="0" borderId="14" xfId="0" applyBorder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5" fillId="0" borderId="11" xfId="0" applyFont="1" applyBorder="1"/>
    <xf numFmtId="0" fontId="3" fillId="0" borderId="0" xfId="0" applyFont="1" applyAlignment="1">
      <alignment horizontal="center"/>
    </xf>
    <xf numFmtId="0" fontId="0" fillId="0" borderId="0" xfId="0" applyBorder="1" applyAlignment="1">
      <alignment vertical="top"/>
    </xf>
    <xf numFmtId="0" fontId="0" fillId="0" borderId="18" xfId="0" applyBorder="1" applyAlignment="1">
      <alignment vertical="top"/>
    </xf>
    <xf numFmtId="164" fontId="0" fillId="0" borderId="0" xfId="0" applyNumberFormat="1" applyAlignment="1">
      <alignment vertical="top"/>
    </xf>
    <xf numFmtId="1" fontId="0" fillId="0" borderId="0" xfId="0" applyNumberFormat="1"/>
    <xf numFmtId="0" fontId="3" fillId="0" borderId="0" xfId="0" applyFont="1" applyAlignment="1">
      <alignment horizontal="right"/>
    </xf>
    <xf numFmtId="0" fontId="3" fillId="0" borderId="0" xfId="0" applyFont="1" applyAlignment="1">
      <alignment vertical="top" wrapText="1"/>
    </xf>
    <xf numFmtId="2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164" fontId="3" fillId="0" borderId="0" xfId="0" applyNumberFormat="1" applyFont="1" applyAlignment="1">
      <alignment vertical="top"/>
    </xf>
    <xf numFmtId="164" fontId="3" fillId="0" borderId="0" xfId="0" applyNumberFormat="1" applyFont="1"/>
    <xf numFmtId="0" fontId="0" fillId="0" borderId="17" xfId="0" applyBorder="1"/>
    <xf numFmtId="164" fontId="0" fillId="0" borderId="17" xfId="0" applyNumberFormat="1" applyBorder="1"/>
    <xf numFmtId="0" fontId="0" fillId="3" borderId="17" xfId="0" applyFill="1" applyBorder="1"/>
    <xf numFmtId="0" fontId="0" fillId="3" borderId="5" xfId="0" applyFill="1" applyBorder="1"/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0" fillId="0" borderId="7" xfId="0" applyFill="1" applyBorder="1" applyAlignment="1">
      <alignment vertical="top"/>
    </xf>
    <xf numFmtId="0" fontId="0" fillId="0" borderId="7" xfId="0" applyBorder="1" applyAlignment="1">
      <alignment vertical="top"/>
    </xf>
    <xf numFmtId="0" fontId="3" fillId="0" borderId="8" xfId="0" applyFont="1" applyFill="1" applyBorder="1"/>
    <xf numFmtId="164" fontId="3" fillId="0" borderId="0" xfId="0" applyNumberFormat="1" applyFont="1" applyAlignment="1">
      <alignment vertical="center" wrapText="1"/>
    </xf>
    <xf numFmtId="0" fontId="1" fillId="3" borderId="17" xfId="0" applyFont="1" applyFill="1" applyBorder="1"/>
    <xf numFmtId="0" fontId="9" fillId="0" borderId="0" xfId="0" applyFont="1"/>
    <xf numFmtId="0" fontId="0" fillId="4" borderId="0" xfId="0" applyFill="1"/>
    <xf numFmtId="0" fontId="0" fillId="4" borderId="17" xfId="0" applyFill="1" applyBorder="1"/>
    <xf numFmtId="0" fontId="0" fillId="0" borderId="4" xfId="0" applyBorder="1"/>
    <xf numFmtId="0" fontId="0" fillId="0" borderId="13" xfId="0" applyBorder="1"/>
    <xf numFmtId="0" fontId="0" fillId="0" borderId="5" xfId="0" applyBorder="1"/>
    <xf numFmtId="2" fontId="0" fillId="0" borderId="0" xfId="0" applyNumberFormat="1"/>
    <xf numFmtId="166" fontId="0" fillId="0" borderId="17" xfId="0" applyNumberFormat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2" fillId="0" borderId="17" xfId="0" applyFont="1" applyBorder="1"/>
    <xf numFmtId="165" fontId="0" fillId="4" borderId="0" xfId="0" applyNumberFormat="1" applyFill="1"/>
    <xf numFmtId="0" fontId="0" fillId="0" borderId="0" xfId="0" applyBorder="1" applyAlignment="1">
      <alignment horizontal="right"/>
    </xf>
    <xf numFmtId="164" fontId="0" fillId="0" borderId="0" xfId="0" applyNumberFormat="1" applyBorder="1"/>
    <xf numFmtId="1" fontId="0" fillId="4" borderId="0" xfId="0" applyNumberFormat="1" applyFill="1"/>
    <xf numFmtId="0" fontId="0" fillId="5" borderId="0" xfId="0" applyFill="1"/>
    <xf numFmtId="165" fontId="0" fillId="0" borderId="0" xfId="0" applyNumberFormat="1" applyBorder="1"/>
    <xf numFmtId="0" fontId="0" fillId="0" borderId="0" xfId="0" applyFill="1"/>
    <xf numFmtId="0" fontId="2" fillId="2" borderId="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9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0" borderId="7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2" borderId="6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13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6" xfId="0" applyFill="1" applyBorder="1" applyAlignment="1">
      <alignment horizontal="left" vertical="top"/>
    </xf>
    <xf numFmtId="0" fontId="0" fillId="0" borderId="7" xfId="0" applyFill="1" applyBorder="1" applyAlignment="1">
      <alignment horizontal="left" vertical="top"/>
    </xf>
    <xf numFmtId="0" fontId="0" fillId="0" borderId="0" xfId="0" applyBorder="1" applyAlignment="1">
      <alignment horizontal="center"/>
    </xf>
    <xf numFmtId="0" fontId="14" fillId="0" borderId="0" xfId="0" applyFont="1" applyAlignment="1">
      <alignment wrapText="1"/>
    </xf>
    <xf numFmtId="2" fontId="0" fillId="0" borderId="0" xfId="0" applyNumberFormat="1" applyBorder="1"/>
    <xf numFmtId="0" fontId="0" fillId="4" borderId="19" xfId="0" applyFill="1" applyBorder="1"/>
    <xf numFmtId="0" fontId="0" fillId="4" borderId="5" xfId="0" applyFill="1" applyBorder="1"/>
    <xf numFmtId="2" fontId="0" fillId="0" borderId="17" xfId="0" applyNumberFormat="1" applyBorder="1"/>
    <xf numFmtId="1" fontId="0" fillId="0" borderId="0" xfId="0" applyNumberFormat="1" applyFill="1"/>
  </cellXfs>
  <cellStyles count="1">
    <cellStyle name="Normal" xfId="0" builtinId="0"/>
  </cellStyles>
  <dxfs count="29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strike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strike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strike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Sheet1!$B$46:$I$46</c:f>
              <c:numCache>
                <c:formatCode>General</c:formatCode>
                <c:ptCount val="8"/>
                <c:pt idx="0">
                  <c:v>0.75</c:v>
                </c:pt>
                <c:pt idx="1">
                  <c:v>0.48</c:v>
                </c:pt>
                <c:pt idx="2">
                  <c:v>0.47</c:v>
                </c:pt>
                <c:pt idx="3">
                  <c:v>0.55000000000000004</c:v>
                </c:pt>
                <c:pt idx="4">
                  <c:v>0.36</c:v>
                </c:pt>
                <c:pt idx="5">
                  <c:v>0.48</c:v>
                </c:pt>
                <c:pt idx="6">
                  <c:v>0.49</c:v>
                </c:pt>
                <c:pt idx="7">
                  <c:v>0.75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61568"/>
        <c:axId val="77837824"/>
      </c:scatterChart>
      <c:valAx>
        <c:axId val="54461568"/>
        <c:scaling>
          <c:orientation val="minMax"/>
          <c:min val="1"/>
        </c:scaling>
        <c:delete val="0"/>
        <c:axPos val="b"/>
        <c:majorTickMark val="out"/>
        <c:minorTickMark val="none"/>
        <c:tickLblPos val="nextTo"/>
        <c:crossAx val="77837824"/>
        <c:crosses val="autoZero"/>
        <c:crossBetween val="midCat"/>
      </c:valAx>
      <c:valAx>
        <c:axId val="7783782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461568"/>
        <c:crosses val="autoZero"/>
        <c:crossBetween val="midCat"/>
      </c:valAx>
      <c:spPr>
        <a:noFill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yVal>
            <c:numRef>
              <c:f>Sheet1!$J$39:$J$45</c:f>
              <c:numCache>
                <c:formatCode>General</c:formatCode>
                <c:ptCount val="7"/>
                <c:pt idx="0">
                  <c:v>0.75</c:v>
                </c:pt>
                <c:pt idx="1">
                  <c:v>0.48</c:v>
                </c:pt>
                <c:pt idx="2">
                  <c:v>0.55000000000000004</c:v>
                </c:pt>
                <c:pt idx="3">
                  <c:v>0.36</c:v>
                </c:pt>
                <c:pt idx="4">
                  <c:v>0.48</c:v>
                </c:pt>
                <c:pt idx="5">
                  <c:v>0.49</c:v>
                </c:pt>
                <c:pt idx="6">
                  <c:v>0.75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87648"/>
        <c:axId val="102045184"/>
      </c:scatterChart>
      <c:valAx>
        <c:axId val="1013876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02045184"/>
        <c:crosses val="autoZero"/>
        <c:crossBetween val="midCat"/>
      </c:valAx>
      <c:valAx>
        <c:axId val="10204518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1387648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'Ex 4.2 '!$C$71:$J$71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'Ex 4.2 '!$C$72:$J$72</c:f>
              <c:numCache>
                <c:formatCode>General</c:formatCode>
                <c:ptCount val="8"/>
                <c:pt idx="0">
                  <c:v>0.75</c:v>
                </c:pt>
                <c:pt idx="1">
                  <c:v>0.48</c:v>
                </c:pt>
                <c:pt idx="2">
                  <c:v>0.47</c:v>
                </c:pt>
                <c:pt idx="3">
                  <c:v>0.55000000000000004</c:v>
                </c:pt>
                <c:pt idx="4">
                  <c:v>0.36</c:v>
                </c:pt>
                <c:pt idx="5">
                  <c:v>0.48</c:v>
                </c:pt>
                <c:pt idx="6">
                  <c:v>0.49</c:v>
                </c:pt>
                <c:pt idx="7">
                  <c:v>0.75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62624"/>
        <c:axId val="53964800"/>
      </c:scatterChart>
      <c:valAx>
        <c:axId val="53962624"/>
        <c:scaling>
          <c:orientation val="minMax"/>
          <c:max val="8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points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3964800"/>
        <c:crosses val="autoZero"/>
        <c:crossBetween val="midCat"/>
      </c:valAx>
      <c:valAx>
        <c:axId val="53964800"/>
        <c:scaling>
          <c:orientation val="minMax"/>
          <c:max val="0.8"/>
          <c:min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thk.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962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'Ex 4.2 '!$C$97:$I$97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'Ex 4.2 '!$C$98:$I$98</c:f>
              <c:numCache>
                <c:formatCode>General</c:formatCode>
                <c:ptCount val="7"/>
                <c:pt idx="0">
                  <c:v>0.75</c:v>
                </c:pt>
                <c:pt idx="1">
                  <c:v>0.48</c:v>
                </c:pt>
                <c:pt idx="2">
                  <c:v>0.55000000000000004</c:v>
                </c:pt>
                <c:pt idx="3">
                  <c:v>0.36</c:v>
                </c:pt>
                <c:pt idx="4">
                  <c:v>0.48</c:v>
                </c:pt>
                <c:pt idx="5">
                  <c:v>0.75</c:v>
                </c:pt>
                <c:pt idx="6">
                  <c:v>0.49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0544"/>
        <c:axId val="54068736"/>
      </c:scatterChart>
      <c:valAx>
        <c:axId val="53980544"/>
        <c:scaling>
          <c:orientation val="minMax"/>
          <c:max val="7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points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4068736"/>
        <c:crosses val="autoZero"/>
        <c:crossBetween val="midCat"/>
      </c:valAx>
      <c:valAx>
        <c:axId val="54068736"/>
        <c:scaling>
          <c:orientation val="minMax"/>
          <c:max val="0.8"/>
          <c:min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thk.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980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'Ex 4.3'!$C$55:$J$55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'Ex 4.3'!$C$56:$J$56</c:f>
              <c:numCache>
                <c:formatCode>General</c:formatCode>
                <c:ptCount val="8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17</c:v>
                </c:pt>
                <c:pt idx="4">
                  <c:v>14</c:v>
                </c:pt>
                <c:pt idx="5">
                  <c:v>15</c:v>
                </c:pt>
                <c:pt idx="6">
                  <c:v>19</c:v>
                </c:pt>
                <c:pt idx="7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2560"/>
        <c:axId val="54105216"/>
      </c:scatterChart>
      <c:valAx>
        <c:axId val="54082560"/>
        <c:scaling>
          <c:orientation val="minMax"/>
          <c:max val="8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points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4105216"/>
        <c:crosses val="autoZero"/>
        <c:crossBetween val="midCat"/>
      </c:valAx>
      <c:valAx>
        <c:axId val="54105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thk.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082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'Ex 4.3'!$C$86:$J$86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'Ex 4.3'!$C$87:$J$87</c:f>
              <c:numCache>
                <c:formatCode>General</c:formatCode>
                <c:ptCount val="8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17</c:v>
                </c:pt>
                <c:pt idx="4">
                  <c:v>14</c:v>
                </c:pt>
                <c:pt idx="5">
                  <c:v>15</c:v>
                </c:pt>
                <c:pt idx="6">
                  <c:v>19</c:v>
                </c:pt>
                <c:pt idx="7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29024"/>
        <c:axId val="54130944"/>
      </c:scatterChart>
      <c:valAx>
        <c:axId val="541290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points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4130944"/>
        <c:crosses val="autoZero"/>
        <c:crossBetween val="midCat"/>
      </c:valAx>
      <c:valAx>
        <c:axId val="54130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thk.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29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Practical_2011!$C$67:$J$67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Practical_2011!$C$68:$J$68</c:f>
              <c:numCache>
                <c:formatCode>0.00</c:formatCode>
                <c:ptCount val="8"/>
                <c:pt idx="0">
                  <c:v>1.2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</c:v>
                </c:pt>
                <c:pt idx="5">
                  <c:v>0.9</c:v>
                </c:pt>
                <c:pt idx="6">
                  <c:v>0.9</c:v>
                </c:pt>
                <c:pt idx="7">
                  <c:v>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93088"/>
        <c:axId val="149718144"/>
      </c:scatterChart>
      <c:valAx>
        <c:axId val="149593088"/>
        <c:scaling>
          <c:orientation val="minMax"/>
          <c:max val="8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points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9718144"/>
        <c:crosses val="autoZero"/>
        <c:crossBetween val="midCat"/>
      </c:valAx>
      <c:valAx>
        <c:axId val="149718144"/>
        <c:scaling>
          <c:orientation val="minMax"/>
          <c:max val="1.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thk.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49593088"/>
        <c:crosses val="autoZero"/>
        <c:crossBetween val="midCat"/>
        <c:majorUnit val="0.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Practical_2011!$C$96:$I$96</c:f>
              <c:numCache>
                <c:formatCode>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Practical_2011!$C$97:$I$97</c:f>
              <c:numCache>
                <c:formatCode>0.00</c:formatCode>
                <c:ptCount val="7"/>
                <c:pt idx="0">
                  <c:v>1.2</c:v>
                </c:pt>
                <c:pt idx="1">
                  <c:v>0.9</c:v>
                </c:pt>
                <c:pt idx="2">
                  <c:v>0.8</c:v>
                </c:pt>
                <c:pt idx="3">
                  <c:v>0.85</c:v>
                </c:pt>
                <c:pt idx="4">
                  <c:v>0.85</c:v>
                </c:pt>
                <c:pt idx="5">
                  <c:v>0.9</c:v>
                </c:pt>
                <c:pt idx="6">
                  <c:v>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43040"/>
        <c:axId val="149944960"/>
      </c:scatterChart>
      <c:valAx>
        <c:axId val="149943040"/>
        <c:scaling>
          <c:orientation val="minMax"/>
          <c:max val="7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points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9944960"/>
        <c:crosses val="autoZero"/>
        <c:crossBetween val="midCat"/>
      </c:valAx>
      <c:valAx>
        <c:axId val="149944960"/>
        <c:scaling>
          <c:orientation val="minMax"/>
          <c:max val="1.5"/>
          <c:min val="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thk.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49943040"/>
        <c:crosses val="autoZero"/>
        <c:crossBetween val="midCat"/>
        <c:majorUnit val="0.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4.emf"/><Relationship Id="rId5" Type="http://schemas.openxmlformats.org/officeDocument/2006/relationships/image" Target="../media/image3.emf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13" Type="http://schemas.openxmlformats.org/officeDocument/2006/relationships/image" Target="../media/image17.emf"/><Relationship Id="rId18" Type="http://schemas.openxmlformats.org/officeDocument/2006/relationships/image" Target="../media/image22.emf"/><Relationship Id="rId26" Type="http://schemas.openxmlformats.org/officeDocument/2006/relationships/image" Target="../media/image30.emf"/><Relationship Id="rId3" Type="http://schemas.openxmlformats.org/officeDocument/2006/relationships/image" Target="../media/image7.emf"/><Relationship Id="rId21" Type="http://schemas.openxmlformats.org/officeDocument/2006/relationships/image" Target="../media/image25.emf"/><Relationship Id="rId7" Type="http://schemas.openxmlformats.org/officeDocument/2006/relationships/image" Target="../media/image11.emf"/><Relationship Id="rId12" Type="http://schemas.openxmlformats.org/officeDocument/2006/relationships/image" Target="../media/image16.emf"/><Relationship Id="rId17" Type="http://schemas.openxmlformats.org/officeDocument/2006/relationships/image" Target="../media/image21.emf"/><Relationship Id="rId25" Type="http://schemas.openxmlformats.org/officeDocument/2006/relationships/image" Target="../media/image29.emf"/><Relationship Id="rId33" Type="http://schemas.openxmlformats.org/officeDocument/2006/relationships/image" Target="../media/image37.emf"/><Relationship Id="rId2" Type="http://schemas.openxmlformats.org/officeDocument/2006/relationships/image" Target="../media/image6.emf"/><Relationship Id="rId16" Type="http://schemas.openxmlformats.org/officeDocument/2006/relationships/image" Target="../media/image20.emf"/><Relationship Id="rId20" Type="http://schemas.openxmlformats.org/officeDocument/2006/relationships/image" Target="../media/image24.emf"/><Relationship Id="rId29" Type="http://schemas.openxmlformats.org/officeDocument/2006/relationships/image" Target="../media/image33.emf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11" Type="http://schemas.openxmlformats.org/officeDocument/2006/relationships/image" Target="../media/image15.emf"/><Relationship Id="rId24" Type="http://schemas.openxmlformats.org/officeDocument/2006/relationships/image" Target="../media/image28.emf"/><Relationship Id="rId32" Type="http://schemas.openxmlformats.org/officeDocument/2006/relationships/image" Target="../media/image36.emf"/><Relationship Id="rId5" Type="http://schemas.openxmlformats.org/officeDocument/2006/relationships/image" Target="../media/image9.emf"/><Relationship Id="rId15" Type="http://schemas.openxmlformats.org/officeDocument/2006/relationships/image" Target="../media/image19.emf"/><Relationship Id="rId23" Type="http://schemas.openxmlformats.org/officeDocument/2006/relationships/image" Target="../media/image27.emf"/><Relationship Id="rId28" Type="http://schemas.openxmlformats.org/officeDocument/2006/relationships/image" Target="../media/image32.emf"/><Relationship Id="rId10" Type="http://schemas.openxmlformats.org/officeDocument/2006/relationships/image" Target="../media/image14.emf"/><Relationship Id="rId19" Type="http://schemas.openxmlformats.org/officeDocument/2006/relationships/image" Target="../media/image23.emf"/><Relationship Id="rId31" Type="http://schemas.openxmlformats.org/officeDocument/2006/relationships/image" Target="../media/image35.emf"/><Relationship Id="rId4" Type="http://schemas.openxmlformats.org/officeDocument/2006/relationships/image" Target="../media/image8.emf"/><Relationship Id="rId9" Type="http://schemas.openxmlformats.org/officeDocument/2006/relationships/image" Target="../media/image13.emf"/><Relationship Id="rId14" Type="http://schemas.openxmlformats.org/officeDocument/2006/relationships/image" Target="../media/image18.emf"/><Relationship Id="rId22" Type="http://schemas.openxmlformats.org/officeDocument/2006/relationships/image" Target="../media/image26.emf"/><Relationship Id="rId27" Type="http://schemas.openxmlformats.org/officeDocument/2006/relationships/image" Target="../media/image31.emf"/><Relationship Id="rId30" Type="http://schemas.openxmlformats.org/officeDocument/2006/relationships/image" Target="../media/image34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5.emf"/><Relationship Id="rId13" Type="http://schemas.openxmlformats.org/officeDocument/2006/relationships/image" Target="../media/image50.emf"/><Relationship Id="rId18" Type="http://schemas.openxmlformats.org/officeDocument/2006/relationships/image" Target="../media/image55.emf"/><Relationship Id="rId3" Type="http://schemas.openxmlformats.org/officeDocument/2006/relationships/image" Target="../media/image40.emf"/><Relationship Id="rId21" Type="http://schemas.openxmlformats.org/officeDocument/2006/relationships/image" Target="../media/image58.emf"/><Relationship Id="rId7" Type="http://schemas.openxmlformats.org/officeDocument/2006/relationships/image" Target="../media/image44.emf"/><Relationship Id="rId12" Type="http://schemas.openxmlformats.org/officeDocument/2006/relationships/image" Target="../media/image49.emf"/><Relationship Id="rId17" Type="http://schemas.openxmlformats.org/officeDocument/2006/relationships/image" Target="../media/image54.emf"/><Relationship Id="rId2" Type="http://schemas.openxmlformats.org/officeDocument/2006/relationships/image" Target="../media/image39.emf"/><Relationship Id="rId16" Type="http://schemas.openxmlformats.org/officeDocument/2006/relationships/image" Target="../media/image53.emf"/><Relationship Id="rId20" Type="http://schemas.openxmlformats.org/officeDocument/2006/relationships/image" Target="../media/image57.emf"/><Relationship Id="rId1" Type="http://schemas.openxmlformats.org/officeDocument/2006/relationships/image" Target="../media/image38.emf"/><Relationship Id="rId6" Type="http://schemas.openxmlformats.org/officeDocument/2006/relationships/image" Target="../media/image43.emf"/><Relationship Id="rId11" Type="http://schemas.openxmlformats.org/officeDocument/2006/relationships/image" Target="../media/image48.emf"/><Relationship Id="rId5" Type="http://schemas.openxmlformats.org/officeDocument/2006/relationships/image" Target="../media/image42.emf"/><Relationship Id="rId15" Type="http://schemas.openxmlformats.org/officeDocument/2006/relationships/image" Target="../media/image52.emf"/><Relationship Id="rId10" Type="http://schemas.openxmlformats.org/officeDocument/2006/relationships/image" Target="../media/image47.emf"/><Relationship Id="rId19" Type="http://schemas.openxmlformats.org/officeDocument/2006/relationships/image" Target="../media/image56.emf"/><Relationship Id="rId4" Type="http://schemas.openxmlformats.org/officeDocument/2006/relationships/image" Target="../media/image41.emf"/><Relationship Id="rId9" Type="http://schemas.openxmlformats.org/officeDocument/2006/relationships/image" Target="../media/image46.emf"/><Relationship Id="rId14" Type="http://schemas.openxmlformats.org/officeDocument/2006/relationships/image" Target="../media/image5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59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0.emf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0</xdr:rowOff>
        </xdr:from>
        <xdr:to>
          <xdr:col>2</xdr:col>
          <xdr:colOff>371475</xdr:colOff>
          <xdr:row>3</xdr:row>
          <xdr:rowOff>19050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0</xdr:rowOff>
        </xdr:from>
        <xdr:to>
          <xdr:col>2</xdr:col>
          <xdr:colOff>371475</xdr:colOff>
          <xdr:row>4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200025</xdr:rowOff>
        </xdr:from>
        <xdr:to>
          <xdr:col>2</xdr:col>
          <xdr:colOff>371475</xdr:colOff>
          <xdr:row>5</xdr:row>
          <xdr:rowOff>9525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20</xdr:col>
      <xdr:colOff>299411</xdr:colOff>
      <xdr:row>3</xdr:row>
      <xdr:rowOff>123825</xdr:rowOff>
    </xdr:from>
    <xdr:to>
      <xdr:col>29</xdr:col>
      <xdr:colOff>352425</xdr:colOff>
      <xdr:row>37</xdr:row>
      <xdr:rowOff>152400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43911" y="704850"/>
          <a:ext cx="5968039" cy="653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209550</xdr:colOff>
      <xdr:row>30</xdr:row>
      <xdr:rowOff>152700</xdr:rowOff>
    </xdr:from>
    <xdr:to>
      <xdr:col>3</xdr:col>
      <xdr:colOff>561975</xdr:colOff>
      <xdr:row>37</xdr:row>
      <xdr:rowOff>61350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5905800"/>
          <a:ext cx="2295525" cy="124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28581</xdr:colOff>
      <xdr:row>43</xdr:row>
      <xdr:rowOff>85725</xdr:rowOff>
    </xdr:from>
    <xdr:to>
      <xdr:col>18</xdr:col>
      <xdr:colOff>323850</xdr:colOff>
      <xdr:row>49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61</xdr:row>
      <xdr:rowOff>171450</xdr:rowOff>
    </xdr:from>
    <xdr:to>
      <xdr:col>18</xdr:col>
      <xdr:colOff>314319</xdr:colOff>
      <xdr:row>68</xdr:row>
      <xdr:rowOff>9525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21</xdr:col>
      <xdr:colOff>0</xdr:colOff>
      <xdr:row>53</xdr:row>
      <xdr:rowOff>28575</xdr:rowOff>
    </xdr:from>
    <xdr:to>
      <xdr:col>29</xdr:col>
      <xdr:colOff>273132</xdr:colOff>
      <xdr:row>86</xdr:row>
      <xdr:rowOff>19050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0191750"/>
          <a:ext cx="5454732" cy="6391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101</xdr:row>
      <xdr:rowOff>190499</xdr:rowOff>
    </xdr:from>
    <xdr:to>
      <xdr:col>29</xdr:col>
      <xdr:colOff>305982</xdr:colOff>
      <xdr:row>137</xdr:row>
      <xdr:rowOff>66674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526249"/>
          <a:ext cx="5487582" cy="6734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34880" cy="311496"/>
    <xdr:sp macro="" textlink="">
      <xdr:nvSpPr>
        <xdr:cNvPr id="2" name="TextBox 1"/>
        <xdr:cNvSpPr txBox="1"/>
      </xdr:nvSpPr>
      <xdr:spPr>
        <a:xfrm>
          <a:off x="0" y="0"/>
          <a:ext cx="213488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Part 6 General Metal Loss</a:t>
          </a:r>
        </a:p>
      </xdr:txBody>
    </xdr:sp>
    <xdr:clientData/>
  </xdr:oneCellAnchor>
  <xdr:twoCellAnchor>
    <xdr:from>
      <xdr:col>6</xdr:col>
      <xdr:colOff>246887</xdr:colOff>
      <xdr:row>1</xdr:row>
      <xdr:rowOff>180975</xdr:rowOff>
    </xdr:from>
    <xdr:to>
      <xdr:col>8</xdr:col>
      <xdr:colOff>428624</xdr:colOff>
      <xdr:row>4</xdr:row>
      <xdr:rowOff>148219</xdr:rowOff>
    </xdr:to>
    <xdr:sp macro="" textlink="">
      <xdr:nvSpPr>
        <xdr:cNvPr id="3" name="Parallelogram 2"/>
        <xdr:cNvSpPr/>
      </xdr:nvSpPr>
      <xdr:spPr>
        <a:xfrm>
          <a:off x="3904487" y="371475"/>
          <a:ext cx="1400937" cy="538744"/>
        </a:xfrm>
        <a:prstGeom prst="parallelogram">
          <a:avLst/>
        </a:prstGeom>
        <a:solidFill>
          <a:schemeClr val="bg1"/>
        </a:solidFill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Obtain</a:t>
          </a:r>
        </a:p>
        <a:p>
          <a:pPr algn="ctr"/>
          <a:r>
            <a:rPr lang="en-US" sz="1000" b="1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Equipment Data</a:t>
          </a:r>
          <a:endParaRPr lang="en-US" sz="1000" b="1"/>
        </a:p>
      </xdr:txBody>
    </xdr:sp>
    <xdr:clientData/>
  </xdr:twoCellAnchor>
  <xdr:twoCellAnchor>
    <xdr:from>
      <xdr:col>3</xdr:col>
      <xdr:colOff>134570</xdr:colOff>
      <xdr:row>27</xdr:row>
      <xdr:rowOff>9983</xdr:rowOff>
    </xdr:from>
    <xdr:to>
      <xdr:col>9</xdr:col>
      <xdr:colOff>134569</xdr:colOff>
      <xdr:row>32</xdr:row>
      <xdr:rowOff>177770</xdr:rowOff>
    </xdr:to>
    <xdr:grpSp>
      <xdr:nvGrpSpPr>
        <xdr:cNvPr id="8" name="Group 7"/>
        <xdr:cNvGrpSpPr/>
      </xdr:nvGrpSpPr>
      <xdr:grpSpPr>
        <a:xfrm>
          <a:off x="1963370" y="5153483"/>
          <a:ext cx="3657599" cy="1120287"/>
          <a:chOff x="4914899" y="1856153"/>
          <a:chExt cx="3657599" cy="1129812"/>
        </a:xfrm>
      </xdr:grpSpPr>
      <xdr:sp macro="" textlink="">
        <xdr:nvSpPr>
          <xdr:cNvPr id="9" name="Rectangle 8"/>
          <xdr:cNvSpPr/>
        </xdr:nvSpPr>
        <xdr:spPr>
          <a:xfrm>
            <a:off x="6777402" y="1856153"/>
            <a:ext cx="1795096" cy="348275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>
                <a:solidFill>
                  <a:sysClr val="windowText" lastClr="000000"/>
                </a:solidFill>
              </a:rPr>
              <a:t>load data input:</a:t>
            </a:r>
          </a:p>
        </xdr:txBody>
      </xdr:sp>
      <xdr:sp macro="" textlink="">
        <xdr:nvSpPr>
          <xdr:cNvPr id="10" name="Rectangle 9"/>
          <xdr:cNvSpPr/>
        </xdr:nvSpPr>
        <xdr:spPr>
          <a:xfrm>
            <a:off x="4914899" y="2472592"/>
            <a:ext cx="1801447" cy="513373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0">
                <a:solidFill>
                  <a:sysClr val="windowText" lastClr="000000"/>
                </a:solidFill>
              </a:rPr>
              <a:t>1) internal</a:t>
            </a:r>
            <a:r>
              <a:rPr lang="en-US" sz="1100" b="0" baseline="0">
                <a:solidFill>
                  <a:sysClr val="windowText" lastClr="000000"/>
                </a:solidFill>
              </a:rPr>
              <a:t> pressure, P</a:t>
            </a:r>
          </a:p>
          <a:p>
            <a:pPr algn="l"/>
            <a:r>
              <a:rPr lang="en-US" sz="1100" b="0" baseline="0">
                <a:solidFill>
                  <a:sysClr val="windowText" lastClr="000000"/>
                </a:solidFill>
              </a:rPr>
              <a:t>2) temperature, T</a:t>
            </a:r>
            <a:endParaRPr lang="en-US" sz="1100" b="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3</xdr:col>
      <xdr:colOff>128225</xdr:colOff>
      <xdr:row>6</xdr:row>
      <xdr:rowOff>96440</xdr:rowOff>
    </xdr:from>
    <xdr:to>
      <xdr:col>9</xdr:col>
      <xdr:colOff>128224</xdr:colOff>
      <xdr:row>16</xdr:row>
      <xdr:rowOff>148461</xdr:rowOff>
    </xdr:to>
    <xdr:grpSp>
      <xdr:nvGrpSpPr>
        <xdr:cNvPr id="11" name="Group 10"/>
        <xdr:cNvGrpSpPr/>
      </xdr:nvGrpSpPr>
      <xdr:grpSpPr>
        <a:xfrm>
          <a:off x="1957025" y="1239440"/>
          <a:ext cx="3657599" cy="1957021"/>
          <a:chOff x="4914899" y="1856153"/>
          <a:chExt cx="3657599" cy="1994295"/>
        </a:xfrm>
        <a:solidFill>
          <a:sysClr val="window" lastClr="FFFFFF"/>
        </a:solidFill>
      </xdr:grpSpPr>
      <xdr:sp macro="" textlink="">
        <xdr:nvSpPr>
          <xdr:cNvPr id="12" name="Rectangle 11"/>
          <xdr:cNvSpPr/>
        </xdr:nvSpPr>
        <xdr:spPr>
          <a:xfrm>
            <a:off x="6777402" y="1856153"/>
            <a:ext cx="1795096" cy="348275"/>
          </a:xfrm>
          <a:prstGeom prst="rect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>
                <a:solidFill>
                  <a:sysClr val="windowText" lastClr="000000"/>
                </a:solidFill>
              </a:rPr>
              <a:t>geometry data input:</a:t>
            </a:r>
          </a:p>
        </xdr:txBody>
      </xdr:sp>
      <xdr:sp macro="" textlink="">
        <xdr:nvSpPr>
          <xdr:cNvPr id="13" name="Rectangle 12"/>
          <xdr:cNvSpPr/>
        </xdr:nvSpPr>
        <xdr:spPr>
          <a:xfrm>
            <a:off x="4914899" y="2472591"/>
            <a:ext cx="1801447" cy="1377857"/>
          </a:xfrm>
          <a:prstGeom prst="rect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0">
                <a:solidFill>
                  <a:sysClr val="windowText" lastClr="000000"/>
                </a:solidFill>
              </a:rPr>
              <a:t>1) nominal</a:t>
            </a:r>
            <a:r>
              <a:rPr lang="en-US" sz="1100" b="0" baseline="0">
                <a:solidFill>
                  <a:sysClr val="windowText" lastClr="000000"/>
                </a:solidFill>
              </a:rPr>
              <a:t> thickness</a:t>
            </a:r>
          </a:p>
          <a:p>
            <a:pPr algn="l"/>
            <a:r>
              <a:rPr lang="en-US" sz="1100" b="0" baseline="0">
                <a:solidFill>
                  <a:sysClr val="windowText" lastClr="000000"/>
                </a:solidFill>
              </a:rPr>
              <a:t>2) internal radius</a:t>
            </a:r>
          </a:p>
          <a:p>
            <a:pPr algn="l"/>
            <a:r>
              <a:rPr lang="en-US" sz="1100" b="0" baseline="0">
                <a:solidFill>
                  <a:sysClr val="windowText" lastClr="000000"/>
                </a:solidFill>
              </a:rPr>
              <a:t>3) LOSS</a:t>
            </a:r>
          </a:p>
          <a:p>
            <a:pPr algn="l"/>
            <a:r>
              <a:rPr lang="en-US" sz="1100" b="0" baseline="0">
                <a:solidFill>
                  <a:sysClr val="windowText" lastClr="000000"/>
                </a:solidFill>
              </a:rPr>
              <a:t>4) FCA</a:t>
            </a:r>
          </a:p>
          <a:p>
            <a:pPr algn="l"/>
            <a:r>
              <a:rPr lang="en-US" sz="1100" b="0" baseline="0">
                <a:solidFill>
                  <a:sysClr val="windowText" lastClr="000000"/>
                </a:solidFill>
              </a:rPr>
              <a:t>5) weld</a:t>
            </a:r>
          </a:p>
          <a:p>
            <a:pPr algn="l"/>
            <a:r>
              <a:rPr lang="en-US" sz="1100" b="0" baseline="0">
                <a:solidFill>
                  <a:sysClr val="windowText" lastClr="000000"/>
                </a:solidFill>
              </a:rPr>
              <a:t>  5.1) E</a:t>
            </a:r>
            <a:r>
              <a:rPr lang="en-US" sz="1100" b="0" baseline="-25000">
                <a:solidFill>
                  <a:sysClr val="windowText" lastClr="000000"/>
                </a:solidFill>
              </a:rPr>
              <a:t>l</a:t>
            </a:r>
          </a:p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 5.2) E</a:t>
            </a:r>
            <a:r>
              <a:rPr kumimoji="0" lang="en-US" sz="1100" b="0" i="0" u="none" strike="noStrike" kern="0" cap="none" spc="0" normalizeH="0" baseline="-2500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</a:t>
            </a:r>
          </a:p>
          <a:p>
            <a:pPr algn="l"/>
            <a:endParaRPr lang="en-US" sz="1100" b="0" baseline="-250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3</xdr:col>
      <xdr:colOff>61779</xdr:colOff>
      <xdr:row>18</xdr:row>
      <xdr:rowOff>106700</xdr:rowOff>
    </xdr:from>
    <xdr:to>
      <xdr:col>9</xdr:col>
      <xdr:colOff>201968</xdr:colOff>
      <xdr:row>24</xdr:row>
      <xdr:rowOff>83987</xdr:rowOff>
    </xdr:to>
    <xdr:grpSp>
      <xdr:nvGrpSpPr>
        <xdr:cNvPr id="14" name="Group 13"/>
        <xdr:cNvGrpSpPr/>
      </xdr:nvGrpSpPr>
      <xdr:grpSpPr>
        <a:xfrm>
          <a:off x="1890579" y="3535700"/>
          <a:ext cx="3797789" cy="1120287"/>
          <a:chOff x="4914899" y="1856153"/>
          <a:chExt cx="3797789" cy="1129812"/>
        </a:xfrm>
      </xdr:grpSpPr>
      <xdr:sp macro="" textlink="">
        <xdr:nvSpPr>
          <xdr:cNvPr id="15" name="Rectangle 14"/>
          <xdr:cNvSpPr/>
        </xdr:nvSpPr>
        <xdr:spPr>
          <a:xfrm>
            <a:off x="6777402" y="1856153"/>
            <a:ext cx="1935286" cy="348275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>
                <a:solidFill>
                  <a:sysClr val="windowText" lastClr="000000"/>
                </a:solidFill>
              </a:rPr>
              <a:t>material</a:t>
            </a:r>
            <a:r>
              <a:rPr lang="en-US" sz="1100" b="1" baseline="0">
                <a:solidFill>
                  <a:sysClr val="windowText" lastClr="000000"/>
                </a:solidFill>
              </a:rPr>
              <a:t> property </a:t>
            </a:r>
            <a:r>
              <a:rPr lang="en-US" sz="1100" b="1">
                <a:solidFill>
                  <a:sysClr val="windowText" lastClr="000000"/>
                </a:solidFill>
              </a:rPr>
              <a:t>data input:</a:t>
            </a:r>
          </a:p>
        </xdr:txBody>
      </xdr:sp>
      <xdr:sp macro="" textlink="">
        <xdr:nvSpPr>
          <xdr:cNvPr id="16" name="Rectangle 15"/>
          <xdr:cNvSpPr/>
        </xdr:nvSpPr>
        <xdr:spPr>
          <a:xfrm>
            <a:off x="4914899" y="2472592"/>
            <a:ext cx="1801447" cy="513373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0">
                <a:solidFill>
                  <a:sysClr val="windowText" lastClr="000000"/>
                </a:solidFill>
              </a:rPr>
              <a:t>1) material</a:t>
            </a:r>
            <a:r>
              <a:rPr lang="en-US" sz="1100" b="0" baseline="0">
                <a:solidFill>
                  <a:sysClr val="windowText" lastClr="000000"/>
                </a:solidFill>
              </a:rPr>
              <a:t> name</a:t>
            </a:r>
          </a:p>
          <a:p>
            <a:pPr algn="l"/>
            <a:r>
              <a:rPr lang="en-US" sz="1100" b="0" baseline="0">
                <a:solidFill>
                  <a:sysClr val="windowText" lastClr="000000"/>
                </a:solidFill>
              </a:rPr>
              <a:t>2) allowable stress, S</a:t>
            </a:r>
            <a:endParaRPr lang="en-US" sz="1100" b="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7</xdr:col>
      <xdr:colOff>342900</xdr:colOff>
      <xdr:row>33</xdr:row>
      <xdr:rowOff>95251</xdr:rowOff>
    </xdr:from>
    <xdr:to>
      <xdr:col>8</xdr:col>
      <xdr:colOff>0</xdr:colOff>
      <xdr:row>34</xdr:row>
      <xdr:rowOff>104776</xdr:rowOff>
    </xdr:to>
    <xdr:sp macro="" textlink="">
      <xdr:nvSpPr>
        <xdr:cNvPr id="42" name="Right Arrow 41"/>
        <xdr:cNvSpPr/>
      </xdr:nvSpPr>
      <xdr:spPr>
        <a:xfrm rot="5400000">
          <a:off x="4643437" y="6348414"/>
          <a:ext cx="200025" cy="266700"/>
        </a:xfrm>
        <a:prstGeom prst="right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295275</xdr:colOff>
      <xdr:row>25</xdr:row>
      <xdr:rowOff>142877</xdr:rowOff>
    </xdr:from>
    <xdr:to>
      <xdr:col>7</xdr:col>
      <xdr:colOff>561975</xdr:colOff>
      <xdr:row>26</xdr:row>
      <xdr:rowOff>152402</xdr:rowOff>
    </xdr:to>
    <xdr:sp macro="" textlink="">
      <xdr:nvSpPr>
        <xdr:cNvPr id="43" name="Right Arrow 42"/>
        <xdr:cNvSpPr/>
      </xdr:nvSpPr>
      <xdr:spPr>
        <a:xfrm rot="5400000">
          <a:off x="4595812" y="4872040"/>
          <a:ext cx="200025" cy="266700"/>
        </a:xfrm>
        <a:prstGeom prst="right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285750</xdr:colOff>
      <xdr:row>17</xdr:row>
      <xdr:rowOff>66678</xdr:rowOff>
    </xdr:from>
    <xdr:to>
      <xdr:col>7</xdr:col>
      <xdr:colOff>552450</xdr:colOff>
      <xdr:row>18</xdr:row>
      <xdr:rowOff>76203</xdr:rowOff>
    </xdr:to>
    <xdr:sp macro="" textlink="">
      <xdr:nvSpPr>
        <xdr:cNvPr id="44" name="Right Arrow 43"/>
        <xdr:cNvSpPr/>
      </xdr:nvSpPr>
      <xdr:spPr>
        <a:xfrm rot="5400000">
          <a:off x="4586287" y="3271841"/>
          <a:ext cx="200025" cy="266700"/>
        </a:xfrm>
        <a:prstGeom prst="right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219075</xdr:colOff>
      <xdr:row>5</xdr:row>
      <xdr:rowOff>47626</xdr:rowOff>
    </xdr:from>
    <xdr:to>
      <xdr:col>7</xdr:col>
      <xdr:colOff>485775</xdr:colOff>
      <xdr:row>6</xdr:row>
      <xdr:rowOff>57151</xdr:rowOff>
    </xdr:to>
    <xdr:sp macro="" textlink="">
      <xdr:nvSpPr>
        <xdr:cNvPr id="45" name="Right Arrow 44"/>
        <xdr:cNvSpPr/>
      </xdr:nvSpPr>
      <xdr:spPr>
        <a:xfrm rot="5400000">
          <a:off x="4519612" y="966789"/>
          <a:ext cx="200025" cy="266700"/>
        </a:xfrm>
        <a:prstGeom prst="right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352904</xdr:colOff>
      <xdr:row>20</xdr:row>
      <xdr:rowOff>71038</xdr:rowOff>
    </xdr:from>
    <xdr:to>
      <xdr:col>7</xdr:col>
      <xdr:colOff>453526</xdr:colOff>
      <xdr:row>21</xdr:row>
      <xdr:rowOff>146441</xdr:rowOff>
    </xdr:to>
    <xdr:cxnSp macro="">
      <xdr:nvCxnSpPr>
        <xdr:cNvPr id="47" name="Elbow Connector 46"/>
        <xdr:cNvCxnSpPr>
          <a:stCxn id="15" idx="2"/>
          <a:endCxn id="16" idx="0"/>
        </xdr:cNvCxnSpPr>
      </xdr:nvCxnSpPr>
      <xdr:spPr>
        <a:xfrm rot="5400000">
          <a:off x="3623063" y="3049279"/>
          <a:ext cx="265903" cy="1929422"/>
        </a:xfrm>
        <a:prstGeom prst="bentConnector3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425695</xdr:colOff>
      <xdr:row>28</xdr:row>
      <xdr:rowOff>164822</xdr:rowOff>
    </xdr:from>
    <xdr:to>
      <xdr:col>7</xdr:col>
      <xdr:colOff>456222</xdr:colOff>
      <xdr:row>30</xdr:row>
      <xdr:rowOff>49725</xdr:rowOff>
    </xdr:to>
    <xdr:cxnSp macro="">
      <xdr:nvCxnSpPr>
        <xdr:cNvPr id="49" name="Elbow Connector 48"/>
        <xdr:cNvCxnSpPr>
          <a:stCxn id="9" idx="2"/>
          <a:endCxn id="10" idx="0"/>
        </xdr:cNvCxnSpPr>
      </xdr:nvCxnSpPr>
      <xdr:spPr>
        <a:xfrm rot="5400000">
          <a:off x="3660807" y="4702110"/>
          <a:ext cx="265903" cy="1859327"/>
        </a:xfrm>
        <a:prstGeom prst="bentConnector3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452439</xdr:colOff>
      <xdr:row>38</xdr:row>
      <xdr:rowOff>7785</xdr:rowOff>
    </xdr:from>
    <xdr:to>
      <xdr:col>7</xdr:col>
      <xdr:colOff>506047</xdr:colOff>
      <xdr:row>39</xdr:row>
      <xdr:rowOff>30746</xdr:rowOff>
    </xdr:to>
    <xdr:cxnSp macro="">
      <xdr:nvCxnSpPr>
        <xdr:cNvPr id="51" name="Elbow Connector 50"/>
        <xdr:cNvCxnSpPr>
          <a:stCxn id="5" idx="2"/>
          <a:endCxn id="6" idx="0"/>
        </xdr:cNvCxnSpPr>
      </xdr:nvCxnSpPr>
      <xdr:spPr>
        <a:xfrm rot="5400000">
          <a:off x="3725312" y="6412312"/>
          <a:ext cx="213461" cy="1882408"/>
        </a:xfrm>
        <a:prstGeom prst="bentConnector3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506047</xdr:colOff>
      <xdr:row>38</xdr:row>
      <xdr:rowOff>7785</xdr:rowOff>
    </xdr:from>
    <xdr:to>
      <xdr:col>22</xdr:col>
      <xdr:colOff>319089</xdr:colOff>
      <xdr:row>38</xdr:row>
      <xdr:rowOff>47622</xdr:rowOff>
    </xdr:to>
    <xdr:cxnSp macro="">
      <xdr:nvCxnSpPr>
        <xdr:cNvPr id="53" name="Elbow Connector 52"/>
        <xdr:cNvCxnSpPr>
          <a:stCxn id="5" idx="2"/>
          <a:endCxn id="7" idx="0"/>
        </xdr:cNvCxnSpPr>
      </xdr:nvCxnSpPr>
      <xdr:spPr>
        <a:xfrm rot="16200000" flipH="1">
          <a:off x="9231849" y="2788183"/>
          <a:ext cx="39837" cy="8957042"/>
        </a:xfrm>
        <a:prstGeom prst="bentConnector3">
          <a:avLst>
            <a:gd name="adj1" fmla="val 265191"/>
          </a:avLst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419350</xdr:colOff>
      <xdr:row>8</xdr:row>
      <xdr:rowOff>57206</xdr:rowOff>
    </xdr:from>
    <xdr:to>
      <xdr:col>7</xdr:col>
      <xdr:colOff>449877</xdr:colOff>
      <xdr:row>9</xdr:row>
      <xdr:rowOff>129857</xdr:rowOff>
    </xdr:to>
    <xdr:cxnSp macro="">
      <xdr:nvCxnSpPr>
        <xdr:cNvPr id="55" name="Elbow Connector 54"/>
        <xdr:cNvCxnSpPr>
          <a:stCxn id="12" idx="2"/>
          <a:endCxn id="13" idx="0"/>
        </xdr:cNvCxnSpPr>
      </xdr:nvCxnSpPr>
      <xdr:spPr>
        <a:xfrm rot="5400000">
          <a:off x="3655838" y="783118"/>
          <a:ext cx="263151" cy="1859327"/>
        </a:xfrm>
        <a:prstGeom prst="bentConnector3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34</xdr:row>
      <xdr:rowOff>159209</xdr:rowOff>
    </xdr:from>
    <xdr:to>
      <xdr:col>41</xdr:col>
      <xdr:colOff>508471</xdr:colOff>
      <xdr:row>62</xdr:row>
      <xdr:rowOff>9525</xdr:rowOff>
    </xdr:to>
    <xdr:grpSp>
      <xdr:nvGrpSpPr>
        <xdr:cNvPr id="95" name="Group 94"/>
        <xdr:cNvGrpSpPr/>
      </xdr:nvGrpSpPr>
      <xdr:grpSpPr>
        <a:xfrm>
          <a:off x="1781175" y="6636209"/>
          <a:ext cx="23720896" cy="5184316"/>
          <a:chOff x="1781175" y="6636209"/>
          <a:chExt cx="23720896" cy="5184316"/>
        </a:xfrm>
      </xdr:grpSpPr>
      <xdr:grpSp>
        <xdr:nvGrpSpPr>
          <xdr:cNvPr id="91" name="Group 90"/>
          <xdr:cNvGrpSpPr/>
        </xdr:nvGrpSpPr>
        <xdr:grpSpPr>
          <a:xfrm>
            <a:off x="1781175" y="6636209"/>
            <a:ext cx="23720896" cy="5184316"/>
            <a:chOff x="1781175" y="6636209"/>
            <a:chExt cx="23720896" cy="5184316"/>
          </a:xfrm>
        </xdr:grpSpPr>
        <xdr:grpSp>
          <xdr:nvGrpSpPr>
            <xdr:cNvPr id="20" name="Group 19"/>
            <xdr:cNvGrpSpPr/>
          </xdr:nvGrpSpPr>
          <xdr:grpSpPr>
            <a:xfrm>
              <a:off x="1781175" y="6636209"/>
              <a:ext cx="13220700" cy="3946066"/>
              <a:chOff x="1762125" y="6588584"/>
              <a:chExt cx="13220700" cy="3946066"/>
            </a:xfrm>
          </xdr:grpSpPr>
          <xdr:grpSp>
            <xdr:nvGrpSpPr>
              <xdr:cNvPr id="4" name="Group 3"/>
              <xdr:cNvGrpSpPr/>
            </xdr:nvGrpSpPr>
            <xdr:grpSpPr>
              <a:xfrm>
                <a:off x="1762125" y="6588584"/>
                <a:ext cx="13220700" cy="3946066"/>
                <a:chOff x="4670668" y="1880576"/>
                <a:chExt cx="13220700" cy="3946066"/>
              </a:xfrm>
            </xdr:grpSpPr>
            <xdr:sp macro="" textlink="">
              <xdr:nvSpPr>
                <xdr:cNvPr id="7" name="Rectangle 6"/>
                <xdr:cNvSpPr/>
              </xdr:nvSpPr>
              <xdr:spPr>
                <a:xfrm>
                  <a:off x="15348193" y="2530990"/>
                  <a:ext cx="2543175" cy="2200277"/>
                </a:xfrm>
                <a:prstGeom prst="rect">
                  <a:avLst/>
                </a:prstGeom>
                <a:solidFill>
                  <a:schemeClr val="bg1"/>
                </a:solidFill>
                <a:ln w="12700"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100" b="1">
                      <a:solidFill>
                        <a:sysClr val="windowText" lastClr="000000"/>
                      </a:solidFill>
                    </a:rPr>
                    <a:t>Thickness profiles: </a:t>
                  </a:r>
                </a:p>
                <a:p>
                  <a:pPr algn="l"/>
                  <a:r>
                    <a:rPr lang="en-US" sz="1100" b="1" baseline="0">
                      <a:solidFill>
                        <a:sysClr val="windowText" lastClr="000000"/>
                      </a:solidFill>
                    </a:rPr>
                    <a:t>   </a:t>
                  </a:r>
                  <a:r>
                    <a:rPr lang="en-US" sz="1100" b="0" baseline="0">
                      <a:solidFill>
                        <a:sysClr val="windowText" lastClr="000000"/>
                      </a:solidFill>
                    </a:rPr>
                    <a:t>input the table data of the thickness in </a:t>
                  </a:r>
                  <a:r>
                    <a:rPr lang="en-US" sz="1100" b="0" i="1" u="sng" baseline="0">
                      <a:solidFill>
                        <a:sysClr val="windowText" lastClr="000000"/>
                      </a:solidFill>
                    </a:rPr>
                    <a:t>the circumferencial  direction</a:t>
                  </a:r>
                  <a:r>
                    <a:rPr lang="en-US" sz="1100" b="0" baseline="0">
                      <a:solidFill>
                        <a:sysClr val="windowText" lastClr="000000"/>
                      </a:solidFill>
                    </a:rPr>
                    <a:t>, C and </a:t>
                  </a:r>
                  <a:r>
                    <a:rPr lang="en-US" sz="1100" b="0" i="1" u="sng" baseline="0">
                      <a:solidFill>
                        <a:sysClr val="windowText" lastClr="000000"/>
                      </a:solidFill>
                    </a:rPr>
                    <a:t>meridional or longtigutinal direction, </a:t>
                  </a:r>
                  <a:r>
                    <a:rPr lang="en-US" sz="1100" b="0" baseline="0">
                      <a:solidFill>
                        <a:sysClr val="windowText" lastClr="000000"/>
                      </a:solidFill>
                    </a:rPr>
                    <a:t>M </a:t>
                  </a:r>
                </a:p>
                <a:p>
                  <a:pPr algn="l"/>
                  <a:r>
                    <a:rPr lang="en-US" sz="1100" b="1">
                      <a:solidFill>
                        <a:sysClr val="windowText" lastClr="000000"/>
                      </a:solidFill>
                    </a:rPr>
                    <a:t>Exemple </a:t>
                  </a:r>
                </a:p>
                <a:p>
                  <a:pPr algn="l"/>
                  <a:endParaRPr lang="en-US" sz="1100" b="1">
                    <a:solidFill>
                      <a:sysClr val="windowText" lastClr="000000"/>
                    </a:solidFill>
                  </a:endParaRPr>
                </a:p>
                <a:p>
                  <a:pPr algn="l"/>
                  <a:endParaRPr lang="en-US" sz="1100" b="1">
                    <a:solidFill>
                      <a:sysClr val="windowText" lastClr="000000"/>
                    </a:solidFill>
                  </a:endParaRPr>
                </a:p>
                <a:p>
                  <a:pPr algn="l"/>
                  <a:endParaRPr lang="en-US" sz="1100" b="1">
                    <a:solidFill>
                      <a:sysClr val="windowText" lastClr="000000"/>
                    </a:solidFill>
                  </a:endParaRPr>
                </a:p>
                <a:p>
                  <a:pPr algn="l"/>
                  <a:endParaRPr lang="en-US" sz="1100" b="1">
                    <a:solidFill>
                      <a:sysClr val="windowText" lastClr="000000"/>
                    </a:solidFill>
                  </a:endParaRPr>
                </a:p>
                <a:p>
                  <a:pPr algn="l"/>
                  <a:endParaRPr lang="en-US" sz="1100" b="1">
                    <a:solidFill>
                      <a:sysClr val="windowText" lastClr="000000"/>
                    </a:solidFill>
                  </a:endParaRPr>
                </a:p>
                <a:p>
                  <a:pPr algn="l"/>
                  <a:endParaRPr lang="en-US" sz="1100" b="1">
                    <a:solidFill>
                      <a:sysClr val="windowText" lastClr="000000"/>
                    </a:solidFill>
                  </a:endParaRPr>
                </a:p>
                <a:p>
                  <a:pPr algn="l"/>
                  <a:r>
                    <a:rPr lang="en-US" sz="1100" b="1">
                      <a:solidFill>
                        <a:sysClr val="windowText" lastClr="000000"/>
                      </a:solidFill>
                    </a:rPr>
                    <a:t> Picture</a:t>
                  </a:r>
                </a:p>
                <a:p>
                  <a:pPr algn="l"/>
                  <a:endParaRPr lang="en-US" sz="1100" b="1">
                    <a:solidFill>
                      <a:sysClr val="windowText" lastClr="000000"/>
                    </a:solidFill>
                  </a:endParaRPr>
                </a:p>
              </xdr:txBody>
            </xdr:sp>
            <xdr:sp macro="" textlink="">
              <xdr:nvSpPr>
                <xdr:cNvPr id="5" name="Rectangle 4"/>
                <xdr:cNvSpPr/>
              </xdr:nvSpPr>
              <xdr:spPr>
                <a:xfrm>
                  <a:off x="6765191" y="1880576"/>
                  <a:ext cx="1795096" cy="610577"/>
                </a:xfrm>
                <a:prstGeom prst="rect">
                  <a:avLst/>
                </a:prstGeom>
                <a:solidFill>
                  <a:schemeClr val="bg1"/>
                </a:solidFill>
                <a:ln w="12700"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r>
                    <a:rPr lang="en-US" sz="1100" b="1">
                      <a:solidFill>
                        <a:sysClr val="windowText" lastClr="000000"/>
                      </a:solidFill>
                    </a:rPr>
                    <a:t>flaw data input:</a:t>
                  </a:r>
                </a:p>
                <a:p>
                  <a:pPr algn="l"/>
                  <a:r>
                    <a:rPr lang="en-US" sz="1100" b="0">
                      <a:solidFill>
                        <a:sysClr val="windowText" lastClr="000000"/>
                      </a:solidFill>
                    </a:rPr>
                    <a:t>- Point thickness readings</a:t>
                  </a:r>
                </a:p>
                <a:p>
                  <a:pPr algn="l"/>
                  <a:r>
                    <a:rPr lang="en-US" sz="1100" b="0">
                      <a:solidFill>
                        <a:sysClr val="windowText" lastClr="000000"/>
                      </a:solidFill>
                    </a:rPr>
                    <a:t>- Thickness profiles</a:t>
                  </a:r>
                </a:p>
              </xdr:txBody>
            </xdr:sp>
            <xdr:sp macro="" textlink="">
              <xdr:nvSpPr>
                <xdr:cNvPr id="6" name="Rectangle 5"/>
                <xdr:cNvSpPr/>
              </xdr:nvSpPr>
              <xdr:spPr>
                <a:xfrm>
                  <a:off x="4670668" y="2704614"/>
                  <a:ext cx="2219325" cy="3122028"/>
                </a:xfrm>
                <a:prstGeom prst="rect">
                  <a:avLst/>
                </a:prstGeom>
                <a:solidFill>
                  <a:schemeClr val="bg1"/>
                </a:solidFill>
                <a:ln w="12700"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100" b="1">
                      <a:solidFill>
                        <a:sysClr val="windowText" lastClr="000000"/>
                      </a:solidFill>
                    </a:rPr>
                    <a:t>Point thickness readings:</a:t>
                  </a:r>
                </a:p>
                <a:p>
                  <a:pPr algn="l"/>
                  <a:r>
                    <a:rPr lang="en-US" sz="1100" b="0">
                      <a:solidFill>
                        <a:sysClr val="windowText" lastClr="000000"/>
                      </a:solidFill>
                    </a:rPr>
                    <a:t>   input</a:t>
                  </a:r>
                  <a:r>
                    <a:rPr lang="en-US" sz="1100" b="0" baseline="0">
                      <a:solidFill>
                        <a:sysClr val="windowText" lastClr="000000"/>
                      </a:solidFill>
                    </a:rPr>
                    <a:t>  the table data of </a:t>
                  </a:r>
                  <a:r>
                    <a:rPr lang="en-US" sz="1100" b="0" i="1" u="sng" baseline="0">
                      <a:solidFill>
                        <a:sysClr val="windowText" lastClr="000000"/>
                      </a:solidFill>
                    </a:rPr>
                    <a:t>the location </a:t>
                  </a:r>
                  <a:r>
                    <a:rPr lang="en-US" sz="1100" b="0" baseline="0">
                      <a:solidFill>
                        <a:sysClr val="windowText" lastClr="000000"/>
                      </a:solidFill>
                    </a:rPr>
                    <a:t>and </a:t>
                  </a:r>
                  <a:r>
                    <a:rPr lang="en-US" sz="1100" b="0" i="1" u="sng" baseline="0">
                      <a:solidFill>
                        <a:sysClr val="windowText" lastClr="000000"/>
                      </a:solidFill>
                    </a:rPr>
                    <a:t>the thickness reading </a:t>
                  </a:r>
                </a:p>
                <a:p>
                  <a:pPr algn="l"/>
                  <a:r>
                    <a:rPr lang="en-US" sz="1100" b="0" baseline="0">
                      <a:solidFill>
                        <a:sysClr val="windowText" lastClr="000000"/>
                      </a:solidFill>
                    </a:rPr>
                    <a:t>at </a:t>
                  </a:r>
                  <a:r>
                    <a:rPr lang="en-US" sz="1100" b="0" i="1" u="sng" baseline="0">
                      <a:solidFill>
                        <a:sysClr val="windowText" lastClr="000000"/>
                      </a:solidFill>
                    </a:rPr>
                    <a:t>least 15 data points.</a:t>
                  </a:r>
                  <a:r>
                    <a:rPr lang="en-US" sz="1100" b="0" baseline="0">
                      <a:solidFill>
                        <a:sysClr val="windowText" lastClr="000000"/>
                      </a:solidFill>
                    </a:rPr>
                    <a:t> </a:t>
                  </a:r>
                </a:p>
                <a:p>
                  <a:pPr algn="l"/>
                  <a:r>
                    <a:rPr lang="en-US" sz="1100" b="1" baseline="0">
                      <a:solidFill>
                        <a:sysClr val="windowText" lastClr="000000"/>
                      </a:solidFill>
                    </a:rPr>
                    <a:t>Exemple</a:t>
                  </a:r>
                  <a:endParaRPr lang="en-US" sz="1100" b="1">
                    <a:solidFill>
                      <a:sysClr val="windowText" lastClr="000000"/>
                    </a:solidFill>
                  </a:endParaRPr>
                </a:p>
              </xdr:txBody>
            </xdr:sp>
          </xdr:grpSp>
          <xdr:pic>
            <xdr:nvPicPr>
              <xdr:cNvPr id="19" name="Picture 18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871037" y="8420099"/>
                <a:ext cx="2038232" cy="2019301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</xdr:grpSp>
        <xdr:grpSp>
          <xdr:nvGrpSpPr>
            <xdr:cNvPr id="89" name="Group 88"/>
            <xdr:cNvGrpSpPr/>
          </xdr:nvGrpSpPr>
          <xdr:grpSpPr>
            <a:xfrm>
              <a:off x="12458698" y="9505950"/>
              <a:ext cx="13043373" cy="2314575"/>
              <a:chOff x="12496798" y="9591675"/>
              <a:chExt cx="13043373" cy="2314575"/>
            </a:xfrm>
          </xdr:grpSpPr>
          <xdr:sp macro="" textlink="">
            <xdr:nvSpPr>
              <xdr:cNvPr id="88" name="Rectangle 87"/>
              <xdr:cNvSpPr/>
            </xdr:nvSpPr>
            <xdr:spPr>
              <a:xfrm>
                <a:off x="12496798" y="9591675"/>
                <a:ext cx="12820651" cy="2314575"/>
              </a:xfrm>
              <a:prstGeom prst="rect">
                <a:avLst/>
              </a:prstGeom>
              <a:solidFill>
                <a:schemeClr val="bg1"/>
              </a:solidFill>
              <a:ln w="12700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 b="1">
                  <a:solidFill>
                    <a:sysClr val="windowText" lastClr="000000"/>
                  </a:solidFill>
                </a:endParaRPr>
              </a:p>
            </xdr:txBody>
          </xdr:sp>
          <xdr:grpSp>
            <xdr:nvGrpSpPr>
              <xdr:cNvPr id="87" name="Group 86"/>
              <xdr:cNvGrpSpPr/>
            </xdr:nvGrpSpPr>
            <xdr:grpSpPr>
              <a:xfrm>
                <a:off x="12820650" y="9629775"/>
                <a:ext cx="12719521" cy="2152649"/>
                <a:chOff x="12820650" y="9629775"/>
                <a:chExt cx="12719521" cy="2152649"/>
              </a:xfrm>
            </xdr:grpSpPr>
            <xdr:grpSp>
              <xdr:nvGrpSpPr>
                <xdr:cNvPr id="73" name="Group 72"/>
                <xdr:cNvGrpSpPr/>
              </xdr:nvGrpSpPr>
              <xdr:grpSpPr>
                <a:xfrm>
                  <a:off x="12820650" y="9725025"/>
                  <a:ext cx="1905000" cy="1301147"/>
                  <a:chOff x="12830175" y="9505950"/>
                  <a:chExt cx="1905000" cy="1301147"/>
                </a:xfrm>
              </xdr:grpSpPr>
              <xdr:pic>
                <xdr:nvPicPr>
                  <xdr:cNvPr id="58" name="Picture 57"/>
                  <xdr:cNvPicPr>
                    <a:picLocks noChangeAspect="1" noChangeArrowheads="1"/>
                  </xdr:cNvPicPr>
                </xdr:nvPicPr>
                <xdr:blipFill>
                  <a:blip xmlns:r="http://schemas.openxmlformats.org/officeDocument/2006/relationships" r:embed="rId2" cstate="print">
                    <a:extLst>
                      <a:ext uri="{28A0092B-C50C-407E-A947-70E740481C1C}">
                        <a14:useLocalDpi xmlns:a14="http://schemas.microsoft.com/office/drawing/2010/main" val="0"/>
                      </a:ext>
                    </a:extLst>
                  </a:blip>
                  <a:srcRect/>
                  <a:stretch>
                    <a:fillRect/>
                  </a:stretch>
                </xdr:blipFill>
                <xdr:spPr bwMode="auto">
                  <a:xfrm>
                    <a:off x="12868274" y="9793940"/>
                    <a:ext cx="1866901" cy="1013157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  <xdr:sp macro="" textlink="">
                <xdr:nvSpPr>
                  <xdr:cNvPr id="72" name="TextBox 71"/>
                  <xdr:cNvSpPr txBox="1"/>
                </xdr:nvSpPr>
                <xdr:spPr>
                  <a:xfrm>
                    <a:off x="12830175" y="9505950"/>
                    <a:ext cx="456985" cy="26456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en-US" sz="1100" b="1"/>
                      <a:t>shell</a:t>
                    </a:r>
                  </a:p>
                </xdr:txBody>
              </xdr:sp>
            </xdr:grpSp>
            <xdr:grpSp>
              <xdr:nvGrpSpPr>
                <xdr:cNvPr id="78" name="Group 77"/>
                <xdr:cNvGrpSpPr/>
              </xdr:nvGrpSpPr>
              <xdr:grpSpPr>
                <a:xfrm>
                  <a:off x="14878050" y="9686925"/>
                  <a:ext cx="2240100" cy="1417377"/>
                  <a:chOff x="12573000" y="11068050"/>
                  <a:chExt cx="2240100" cy="1417377"/>
                </a:xfrm>
              </xdr:grpSpPr>
              <xdr:sp macro="" textlink="">
                <xdr:nvSpPr>
                  <xdr:cNvPr id="76" name="TextBox 75"/>
                  <xdr:cNvSpPr txBox="1"/>
                </xdr:nvSpPr>
                <xdr:spPr>
                  <a:xfrm>
                    <a:off x="12573000" y="11068050"/>
                    <a:ext cx="2240100" cy="26456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en-US" sz="1100" b="1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a:t>Pressure Vessel Heads and Spheres</a:t>
                    </a:r>
                    <a:endParaRPr lang="en-US" sz="1400" b="1"/>
                  </a:p>
                </xdr:txBody>
              </xdr:sp>
              <xdr:pic>
                <xdr:nvPicPr>
                  <xdr:cNvPr id="77" name="Picture 76"/>
                  <xdr:cNvPicPr>
                    <a:picLocks noChangeAspect="1" noChangeArrowheads="1"/>
                  </xdr:cNvPicPr>
                </xdr:nvPicPr>
                <xdr:blipFill>
                  <a:blip xmlns:r="http://schemas.openxmlformats.org/officeDocument/2006/relationships" r:embed="rId3" cstate="print">
                    <a:extLst>
                      <a:ext uri="{28A0092B-C50C-407E-A947-70E740481C1C}">
                        <a14:useLocalDpi xmlns:a14="http://schemas.microsoft.com/office/drawing/2010/main" val="0"/>
                      </a:ext>
                    </a:extLst>
                  </a:blip>
                  <a:srcRect/>
                  <a:stretch>
                    <a:fillRect/>
                  </a:stretch>
                </xdr:blipFill>
                <xdr:spPr bwMode="auto">
                  <a:xfrm>
                    <a:off x="13039725" y="11313622"/>
                    <a:ext cx="1447800" cy="1171805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</xdr:grpSp>
            <xdr:grpSp>
              <xdr:nvGrpSpPr>
                <xdr:cNvPr id="83" name="Group 82"/>
                <xdr:cNvGrpSpPr/>
              </xdr:nvGrpSpPr>
              <xdr:grpSpPr>
                <a:xfrm>
                  <a:off x="17491546" y="9648825"/>
                  <a:ext cx="4311179" cy="2133599"/>
                  <a:chOff x="17501071" y="9572625"/>
                  <a:chExt cx="4311179" cy="2133599"/>
                </a:xfrm>
              </xdr:grpSpPr>
              <xdr:pic>
                <xdr:nvPicPr>
                  <xdr:cNvPr id="79" name="Picture 78"/>
                  <xdr:cNvPicPr>
                    <a:picLocks noChangeAspect="1" noChangeArrowheads="1"/>
                  </xdr:cNvPicPr>
                </xdr:nvPicPr>
                <xdr:blipFill>
                  <a:blip xmlns:r="http://schemas.openxmlformats.org/officeDocument/2006/relationships" r:embed="rId4" cstate="print">
                    <a:extLst>
                      <a:ext uri="{28A0092B-C50C-407E-A947-70E740481C1C}">
                        <a14:useLocalDpi xmlns:a14="http://schemas.microsoft.com/office/drawing/2010/main" val="0"/>
                      </a:ext>
                    </a:extLst>
                  </a:blip>
                  <a:srcRect/>
                  <a:stretch>
                    <a:fillRect/>
                  </a:stretch>
                </xdr:blipFill>
                <xdr:spPr bwMode="auto">
                  <a:xfrm>
                    <a:off x="17501071" y="9982200"/>
                    <a:ext cx="1234603" cy="1724024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  <xdr:pic>
                <xdr:nvPicPr>
                  <xdr:cNvPr id="80" name="Picture 79"/>
                  <xdr:cNvPicPr>
                    <a:picLocks noChangeAspect="1" noChangeArrowheads="1"/>
                  </xdr:cNvPicPr>
                </xdr:nvPicPr>
                <xdr:blipFill>
                  <a:blip xmlns:r="http://schemas.openxmlformats.org/officeDocument/2006/relationships" r:embed="rId5" cstate="print">
                    <a:extLst>
                      <a:ext uri="{28A0092B-C50C-407E-A947-70E740481C1C}">
                        <a14:useLocalDpi xmlns:a14="http://schemas.microsoft.com/office/drawing/2010/main" val="0"/>
                      </a:ext>
                    </a:extLst>
                  </a:blip>
                  <a:srcRect/>
                  <a:stretch>
                    <a:fillRect/>
                  </a:stretch>
                </xdr:blipFill>
                <xdr:spPr bwMode="auto">
                  <a:xfrm>
                    <a:off x="19106857" y="9991725"/>
                    <a:ext cx="1067093" cy="1676399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  <xdr:pic>
                <xdr:nvPicPr>
                  <xdr:cNvPr id="81" name="Picture 80"/>
                  <xdr:cNvPicPr>
                    <a:picLocks noChangeAspect="1" noChangeArrowheads="1"/>
                  </xdr:cNvPicPr>
                </xdr:nvPicPr>
                <xdr:blipFill>
                  <a:blip xmlns:r="http://schemas.openxmlformats.org/officeDocument/2006/relationships" r:embed="rId6" cstate="print">
                    <a:extLst>
                      <a:ext uri="{28A0092B-C50C-407E-A947-70E740481C1C}">
                        <a14:useLocalDpi xmlns:a14="http://schemas.microsoft.com/office/drawing/2010/main" val="0"/>
                      </a:ext>
                    </a:extLst>
                  </a:blip>
                  <a:srcRect/>
                  <a:stretch>
                    <a:fillRect/>
                  </a:stretch>
                </xdr:blipFill>
                <xdr:spPr bwMode="auto">
                  <a:xfrm>
                    <a:off x="20354926" y="10222954"/>
                    <a:ext cx="1457324" cy="1256313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  <xdr:sp macro="" textlink="">
                <xdr:nvSpPr>
                  <xdr:cNvPr id="82" name="TextBox 81"/>
                  <xdr:cNvSpPr txBox="1"/>
                </xdr:nvSpPr>
                <xdr:spPr>
                  <a:xfrm>
                    <a:off x="17630774" y="9572625"/>
                    <a:ext cx="3209925" cy="26456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en-US" sz="1100" b="1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a:t>Cylindrical Shells, Conical Shells, and Pipe Bends </a:t>
                    </a:r>
                    <a:endParaRPr lang="en-US" sz="1400" b="1"/>
                  </a:p>
                </xdr:txBody>
              </xdr:sp>
            </xdr:grpSp>
            <xdr:grpSp>
              <xdr:nvGrpSpPr>
                <xdr:cNvPr id="86" name="Group 85"/>
                <xdr:cNvGrpSpPr/>
              </xdr:nvGrpSpPr>
              <xdr:grpSpPr>
                <a:xfrm>
                  <a:off x="22330246" y="9629775"/>
                  <a:ext cx="3209925" cy="2105025"/>
                  <a:chOff x="22330246" y="9629775"/>
                  <a:chExt cx="3209925" cy="2105025"/>
                </a:xfrm>
              </xdr:grpSpPr>
              <xdr:pic>
                <xdr:nvPicPr>
                  <xdr:cNvPr id="84" name="Picture 83"/>
                  <xdr:cNvPicPr>
                    <a:picLocks noChangeAspect="1" noChangeArrowheads="1"/>
                  </xdr:cNvPicPr>
                </xdr:nvPicPr>
                <xdr:blipFill>
                  <a:blip xmlns:r="http://schemas.openxmlformats.org/officeDocument/2006/relationships" r:embed="rId7" cstate="print">
                    <a:extLst>
                      <a:ext uri="{28A0092B-C50C-407E-A947-70E740481C1C}">
                        <a14:useLocalDpi xmlns:a14="http://schemas.microsoft.com/office/drawing/2010/main" val="0"/>
                      </a:ext>
                    </a:extLst>
                  </a:blip>
                  <a:srcRect/>
                  <a:stretch>
                    <a:fillRect/>
                  </a:stretch>
                </xdr:blipFill>
                <xdr:spPr bwMode="auto">
                  <a:xfrm>
                    <a:off x="22402800" y="10040086"/>
                    <a:ext cx="2495550" cy="1694714"/>
                  </a:xfrm>
                  <a:prstGeom prst="rect">
                    <a:avLst/>
                  </a:prstGeom>
                  <a:noFill/>
                  <a:extLst>
                    <a:ext uri="{909E8E84-426E-40DD-AFC4-6F175D3DCCD1}">
                      <a14:hiddenFill xmlns:a14="http://schemas.microsoft.com/office/drawing/2010/main">
                        <a:solidFill>
                          <a:srgbClr val="FFFFFF"/>
                        </a:solidFill>
                      </a14:hiddenFill>
                    </a:ext>
                  </a:extLst>
                </xdr:spPr>
              </xdr:pic>
              <xdr:sp macro="" textlink="">
                <xdr:nvSpPr>
                  <xdr:cNvPr id="85" name="TextBox 84"/>
                  <xdr:cNvSpPr txBox="1"/>
                </xdr:nvSpPr>
                <xdr:spPr>
                  <a:xfrm>
                    <a:off x="22330246" y="9629775"/>
                    <a:ext cx="3209925" cy="26456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en-US" sz="1100" b="1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a:t>Atmospheric Storage Tanks</a:t>
                    </a:r>
                    <a:endParaRPr lang="en-US" sz="1400" b="1"/>
                  </a:p>
                </xdr:txBody>
              </xdr:sp>
            </xdr:grpSp>
          </xdr:grpSp>
        </xdr:grpSp>
      </xdr:grpSp>
      <xdr:pic>
        <xdr:nvPicPr>
          <xdr:cNvPr id="94" name="Picture 93"/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544425" y="8191500"/>
            <a:ext cx="2371725" cy="93633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</xdr:col>
      <xdr:colOff>123825</xdr:colOff>
      <xdr:row>66</xdr:row>
      <xdr:rowOff>142876</xdr:rowOff>
    </xdr:from>
    <xdr:to>
      <xdr:col>7</xdr:col>
      <xdr:colOff>262060</xdr:colOff>
      <xdr:row>70</xdr:row>
      <xdr:rowOff>57151</xdr:rowOff>
    </xdr:to>
    <xdr:sp macro="" textlink="">
      <xdr:nvSpPr>
        <xdr:cNvPr id="96" name="Rectangle 95"/>
        <xdr:cNvSpPr/>
      </xdr:nvSpPr>
      <xdr:spPr>
        <a:xfrm>
          <a:off x="1952625" y="12715876"/>
          <a:ext cx="2576635" cy="676275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Level 1 assessment: Using  "</a:t>
          </a:r>
          <a:r>
            <a:rPr kumimoji="0" lang="en-US" sz="1200" b="1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Point thickness readings"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STEP 1 - STEP 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1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10147</xdr:colOff>
      <xdr:row>56</xdr:row>
      <xdr:rowOff>85729</xdr:rowOff>
    </xdr:from>
    <xdr:to>
      <xdr:col>5</xdr:col>
      <xdr:colOff>276581</xdr:colOff>
      <xdr:row>66</xdr:row>
      <xdr:rowOff>95889</xdr:rowOff>
    </xdr:to>
    <xdr:sp macro="" textlink="">
      <xdr:nvSpPr>
        <xdr:cNvPr id="99" name="Right Arrow 98"/>
        <xdr:cNvSpPr/>
      </xdr:nvSpPr>
      <xdr:spPr>
        <a:xfrm rot="5400000">
          <a:off x="2233784" y="11578092"/>
          <a:ext cx="1915160" cy="266434"/>
        </a:xfrm>
        <a:prstGeom prst="right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571500</xdr:colOff>
      <xdr:row>64</xdr:row>
      <xdr:rowOff>152402</xdr:rowOff>
    </xdr:from>
    <xdr:to>
      <xdr:col>28</xdr:col>
      <xdr:colOff>0</xdr:colOff>
      <xdr:row>68</xdr:row>
      <xdr:rowOff>57152</xdr:rowOff>
    </xdr:to>
    <xdr:sp macro="" textlink="">
      <xdr:nvSpPr>
        <xdr:cNvPr id="100" name="Rectangle 99"/>
        <xdr:cNvSpPr/>
      </xdr:nvSpPr>
      <xdr:spPr>
        <a:xfrm>
          <a:off x="11544300" y="12344402"/>
          <a:ext cx="5524500" cy="66675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Level 1 assessment: Using "</a:t>
          </a:r>
          <a:r>
            <a:rPr kumimoji="0" lang="en-US" sz="1200" b="1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Thickness profiles"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STEP 1 - STEP 7</a:t>
          </a:r>
        </a:p>
      </xdr:txBody>
    </xdr:sp>
    <xdr:clientData/>
  </xdr:twoCellAnchor>
  <xdr:twoCellAnchor>
    <xdr:from>
      <xdr:col>3</xdr:col>
      <xdr:colOff>66675</xdr:colOff>
      <xdr:row>70</xdr:row>
      <xdr:rowOff>124911</xdr:rowOff>
    </xdr:from>
    <xdr:to>
      <xdr:col>10</xdr:col>
      <xdr:colOff>133351</xdr:colOff>
      <xdr:row>123</xdr:row>
      <xdr:rowOff>67317</xdr:rowOff>
    </xdr:to>
    <xdr:grpSp>
      <xdr:nvGrpSpPr>
        <xdr:cNvPr id="163" name="Group 162"/>
        <xdr:cNvGrpSpPr/>
      </xdr:nvGrpSpPr>
      <xdr:grpSpPr>
        <a:xfrm>
          <a:off x="1895475" y="13459911"/>
          <a:ext cx="4333876" cy="10038906"/>
          <a:chOff x="1933575" y="17689009"/>
          <a:chExt cx="4333876" cy="10038906"/>
        </a:xfrm>
      </xdr:grpSpPr>
      <xdr:sp macro="" textlink="">
        <xdr:nvSpPr>
          <xdr:cNvPr id="101" name="Rectangle 100"/>
          <xdr:cNvSpPr/>
        </xdr:nvSpPr>
        <xdr:spPr>
          <a:xfrm>
            <a:off x="1952625" y="17859375"/>
            <a:ext cx="2638425" cy="29337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2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STEP 1: </a:t>
            </a:r>
            <a:r>
              <a: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Determine the minimum required thickness, t</a:t>
            </a:r>
            <a:r>
              <a:rPr kumimoji="0" lang="en-US" sz="1200" b="0" i="0" u="none" strike="noStrike" kern="0" cap="none" spc="0" normalizeH="0" baseline="-2500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min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Ex.  t</a:t>
            </a:r>
            <a:r>
              <a:rPr kumimoji="0" lang="en-US" sz="1200" b="0" i="0" u="none" strike="noStrike" kern="0" cap="none" spc="0" normalizeH="0" baseline="-2500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min</a:t>
            </a:r>
            <a:r>
              <a: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=  10 mm</a:t>
            </a:r>
          </a:p>
        </xdr:txBody>
      </xdr:sp>
      <xdr:pic>
        <xdr:nvPicPr>
          <xdr:cNvPr id="104" name="Picture 10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286000" y="18602325"/>
            <a:ext cx="2038232" cy="201930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109" name="Group 108"/>
          <xdr:cNvGrpSpPr/>
        </xdr:nvGrpSpPr>
        <xdr:grpSpPr>
          <a:xfrm>
            <a:off x="1933575" y="21069299"/>
            <a:ext cx="2638425" cy="5057775"/>
            <a:chOff x="1933575" y="20897849"/>
            <a:chExt cx="2638425" cy="5057775"/>
          </a:xfrm>
        </xdr:grpSpPr>
        <xdr:sp macro="" textlink="">
          <xdr:nvSpPr>
            <xdr:cNvPr id="102" name="Rectangle 101"/>
            <xdr:cNvSpPr/>
          </xdr:nvSpPr>
          <xdr:spPr>
            <a:xfrm>
              <a:off x="1933575" y="20897849"/>
              <a:ext cx="2638425" cy="5057775"/>
            </a:xfrm>
            <a:prstGeom prst="rect">
              <a:avLst/>
            </a:prstGeom>
            <a:solidFill>
              <a:schemeClr val="bg1"/>
            </a:solidFill>
            <a:ln w="127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STEP 2: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Calulate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1) the minimum measured thickness, t</a:t>
              </a:r>
              <a:r>
                <a:rPr kumimoji="0" lang="en-US" sz="1200" b="0" i="0" u="none" strike="noStrike" kern="0" cap="none" spc="0" normalizeH="0" baseline="-2500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mm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2) the average measured thickness, t</a:t>
              </a:r>
              <a:r>
                <a:rPr kumimoji="0" lang="en-US" sz="1200" b="0" i="0" u="none" strike="noStrike" kern="0" cap="none" spc="0" normalizeH="0" baseline="-2500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am    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3) Coefficient of Variation (COV),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Exemple. </a:t>
              </a:r>
            </a:p>
          </xdr:txBody>
        </xdr:sp>
        <xdr:pic>
          <xdr:nvPicPr>
            <xdr:cNvPr id="105" name="Picture 104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962150" y="23897823"/>
              <a:ext cx="2572114" cy="189587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6" name="Picture 105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419350" y="22078950"/>
              <a:ext cx="1552575" cy="51435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7" name="Picture 106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647950" y="22650450"/>
              <a:ext cx="1095375" cy="4286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08" name="Picture 107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628900" y="23117175"/>
              <a:ext cx="1323975" cy="4191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110" name="Rectangle 109"/>
          <xdr:cNvSpPr/>
        </xdr:nvSpPr>
        <xdr:spPr>
          <a:xfrm>
            <a:off x="1981200" y="27022425"/>
            <a:ext cx="2524125" cy="514348"/>
          </a:xfrm>
          <a:prstGeom prst="rect">
            <a:avLst/>
          </a:prstGeom>
          <a:solidFill>
            <a:srgbClr val="92D050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2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yes 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2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Go to STEP 3</a:t>
            </a:r>
          </a:p>
        </xdr:txBody>
      </xdr:sp>
      <xdr:sp macro="" textlink="">
        <xdr:nvSpPr>
          <xdr:cNvPr id="111" name="Rectangle 110"/>
          <xdr:cNvSpPr/>
        </xdr:nvSpPr>
        <xdr:spPr>
          <a:xfrm>
            <a:off x="4800601" y="26165175"/>
            <a:ext cx="1466850" cy="923926"/>
          </a:xfrm>
          <a:prstGeom prst="rect">
            <a:avLst/>
          </a:prstGeom>
          <a:solidFill>
            <a:srgbClr val="FF0000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2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No 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2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End.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2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Require 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2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''Thickness profiles''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2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</a:t>
            </a:r>
          </a:p>
        </xdr:txBody>
      </xdr:sp>
      <xdr:sp macro="" textlink="">
        <xdr:nvSpPr>
          <xdr:cNvPr id="156" name="Rectangle 155"/>
          <xdr:cNvSpPr/>
        </xdr:nvSpPr>
        <xdr:spPr>
          <a:xfrm>
            <a:off x="2000250" y="26393775"/>
            <a:ext cx="2514599" cy="32385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 b="1">
                <a:solidFill>
                  <a:sysClr val="windowText" lastClr="000000"/>
                </a:solidFill>
              </a:rPr>
              <a:t>Check COV </a:t>
            </a:r>
            <a:r>
              <a:rPr lang="en-US" sz="1200" b="1">
                <a:solidFill>
                  <a:sysClr val="windowText" lastClr="000000"/>
                </a:solidFill>
              </a:rPr>
              <a:t>≤</a:t>
            </a:r>
            <a:r>
              <a:rPr lang="en-US" sz="1100" b="1">
                <a:solidFill>
                  <a:sysClr val="windowText" lastClr="000000"/>
                </a:solidFill>
              </a:rPr>
              <a:t> 0.10 ?</a:t>
            </a:r>
            <a:endParaRPr lang="en-US" sz="1100" b="1" baseline="-25000">
              <a:solidFill>
                <a:sysClr val="windowText" lastClr="000000"/>
              </a:solidFill>
            </a:endParaRPr>
          </a:p>
          <a:p>
            <a:pPr algn="ctr"/>
            <a:endParaRPr lang="en-US" sz="1100" b="1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57" name="Right Arrow 156"/>
          <xdr:cNvSpPr/>
        </xdr:nvSpPr>
        <xdr:spPr>
          <a:xfrm rot="5400000">
            <a:off x="3148726" y="17636530"/>
            <a:ext cx="161475" cy="266434"/>
          </a:xfrm>
          <a:prstGeom prst="rightArrow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8" name="Right Arrow 157"/>
          <xdr:cNvSpPr/>
        </xdr:nvSpPr>
        <xdr:spPr>
          <a:xfrm rot="5400000">
            <a:off x="3167776" y="20808357"/>
            <a:ext cx="161475" cy="266434"/>
          </a:xfrm>
          <a:prstGeom prst="rightArrow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9" name="Right Arrow 158"/>
          <xdr:cNvSpPr/>
        </xdr:nvSpPr>
        <xdr:spPr>
          <a:xfrm rot="5400000">
            <a:off x="3148726" y="26132834"/>
            <a:ext cx="161475" cy="266434"/>
          </a:xfrm>
          <a:prstGeom prst="rightArrow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0" name="Right Arrow 159"/>
          <xdr:cNvSpPr/>
        </xdr:nvSpPr>
        <xdr:spPr>
          <a:xfrm rot="5400000">
            <a:off x="3139201" y="26780535"/>
            <a:ext cx="161475" cy="266434"/>
          </a:xfrm>
          <a:prstGeom prst="rightArrow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1" name="Right Arrow 160"/>
          <xdr:cNvSpPr/>
        </xdr:nvSpPr>
        <xdr:spPr>
          <a:xfrm rot="5400000">
            <a:off x="3139201" y="27513961"/>
            <a:ext cx="161475" cy="266434"/>
          </a:xfrm>
          <a:prstGeom prst="rightArrow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2" name="Right Arrow 161"/>
          <xdr:cNvSpPr/>
        </xdr:nvSpPr>
        <xdr:spPr>
          <a:xfrm>
            <a:off x="4581525" y="26431875"/>
            <a:ext cx="172080" cy="304812"/>
          </a:xfrm>
          <a:prstGeom prst="rightArrow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104775</xdr:colOff>
      <xdr:row>123</xdr:row>
      <xdr:rowOff>95252</xdr:rowOff>
    </xdr:from>
    <xdr:to>
      <xdr:col>9</xdr:col>
      <xdr:colOff>542925</xdr:colOff>
      <xdr:row>127</xdr:row>
      <xdr:rowOff>57150</xdr:rowOff>
    </xdr:to>
    <xdr:sp macro="" textlink="">
      <xdr:nvSpPr>
        <xdr:cNvPr id="164" name="Rectangle 163"/>
        <xdr:cNvSpPr/>
      </xdr:nvSpPr>
      <xdr:spPr>
        <a:xfrm>
          <a:off x="1933575" y="23526752"/>
          <a:ext cx="4095750" cy="723898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STEP 3: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Calculate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the minimum required thickness, t</a:t>
          </a:r>
          <a:r>
            <a:rPr kumimoji="0" lang="en-US" sz="1200" b="0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min 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(ANNEX A)</a:t>
          </a:r>
          <a:endParaRPr kumimoji="0" lang="en-US" sz="1200" b="0" i="0" u="none" strike="noStrike" kern="0" cap="none" spc="0" normalizeH="0" baseline="-2500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maximum allowable working pressure, MAWP (ANNEX A)</a:t>
          </a:r>
          <a:endParaRPr kumimoji="0" lang="en-US" sz="1200" b="0" i="0" u="none" strike="noStrike" kern="0" cap="none" spc="0" normalizeH="0" baseline="-2500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0" i="0" u="none" strike="noStrike" kern="0" cap="none" spc="0" normalizeH="0" baseline="-2500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409574</xdr:colOff>
      <xdr:row>214</xdr:row>
      <xdr:rowOff>171450</xdr:rowOff>
    </xdr:from>
    <xdr:to>
      <xdr:col>8</xdr:col>
      <xdr:colOff>430357</xdr:colOff>
      <xdr:row>239</xdr:row>
      <xdr:rowOff>85725</xdr:rowOff>
    </xdr:to>
    <xdr:grpSp>
      <xdr:nvGrpSpPr>
        <xdr:cNvPr id="192" name="Group 191"/>
        <xdr:cNvGrpSpPr/>
      </xdr:nvGrpSpPr>
      <xdr:grpSpPr>
        <a:xfrm>
          <a:off x="409574" y="40938450"/>
          <a:ext cx="4897583" cy="4676775"/>
          <a:chOff x="409574" y="40938450"/>
          <a:chExt cx="4897583" cy="4676775"/>
        </a:xfrm>
      </xdr:grpSpPr>
      <xdr:sp macro="" textlink="">
        <xdr:nvSpPr>
          <xdr:cNvPr id="185" name="Rectangle 184"/>
          <xdr:cNvSpPr/>
        </xdr:nvSpPr>
        <xdr:spPr>
          <a:xfrm>
            <a:off x="409574" y="40938450"/>
            <a:ext cx="3114675" cy="317501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2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Spherical Shell or Hemispherical Head</a:t>
            </a:r>
          </a:p>
        </xdr:txBody>
      </xdr:sp>
      <xdr:pic>
        <xdr:nvPicPr>
          <xdr:cNvPr id="186" name="Picture 185"/>
          <xdr:cNvPicPr>
            <a:picLocks noChangeAspect="1" noChangeArrowheads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09600" y="41338500"/>
            <a:ext cx="4697557" cy="2667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87" name="Picture 186"/>
          <xdr:cNvPicPr>
            <a:picLocks noChangeAspect="1" noChangeArrowheads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81075" y="41709975"/>
            <a:ext cx="1514475" cy="150743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191" name="Group 190"/>
          <xdr:cNvGrpSpPr/>
        </xdr:nvGrpSpPr>
        <xdr:grpSpPr>
          <a:xfrm>
            <a:off x="609601" y="43434000"/>
            <a:ext cx="4667250" cy="2181225"/>
            <a:chOff x="609601" y="43434000"/>
            <a:chExt cx="4667250" cy="2181225"/>
          </a:xfrm>
        </xdr:grpSpPr>
        <xdr:pic>
          <xdr:nvPicPr>
            <xdr:cNvPr id="188" name="Picture 187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09601" y="43434000"/>
              <a:ext cx="4667250" cy="308729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89" name="Picture 188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28701" y="43819676"/>
              <a:ext cx="2247900" cy="1138323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90" name="Picture 189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123950" y="45012989"/>
              <a:ext cx="2266843" cy="60223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0</xdr:col>
      <xdr:colOff>533400</xdr:colOff>
      <xdr:row>240</xdr:row>
      <xdr:rowOff>28575</xdr:rowOff>
    </xdr:from>
    <xdr:to>
      <xdr:col>5</xdr:col>
      <xdr:colOff>600075</xdr:colOff>
      <xdr:row>241</xdr:row>
      <xdr:rowOff>155576</xdr:rowOff>
    </xdr:to>
    <xdr:sp macro="" textlink="">
      <xdr:nvSpPr>
        <xdr:cNvPr id="193" name="Rectangle 192"/>
        <xdr:cNvSpPr/>
      </xdr:nvSpPr>
      <xdr:spPr>
        <a:xfrm>
          <a:off x="533400" y="45748575"/>
          <a:ext cx="3114675" cy="317501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Elliptical Head</a:t>
          </a:r>
        </a:p>
      </xdr:txBody>
    </xdr:sp>
    <xdr:clientData/>
  </xdr:twoCellAnchor>
  <xdr:twoCellAnchor editAs="oneCell">
    <xdr:from>
      <xdr:col>1</xdr:col>
      <xdr:colOff>200025</xdr:colOff>
      <xdr:row>242</xdr:row>
      <xdr:rowOff>57150</xdr:rowOff>
    </xdr:from>
    <xdr:to>
      <xdr:col>8</xdr:col>
      <xdr:colOff>244390</xdr:colOff>
      <xdr:row>257</xdr:row>
      <xdr:rowOff>142874</xdr:rowOff>
    </xdr:to>
    <xdr:pic>
      <xdr:nvPicPr>
        <xdr:cNvPr id="194" name="Picture 193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6158150"/>
          <a:ext cx="4311565" cy="29432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258</xdr:row>
      <xdr:rowOff>57150</xdr:rowOff>
    </xdr:from>
    <xdr:to>
      <xdr:col>8</xdr:col>
      <xdr:colOff>416393</xdr:colOff>
      <xdr:row>275</xdr:row>
      <xdr:rowOff>95251</xdr:rowOff>
    </xdr:to>
    <xdr:grpSp>
      <xdr:nvGrpSpPr>
        <xdr:cNvPr id="198" name="Group 197"/>
        <xdr:cNvGrpSpPr/>
      </xdr:nvGrpSpPr>
      <xdr:grpSpPr>
        <a:xfrm>
          <a:off x="628650" y="49206150"/>
          <a:ext cx="4664543" cy="3276601"/>
          <a:chOff x="628650" y="49206150"/>
          <a:chExt cx="4664543" cy="3276601"/>
        </a:xfrm>
      </xdr:grpSpPr>
      <xdr:sp macro="" textlink="">
        <xdr:nvSpPr>
          <xdr:cNvPr id="195" name="Rectangle 194"/>
          <xdr:cNvSpPr/>
        </xdr:nvSpPr>
        <xdr:spPr>
          <a:xfrm>
            <a:off x="628650" y="49206150"/>
            <a:ext cx="3114675" cy="317501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2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Torispherical Head</a:t>
            </a:r>
          </a:p>
        </xdr:txBody>
      </xdr:sp>
      <xdr:pic>
        <xdr:nvPicPr>
          <xdr:cNvPr id="196" name="Picture 195"/>
          <xdr:cNvPicPr>
            <a:picLocks noChangeAspect="1" noChangeArrowheads="1"/>
          </xdr:cNvPicPr>
        </xdr:nvPicPr>
        <xdr:blipFill>
          <a:blip xmlns:r="http://schemas.openxmlformats.org/officeDocument/2006/relationships" r:embed="rId1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28675" y="49622526"/>
            <a:ext cx="4456219" cy="17934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97" name="Picture 196"/>
          <xdr:cNvPicPr>
            <a:picLocks noChangeAspect="1" noChangeArrowheads="1"/>
          </xdr:cNvPicPr>
        </xdr:nvPicPr>
        <xdr:blipFill>
          <a:blip xmlns:r="http://schemas.openxmlformats.org/officeDocument/2006/relationships" r:embed="rId2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38200" y="51492151"/>
            <a:ext cx="4454993" cy="9906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0</xdr:colOff>
      <xdr:row>277</xdr:row>
      <xdr:rowOff>0</xdr:rowOff>
    </xdr:from>
    <xdr:to>
      <xdr:col>6</xdr:col>
      <xdr:colOff>66675</xdr:colOff>
      <xdr:row>278</xdr:row>
      <xdr:rowOff>127001</xdr:rowOff>
    </xdr:to>
    <xdr:sp macro="" textlink="">
      <xdr:nvSpPr>
        <xdr:cNvPr id="199" name="Rectangle 198"/>
        <xdr:cNvSpPr/>
      </xdr:nvSpPr>
      <xdr:spPr>
        <a:xfrm>
          <a:off x="609600" y="52768500"/>
          <a:ext cx="3114675" cy="317501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Conical Shell</a:t>
          </a:r>
        </a:p>
      </xdr:txBody>
    </xdr:sp>
    <xdr:clientData/>
  </xdr:twoCellAnchor>
  <xdr:twoCellAnchor>
    <xdr:from>
      <xdr:col>1</xdr:col>
      <xdr:colOff>285750</xdr:colOff>
      <xdr:row>279</xdr:row>
      <xdr:rowOff>19049</xdr:rowOff>
    </xdr:from>
    <xdr:to>
      <xdr:col>7</xdr:col>
      <xdr:colOff>334901</xdr:colOff>
      <xdr:row>297</xdr:row>
      <xdr:rowOff>97660</xdr:rowOff>
    </xdr:to>
    <xdr:grpSp>
      <xdr:nvGrpSpPr>
        <xdr:cNvPr id="203" name="Group 202"/>
        <xdr:cNvGrpSpPr/>
      </xdr:nvGrpSpPr>
      <xdr:grpSpPr>
        <a:xfrm>
          <a:off x="895350" y="53168549"/>
          <a:ext cx="3706751" cy="3507611"/>
          <a:chOff x="895350" y="53168549"/>
          <a:chExt cx="3706751" cy="3507611"/>
        </a:xfrm>
      </xdr:grpSpPr>
      <xdr:pic>
        <xdr:nvPicPr>
          <xdr:cNvPr id="201" name="Picture 200"/>
          <xdr:cNvPicPr>
            <a:picLocks noChangeAspect="1" noChangeArrowheads="1"/>
          </xdr:cNvPicPr>
        </xdr:nvPicPr>
        <xdr:blipFill>
          <a:blip xmlns:r="http://schemas.openxmlformats.org/officeDocument/2006/relationships" r:embed="rId2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95350" y="53168549"/>
            <a:ext cx="3706751" cy="25431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02" name="Picture 201"/>
          <xdr:cNvPicPr>
            <a:picLocks noChangeAspect="1" noChangeArrowheads="1"/>
          </xdr:cNvPicPr>
        </xdr:nvPicPr>
        <xdr:blipFill>
          <a:blip xmlns:r="http://schemas.openxmlformats.org/officeDocument/2006/relationships" r:embed="rId2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81076" y="55810766"/>
            <a:ext cx="3419474" cy="86539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4</xdr:col>
      <xdr:colOff>600075</xdr:colOff>
      <xdr:row>127</xdr:row>
      <xdr:rowOff>3</xdr:rowOff>
    </xdr:from>
    <xdr:to>
      <xdr:col>5</xdr:col>
      <xdr:colOff>256909</xdr:colOff>
      <xdr:row>127</xdr:row>
      <xdr:rowOff>161478</xdr:rowOff>
    </xdr:to>
    <xdr:sp macro="" textlink="">
      <xdr:nvSpPr>
        <xdr:cNvPr id="204" name="Right Arrow 203"/>
        <xdr:cNvSpPr/>
      </xdr:nvSpPr>
      <xdr:spPr>
        <a:xfrm rot="5400000">
          <a:off x="3090954" y="24141024"/>
          <a:ext cx="161475" cy="266434"/>
        </a:xfrm>
        <a:prstGeom prst="right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85725</xdr:colOff>
      <xdr:row>128</xdr:row>
      <xdr:rowOff>66676</xdr:rowOff>
    </xdr:from>
    <xdr:to>
      <xdr:col>17</xdr:col>
      <xdr:colOff>428625</xdr:colOff>
      <xdr:row>176</xdr:row>
      <xdr:rowOff>142876</xdr:rowOff>
    </xdr:to>
    <xdr:grpSp>
      <xdr:nvGrpSpPr>
        <xdr:cNvPr id="217" name="Group 216"/>
        <xdr:cNvGrpSpPr/>
      </xdr:nvGrpSpPr>
      <xdr:grpSpPr>
        <a:xfrm>
          <a:off x="1914525" y="24450676"/>
          <a:ext cx="8877300" cy="9220200"/>
          <a:chOff x="1952625" y="28651199"/>
          <a:chExt cx="8877300" cy="9220200"/>
        </a:xfrm>
      </xdr:grpSpPr>
      <xdr:grpSp>
        <xdr:nvGrpSpPr>
          <xdr:cNvPr id="210" name="Group 209"/>
          <xdr:cNvGrpSpPr/>
        </xdr:nvGrpSpPr>
        <xdr:grpSpPr>
          <a:xfrm>
            <a:off x="1952625" y="28651199"/>
            <a:ext cx="6429375" cy="8210552"/>
            <a:chOff x="1952625" y="28651199"/>
            <a:chExt cx="6429375" cy="8210552"/>
          </a:xfrm>
        </xdr:grpSpPr>
        <xdr:sp macro="" textlink="">
          <xdr:nvSpPr>
            <xdr:cNvPr id="165" name="Rectangle 164"/>
            <xdr:cNvSpPr/>
          </xdr:nvSpPr>
          <xdr:spPr>
            <a:xfrm>
              <a:off x="1990725" y="28651199"/>
              <a:ext cx="4076700" cy="466725"/>
            </a:xfrm>
            <a:prstGeom prst="rect">
              <a:avLst/>
            </a:prstGeom>
            <a:solidFill>
              <a:schemeClr val="bg1"/>
            </a:solidFill>
            <a:ln w="127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STEP 4: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Determine if the component is acceptable for continued operation.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Perform a Level 1 assessment using Table 4.4.</a:t>
              </a:r>
              <a:endParaRPr kumimoji="0" lang="en-US" sz="1200" b="0" i="0" u="none" strike="noStrike" kern="0" cap="none" spc="0" normalizeH="0" baseline="-2500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  <xdr:grpSp>
          <xdr:nvGrpSpPr>
            <xdr:cNvPr id="209" name="Group 208"/>
            <xdr:cNvGrpSpPr/>
          </xdr:nvGrpSpPr>
          <xdr:grpSpPr>
            <a:xfrm>
              <a:off x="1952625" y="29213174"/>
              <a:ext cx="6429375" cy="7648577"/>
              <a:chOff x="1952625" y="29213174"/>
              <a:chExt cx="6429375" cy="7648577"/>
            </a:xfrm>
          </xdr:grpSpPr>
          <xdr:pic>
            <xdr:nvPicPr>
              <xdr:cNvPr id="206" name="Picture 205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2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981200" y="29213174"/>
                <a:ext cx="6390611" cy="1876425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207" name="Picture 206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24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962150" y="31089600"/>
                <a:ext cx="6417791" cy="371475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208" name="Picture 207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25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952625" y="34817101"/>
                <a:ext cx="6429375" cy="204465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</xdr:grpSp>
      </xdr:grpSp>
      <xdr:grpSp>
        <xdr:nvGrpSpPr>
          <xdr:cNvPr id="216" name="Group 215"/>
          <xdr:cNvGrpSpPr/>
        </xdr:nvGrpSpPr>
        <xdr:grpSpPr>
          <a:xfrm>
            <a:off x="3162300" y="37061778"/>
            <a:ext cx="2124075" cy="809621"/>
            <a:chOff x="3162300" y="37061778"/>
            <a:chExt cx="2124075" cy="809621"/>
          </a:xfrm>
        </xdr:grpSpPr>
        <xdr:sp macro="" textlink="">
          <xdr:nvSpPr>
            <xdr:cNvPr id="212" name="Right Arrow 211"/>
            <xdr:cNvSpPr/>
          </xdr:nvSpPr>
          <xdr:spPr>
            <a:xfrm rot="5400000">
              <a:off x="4134980" y="36999315"/>
              <a:ext cx="193582" cy="318508"/>
            </a:xfrm>
            <a:prstGeom prst="rightArrow">
              <a:avLst/>
            </a:pr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13" name="Rectangle 212"/>
            <xdr:cNvSpPr/>
          </xdr:nvSpPr>
          <xdr:spPr>
            <a:xfrm>
              <a:off x="3162300" y="37314433"/>
              <a:ext cx="2124075" cy="556966"/>
            </a:xfrm>
            <a:prstGeom prst="rect">
              <a:avLst/>
            </a:prstGeom>
            <a:solidFill>
              <a:srgbClr val="00B050"/>
            </a:solidFill>
            <a:ln w="127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yes all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acceptable for operation 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2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2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</xdr:grpSp>
      <xdr:grpSp>
        <xdr:nvGrpSpPr>
          <xdr:cNvPr id="215" name="Group 214"/>
          <xdr:cNvGrpSpPr/>
        </xdr:nvGrpSpPr>
        <xdr:grpSpPr>
          <a:xfrm>
            <a:off x="8490558" y="35841841"/>
            <a:ext cx="2339367" cy="657957"/>
            <a:chOff x="8490558" y="35841841"/>
            <a:chExt cx="2339367" cy="657957"/>
          </a:xfrm>
        </xdr:grpSpPr>
        <xdr:sp macro="" textlink="">
          <xdr:nvSpPr>
            <xdr:cNvPr id="211" name="Right Arrow 210"/>
            <xdr:cNvSpPr/>
          </xdr:nvSpPr>
          <xdr:spPr>
            <a:xfrm>
              <a:off x="8490558" y="35975925"/>
              <a:ext cx="265603" cy="296375"/>
            </a:xfrm>
            <a:prstGeom prst="rightArrow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14" name="Rectangle 213"/>
            <xdr:cNvSpPr/>
          </xdr:nvSpPr>
          <xdr:spPr>
            <a:xfrm>
              <a:off x="8793530" y="35841841"/>
              <a:ext cx="2036395" cy="657957"/>
            </a:xfrm>
            <a:prstGeom prst="rect">
              <a:avLst/>
            </a:prstGeom>
            <a:solidFill>
              <a:srgbClr val="FF0000"/>
            </a:solidFill>
            <a:ln w="127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no (at least one)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end the process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result = not acceptable</a:t>
              </a:r>
            </a:p>
          </xdr:txBody>
        </xdr:sp>
      </xdr:grpSp>
    </xdr:grpSp>
    <xdr:clientData/>
  </xdr:twoCellAnchor>
  <xdr:twoCellAnchor>
    <xdr:from>
      <xdr:col>20</xdr:col>
      <xdr:colOff>495922</xdr:colOff>
      <xdr:row>63</xdr:row>
      <xdr:rowOff>19053</xdr:rowOff>
    </xdr:from>
    <xdr:to>
      <xdr:col>21</xdr:col>
      <xdr:colOff>171450</xdr:colOff>
      <xdr:row>64</xdr:row>
      <xdr:rowOff>38740</xdr:rowOff>
    </xdr:to>
    <xdr:sp macro="" textlink="">
      <xdr:nvSpPr>
        <xdr:cNvPr id="221" name="Right Arrow 220"/>
        <xdr:cNvSpPr/>
      </xdr:nvSpPr>
      <xdr:spPr>
        <a:xfrm rot="5400000">
          <a:off x="12725392" y="11983083"/>
          <a:ext cx="210187" cy="285128"/>
        </a:xfrm>
        <a:prstGeom prst="right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9527</xdr:colOff>
      <xdr:row>44</xdr:row>
      <xdr:rowOff>4762</xdr:rowOff>
    </xdr:from>
    <xdr:to>
      <xdr:col>20</xdr:col>
      <xdr:colOff>266701</xdr:colOff>
      <xdr:row>115</xdr:row>
      <xdr:rowOff>28577</xdr:rowOff>
    </xdr:to>
    <xdr:cxnSp macro="">
      <xdr:nvCxnSpPr>
        <xdr:cNvPr id="225" name="Elbow Connector 224"/>
        <xdr:cNvCxnSpPr>
          <a:stCxn id="111" idx="0"/>
          <a:endCxn id="7" idx="1"/>
        </xdr:cNvCxnSpPr>
      </xdr:nvCxnSpPr>
      <xdr:spPr>
        <a:xfrm rot="5400000" flipH="1" flipV="1">
          <a:off x="2202656" y="11680033"/>
          <a:ext cx="13549315" cy="6962774"/>
        </a:xfrm>
        <a:prstGeom prst="bentConnector2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600075</xdr:colOff>
      <xdr:row>69</xdr:row>
      <xdr:rowOff>133350</xdr:rowOff>
    </xdr:from>
    <xdr:to>
      <xdr:col>27</xdr:col>
      <xdr:colOff>600075</xdr:colOff>
      <xdr:row>72</xdr:row>
      <xdr:rowOff>114300</xdr:rowOff>
    </xdr:to>
    <xdr:sp macro="" textlink="">
      <xdr:nvSpPr>
        <xdr:cNvPr id="231" name="Rectangle 230"/>
        <xdr:cNvSpPr/>
      </xdr:nvSpPr>
      <xdr:spPr>
        <a:xfrm>
          <a:off x="11572875" y="13277850"/>
          <a:ext cx="5486400" cy="55245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STEP 1: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Calculate the minimum required thickness, t</a:t>
          </a:r>
          <a:r>
            <a:rPr kumimoji="0" lang="en-US" sz="1200" b="0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0" i="0" u="none" strike="noStrike" kern="0" cap="none" spc="0" normalizeH="0" baseline="-2500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524497</xdr:colOff>
      <xdr:row>68</xdr:row>
      <xdr:rowOff>134439</xdr:rowOff>
    </xdr:from>
    <xdr:to>
      <xdr:col>21</xdr:col>
      <xdr:colOff>181331</xdr:colOff>
      <xdr:row>69</xdr:row>
      <xdr:rowOff>105414</xdr:rowOff>
    </xdr:to>
    <xdr:sp macro="" textlink="">
      <xdr:nvSpPr>
        <xdr:cNvPr id="232" name="Right Arrow 231"/>
        <xdr:cNvSpPr/>
      </xdr:nvSpPr>
      <xdr:spPr>
        <a:xfrm rot="5400000">
          <a:off x="12768976" y="13035960"/>
          <a:ext cx="161475" cy="266434"/>
        </a:xfrm>
        <a:prstGeom prst="right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28575</xdr:colOff>
      <xdr:row>74</xdr:row>
      <xdr:rowOff>95249</xdr:rowOff>
    </xdr:from>
    <xdr:to>
      <xdr:col>27</xdr:col>
      <xdr:colOff>590550</xdr:colOff>
      <xdr:row>78</xdr:row>
      <xdr:rowOff>66674</xdr:rowOff>
    </xdr:to>
    <xdr:sp macro="" textlink="">
      <xdr:nvSpPr>
        <xdr:cNvPr id="233" name="Rectangle 232"/>
        <xdr:cNvSpPr/>
      </xdr:nvSpPr>
      <xdr:spPr>
        <a:xfrm>
          <a:off x="11610975" y="14192249"/>
          <a:ext cx="5438775" cy="733425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STEP 2: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Calulate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the minimum measured thickness, t</a:t>
          </a:r>
          <a:r>
            <a:rPr kumimoji="0" lang="en-US" sz="1200" b="0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mm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0" i="0" u="none" strike="noStrike" kern="0" cap="none" spc="0" normalizeH="0" baseline="-2500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562597</xdr:colOff>
      <xdr:row>73</xdr:row>
      <xdr:rowOff>96339</xdr:rowOff>
    </xdr:from>
    <xdr:to>
      <xdr:col>21</xdr:col>
      <xdr:colOff>219431</xdr:colOff>
      <xdr:row>74</xdr:row>
      <xdr:rowOff>67314</xdr:rowOff>
    </xdr:to>
    <xdr:sp macro="" textlink="">
      <xdr:nvSpPr>
        <xdr:cNvPr id="234" name="Right Arrow 233"/>
        <xdr:cNvSpPr/>
      </xdr:nvSpPr>
      <xdr:spPr>
        <a:xfrm rot="5400000">
          <a:off x="12807076" y="13950360"/>
          <a:ext cx="161475" cy="266434"/>
        </a:xfrm>
        <a:prstGeom prst="right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534022</xdr:colOff>
      <xdr:row>79</xdr:row>
      <xdr:rowOff>20139</xdr:rowOff>
    </xdr:from>
    <xdr:to>
      <xdr:col>21</xdr:col>
      <xdr:colOff>190856</xdr:colOff>
      <xdr:row>79</xdr:row>
      <xdr:rowOff>181614</xdr:rowOff>
    </xdr:to>
    <xdr:sp macro="" textlink="">
      <xdr:nvSpPr>
        <xdr:cNvPr id="236" name="Right Arrow 235"/>
        <xdr:cNvSpPr/>
      </xdr:nvSpPr>
      <xdr:spPr>
        <a:xfrm rot="5400000">
          <a:off x="12778501" y="15017160"/>
          <a:ext cx="161475" cy="266434"/>
        </a:xfrm>
        <a:prstGeom prst="right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9525</xdr:colOff>
      <xdr:row>80</xdr:row>
      <xdr:rowOff>95250</xdr:rowOff>
    </xdr:from>
    <xdr:to>
      <xdr:col>28</xdr:col>
      <xdr:colOff>18805</xdr:colOff>
      <xdr:row>85</xdr:row>
      <xdr:rowOff>18562</xdr:rowOff>
    </xdr:to>
    <xdr:grpSp>
      <xdr:nvGrpSpPr>
        <xdr:cNvPr id="237" name="Group 236"/>
        <xdr:cNvGrpSpPr/>
      </xdr:nvGrpSpPr>
      <xdr:grpSpPr>
        <a:xfrm>
          <a:off x="11591925" y="15335250"/>
          <a:ext cx="5495680" cy="875812"/>
          <a:chOff x="5506916" y="10748352"/>
          <a:chExt cx="5495680" cy="875812"/>
        </a:xfrm>
      </xdr:grpSpPr>
      <xdr:sp macro="" textlink="">
        <xdr:nvSpPr>
          <xdr:cNvPr id="238" name="Rectangle 237"/>
          <xdr:cNvSpPr/>
        </xdr:nvSpPr>
        <xdr:spPr>
          <a:xfrm>
            <a:off x="5506916" y="10748352"/>
            <a:ext cx="5495680" cy="351936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2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STEP 3: </a:t>
            </a:r>
            <a:r>
              <a: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Determine the wall thickness to be used in the assessment (eq 4.2)</a:t>
            </a:r>
          </a:p>
        </xdr:txBody>
      </xdr:sp>
      <xdr:pic>
        <xdr:nvPicPr>
          <xdr:cNvPr id="239" name="Picture 238"/>
          <xdr:cNvPicPr>
            <a:picLocks noChangeAspect="1" noChangeArrowheads="1"/>
          </xdr:cNvPicPr>
        </xdr:nvPicPr>
        <xdr:blipFill>
          <a:blip xmlns:r="http://schemas.openxmlformats.org/officeDocument/2006/relationships" r:embed="rId2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12693" y="11185770"/>
            <a:ext cx="2355606" cy="43839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20</xdr:col>
      <xdr:colOff>562597</xdr:colOff>
      <xdr:row>85</xdr:row>
      <xdr:rowOff>105865</xdr:rowOff>
    </xdr:from>
    <xdr:to>
      <xdr:col>21</xdr:col>
      <xdr:colOff>219431</xdr:colOff>
      <xdr:row>86</xdr:row>
      <xdr:rowOff>76840</xdr:rowOff>
    </xdr:to>
    <xdr:sp macro="" textlink="">
      <xdr:nvSpPr>
        <xdr:cNvPr id="243" name="Right Arrow 242"/>
        <xdr:cNvSpPr/>
      </xdr:nvSpPr>
      <xdr:spPr>
        <a:xfrm rot="5400000">
          <a:off x="12807076" y="16245886"/>
          <a:ext cx="161475" cy="266434"/>
        </a:xfrm>
        <a:prstGeom prst="right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0</xdr:colOff>
      <xdr:row>86</xdr:row>
      <xdr:rowOff>142875</xdr:rowOff>
    </xdr:from>
    <xdr:to>
      <xdr:col>28</xdr:col>
      <xdr:colOff>9280</xdr:colOff>
      <xdr:row>92</xdr:row>
      <xdr:rowOff>171450</xdr:rowOff>
    </xdr:to>
    <xdr:grpSp>
      <xdr:nvGrpSpPr>
        <xdr:cNvPr id="245" name="Group 244"/>
        <xdr:cNvGrpSpPr/>
      </xdr:nvGrpSpPr>
      <xdr:grpSpPr>
        <a:xfrm>
          <a:off x="11582400" y="16525875"/>
          <a:ext cx="5495680" cy="1171575"/>
          <a:chOff x="8667750" y="16792575"/>
          <a:chExt cx="5495680" cy="1171575"/>
        </a:xfrm>
      </xdr:grpSpPr>
      <xdr:sp macro="" textlink="">
        <xdr:nvSpPr>
          <xdr:cNvPr id="241" name="Rectangle 240"/>
          <xdr:cNvSpPr/>
        </xdr:nvSpPr>
        <xdr:spPr>
          <a:xfrm>
            <a:off x="8667750" y="16792575"/>
            <a:ext cx="5495680" cy="351936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2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STEP 4: </a:t>
            </a:r>
            <a:r>
              <a: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Compute the remaining thickness ratio, R</a:t>
            </a:r>
            <a:r>
              <a:rPr kumimoji="0" lang="en-US" sz="1200" b="0" i="0" u="none" strike="noStrike" kern="0" cap="none" spc="0" normalizeH="0" baseline="-2500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t  </a:t>
            </a:r>
            <a:r>
              <a: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(Eq. 4.4)</a:t>
            </a:r>
            <a:endParaRPr kumimoji="0" lang="en-US" sz="1200" b="0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</xdr:txBody>
      </xdr:sp>
      <xdr:pic>
        <xdr:nvPicPr>
          <xdr:cNvPr id="244" name="Picture 243"/>
          <xdr:cNvPicPr>
            <a:picLocks noChangeAspect="1" noChangeArrowheads="1"/>
          </xdr:cNvPicPr>
        </xdr:nvPicPr>
        <xdr:blipFill>
          <a:blip xmlns:r="http://schemas.openxmlformats.org/officeDocument/2006/relationships" r:embed="rId2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372600" y="17249775"/>
            <a:ext cx="1514475" cy="7143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21</xdr:col>
      <xdr:colOff>622</xdr:colOff>
      <xdr:row>93</xdr:row>
      <xdr:rowOff>58241</xdr:rowOff>
    </xdr:from>
    <xdr:to>
      <xdr:col>21</xdr:col>
      <xdr:colOff>267056</xdr:colOff>
      <xdr:row>94</xdr:row>
      <xdr:rowOff>29216</xdr:rowOff>
    </xdr:to>
    <xdr:sp macro="" textlink="">
      <xdr:nvSpPr>
        <xdr:cNvPr id="249" name="Right Arrow 248"/>
        <xdr:cNvSpPr/>
      </xdr:nvSpPr>
      <xdr:spPr>
        <a:xfrm rot="5400000">
          <a:off x="12854701" y="17722262"/>
          <a:ext cx="161475" cy="266434"/>
        </a:xfrm>
        <a:prstGeom prst="right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552450</xdr:colOff>
      <xdr:row>94</xdr:row>
      <xdr:rowOff>171449</xdr:rowOff>
    </xdr:from>
    <xdr:to>
      <xdr:col>27</xdr:col>
      <xdr:colOff>561730</xdr:colOff>
      <xdr:row>115</xdr:row>
      <xdr:rowOff>114300</xdr:rowOff>
    </xdr:to>
    <xdr:grpSp>
      <xdr:nvGrpSpPr>
        <xdr:cNvPr id="251" name="Group 250"/>
        <xdr:cNvGrpSpPr/>
      </xdr:nvGrpSpPr>
      <xdr:grpSpPr>
        <a:xfrm>
          <a:off x="11525250" y="18078449"/>
          <a:ext cx="5495680" cy="3943351"/>
          <a:chOff x="8610600" y="18345149"/>
          <a:chExt cx="5495680" cy="3943351"/>
        </a:xfrm>
      </xdr:grpSpPr>
      <xdr:grpSp>
        <xdr:nvGrpSpPr>
          <xdr:cNvPr id="246" name="Group 245"/>
          <xdr:cNvGrpSpPr/>
        </xdr:nvGrpSpPr>
        <xdr:grpSpPr>
          <a:xfrm>
            <a:off x="8610600" y="18345149"/>
            <a:ext cx="5495680" cy="3943351"/>
            <a:chOff x="8667750" y="16792574"/>
            <a:chExt cx="5495680" cy="3943351"/>
          </a:xfrm>
        </xdr:grpSpPr>
        <xdr:sp macro="" textlink="">
          <xdr:nvSpPr>
            <xdr:cNvPr id="247" name="Rectangle 246"/>
            <xdr:cNvSpPr/>
          </xdr:nvSpPr>
          <xdr:spPr>
            <a:xfrm>
              <a:off x="8667750" y="16792574"/>
              <a:ext cx="5495680" cy="3943351"/>
            </a:xfrm>
            <a:prstGeom prst="rect">
              <a:avLst/>
            </a:prstGeom>
            <a:solidFill>
              <a:schemeClr val="bg1"/>
            </a:solidFill>
            <a:ln w="127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STEP 5: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Compute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-parameter Q (table 4.5)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- the length for thickness averaging (Eq. 4.5)</a:t>
              </a:r>
              <a:endParaRPr kumimoji="0" lang="en-US" sz="1200" b="0" i="0" u="none" strike="noStrike" kern="0" cap="none" spc="0" normalizeH="0" baseline="-2500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248" name="Picture 247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601325" y="19869150"/>
              <a:ext cx="1514475" cy="71437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50" name="Picture 249"/>
          <xdr:cNvPicPr>
            <a:picLocks noChangeAspect="1" noChangeArrowheads="1"/>
          </xdr:cNvPicPr>
        </xdr:nvPicPr>
        <xdr:blipFill>
          <a:blip xmlns:r="http://schemas.openxmlformats.org/officeDocument/2006/relationships" r:embed="rId2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325100" y="18745200"/>
            <a:ext cx="2114550" cy="242350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23</xdr:col>
      <xdr:colOff>191122</xdr:colOff>
      <xdr:row>116</xdr:row>
      <xdr:rowOff>48718</xdr:rowOff>
    </xdr:from>
    <xdr:to>
      <xdr:col>23</xdr:col>
      <xdr:colOff>457556</xdr:colOff>
      <xdr:row>117</xdr:row>
      <xdr:rowOff>19693</xdr:rowOff>
    </xdr:to>
    <xdr:sp macro="" textlink="">
      <xdr:nvSpPr>
        <xdr:cNvPr id="252" name="Right Arrow 251"/>
        <xdr:cNvSpPr/>
      </xdr:nvSpPr>
      <xdr:spPr>
        <a:xfrm rot="5400000">
          <a:off x="14264401" y="22094239"/>
          <a:ext cx="161475" cy="266434"/>
        </a:xfrm>
        <a:prstGeom prst="right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476250</xdr:colOff>
      <xdr:row>117</xdr:row>
      <xdr:rowOff>114300</xdr:rowOff>
    </xdr:from>
    <xdr:to>
      <xdr:col>27</xdr:col>
      <xdr:colOff>485530</xdr:colOff>
      <xdr:row>138</xdr:row>
      <xdr:rowOff>57151</xdr:rowOff>
    </xdr:to>
    <xdr:grpSp>
      <xdr:nvGrpSpPr>
        <xdr:cNvPr id="273" name="Group 272"/>
        <xdr:cNvGrpSpPr/>
      </xdr:nvGrpSpPr>
      <xdr:grpSpPr>
        <a:xfrm>
          <a:off x="11449050" y="22402800"/>
          <a:ext cx="5495680" cy="3943351"/>
          <a:chOff x="11430000" y="22612350"/>
          <a:chExt cx="5495680" cy="3943351"/>
        </a:xfrm>
      </xdr:grpSpPr>
      <xdr:sp macro="" textlink="">
        <xdr:nvSpPr>
          <xdr:cNvPr id="253" name="Rectangle 252"/>
          <xdr:cNvSpPr/>
        </xdr:nvSpPr>
        <xdr:spPr>
          <a:xfrm>
            <a:off x="11430000" y="22612350"/>
            <a:ext cx="5495680" cy="3943351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2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STEP 6: </a:t>
            </a:r>
            <a:r>
              <a: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Establish the Critical Thickness Profiles (CTP’s) from the thickness profile data 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Ex.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Determine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- the average measured thickness t</a:t>
            </a:r>
            <a:r>
              <a:rPr kumimoji="0" lang="en-US" sz="1200" b="0" i="0" u="none" strike="noStrike" kern="0" cap="none" spc="0" normalizeH="0" baseline="-2500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am </a:t>
            </a:r>
            <a:r>
              <a:rPr kumimoji="0" lang="en-US" sz="1200" b="0" i="0" u="none" strike="noStrike" kern="0" cap="none" spc="0" normalizeH="0" baseline="3000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s   </a:t>
            </a:r>
            <a:r>
              <a: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based on the longitudinal CTP and 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- the average measured thickness  t</a:t>
            </a:r>
            <a:r>
              <a:rPr kumimoji="0" lang="en-US" sz="1200" b="0" i="0" u="none" strike="noStrike" kern="0" cap="none" spc="0" normalizeH="0" baseline="-2500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am </a:t>
            </a:r>
            <a:r>
              <a:rPr kumimoji="0" lang="en-US" sz="1200" b="0" i="0" u="none" strike="noStrike" kern="0" cap="none" spc="0" normalizeH="0" baseline="3000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  </a:t>
            </a:r>
            <a:r>
              <a: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based on the circumferential CTP. 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The average measured thicknesses s  t</a:t>
            </a:r>
            <a:r>
              <a:rPr kumimoji="0" lang="en-US" sz="1200" b="0" i="0" u="none" strike="noStrike" kern="0" cap="none" spc="0" normalizeH="0" baseline="-2500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am </a:t>
            </a:r>
            <a:r>
              <a:rPr kumimoji="0" lang="en-US" sz="1200" b="0" i="0" u="none" strike="noStrike" kern="0" cap="none" spc="0" normalizeH="0" baseline="3000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s   </a:t>
            </a:r>
            <a:r>
              <a: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and  t</a:t>
            </a:r>
            <a:r>
              <a:rPr kumimoji="0" lang="en-US" sz="1200" b="0" i="0" u="none" strike="noStrike" kern="0" cap="none" spc="0" normalizeH="0" baseline="-2500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am </a:t>
            </a:r>
            <a:r>
              <a:rPr kumimoji="0" lang="en-US" sz="1200" b="0" i="0" u="none" strike="noStrike" kern="0" cap="none" spc="0" normalizeH="0" baseline="3000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  </a:t>
            </a:r>
            <a:r>
              <a: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shall be based on the length L determined in STEP 5. The length L shall be located on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the respective CTP such that the resulting average thickness is a minimum.</a:t>
            </a:r>
            <a:endParaRPr kumimoji="0" lang="en-US" sz="1200" b="0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</xdr:txBody>
      </xdr:sp>
      <xdr:pic>
        <xdr:nvPicPr>
          <xdr:cNvPr id="255" name="Picture 254"/>
          <xdr:cNvPicPr>
            <a:picLocks noChangeAspect="1" noChangeArrowheads="1"/>
          </xdr:cNvPicPr>
        </xdr:nvPicPr>
        <xdr:blipFill>
          <a:blip xmlns:r="http://schemas.openxmlformats.org/officeDocument/2006/relationships" r:embed="rId2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725275" y="23199975"/>
            <a:ext cx="5095875" cy="18698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22</xdr:col>
      <xdr:colOff>372097</xdr:colOff>
      <xdr:row>139</xdr:row>
      <xdr:rowOff>29670</xdr:rowOff>
    </xdr:from>
    <xdr:to>
      <xdr:col>23</xdr:col>
      <xdr:colOff>28931</xdr:colOff>
      <xdr:row>140</xdr:row>
      <xdr:rowOff>645</xdr:rowOff>
    </xdr:to>
    <xdr:sp macro="" textlink="">
      <xdr:nvSpPr>
        <xdr:cNvPr id="261" name="Right Arrow 260"/>
        <xdr:cNvSpPr/>
      </xdr:nvSpPr>
      <xdr:spPr>
        <a:xfrm rot="5400000">
          <a:off x="13835776" y="26456691"/>
          <a:ext cx="161475" cy="266434"/>
        </a:xfrm>
        <a:prstGeom prst="right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457200</xdr:colOff>
      <xdr:row>140</xdr:row>
      <xdr:rowOff>152401</xdr:rowOff>
    </xdr:from>
    <xdr:to>
      <xdr:col>32</xdr:col>
      <xdr:colOff>114300</xdr:colOff>
      <xdr:row>193</xdr:row>
      <xdr:rowOff>181708</xdr:rowOff>
    </xdr:to>
    <xdr:grpSp>
      <xdr:nvGrpSpPr>
        <xdr:cNvPr id="272" name="Group 271"/>
        <xdr:cNvGrpSpPr/>
      </xdr:nvGrpSpPr>
      <xdr:grpSpPr>
        <a:xfrm>
          <a:off x="11430000" y="26822401"/>
          <a:ext cx="8191500" cy="10125807"/>
          <a:chOff x="11410950" y="27031951"/>
          <a:chExt cx="8191500" cy="10125807"/>
        </a:xfrm>
      </xdr:grpSpPr>
      <xdr:sp macro="" textlink="">
        <xdr:nvSpPr>
          <xdr:cNvPr id="260" name="Rectangle 259"/>
          <xdr:cNvSpPr/>
        </xdr:nvSpPr>
        <xdr:spPr>
          <a:xfrm>
            <a:off x="11410950" y="27031951"/>
            <a:ext cx="5495680" cy="4953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2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STEP 7: </a:t>
            </a:r>
            <a:r>
              <a: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determine the acceptability for continued operation using the Level 1 criteria in Table 4.4</a:t>
            </a:r>
            <a:endParaRPr kumimoji="0" lang="en-US" sz="1200" b="0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</xdr:txBody>
      </xdr:sp>
      <xdr:grpSp>
        <xdr:nvGrpSpPr>
          <xdr:cNvPr id="271" name="Group 270"/>
          <xdr:cNvGrpSpPr/>
        </xdr:nvGrpSpPr>
        <xdr:grpSpPr>
          <a:xfrm>
            <a:off x="11449050" y="27727275"/>
            <a:ext cx="8153400" cy="9430483"/>
            <a:chOff x="11449050" y="27727275"/>
            <a:chExt cx="8153400" cy="9430483"/>
          </a:xfrm>
        </xdr:grpSpPr>
        <xdr:grpSp>
          <xdr:nvGrpSpPr>
            <xdr:cNvPr id="266" name="Group 265"/>
            <xdr:cNvGrpSpPr/>
          </xdr:nvGrpSpPr>
          <xdr:grpSpPr>
            <a:xfrm>
              <a:off x="11449050" y="27727275"/>
              <a:ext cx="5810250" cy="8477250"/>
              <a:chOff x="9734550" y="27260550"/>
              <a:chExt cx="8029575" cy="10658475"/>
            </a:xfrm>
          </xdr:grpSpPr>
          <xdr:pic>
            <xdr:nvPicPr>
              <xdr:cNvPr id="262" name="Picture 26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30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9753600" y="28003500"/>
                <a:ext cx="7953375" cy="2371725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263" name="Picture 262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3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9734550" y="27260550"/>
                <a:ext cx="8029575" cy="72390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264" name="Picture 263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32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9753600" y="30356175"/>
                <a:ext cx="7953375" cy="5095875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265" name="Picture 264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3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9772650" y="35404425"/>
                <a:ext cx="7915275" cy="251460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</xdr:grpSp>
        <xdr:sp macro="" textlink="">
          <xdr:nvSpPr>
            <xdr:cNvPr id="267" name="Right Arrow 266"/>
            <xdr:cNvSpPr/>
          </xdr:nvSpPr>
          <xdr:spPr>
            <a:xfrm rot="5400000">
              <a:off x="14131099" y="36285856"/>
              <a:ext cx="256782" cy="303670"/>
            </a:xfrm>
            <a:prstGeom prst="rightArrow">
              <a:avLst/>
            </a:pr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68" name="Rectangle 267"/>
            <xdr:cNvSpPr/>
          </xdr:nvSpPr>
          <xdr:spPr>
            <a:xfrm>
              <a:off x="13163550" y="36600792"/>
              <a:ext cx="2124075" cy="556966"/>
            </a:xfrm>
            <a:prstGeom prst="rect">
              <a:avLst/>
            </a:prstGeom>
            <a:solidFill>
              <a:srgbClr val="00B050"/>
            </a:solidFill>
            <a:ln w="127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yes all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acceptable for operation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2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2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269" name="Right Arrow 268"/>
            <xdr:cNvSpPr/>
          </xdr:nvSpPr>
          <xdr:spPr>
            <a:xfrm>
              <a:off x="17263083" y="34986059"/>
              <a:ext cx="265603" cy="296375"/>
            </a:xfrm>
            <a:prstGeom prst="rightArrow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70" name="Rectangle 269"/>
            <xdr:cNvSpPr/>
          </xdr:nvSpPr>
          <xdr:spPr>
            <a:xfrm>
              <a:off x="17566055" y="34851975"/>
              <a:ext cx="2036395" cy="657957"/>
            </a:xfrm>
            <a:prstGeom prst="rect">
              <a:avLst/>
            </a:prstGeom>
            <a:solidFill>
              <a:srgbClr val="FF0000"/>
            </a:solidFill>
            <a:ln w="127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no (at least one)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end the process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result = not acceptable</a:t>
              </a: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2</xdr:row>
      <xdr:rowOff>89389</xdr:rowOff>
    </xdr:from>
    <xdr:to>
      <xdr:col>5</xdr:col>
      <xdr:colOff>26619</xdr:colOff>
      <xdr:row>4</xdr:row>
      <xdr:rowOff>25890</xdr:rowOff>
    </xdr:to>
    <xdr:sp macro="" textlink="">
      <xdr:nvSpPr>
        <xdr:cNvPr id="2" name="Rectangle 1"/>
        <xdr:cNvSpPr/>
      </xdr:nvSpPr>
      <xdr:spPr>
        <a:xfrm>
          <a:off x="1704975" y="470389"/>
          <a:ext cx="1369644" cy="317501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Internal Pressure</a:t>
          </a:r>
        </a:p>
      </xdr:txBody>
    </xdr:sp>
    <xdr:clientData/>
  </xdr:twoCellAnchor>
  <xdr:twoCellAnchor>
    <xdr:from>
      <xdr:col>18</xdr:col>
      <xdr:colOff>333864</xdr:colOff>
      <xdr:row>1</xdr:row>
      <xdr:rowOff>102088</xdr:rowOff>
    </xdr:from>
    <xdr:to>
      <xdr:col>20</xdr:col>
      <xdr:colOff>484308</xdr:colOff>
      <xdr:row>3</xdr:row>
      <xdr:rowOff>38589</xdr:rowOff>
    </xdr:to>
    <xdr:sp macro="" textlink="">
      <xdr:nvSpPr>
        <xdr:cNvPr id="3" name="Rectangle 2"/>
        <xdr:cNvSpPr/>
      </xdr:nvSpPr>
      <xdr:spPr>
        <a:xfrm>
          <a:off x="11306664" y="292588"/>
          <a:ext cx="1369644" cy="317501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External Pressure</a:t>
          </a:r>
        </a:p>
      </xdr:txBody>
    </xdr:sp>
    <xdr:clientData/>
  </xdr:twoCellAnchor>
  <xdr:twoCellAnchor>
    <xdr:from>
      <xdr:col>2</xdr:col>
      <xdr:colOff>479425</xdr:colOff>
      <xdr:row>0</xdr:row>
      <xdr:rowOff>0</xdr:rowOff>
    </xdr:from>
    <xdr:to>
      <xdr:col>6</xdr:col>
      <xdr:colOff>296250</xdr:colOff>
      <xdr:row>1</xdr:row>
      <xdr:rowOff>127001</xdr:rowOff>
    </xdr:to>
    <xdr:sp macro="" textlink="">
      <xdr:nvSpPr>
        <xdr:cNvPr id="4" name="Rectangle 3"/>
        <xdr:cNvSpPr/>
      </xdr:nvSpPr>
      <xdr:spPr>
        <a:xfrm>
          <a:off x="1698625" y="0"/>
          <a:ext cx="2255225" cy="317501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Pressure Vessels and Boiler Components</a:t>
          </a:r>
        </a:p>
      </xdr:txBody>
    </xdr:sp>
    <xdr:clientData/>
  </xdr:twoCellAnchor>
  <xdr:twoCellAnchor>
    <xdr:from>
      <xdr:col>4</xdr:col>
      <xdr:colOff>590062</xdr:colOff>
      <xdr:row>64</xdr:row>
      <xdr:rowOff>125289</xdr:rowOff>
    </xdr:from>
    <xdr:to>
      <xdr:col>9</xdr:col>
      <xdr:colOff>243252</xdr:colOff>
      <xdr:row>66</xdr:row>
      <xdr:rowOff>98914</xdr:rowOff>
    </xdr:to>
    <xdr:sp macro="" textlink="">
      <xdr:nvSpPr>
        <xdr:cNvPr id="5" name="Rectangle 4"/>
        <xdr:cNvSpPr/>
      </xdr:nvSpPr>
      <xdr:spPr>
        <a:xfrm>
          <a:off x="3028462" y="12317289"/>
          <a:ext cx="2701190" cy="354625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Piping Components and Boiler Tubes</a:t>
          </a:r>
        </a:p>
      </xdr:txBody>
    </xdr:sp>
    <xdr:clientData/>
  </xdr:twoCellAnchor>
  <xdr:twoCellAnchor>
    <xdr:from>
      <xdr:col>0</xdr:col>
      <xdr:colOff>0</xdr:colOff>
      <xdr:row>64</xdr:row>
      <xdr:rowOff>151912</xdr:rowOff>
    </xdr:from>
    <xdr:to>
      <xdr:col>4</xdr:col>
      <xdr:colOff>262790</xdr:colOff>
      <xdr:row>66</xdr:row>
      <xdr:rowOff>125537</xdr:rowOff>
    </xdr:to>
    <xdr:sp macro="" textlink="">
      <xdr:nvSpPr>
        <xdr:cNvPr id="6" name="Rectangle 5"/>
        <xdr:cNvSpPr/>
      </xdr:nvSpPr>
      <xdr:spPr>
        <a:xfrm>
          <a:off x="0" y="12343912"/>
          <a:ext cx="2701190" cy="354625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API 650 Storage Tanks</a:t>
          </a:r>
        </a:p>
      </xdr:txBody>
    </xdr:sp>
    <xdr:clientData/>
  </xdr:twoCellAnchor>
  <xdr:twoCellAnchor>
    <xdr:from>
      <xdr:col>0</xdr:col>
      <xdr:colOff>0</xdr:colOff>
      <xdr:row>5</xdr:row>
      <xdr:rowOff>104774</xdr:rowOff>
    </xdr:from>
    <xdr:to>
      <xdr:col>9</xdr:col>
      <xdr:colOff>257583</xdr:colOff>
      <xdr:row>62</xdr:row>
      <xdr:rowOff>161925</xdr:rowOff>
    </xdr:to>
    <xdr:grpSp>
      <xdr:nvGrpSpPr>
        <xdr:cNvPr id="58" name="Group 57"/>
        <xdr:cNvGrpSpPr/>
      </xdr:nvGrpSpPr>
      <xdr:grpSpPr>
        <a:xfrm>
          <a:off x="0" y="1057274"/>
          <a:ext cx="5743983" cy="10915651"/>
          <a:chOff x="5810250" y="1304924"/>
          <a:chExt cx="5743983" cy="10915651"/>
        </a:xfrm>
      </xdr:grpSpPr>
      <xdr:sp macro="" textlink="">
        <xdr:nvSpPr>
          <xdr:cNvPr id="19" name="Rectangle 18"/>
          <xdr:cNvSpPr/>
        </xdr:nvSpPr>
        <xdr:spPr>
          <a:xfrm>
            <a:off x="5810250" y="1304924"/>
            <a:ext cx="3590925" cy="1895475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2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Cylindrical Shells: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parameter require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1) internal pressure, P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2) allowance stress, S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3) weld efficency, E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determine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- minimum thickness, t</a:t>
            </a:r>
            <a:r>
              <a:rPr kumimoji="0" lang="en-US" sz="1200" b="0" i="0" u="none" strike="noStrike" kern="0" cap="none" spc="0" normalizeH="0" baseline="-2500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min  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- maximum allowable working pressure, MAWP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 - maximum stress, </a:t>
            </a:r>
            <a:r>
              <a: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  <a:sym typeface="Symbol"/>
              </a:rPr>
              <a:t></a:t>
            </a:r>
            <a:endPara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</xdr:txBody>
      </xdr:sp>
      <xdr:grpSp>
        <xdr:nvGrpSpPr>
          <xdr:cNvPr id="57" name="Group 56"/>
          <xdr:cNvGrpSpPr/>
        </xdr:nvGrpSpPr>
        <xdr:grpSpPr>
          <a:xfrm>
            <a:off x="5810250" y="3295650"/>
            <a:ext cx="5743983" cy="8924925"/>
            <a:chOff x="5810250" y="3295650"/>
            <a:chExt cx="5743983" cy="8924925"/>
          </a:xfrm>
        </xdr:grpSpPr>
        <xdr:sp macro="" textlink="">
          <xdr:nvSpPr>
            <xdr:cNvPr id="20" name="Rectangle 19"/>
            <xdr:cNvSpPr/>
          </xdr:nvSpPr>
          <xdr:spPr>
            <a:xfrm>
              <a:off x="6600824" y="3295650"/>
              <a:ext cx="3590925" cy="333375"/>
            </a:xfrm>
            <a:prstGeom prst="rect">
              <a:avLst/>
            </a:prstGeom>
            <a:solidFill>
              <a:schemeClr val="bg1"/>
            </a:solidFill>
            <a:ln w="127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Check  P ≤ 0.385SE ?</a:t>
              </a:r>
              <a:endPara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2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  <xdr:grpSp>
          <xdr:nvGrpSpPr>
            <xdr:cNvPr id="41" name="Group 40"/>
            <xdr:cNvGrpSpPr/>
          </xdr:nvGrpSpPr>
          <xdr:grpSpPr>
            <a:xfrm>
              <a:off x="6048374" y="3629024"/>
              <a:ext cx="5505859" cy="2400301"/>
              <a:chOff x="6048374" y="3629024"/>
              <a:chExt cx="5505859" cy="2400301"/>
            </a:xfrm>
          </xdr:grpSpPr>
          <xdr:pic>
            <xdr:nvPicPr>
              <xdr:cNvPr id="23" name="Picture 22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6048374" y="4352925"/>
                <a:ext cx="1533525" cy="1631731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cxnSp macro="">
            <xdr:nvCxnSpPr>
              <xdr:cNvPr id="25" name="Elbow Connector 24"/>
              <xdr:cNvCxnSpPr>
                <a:stCxn id="20" idx="2"/>
                <a:endCxn id="23" idx="0"/>
              </xdr:cNvCxnSpPr>
            </xdr:nvCxnSpPr>
            <xdr:spPr>
              <a:xfrm rot="5400000">
                <a:off x="7243762" y="3200400"/>
                <a:ext cx="723900" cy="1581150"/>
              </a:xfrm>
              <a:prstGeom prst="bentConnector3">
                <a:avLst/>
              </a:prstGeom>
              <a:ln>
                <a:solidFill>
                  <a:sysClr val="windowText" lastClr="000000"/>
                </a:solidFill>
                <a:headEnd type="none" w="med" len="med"/>
                <a:tailEnd type="triangl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pic>
            <xdr:nvPicPr>
              <xdr:cNvPr id="26" name="Picture 25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2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8963025" y="4343400"/>
                <a:ext cx="2591208" cy="1685925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cxnSp macro="">
            <xdr:nvCxnSpPr>
              <xdr:cNvPr id="28" name="Elbow Connector 27"/>
              <xdr:cNvCxnSpPr>
                <a:stCxn id="20" idx="2"/>
                <a:endCxn id="26" idx="0"/>
              </xdr:cNvCxnSpPr>
            </xdr:nvCxnSpPr>
            <xdr:spPr>
              <a:xfrm rot="16200000" flipH="1">
                <a:off x="8970271" y="3055041"/>
                <a:ext cx="714375" cy="1862342"/>
              </a:xfrm>
              <a:prstGeom prst="bentConnector3">
                <a:avLst/>
              </a:prstGeom>
              <a:ln>
                <a:solidFill>
                  <a:sysClr val="windowText" lastClr="000000"/>
                </a:solidFill>
                <a:headEnd type="none" w="med" len="med"/>
                <a:tailEnd type="triangl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31" name="Rectangle 30"/>
              <xdr:cNvSpPr/>
            </xdr:nvSpPr>
            <xdr:spPr>
              <a:xfrm>
                <a:off x="7038975" y="3857626"/>
                <a:ext cx="2857500" cy="323850"/>
              </a:xfrm>
              <a:prstGeom prst="rect">
                <a:avLst/>
              </a:prstGeom>
              <a:solidFill>
                <a:schemeClr val="bg1"/>
              </a:solidFill>
              <a:ln w="12700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200" b="1" i="0" u="none" strike="noStrike" kern="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+mn-lt"/>
                    <a:ea typeface="+mn-ea"/>
                    <a:cs typeface="+mn-cs"/>
                  </a:rPr>
                  <a:t>circumferential stress (Longitudinal Joint)</a:t>
                </a:r>
                <a:endPara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endParaRP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39" name="Rectangle 38"/>
              <xdr:cNvSpPr/>
            </xdr:nvSpPr>
            <xdr:spPr>
              <a:xfrm>
                <a:off x="6572251" y="3781425"/>
                <a:ext cx="561974" cy="228601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200" b="1" i="0" u="none" strike="noStrike" kern="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+mn-lt"/>
                    <a:ea typeface="+mn-ea"/>
                    <a:cs typeface="+mn-cs"/>
                  </a:rPr>
                  <a:t>yes</a:t>
                </a:r>
                <a:endPara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endParaRP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0" name="Rectangle 39"/>
              <xdr:cNvSpPr/>
            </xdr:nvSpPr>
            <xdr:spPr>
              <a:xfrm>
                <a:off x="9820276" y="3771900"/>
                <a:ext cx="561974" cy="228601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200" b="1" i="0" u="none" strike="noStrike" kern="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+mn-lt"/>
                    <a:ea typeface="+mn-ea"/>
                    <a:cs typeface="+mn-cs"/>
                  </a:rPr>
                  <a:t>no</a:t>
                </a:r>
                <a:endPara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endParaRP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56" name="Group 55"/>
            <xdr:cNvGrpSpPr/>
          </xdr:nvGrpSpPr>
          <xdr:grpSpPr>
            <a:xfrm>
              <a:off x="5810250" y="6257925"/>
              <a:ext cx="5648325" cy="2752725"/>
              <a:chOff x="5810250" y="6257925"/>
              <a:chExt cx="5648325" cy="2752725"/>
            </a:xfrm>
          </xdr:grpSpPr>
          <xdr:sp macro="" textlink="">
            <xdr:nvSpPr>
              <xdr:cNvPr id="38" name="Rectangle 37"/>
              <xdr:cNvSpPr/>
            </xdr:nvSpPr>
            <xdr:spPr>
              <a:xfrm>
                <a:off x="7162800" y="6257925"/>
                <a:ext cx="2857500" cy="323850"/>
              </a:xfrm>
              <a:prstGeom prst="rect">
                <a:avLst/>
              </a:prstGeom>
              <a:solidFill>
                <a:schemeClr val="bg1"/>
              </a:solidFill>
              <a:ln w="12700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200" b="1" i="0" u="none" strike="noStrike" kern="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+mn-lt"/>
                    <a:ea typeface="+mn-ea"/>
                    <a:cs typeface="+mn-cs"/>
                  </a:rPr>
                  <a:t>Longitudinal (Circumferential  Joint)</a:t>
                </a:r>
                <a:endPara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endParaRP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endParaRPr>
              </a:p>
            </xdr:txBody>
          </xdr:sp>
          <xdr:pic>
            <xdr:nvPicPr>
              <xdr:cNvPr id="42" name="Picture 41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5810250" y="6934200"/>
                <a:ext cx="2276475" cy="207645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44" name="Picture 43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4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9077325" y="6934200"/>
                <a:ext cx="2381250" cy="190500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cxnSp macro="">
            <xdr:nvCxnSpPr>
              <xdr:cNvPr id="46" name="Elbow Connector 45"/>
              <xdr:cNvCxnSpPr>
                <a:stCxn id="38" idx="2"/>
                <a:endCxn id="44" idx="0"/>
              </xdr:cNvCxnSpPr>
            </xdr:nvCxnSpPr>
            <xdr:spPr>
              <a:xfrm rot="16200000" flipH="1">
                <a:off x="9253538" y="5919787"/>
                <a:ext cx="352425" cy="1676400"/>
              </a:xfrm>
              <a:prstGeom prst="bentConnector3">
                <a:avLst/>
              </a:prstGeom>
              <a:ln>
                <a:solidFill>
                  <a:sysClr val="windowText" lastClr="000000"/>
                </a:solidFill>
                <a:headEnd type="none" w="med" len="med"/>
                <a:tailEnd type="triangl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8" name="Elbow Connector 47"/>
              <xdr:cNvCxnSpPr>
                <a:stCxn id="38" idx="2"/>
                <a:endCxn id="42" idx="0"/>
              </xdr:cNvCxnSpPr>
            </xdr:nvCxnSpPr>
            <xdr:spPr>
              <a:xfrm rot="5400000">
                <a:off x="7593807" y="5936456"/>
                <a:ext cx="352425" cy="1643062"/>
              </a:xfrm>
              <a:prstGeom prst="bentConnector3">
                <a:avLst/>
              </a:prstGeom>
              <a:ln>
                <a:solidFill>
                  <a:sysClr val="windowText" lastClr="000000"/>
                </a:solidFill>
                <a:headEnd type="none" w="med" len="med"/>
                <a:tailEnd type="triangl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51" name="Rectangle 50"/>
              <xdr:cNvSpPr/>
            </xdr:nvSpPr>
            <xdr:spPr>
              <a:xfrm>
                <a:off x="9401175" y="6534150"/>
                <a:ext cx="561974" cy="228601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200" b="1" i="0" u="none" strike="noStrike" kern="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+mn-lt"/>
                    <a:ea typeface="+mn-ea"/>
                    <a:cs typeface="+mn-cs"/>
                  </a:rPr>
                  <a:t>no</a:t>
                </a:r>
                <a:endPara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endParaRP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52" name="Rectangle 51"/>
              <xdr:cNvSpPr/>
            </xdr:nvSpPr>
            <xdr:spPr>
              <a:xfrm>
                <a:off x="7515224" y="6543674"/>
                <a:ext cx="561974" cy="228601"/>
              </a:xfrm>
              <a:prstGeom prst="rect">
                <a:avLst/>
              </a:prstGeom>
              <a:noFill/>
              <a:ln w="12700"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200" b="1" i="0" u="none" strike="noStrike" kern="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+mn-lt"/>
                    <a:ea typeface="+mn-ea"/>
                    <a:cs typeface="+mn-cs"/>
                  </a:rPr>
                  <a:t>yes</a:t>
                </a:r>
                <a:endPara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endParaRP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endParaRPr>
              </a:p>
            </xdr:txBody>
          </xdr:sp>
        </xdr:grpSp>
        <xdr:grpSp>
          <xdr:nvGrpSpPr>
            <xdr:cNvPr id="55" name="Group 54"/>
            <xdr:cNvGrpSpPr/>
          </xdr:nvGrpSpPr>
          <xdr:grpSpPr>
            <a:xfrm>
              <a:off x="7010400" y="9134474"/>
              <a:ext cx="3267075" cy="3086101"/>
              <a:chOff x="7000875" y="8963024"/>
              <a:chExt cx="3267075" cy="3086101"/>
            </a:xfrm>
          </xdr:grpSpPr>
          <xdr:sp macro="" textlink="">
            <xdr:nvSpPr>
              <xdr:cNvPr id="53" name="Rectangle 52"/>
              <xdr:cNvSpPr/>
            </xdr:nvSpPr>
            <xdr:spPr>
              <a:xfrm>
                <a:off x="7219950" y="8963024"/>
                <a:ext cx="2857500" cy="1162051"/>
              </a:xfrm>
              <a:prstGeom prst="rect">
                <a:avLst/>
              </a:prstGeom>
              <a:solidFill>
                <a:schemeClr val="bg1"/>
              </a:solidFill>
              <a:ln w="12700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200" b="1" i="0" u="none" strike="noStrike" kern="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+mn-lt"/>
                    <a:ea typeface="+mn-ea"/>
                    <a:cs typeface="+mn-cs"/>
                  </a:rPr>
                  <a:t>Conclusion</a:t>
                </a:r>
              </a:p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200" b="0" i="0" u="none" strike="noStrike" kern="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+mn-lt"/>
                    <a:ea typeface="+mn-ea"/>
                    <a:cs typeface="+mn-cs"/>
                  </a:rPr>
                  <a:t>- minimum requirement thickness (mm)</a:t>
                </a:r>
              </a:p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200" b="0" i="0" u="none" strike="noStrike" kern="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+mn-lt"/>
                    <a:ea typeface="+mn-ea"/>
                    <a:cs typeface="+mn-cs"/>
                  </a:rPr>
                  <a:t> - maximum allowable working pressure, MAWP</a:t>
                </a: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200" b="0" i="0" u="none" strike="noStrike" kern="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+mn-lt"/>
                    <a:ea typeface="+mn-ea"/>
                    <a:cs typeface="+mn-cs"/>
                  </a:rPr>
                  <a:t> - maximum stress, </a:t>
                </a:r>
                <a:r>
                  <a:rPr kumimoji="0" lang="en-US" sz="1200" b="0" i="0" u="none" strike="noStrike" kern="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+mn-lt"/>
                    <a:ea typeface="+mn-ea"/>
                    <a:cs typeface="+mn-cs"/>
                    <a:sym typeface="Symbol"/>
                  </a:rPr>
                  <a:t></a:t>
                </a:r>
                <a:r>
                  <a:rPr kumimoji="0" lang="en-US" sz="1200" b="0" i="0" u="none" strike="noStrike" kern="0" cap="none" spc="0" normalizeH="0" baseline="-2500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+mn-lt"/>
                    <a:ea typeface="+mn-ea"/>
                    <a:cs typeface="+mn-cs"/>
                    <a:sym typeface="Symbol"/>
                  </a:rPr>
                  <a:t>m</a:t>
                </a:r>
                <a:endParaRPr kumimoji="0" lang="en-US" sz="1200" b="0" i="0" u="none" strike="noStrike" kern="0" cap="none" spc="0" normalizeH="0" baseline="-2500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endParaRP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endParaRPr>
              </a:p>
            </xdr:txBody>
          </xdr:sp>
          <xdr:pic>
            <xdr:nvPicPr>
              <xdr:cNvPr id="54" name="Picture 53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5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7000875" y="10220325"/>
                <a:ext cx="3267075" cy="182880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</xdr:grpSp>
      </xdr:grpSp>
    </xdr:grpSp>
    <xdr:clientData/>
  </xdr:twoCellAnchor>
  <xdr:twoCellAnchor>
    <xdr:from>
      <xdr:col>10</xdr:col>
      <xdr:colOff>295275</xdr:colOff>
      <xdr:row>4</xdr:row>
      <xdr:rowOff>114300</xdr:rowOff>
    </xdr:from>
    <xdr:to>
      <xdr:col>22</xdr:col>
      <xdr:colOff>285749</xdr:colOff>
      <xdr:row>38</xdr:row>
      <xdr:rowOff>180975</xdr:rowOff>
    </xdr:to>
    <xdr:grpSp>
      <xdr:nvGrpSpPr>
        <xdr:cNvPr id="15" name="Group 14"/>
        <xdr:cNvGrpSpPr/>
      </xdr:nvGrpSpPr>
      <xdr:grpSpPr>
        <a:xfrm>
          <a:off x="6391275" y="876300"/>
          <a:ext cx="7305674" cy="6543675"/>
          <a:chOff x="6391275" y="876300"/>
          <a:chExt cx="7305674" cy="6543675"/>
        </a:xfrm>
      </xdr:grpSpPr>
      <xdr:grpSp>
        <xdr:nvGrpSpPr>
          <xdr:cNvPr id="14" name="Group 13"/>
          <xdr:cNvGrpSpPr/>
        </xdr:nvGrpSpPr>
        <xdr:grpSpPr>
          <a:xfrm>
            <a:off x="6391275" y="876300"/>
            <a:ext cx="7305674" cy="5943600"/>
            <a:chOff x="6391275" y="876300"/>
            <a:chExt cx="7305674" cy="5943600"/>
          </a:xfrm>
        </xdr:grpSpPr>
        <xdr:sp macro="" textlink="">
          <xdr:nvSpPr>
            <xdr:cNvPr id="30" name="Rectangle 29"/>
            <xdr:cNvSpPr/>
          </xdr:nvSpPr>
          <xdr:spPr>
            <a:xfrm>
              <a:off x="6391275" y="876300"/>
              <a:ext cx="3590925" cy="2114550"/>
            </a:xfrm>
            <a:prstGeom prst="rect">
              <a:avLst/>
            </a:prstGeom>
            <a:solidFill>
              <a:schemeClr val="bg1"/>
            </a:solidFill>
            <a:ln w="127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Elliptical Head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parameter require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1) internal pressure, P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2) allowance stress, S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3) weld efficency, E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4) Inner radius,R</a:t>
              </a:r>
              <a:r>
                <a:rPr kumimoji="0" lang="en-US" sz="1200" b="0" i="0" u="none" strike="noStrike" kern="0" cap="none" spc="0" normalizeH="0" baseline="-2500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ell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 and Inner diameter, D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determine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 - minimum thickness, t</a:t>
              </a:r>
              <a:r>
                <a:rPr kumimoji="0" lang="en-US" sz="1200" b="0" i="0" u="none" strike="noStrike" kern="0" cap="none" spc="0" normalizeH="0" baseline="-2500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min 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 - maximum allowable working pressure, MAWP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 - maximum stress,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  <a:sym typeface="Symbol"/>
                </a:rPr>
                <a:t></a:t>
              </a:r>
              <a:endPara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2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  <xdr:grpSp>
          <xdr:nvGrpSpPr>
            <xdr:cNvPr id="7" name="Group 6"/>
            <xdr:cNvGrpSpPr/>
          </xdr:nvGrpSpPr>
          <xdr:grpSpPr>
            <a:xfrm>
              <a:off x="6400800" y="2990850"/>
              <a:ext cx="3590925" cy="828675"/>
              <a:chOff x="6400800" y="2914650"/>
              <a:chExt cx="3590925" cy="828675"/>
            </a:xfrm>
          </xdr:grpSpPr>
          <xdr:sp macro="" textlink="">
            <xdr:nvSpPr>
              <xdr:cNvPr id="32" name="Rectangle 31"/>
              <xdr:cNvSpPr/>
            </xdr:nvSpPr>
            <xdr:spPr>
              <a:xfrm>
                <a:off x="6400800" y="2914650"/>
                <a:ext cx="3590925" cy="828675"/>
              </a:xfrm>
              <a:prstGeom prst="rect">
                <a:avLst/>
              </a:prstGeom>
              <a:solidFill>
                <a:schemeClr val="bg1"/>
              </a:solidFill>
              <a:ln w="12700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endParaRP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200" b="1" i="0" u="none" strike="noStrike" kern="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+mn-lt"/>
                    <a:ea typeface="+mn-ea"/>
                    <a:cs typeface="+mn-cs"/>
                  </a:rPr>
                  <a:t>and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endParaRPr>
              </a:p>
            </xdr:txBody>
          </xdr:sp>
          <xdr:pic>
            <xdr:nvPicPr>
              <xdr:cNvPr id="33" name="Picture 32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6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7162800" y="3381375"/>
                <a:ext cx="2047875" cy="314325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34" name="Picture 33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7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7591425" y="2962275"/>
                <a:ext cx="1209675" cy="22860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</xdr:grpSp>
        <xdr:grpSp>
          <xdr:nvGrpSpPr>
            <xdr:cNvPr id="8" name="Group 7"/>
            <xdr:cNvGrpSpPr/>
          </xdr:nvGrpSpPr>
          <xdr:grpSpPr>
            <a:xfrm>
              <a:off x="7105650" y="4229100"/>
              <a:ext cx="2314575" cy="2590800"/>
              <a:chOff x="7096125" y="4057650"/>
              <a:chExt cx="2314575" cy="2590800"/>
            </a:xfrm>
          </xdr:grpSpPr>
          <xdr:pic>
            <xdr:nvPicPr>
              <xdr:cNvPr id="35" name="Picture 34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8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7096125" y="4057650"/>
                <a:ext cx="2314575" cy="211455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36" name="Picture 35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9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7143750" y="6124575"/>
                <a:ext cx="1514475" cy="523875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</xdr:grpSp>
        <xdr:grpSp>
          <xdr:nvGrpSpPr>
            <xdr:cNvPr id="11" name="Group 10"/>
            <xdr:cNvGrpSpPr/>
          </xdr:nvGrpSpPr>
          <xdr:grpSpPr>
            <a:xfrm>
              <a:off x="7981950" y="3876675"/>
              <a:ext cx="904119" cy="264560"/>
              <a:chOff x="8010525" y="3790950"/>
              <a:chExt cx="904119" cy="264560"/>
            </a:xfrm>
          </xdr:grpSpPr>
          <xdr:sp macro="" textlink="">
            <xdr:nvSpPr>
              <xdr:cNvPr id="9" name="Down Arrow 8"/>
              <xdr:cNvSpPr/>
            </xdr:nvSpPr>
            <xdr:spPr>
              <a:xfrm>
                <a:off x="8010525" y="3867150"/>
                <a:ext cx="257175" cy="142875"/>
              </a:xfrm>
              <a:prstGeom prst="downArrow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8277225" y="3790950"/>
                <a:ext cx="637419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sz="1100" b="1"/>
                  <a:t>yes (all)</a:t>
                </a:r>
              </a:p>
            </xdr:txBody>
          </xdr:sp>
        </xdr:grpSp>
        <xdr:grpSp>
          <xdr:nvGrpSpPr>
            <xdr:cNvPr id="13" name="Group 12"/>
            <xdr:cNvGrpSpPr/>
          </xdr:nvGrpSpPr>
          <xdr:grpSpPr>
            <a:xfrm>
              <a:off x="10086975" y="2933700"/>
              <a:ext cx="962025" cy="533400"/>
              <a:chOff x="10086975" y="2933700"/>
              <a:chExt cx="962025" cy="533400"/>
            </a:xfrm>
          </xdr:grpSpPr>
          <xdr:sp macro="" textlink="">
            <xdr:nvSpPr>
              <xdr:cNvPr id="12" name="Right Arrow 11"/>
              <xdr:cNvSpPr/>
            </xdr:nvSpPr>
            <xdr:spPr>
              <a:xfrm>
                <a:off x="10096500" y="3209925"/>
                <a:ext cx="200025" cy="257175"/>
              </a:xfrm>
              <a:prstGeom prst="rightArrow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43" name="TextBox 42"/>
              <xdr:cNvSpPr txBox="1"/>
            </xdr:nvSpPr>
            <xdr:spPr>
              <a:xfrm>
                <a:off x="10086975" y="2933700"/>
                <a:ext cx="962025" cy="26456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US" sz="1100" b="1"/>
                  <a:t>no (leastone)</a:t>
                </a:r>
              </a:p>
            </xdr:txBody>
          </xdr:sp>
        </xdr:grpSp>
        <xdr:sp macro="" textlink="">
          <xdr:nvSpPr>
            <xdr:cNvPr id="45" name="Rectangle 44"/>
            <xdr:cNvSpPr/>
          </xdr:nvSpPr>
          <xdr:spPr>
            <a:xfrm>
              <a:off x="11049000" y="2457449"/>
              <a:ext cx="2647949" cy="1590675"/>
            </a:xfrm>
            <a:prstGeom prst="rect">
              <a:avLst/>
            </a:prstGeom>
            <a:solidFill>
              <a:srgbClr val="FF0000"/>
            </a:solidFill>
            <a:ln w="127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End 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or please input </a:t>
              </a:r>
              <a:endPara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 - minimum thickness, t</a:t>
              </a:r>
              <a:r>
                <a:rPr kumimoji="0" lang="en-US" sz="1200" b="0" i="0" u="none" strike="noStrike" kern="0" cap="none" spc="0" normalizeH="0" baseline="-2500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min 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 - maximum allowable working pressure, MAWP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 - maximum stress,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  <a:sym typeface="Symbol"/>
                </a:rPr>
                <a:t></a:t>
              </a:r>
              <a:endParaRPr kumimoji="0" lang="en-U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2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</xdr:grpSp>
      <xdr:pic>
        <xdr:nvPicPr>
          <xdr:cNvPr id="72" name="Picture 71"/>
          <xdr:cNvPicPr>
            <a:picLocks noChangeAspect="1" noChangeArrowheads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582150" y="4191000"/>
            <a:ext cx="3952875" cy="32289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23</xdr:col>
      <xdr:colOff>95250</xdr:colOff>
      <xdr:row>3</xdr:row>
      <xdr:rowOff>133350</xdr:rowOff>
    </xdr:from>
    <xdr:to>
      <xdr:col>34</xdr:col>
      <xdr:colOff>485775</xdr:colOff>
      <xdr:row>43</xdr:row>
      <xdr:rowOff>57150</xdr:rowOff>
    </xdr:to>
    <xdr:grpSp>
      <xdr:nvGrpSpPr>
        <xdr:cNvPr id="17" name="Group 16"/>
        <xdr:cNvGrpSpPr/>
      </xdr:nvGrpSpPr>
      <xdr:grpSpPr>
        <a:xfrm>
          <a:off x="14116050" y="704850"/>
          <a:ext cx="7096125" cy="7543800"/>
          <a:chOff x="14116050" y="704850"/>
          <a:chExt cx="7096125" cy="7543800"/>
        </a:xfrm>
      </xdr:grpSpPr>
      <xdr:pic>
        <xdr:nvPicPr>
          <xdr:cNvPr id="73" name="Picture 72"/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678400" y="4191000"/>
            <a:ext cx="3533775" cy="40576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16" name="Group 15"/>
          <xdr:cNvGrpSpPr/>
        </xdr:nvGrpSpPr>
        <xdr:grpSpPr>
          <a:xfrm>
            <a:off x="14116050" y="704850"/>
            <a:ext cx="3590925" cy="6067425"/>
            <a:chOff x="14116050" y="704850"/>
            <a:chExt cx="3590925" cy="6067425"/>
          </a:xfrm>
        </xdr:grpSpPr>
        <xdr:grpSp>
          <xdr:nvGrpSpPr>
            <xdr:cNvPr id="47" name="Group 46"/>
            <xdr:cNvGrpSpPr/>
          </xdr:nvGrpSpPr>
          <xdr:grpSpPr>
            <a:xfrm>
              <a:off x="14116050" y="704850"/>
              <a:ext cx="3590925" cy="3295650"/>
              <a:chOff x="6400800" y="800100"/>
              <a:chExt cx="3590925" cy="3295650"/>
            </a:xfrm>
          </xdr:grpSpPr>
          <xdr:sp macro="" textlink="">
            <xdr:nvSpPr>
              <xdr:cNvPr id="49" name="Rectangle 48"/>
              <xdr:cNvSpPr/>
            </xdr:nvSpPr>
            <xdr:spPr>
              <a:xfrm>
                <a:off x="6400800" y="800100"/>
                <a:ext cx="3590925" cy="2343150"/>
              </a:xfrm>
              <a:prstGeom prst="rect">
                <a:avLst/>
              </a:prstGeom>
              <a:solidFill>
                <a:schemeClr val="bg1"/>
              </a:solidFill>
              <a:ln w="12700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200" b="1" i="0" u="none" strike="noStrike" kern="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+mn-lt"/>
                    <a:ea typeface="+mn-ea"/>
                    <a:cs typeface="+mn-cs"/>
                  </a:rPr>
                  <a:t>Torispherical Head</a:t>
                </a: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200" b="0" i="0" u="none" strike="noStrike" kern="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+mn-lt"/>
                    <a:ea typeface="+mn-ea"/>
                    <a:cs typeface="+mn-cs"/>
                  </a:rPr>
                  <a:t>parameter require</a:t>
                </a: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200" b="0" i="0" u="none" strike="noStrike" kern="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+mn-lt"/>
                    <a:ea typeface="+mn-ea"/>
                    <a:cs typeface="+mn-cs"/>
                  </a:rPr>
                  <a:t>1) internal pressure, P</a:t>
                </a: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200" b="0" i="0" u="none" strike="noStrike" kern="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+mn-lt"/>
                    <a:ea typeface="+mn-ea"/>
                    <a:cs typeface="+mn-cs"/>
                  </a:rPr>
                  <a:t>2) allowance stress, S</a:t>
                </a: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200" b="0" i="0" u="none" strike="noStrike" kern="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+mn-lt"/>
                    <a:ea typeface="+mn-ea"/>
                    <a:cs typeface="+mn-cs"/>
                  </a:rPr>
                  <a:t>3) weld efficency, E</a:t>
                </a: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200" b="0" i="0" u="none" strike="noStrike" kern="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+mn-lt"/>
                    <a:ea typeface="+mn-ea"/>
                    <a:cs typeface="+mn-cs"/>
                  </a:rPr>
                  <a:t>4) inside crown radius , D</a:t>
                </a: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200" b="0" i="0" u="none" strike="noStrike" kern="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+mn-lt"/>
                    <a:ea typeface="+mn-ea"/>
                    <a:cs typeface="+mn-cs"/>
                  </a:rPr>
                  <a:t>5) inside knuckle radius, r</a:t>
                </a:r>
                <a:r>
                  <a:rPr kumimoji="0" lang="en-US" sz="1200" b="0" i="0" u="none" strike="noStrike" kern="0" cap="none" spc="0" normalizeH="0" baseline="-2500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+mn-lt"/>
                    <a:ea typeface="+mn-ea"/>
                    <a:cs typeface="+mn-cs"/>
                  </a:rPr>
                  <a:t>k</a:t>
                </a: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200" b="0" i="0" u="none" strike="noStrike" kern="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+mn-lt"/>
                    <a:ea typeface="+mn-ea"/>
                    <a:cs typeface="+mn-cs"/>
                  </a:rPr>
                  <a:t>determine</a:t>
                </a: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200" b="0" i="0" u="none" strike="noStrike" kern="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+mn-lt"/>
                    <a:ea typeface="+mn-ea"/>
                    <a:cs typeface="+mn-cs"/>
                  </a:rPr>
                  <a:t> - minimum thickness, t</a:t>
                </a:r>
                <a:r>
                  <a:rPr kumimoji="0" lang="en-US" sz="1200" b="0" i="0" u="none" strike="noStrike" kern="0" cap="none" spc="0" normalizeH="0" baseline="-2500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+mn-lt"/>
                    <a:ea typeface="+mn-ea"/>
                    <a:cs typeface="+mn-cs"/>
                  </a:rPr>
                  <a:t>min  </a:t>
                </a: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200" b="0" i="0" u="none" strike="noStrike" kern="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+mn-lt"/>
                    <a:ea typeface="+mn-ea"/>
                    <a:cs typeface="+mn-cs"/>
                  </a:rPr>
                  <a:t> - maximum allowable working pressure, MAWP</a:t>
                </a: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200" b="0" i="0" u="none" strike="noStrike" kern="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+mn-lt"/>
                    <a:ea typeface="+mn-ea"/>
                    <a:cs typeface="+mn-cs"/>
                  </a:rPr>
                  <a:t> - maximum stress, </a:t>
                </a:r>
                <a:r>
                  <a:rPr kumimoji="0" lang="en-US" sz="1200" b="0" i="0" u="none" strike="noStrike" kern="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+mn-lt"/>
                    <a:ea typeface="+mn-ea"/>
                    <a:cs typeface="+mn-cs"/>
                    <a:sym typeface="Symbol"/>
                  </a:rPr>
                  <a:t></a:t>
                </a:r>
                <a:endPara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endParaRP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65" name="Down Arrow 64"/>
              <xdr:cNvSpPr/>
            </xdr:nvSpPr>
            <xdr:spPr>
              <a:xfrm>
                <a:off x="7981950" y="3267075"/>
                <a:ext cx="257175" cy="828675"/>
              </a:xfrm>
              <a:prstGeom prst="downArrow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pic>
          <xdr:nvPicPr>
            <xdr:cNvPr id="77" name="Picture 76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782800" y="4000500"/>
              <a:ext cx="1933575" cy="20955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8" name="Picture 77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859000" y="6105525"/>
              <a:ext cx="1704975" cy="66675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36</xdr:col>
      <xdr:colOff>19050</xdr:colOff>
      <xdr:row>2</xdr:row>
      <xdr:rowOff>152400</xdr:rowOff>
    </xdr:from>
    <xdr:to>
      <xdr:col>45</xdr:col>
      <xdr:colOff>142875</xdr:colOff>
      <xdr:row>68</xdr:row>
      <xdr:rowOff>57150</xdr:rowOff>
    </xdr:to>
    <xdr:grpSp>
      <xdr:nvGrpSpPr>
        <xdr:cNvPr id="22" name="Group 21"/>
        <xdr:cNvGrpSpPr/>
      </xdr:nvGrpSpPr>
      <xdr:grpSpPr>
        <a:xfrm>
          <a:off x="21964650" y="533400"/>
          <a:ext cx="5610225" cy="12477750"/>
          <a:chOff x="21850350" y="0"/>
          <a:chExt cx="5610225" cy="12477750"/>
        </a:xfrm>
      </xdr:grpSpPr>
      <xdr:grpSp>
        <xdr:nvGrpSpPr>
          <xdr:cNvPr id="21" name="Group 20"/>
          <xdr:cNvGrpSpPr/>
        </xdr:nvGrpSpPr>
        <xdr:grpSpPr>
          <a:xfrm>
            <a:off x="21850350" y="0"/>
            <a:ext cx="5610225" cy="12477750"/>
            <a:chOff x="21850350" y="0"/>
            <a:chExt cx="5610225" cy="12477750"/>
          </a:xfrm>
        </xdr:grpSpPr>
        <xdr:grpSp>
          <xdr:nvGrpSpPr>
            <xdr:cNvPr id="18" name="Group 17"/>
            <xdr:cNvGrpSpPr/>
          </xdr:nvGrpSpPr>
          <xdr:grpSpPr>
            <a:xfrm>
              <a:off x="21936075" y="0"/>
              <a:ext cx="5524500" cy="6553200"/>
              <a:chOff x="21936075" y="0"/>
              <a:chExt cx="5524500" cy="6553200"/>
            </a:xfrm>
          </xdr:grpSpPr>
          <xdr:grpSp>
            <xdr:nvGrpSpPr>
              <xdr:cNvPr id="83" name="Group 82"/>
              <xdr:cNvGrpSpPr/>
            </xdr:nvGrpSpPr>
            <xdr:grpSpPr>
              <a:xfrm>
                <a:off x="21936075" y="0"/>
                <a:ext cx="3590925" cy="3867151"/>
                <a:chOff x="6391275" y="228600"/>
                <a:chExt cx="3590925" cy="3867151"/>
              </a:xfrm>
            </xdr:grpSpPr>
            <xdr:sp macro="" textlink="">
              <xdr:nvSpPr>
                <xdr:cNvPr id="86" name="Rectangle 85"/>
                <xdr:cNvSpPr/>
              </xdr:nvSpPr>
              <xdr:spPr>
                <a:xfrm>
                  <a:off x="6391275" y="228600"/>
                  <a:ext cx="3590925" cy="3324225"/>
                </a:xfrm>
                <a:prstGeom prst="rect">
                  <a:avLst/>
                </a:prstGeom>
                <a:solidFill>
                  <a:schemeClr val="bg1"/>
                </a:solidFill>
                <a:ln w="12700"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en-US" sz="1200" b="1" i="0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+mn-lt"/>
                      <a:ea typeface="+mn-ea"/>
                      <a:cs typeface="+mn-cs"/>
                    </a:rPr>
                    <a:t>Conical Shell</a:t>
                  </a:r>
                </a:p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en-US" sz="1200" b="0" i="0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+mn-lt"/>
                      <a:ea typeface="+mn-ea"/>
                      <a:cs typeface="+mn-cs"/>
                    </a:rPr>
                    <a:t>parameter require</a:t>
                  </a:r>
                </a:p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en-US" sz="1200" b="0" i="0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+mn-lt"/>
                      <a:ea typeface="+mn-ea"/>
                      <a:cs typeface="+mn-cs"/>
                    </a:rPr>
                    <a:t>1) internal pressure, P</a:t>
                  </a:r>
                </a:p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en-US" sz="1200" b="0" i="0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+mn-lt"/>
                      <a:ea typeface="+mn-ea"/>
                      <a:cs typeface="+mn-cs"/>
                    </a:rPr>
                    <a:t>2) allowance stress, S</a:t>
                  </a:r>
                </a:p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en-US" sz="1200" b="0" i="0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+mn-lt"/>
                      <a:ea typeface="+mn-ea"/>
                      <a:cs typeface="+mn-cs"/>
                    </a:rPr>
                    <a:t>3) weld efficency, E</a:t>
                  </a:r>
                </a:p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en-US" sz="1200" b="0" i="0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+mn-lt"/>
                      <a:ea typeface="+mn-ea"/>
                      <a:cs typeface="+mn-cs"/>
                    </a:rPr>
                    <a:t>4) inside crown radius , D</a:t>
                  </a:r>
                </a:p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en-US" sz="1200" b="0" i="0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+mn-lt"/>
                      <a:ea typeface="+mn-ea"/>
                      <a:cs typeface="+mn-cs"/>
                    </a:rPr>
                    <a:t>5) one-half apex angle of the cone in a conical shell or toriconical head (radians), </a:t>
                  </a:r>
                  <a:r>
                    <a:rPr kumimoji="0" lang="el-GR" sz="1200" b="0" i="0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+mn-lt"/>
                      <a:ea typeface="+mn-ea"/>
                      <a:cs typeface="+mn-cs"/>
                    </a:rPr>
                    <a:t>α</a:t>
                  </a:r>
                  <a:endParaRPr kumimoji="0" lang="en-US" sz="1200" b="0" i="0" u="none" strike="noStrike" kern="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en-US" sz="1200" b="0" i="0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+mn-lt"/>
                      <a:ea typeface="+mn-ea"/>
                      <a:cs typeface="+mn-cs"/>
                    </a:rPr>
                    <a:t>6) thickness, t</a:t>
                  </a:r>
                </a:p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en-US" sz="1200" b="0" i="0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+mn-lt"/>
                      <a:ea typeface="+mn-ea"/>
                      <a:cs typeface="+mn-cs"/>
                    </a:rPr>
                    <a:t>7) future corrosion allowance, FCA</a:t>
                  </a:r>
                </a:p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en-US" sz="1200" b="0" i="0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+mn-lt"/>
                      <a:ea typeface="+mn-ea"/>
                      <a:cs typeface="+mn-cs"/>
                    </a:rPr>
                    <a:t>8) metal loss, LOSS</a:t>
                  </a:r>
                </a:p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en-US" sz="1200" b="0" i="0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+mn-lt"/>
                      <a:ea typeface="+mn-ea"/>
                      <a:cs typeface="+mn-cs"/>
                    </a:rPr>
                    <a:t>determine</a:t>
                  </a:r>
                </a:p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en-US" sz="1200" b="0" i="0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+mn-lt"/>
                      <a:ea typeface="+mn-ea"/>
                      <a:cs typeface="+mn-cs"/>
                    </a:rPr>
                    <a:t> - minimum thickness, t</a:t>
                  </a:r>
                  <a:r>
                    <a:rPr kumimoji="0" lang="en-US" sz="1200" b="0" i="0" u="none" strike="noStrike" kern="0" cap="none" spc="0" normalizeH="0" baseline="-2500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+mn-lt"/>
                      <a:ea typeface="+mn-ea"/>
                      <a:cs typeface="+mn-cs"/>
                    </a:rPr>
                    <a:t>min  </a:t>
                  </a:r>
                </a:p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en-US" sz="1200" b="0" i="0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+mn-lt"/>
                      <a:ea typeface="+mn-ea"/>
                      <a:cs typeface="+mn-cs"/>
                    </a:rPr>
                    <a:t> - maximum allowable working pressure, MAWP</a:t>
                  </a:r>
                </a:p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en-US" sz="1200" b="0" i="0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+mn-lt"/>
                      <a:ea typeface="+mn-ea"/>
                      <a:cs typeface="+mn-cs"/>
                    </a:rPr>
                    <a:t> - maximum stress, </a:t>
                  </a:r>
                  <a:r>
                    <a:rPr kumimoji="0" lang="en-US" sz="1200" b="0" i="0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+mn-lt"/>
                      <a:ea typeface="+mn-ea"/>
                      <a:cs typeface="+mn-cs"/>
                      <a:sym typeface="Symbol"/>
                    </a:rPr>
                    <a:t></a:t>
                  </a:r>
                  <a:endParaRPr kumimoji="0" lang="en-US" sz="1200" b="0" i="0" u="none" strike="noStrike" kern="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kumimoji="0" lang="en-US" sz="1200" b="1" i="0" u="none" strike="noStrike" kern="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+mn-lt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93" name="Down Arrow 92"/>
                <xdr:cNvSpPr/>
              </xdr:nvSpPr>
              <xdr:spPr>
                <a:xfrm>
                  <a:off x="7981950" y="3619501"/>
                  <a:ext cx="257175" cy="476250"/>
                </a:xfrm>
                <a:prstGeom prst="downArrow">
                  <a:avLst/>
                </a:prstGeom>
                <a:solidFill>
                  <a:schemeClr val="tx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</xdr:grpSp>
          <xdr:pic>
            <xdr:nvPicPr>
              <xdr:cNvPr id="95" name="Picture 94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4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25055339" y="4124325"/>
                <a:ext cx="2405236" cy="2428875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</xdr:grpSp>
        <xdr:pic>
          <xdr:nvPicPr>
            <xdr:cNvPr id="97" name="Picture 96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1850350" y="4057650"/>
              <a:ext cx="3114675" cy="241935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8" name="Picture 97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1878925" y="6505575"/>
              <a:ext cx="3114675" cy="234315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99" name="Picture 98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1917025" y="10687050"/>
              <a:ext cx="3152775" cy="17907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00" name="Rectangle 99"/>
            <xdr:cNvSpPr/>
          </xdr:nvSpPr>
          <xdr:spPr>
            <a:xfrm>
              <a:off x="21888450" y="9486900"/>
              <a:ext cx="2857500" cy="1162051"/>
            </a:xfrm>
            <a:prstGeom prst="rect">
              <a:avLst/>
            </a:prstGeom>
            <a:solidFill>
              <a:schemeClr val="bg1"/>
            </a:solidFill>
            <a:ln w="127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Conclusion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- minimum requirement thickness (mm)</a:t>
              </a: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 - maximum allowable working pressure, MAWP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 - maximum stress, </a:t>
              </a:r>
              <a:r>
                <a:rPr kumimoji="0" lang="en-US" sz="12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  <a:sym typeface="Symbol"/>
                </a:rPr>
                <a:t></a:t>
              </a:r>
              <a:r>
                <a:rPr kumimoji="0" lang="en-US" sz="1200" b="0" i="0" u="none" strike="noStrike" kern="0" cap="none" spc="0" normalizeH="0" baseline="-2500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  <a:sym typeface="Symbol"/>
                </a:rPr>
                <a:t>m</a:t>
              </a:r>
              <a:endParaRPr kumimoji="0" lang="en-US" sz="1200" b="0" i="0" u="none" strike="noStrike" kern="0" cap="none" spc="0" normalizeH="0" baseline="-2500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2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101" name="Down Arrow 100"/>
            <xdr:cNvSpPr/>
          </xdr:nvSpPr>
          <xdr:spPr>
            <a:xfrm>
              <a:off x="23164800" y="9134475"/>
              <a:ext cx="257175" cy="142875"/>
            </a:xfrm>
            <a:prstGeom prst="downArrow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pic>
        <xdr:nvPicPr>
          <xdr:cNvPr id="102" name="Picture 101"/>
          <xdr:cNvPicPr>
            <a:picLocks noChangeAspect="1" noChangeArrowheads="1"/>
          </xdr:cNvPicPr>
        </xdr:nvPicPr>
        <xdr:blipFill>
          <a:blip xmlns:r="http://schemas.openxmlformats.org/officeDocument/2006/relationships" r:embed="rId1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955125" y="8934450"/>
            <a:ext cx="1743075" cy="2286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51</xdr:col>
      <xdr:colOff>552450</xdr:colOff>
      <xdr:row>2</xdr:row>
      <xdr:rowOff>0</xdr:rowOff>
    </xdr:from>
    <xdr:to>
      <xdr:col>52</xdr:col>
      <xdr:colOff>200025</xdr:colOff>
      <xdr:row>2</xdr:row>
      <xdr:rowOff>142875</xdr:rowOff>
    </xdr:to>
    <xdr:sp macro="" textlink="">
      <xdr:nvSpPr>
        <xdr:cNvPr id="118" name="Down Arrow 117"/>
        <xdr:cNvSpPr/>
      </xdr:nvSpPr>
      <xdr:spPr>
        <a:xfrm>
          <a:off x="31642050" y="381000"/>
          <a:ext cx="257175" cy="142875"/>
        </a:xfrm>
        <a:prstGeom prst="down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51</xdr:col>
      <xdr:colOff>552450</xdr:colOff>
      <xdr:row>2</xdr:row>
      <xdr:rowOff>0</xdr:rowOff>
    </xdr:from>
    <xdr:to>
      <xdr:col>62</xdr:col>
      <xdr:colOff>483351</xdr:colOff>
      <xdr:row>90</xdr:row>
      <xdr:rowOff>95250</xdr:rowOff>
    </xdr:to>
    <xdr:grpSp>
      <xdr:nvGrpSpPr>
        <xdr:cNvPr id="24" name="Group 23"/>
        <xdr:cNvGrpSpPr/>
      </xdr:nvGrpSpPr>
      <xdr:grpSpPr>
        <a:xfrm>
          <a:off x="31642050" y="381000"/>
          <a:ext cx="6636501" cy="16859250"/>
          <a:chOff x="31642050" y="381000"/>
          <a:chExt cx="6636501" cy="16859250"/>
        </a:xfrm>
      </xdr:grpSpPr>
      <xdr:grpSp>
        <xdr:nvGrpSpPr>
          <xdr:cNvPr id="103" name="Group 102"/>
          <xdr:cNvGrpSpPr/>
        </xdr:nvGrpSpPr>
        <xdr:grpSpPr>
          <a:xfrm>
            <a:off x="31642050" y="381000"/>
            <a:ext cx="6636501" cy="15144751"/>
            <a:chOff x="21793200" y="0"/>
            <a:chExt cx="6636501" cy="15144751"/>
          </a:xfrm>
        </xdr:grpSpPr>
        <xdr:grpSp>
          <xdr:nvGrpSpPr>
            <xdr:cNvPr id="104" name="Group 103"/>
            <xdr:cNvGrpSpPr/>
          </xdr:nvGrpSpPr>
          <xdr:grpSpPr>
            <a:xfrm>
              <a:off x="21793200" y="0"/>
              <a:ext cx="6636501" cy="15144751"/>
              <a:chOff x="21793200" y="0"/>
              <a:chExt cx="6636501" cy="15144751"/>
            </a:xfrm>
          </xdr:grpSpPr>
          <xdr:grpSp>
            <xdr:nvGrpSpPr>
              <xdr:cNvPr id="106" name="Group 105"/>
              <xdr:cNvGrpSpPr/>
            </xdr:nvGrpSpPr>
            <xdr:grpSpPr>
              <a:xfrm>
                <a:off x="21936075" y="0"/>
                <a:ext cx="6493626" cy="8067675"/>
                <a:chOff x="21936075" y="0"/>
                <a:chExt cx="6493626" cy="8067675"/>
              </a:xfrm>
            </xdr:grpSpPr>
            <xdr:grpSp>
              <xdr:nvGrpSpPr>
                <xdr:cNvPr id="112" name="Group 111"/>
                <xdr:cNvGrpSpPr/>
              </xdr:nvGrpSpPr>
              <xdr:grpSpPr>
                <a:xfrm>
                  <a:off x="21936075" y="0"/>
                  <a:ext cx="3590925" cy="3867151"/>
                  <a:chOff x="6391275" y="228600"/>
                  <a:chExt cx="3590925" cy="3867151"/>
                </a:xfrm>
              </xdr:grpSpPr>
              <xdr:sp macro="" textlink="">
                <xdr:nvSpPr>
                  <xdr:cNvPr id="115" name="Rectangle 114"/>
                  <xdr:cNvSpPr/>
                </xdr:nvSpPr>
                <xdr:spPr>
                  <a:xfrm>
                    <a:off x="6391275" y="228600"/>
                    <a:ext cx="3590925" cy="3324225"/>
                  </a:xfrm>
                  <a:prstGeom prst="rect">
                    <a:avLst/>
                  </a:prstGeom>
                  <a:solidFill>
                    <a:schemeClr val="bg1"/>
                  </a:solidFill>
                  <a:ln w="12700">
                    <a:solidFill>
                      <a:sysClr val="windowText" lastClr="000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en-US" sz="1200" b="1" i="0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+mn-lt"/>
                        <a:ea typeface="+mn-ea"/>
                        <a:cs typeface="+mn-cs"/>
                      </a:rPr>
                      <a:t>Toriconical Head</a:t>
                    </a:r>
                  </a:p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en-US" sz="1200" b="0" i="0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+mn-lt"/>
                        <a:ea typeface="+mn-ea"/>
                        <a:cs typeface="+mn-cs"/>
                      </a:rPr>
                      <a:t>parameter require</a:t>
                    </a:r>
                  </a:p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en-US" sz="1200" b="0" i="0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+mn-lt"/>
                        <a:ea typeface="+mn-ea"/>
                        <a:cs typeface="+mn-cs"/>
                      </a:rPr>
                      <a:t>1) internal pressure, P</a:t>
                    </a:r>
                  </a:p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en-US" sz="1200" b="0" i="0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+mn-lt"/>
                        <a:ea typeface="+mn-ea"/>
                        <a:cs typeface="+mn-cs"/>
                      </a:rPr>
                      <a:t>2) allowance stress, S</a:t>
                    </a:r>
                  </a:p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en-US" sz="1200" b="0" i="0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+mn-lt"/>
                        <a:ea typeface="+mn-ea"/>
                        <a:cs typeface="+mn-cs"/>
                      </a:rPr>
                      <a:t>3) weld efficency, E</a:t>
                    </a:r>
                  </a:p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en-US" sz="1200" b="0" i="0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+mn-lt"/>
                        <a:ea typeface="+mn-ea"/>
                        <a:cs typeface="+mn-cs"/>
                      </a:rPr>
                      <a:t>4) inside crown radius , D</a:t>
                    </a:r>
                  </a:p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en-US" sz="1200" b="0" i="0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+mn-lt"/>
                        <a:ea typeface="+mn-ea"/>
                        <a:cs typeface="+mn-cs"/>
                      </a:rPr>
                      <a:t>5) one-half apex angle of the cone in a conical shell or toriconical head (radians), </a:t>
                    </a:r>
                    <a:r>
                      <a:rPr kumimoji="0" lang="el-GR" sz="1200" b="0" i="0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+mn-lt"/>
                        <a:ea typeface="+mn-ea"/>
                        <a:cs typeface="+mn-cs"/>
                      </a:rPr>
                      <a:t>α</a:t>
                    </a:r>
                    <a:endParaRPr kumimoji="0" lang="en-US" sz="1200" b="0" i="0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+mn-lt"/>
                      <a:ea typeface="+mn-ea"/>
                      <a:cs typeface="+mn-cs"/>
                    </a:endParaRPr>
                  </a:p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en-US" sz="1200" b="0" i="0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+mn-lt"/>
                        <a:ea typeface="+mn-ea"/>
                        <a:cs typeface="+mn-cs"/>
                      </a:rPr>
                      <a:t>6) thickness, t</a:t>
                    </a:r>
                  </a:p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en-US" sz="1200" b="0" i="0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+mn-lt"/>
                        <a:ea typeface="+mn-ea"/>
                        <a:cs typeface="+mn-cs"/>
                      </a:rPr>
                      <a:t>7) future corrosion allowance, FCA</a:t>
                    </a:r>
                  </a:p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en-US" sz="1200" b="0" i="0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+mn-lt"/>
                        <a:ea typeface="+mn-ea"/>
                        <a:cs typeface="+mn-cs"/>
                      </a:rPr>
                      <a:t>8) metal loss, LOSS</a:t>
                    </a:r>
                  </a:p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en-US" sz="1200" b="0" i="0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+mn-lt"/>
                        <a:ea typeface="+mn-ea"/>
                        <a:cs typeface="+mn-cs"/>
                      </a:rPr>
                      <a:t>determine</a:t>
                    </a:r>
                  </a:p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en-US" sz="1200" b="0" i="0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+mn-lt"/>
                        <a:ea typeface="+mn-ea"/>
                        <a:cs typeface="+mn-cs"/>
                      </a:rPr>
                      <a:t> - minimum thickness, t</a:t>
                    </a:r>
                    <a:r>
                      <a:rPr kumimoji="0" lang="en-US" sz="1200" b="0" i="0" u="none" strike="noStrike" kern="0" cap="none" spc="0" normalizeH="0" baseline="-2500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+mn-lt"/>
                        <a:ea typeface="+mn-ea"/>
                        <a:cs typeface="+mn-cs"/>
                      </a:rPr>
                      <a:t>min  </a:t>
                    </a:r>
                  </a:p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en-US" sz="1200" b="0" i="0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+mn-lt"/>
                        <a:ea typeface="+mn-ea"/>
                        <a:cs typeface="+mn-cs"/>
                      </a:rPr>
                      <a:t> - maximum allowable working pressure, MAWP</a:t>
                    </a:r>
                  </a:p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kumimoji="0" lang="en-US" sz="1200" b="0" i="0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+mn-lt"/>
                        <a:ea typeface="+mn-ea"/>
                        <a:cs typeface="+mn-cs"/>
                      </a:rPr>
                      <a:t> - maximum stress, </a:t>
                    </a:r>
                    <a:r>
                      <a:rPr kumimoji="0" lang="en-US" sz="1200" b="0" i="0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+mn-lt"/>
                        <a:ea typeface="+mn-ea"/>
                        <a:cs typeface="+mn-cs"/>
                        <a:sym typeface="Symbol"/>
                      </a:rPr>
                      <a:t></a:t>
                    </a:r>
                    <a:endParaRPr kumimoji="0" lang="en-US" sz="1200" b="0" i="0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+mn-lt"/>
                      <a:ea typeface="+mn-ea"/>
                      <a:cs typeface="+mn-cs"/>
                    </a:endParaRPr>
                  </a:p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endParaRPr kumimoji="0" lang="en-US" sz="1200" b="1" i="0" u="none" strike="noStrike" kern="0" cap="none" spc="0" normalizeH="0" baseline="0" noProof="0">
                      <a:ln>
                        <a:noFill/>
                      </a:ln>
                      <a:solidFill>
                        <a:prstClr val="black"/>
                      </a:solidFill>
                      <a:effectLst/>
                      <a:uLnTx/>
                      <a:uFillTx/>
                      <a:latin typeface="+mn-lt"/>
                      <a:ea typeface="+mn-ea"/>
                      <a:cs typeface="+mn-cs"/>
                    </a:endParaRPr>
                  </a:p>
                </xdr:txBody>
              </xdr:sp>
              <xdr:sp macro="" textlink="">
                <xdr:nvSpPr>
                  <xdr:cNvPr id="116" name="Down Arrow 115"/>
                  <xdr:cNvSpPr/>
                </xdr:nvSpPr>
                <xdr:spPr>
                  <a:xfrm>
                    <a:off x="7981950" y="3619501"/>
                    <a:ext cx="257175" cy="476250"/>
                  </a:xfrm>
                  <a:prstGeom prst="downArrow">
                    <a:avLst/>
                  </a:prstGeom>
                  <a:solidFill>
                    <a:schemeClr val="tx1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</xdr:grpSp>
            <xdr:pic>
              <xdr:nvPicPr>
                <xdr:cNvPr id="114" name="Picture 113"/>
                <xdr:cNvPicPr>
                  <a:picLocks noChangeAspect="1" noChangeArrowheads="1"/>
                </xdr:cNvPicPr>
              </xdr:nvPicPr>
              <xdr:blipFill>
                <a:blip xmlns:r="http://schemas.openxmlformats.org/officeDocument/2006/relationships" r:embed="rId19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xdr:blipFill>
              <xdr:spPr bwMode="auto">
                <a:xfrm>
                  <a:off x="25355550" y="5295900"/>
                  <a:ext cx="3074151" cy="2771775"/>
                </a:xfrm>
                <a:prstGeom prst="rect">
                  <a:avLst/>
                </a:prstGeom>
                <a:noFill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xdr:spPr>
            </xdr:pic>
          </xdr:grpSp>
          <xdr:pic>
            <xdr:nvPicPr>
              <xdr:cNvPr id="107" name="Picture 106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5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21850350" y="4057650"/>
                <a:ext cx="3114675" cy="241935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pic>
            <xdr:nvPicPr>
              <xdr:cNvPr id="108" name="Picture 107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6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21878925" y="6505575"/>
                <a:ext cx="3114675" cy="234315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110" name="Rectangle 109"/>
              <xdr:cNvSpPr/>
            </xdr:nvSpPr>
            <xdr:spPr>
              <a:xfrm>
                <a:off x="21793200" y="13982700"/>
                <a:ext cx="2857500" cy="1162051"/>
              </a:xfrm>
              <a:prstGeom prst="rect">
                <a:avLst/>
              </a:prstGeom>
              <a:solidFill>
                <a:schemeClr val="bg1"/>
              </a:solidFill>
              <a:ln w="12700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200" b="1" i="0" u="none" strike="noStrike" kern="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+mn-lt"/>
                    <a:ea typeface="+mn-ea"/>
                    <a:cs typeface="+mn-cs"/>
                  </a:rPr>
                  <a:t>Conclusion</a:t>
                </a:r>
              </a:p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200" b="0" i="0" u="none" strike="noStrike" kern="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+mn-lt"/>
                    <a:ea typeface="+mn-ea"/>
                    <a:cs typeface="+mn-cs"/>
                  </a:rPr>
                  <a:t>- minimum requirement thickness (mm)</a:t>
                </a:r>
              </a:p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200" b="0" i="0" u="none" strike="noStrike" kern="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+mn-lt"/>
                    <a:ea typeface="+mn-ea"/>
                    <a:cs typeface="+mn-cs"/>
                  </a:rPr>
                  <a:t> - maximum allowable working pressure, MAWP</a:t>
                </a: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sz="1200" b="0" i="0" u="none" strike="noStrike" kern="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+mn-lt"/>
                    <a:ea typeface="+mn-ea"/>
                    <a:cs typeface="+mn-cs"/>
                  </a:rPr>
                  <a:t> - maximum stress, </a:t>
                </a:r>
                <a:r>
                  <a:rPr kumimoji="0" lang="en-US" sz="1200" b="0" i="0" u="none" strike="noStrike" kern="0" cap="none" spc="0" normalizeH="0" baseline="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+mn-lt"/>
                    <a:ea typeface="+mn-ea"/>
                    <a:cs typeface="+mn-cs"/>
                    <a:sym typeface="Symbol"/>
                  </a:rPr>
                  <a:t></a:t>
                </a:r>
                <a:r>
                  <a:rPr kumimoji="0" lang="en-US" sz="1200" b="0" i="0" u="none" strike="noStrike" kern="0" cap="none" spc="0" normalizeH="0" baseline="-25000" noProof="0">
                    <a:ln>
                      <a:noFill/>
                    </a:ln>
                    <a:solidFill>
                      <a:prstClr val="black"/>
                    </a:solidFill>
                    <a:effectLst/>
                    <a:uLnTx/>
                    <a:uFillTx/>
                    <a:latin typeface="+mn-lt"/>
                    <a:ea typeface="+mn-ea"/>
                    <a:cs typeface="+mn-cs"/>
                    <a:sym typeface="Symbol"/>
                  </a:rPr>
                  <a:t>m</a:t>
                </a:r>
                <a:endParaRPr kumimoji="0" lang="en-US" sz="1200" b="0" i="0" u="none" strike="noStrike" kern="0" cap="none" spc="0" normalizeH="0" baseline="-2500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endParaRP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kumimoji="0" lang="en-US" sz="1200" b="1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111" name="Down Arrow 110"/>
              <xdr:cNvSpPr/>
            </xdr:nvSpPr>
            <xdr:spPr>
              <a:xfrm>
                <a:off x="23069550" y="13630275"/>
                <a:ext cx="257175" cy="142875"/>
              </a:xfrm>
              <a:prstGeom prst="downArrow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pic>
          <xdr:nvPicPr>
            <xdr:cNvPr id="105" name="Picture 104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1955125" y="8934450"/>
              <a:ext cx="1743075" cy="2286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17" name="Picture 116"/>
          <xdr:cNvPicPr>
            <a:picLocks noChangeAspect="1" noChangeArrowheads="1"/>
          </xdr:cNvPicPr>
        </xdr:nvPicPr>
        <xdr:blipFill>
          <a:blip xmlns:r="http://schemas.openxmlformats.org/officeDocument/2006/relationships" r:embed="rId2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899225" y="10010775"/>
            <a:ext cx="2619375" cy="36766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9" name="Picture 118"/>
          <xdr:cNvPicPr>
            <a:picLocks noChangeAspect="1" noChangeArrowheads="1"/>
          </xdr:cNvPicPr>
        </xdr:nvPicPr>
        <xdr:blipFill>
          <a:blip xmlns:r="http://schemas.openxmlformats.org/officeDocument/2006/relationships" r:embed="rId2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651575" y="15744825"/>
            <a:ext cx="2886075" cy="14954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16</xdr:row>
      <xdr:rowOff>123825</xdr:rowOff>
    </xdr:from>
    <xdr:to>
      <xdr:col>9</xdr:col>
      <xdr:colOff>295275</xdr:colOff>
      <xdr:row>32</xdr:row>
      <xdr:rowOff>57150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3171825"/>
          <a:ext cx="4905375" cy="2981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104775</xdr:colOff>
      <xdr:row>73</xdr:row>
      <xdr:rowOff>19050</xdr:rowOff>
    </xdr:from>
    <xdr:to>
      <xdr:col>9</xdr:col>
      <xdr:colOff>504825</xdr:colOff>
      <xdr:row>82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</xdr:colOff>
      <xdr:row>99</xdr:row>
      <xdr:rowOff>19050</xdr:rowOff>
    </xdr:from>
    <xdr:to>
      <xdr:col>9</xdr:col>
      <xdr:colOff>504825</xdr:colOff>
      <xdr:row>108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57</xdr:row>
      <xdr:rowOff>76200</xdr:rowOff>
    </xdr:from>
    <xdr:to>
      <xdr:col>9</xdr:col>
      <xdr:colOff>514350</xdr:colOff>
      <xdr:row>66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88</xdr:row>
      <xdr:rowOff>38100</xdr:rowOff>
    </xdr:from>
    <xdr:to>
      <xdr:col>9</xdr:col>
      <xdr:colOff>409575</xdr:colOff>
      <xdr:row>97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69</xdr:row>
      <xdr:rowOff>19050</xdr:rowOff>
    </xdr:from>
    <xdr:to>
      <xdr:col>9</xdr:col>
      <xdr:colOff>504825</xdr:colOff>
      <xdr:row>78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</xdr:colOff>
      <xdr:row>98</xdr:row>
      <xdr:rowOff>19050</xdr:rowOff>
    </xdr:from>
    <xdr:to>
      <xdr:col>9</xdr:col>
      <xdr:colOff>504825</xdr:colOff>
      <xdr:row>107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457200</xdr:colOff>
      <xdr:row>16</xdr:row>
      <xdr:rowOff>0</xdr:rowOff>
    </xdr:from>
    <xdr:to>
      <xdr:col>8</xdr:col>
      <xdr:colOff>180975</xdr:colOff>
      <xdr:row>28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2857500"/>
          <a:ext cx="3990975" cy="228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466725</xdr:colOff>
      <xdr:row>72</xdr:row>
      <xdr:rowOff>66676</xdr:rowOff>
    </xdr:from>
    <xdr:to>
      <xdr:col>5</xdr:col>
      <xdr:colOff>247650</xdr:colOff>
      <xdr:row>75</xdr:row>
      <xdr:rowOff>95250</xdr:rowOff>
    </xdr:to>
    <xdr:sp macro="" textlink="">
      <xdr:nvSpPr>
        <xdr:cNvPr id="6" name="Rectangle 5"/>
        <xdr:cNvSpPr/>
      </xdr:nvSpPr>
      <xdr:spPr>
        <a:xfrm>
          <a:off x="2905125" y="13887451"/>
          <a:ext cx="390525" cy="600074"/>
        </a:xfrm>
        <a:prstGeom prst="rect">
          <a:avLst/>
        </a:prstGeom>
        <a:pattFill prst="dkDnDiag">
          <a:fgClr>
            <a:schemeClr val="accent1"/>
          </a:fgClr>
          <a:bgClr>
            <a:schemeClr val="bg1"/>
          </a:bgClr>
        </a:patt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257173</xdr:colOff>
      <xdr:row>72</xdr:row>
      <xdr:rowOff>66675</xdr:rowOff>
    </xdr:from>
    <xdr:to>
      <xdr:col>6</xdr:col>
      <xdr:colOff>266698</xdr:colOff>
      <xdr:row>75</xdr:row>
      <xdr:rowOff>95250</xdr:rowOff>
    </xdr:to>
    <xdr:sp macro="" textlink="">
      <xdr:nvSpPr>
        <xdr:cNvPr id="7" name="Flowchart: Manual Input 6"/>
        <xdr:cNvSpPr/>
      </xdr:nvSpPr>
      <xdr:spPr>
        <a:xfrm flipH="1">
          <a:off x="3305173" y="13887450"/>
          <a:ext cx="619125" cy="600075"/>
        </a:xfrm>
        <a:custGeom>
          <a:avLst/>
          <a:gdLst>
            <a:gd name="connsiteX0" fmla="*/ 0 w 10000"/>
            <a:gd name="connsiteY0" fmla="*/ 2000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0 w 10000"/>
            <a:gd name="connsiteY4" fmla="*/ 2000 h 10000"/>
            <a:gd name="connsiteX0" fmla="*/ 0 w 10000"/>
            <a:gd name="connsiteY0" fmla="*/ 730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0 w 10000"/>
            <a:gd name="connsiteY4" fmla="*/ 730 h 10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000" h="10000">
              <a:moveTo>
                <a:pt x="0" y="730"/>
              </a:moveTo>
              <a:lnTo>
                <a:pt x="10000" y="0"/>
              </a:lnTo>
              <a:lnTo>
                <a:pt x="10000" y="10000"/>
              </a:lnTo>
              <a:lnTo>
                <a:pt x="0" y="10000"/>
              </a:lnTo>
              <a:lnTo>
                <a:pt x="0" y="730"/>
              </a:lnTo>
              <a:close/>
            </a:path>
          </a:pathLst>
        </a:custGeom>
        <a:pattFill prst="dkUpDiag">
          <a:fgClr>
            <a:schemeClr val="accent1">
              <a:lumMod val="60000"/>
              <a:lumOff val="40000"/>
            </a:schemeClr>
          </a:fgClr>
          <a:bgClr>
            <a:schemeClr val="bg1"/>
          </a:bgClr>
        </a:patt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295275</xdr:colOff>
      <xdr:row>72</xdr:row>
      <xdr:rowOff>28575</xdr:rowOff>
    </xdr:from>
    <xdr:to>
      <xdr:col>8</xdr:col>
      <xdr:colOff>76200</xdr:colOff>
      <xdr:row>75</xdr:row>
      <xdr:rowOff>95250</xdr:rowOff>
    </xdr:to>
    <xdr:sp macro="" textlink="">
      <xdr:nvSpPr>
        <xdr:cNvPr id="8" name="Rectangle 7"/>
        <xdr:cNvSpPr/>
      </xdr:nvSpPr>
      <xdr:spPr>
        <a:xfrm>
          <a:off x="4562475" y="13849350"/>
          <a:ext cx="390525" cy="638175"/>
        </a:xfrm>
        <a:prstGeom prst="rect">
          <a:avLst/>
        </a:prstGeom>
        <a:pattFill prst="dkDnDiag">
          <a:fgClr>
            <a:schemeClr val="accent2">
              <a:lumMod val="60000"/>
              <a:lumOff val="40000"/>
            </a:schemeClr>
          </a:fgClr>
          <a:bgClr>
            <a:schemeClr val="bg1"/>
          </a:bgClr>
        </a:patt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276224</xdr:colOff>
      <xdr:row>72</xdr:row>
      <xdr:rowOff>38095</xdr:rowOff>
    </xdr:from>
    <xdr:to>
      <xdr:col>7</xdr:col>
      <xdr:colOff>285749</xdr:colOff>
      <xdr:row>75</xdr:row>
      <xdr:rowOff>104775</xdr:rowOff>
    </xdr:to>
    <xdr:sp macro="" textlink="">
      <xdr:nvSpPr>
        <xdr:cNvPr id="9" name="Flowchart: Manual Input 6"/>
        <xdr:cNvSpPr/>
      </xdr:nvSpPr>
      <xdr:spPr>
        <a:xfrm>
          <a:off x="3933824" y="13858870"/>
          <a:ext cx="619125" cy="638180"/>
        </a:xfrm>
        <a:custGeom>
          <a:avLst/>
          <a:gdLst>
            <a:gd name="connsiteX0" fmla="*/ 0 w 10000"/>
            <a:gd name="connsiteY0" fmla="*/ 2000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0 w 10000"/>
            <a:gd name="connsiteY4" fmla="*/ 2000 h 10000"/>
            <a:gd name="connsiteX0" fmla="*/ 0 w 10000"/>
            <a:gd name="connsiteY0" fmla="*/ 730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0 w 10000"/>
            <a:gd name="connsiteY4" fmla="*/ 730 h 10000"/>
            <a:gd name="connsiteX0" fmla="*/ 0 w 10000"/>
            <a:gd name="connsiteY0" fmla="*/ 1365 h 10635"/>
            <a:gd name="connsiteX1" fmla="*/ 10000 w 10000"/>
            <a:gd name="connsiteY1" fmla="*/ 0 h 10635"/>
            <a:gd name="connsiteX2" fmla="*/ 10000 w 10000"/>
            <a:gd name="connsiteY2" fmla="*/ 10635 h 10635"/>
            <a:gd name="connsiteX3" fmla="*/ 0 w 10000"/>
            <a:gd name="connsiteY3" fmla="*/ 10635 h 10635"/>
            <a:gd name="connsiteX4" fmla="*/ 0 w 10000"/>
            <a:gd name="connsiteY4" fmla="*/ 1365 h 1063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000" h="10635">
              <a:moveTo>
                <a:pt x="0" y="1365"/>
              </a:moveTo>
              <a:lnTo>
                <a:pt x="10000" y="0"/>
              </a:lnTo>
              <a:lnTo>
                <a:pt x="10000" y="10635"/>
              </a:lnTo>
              <a:lnTo>
                <a:pt x="0" y="10635"/>
              </a:lnTo>
              <a:lnTo>
                <a:pt x="0" y="1365"/>
              </a:lnTo>
              <a:close/>
            </a:path>
          </a:pathLst>
        </a:custGeom>
        <a:pattFill prst="dkUpDiag">
          <a:fgClr>
            <a:schemeClr val="accent2">
              <a:lumMod val="40000"/>
              <a:lumOff val="60000"/>
            </a:schemeClr>
          </a:fgClr>
          <a:bgClr>
            <a:schemeClr val="bg1"/>
          </a:bgClr>
        </a:patt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466725</xdr:colOff>
      <xdr:row>73</xdr:row>
      <xdr:rowOff>38100</xdr:rowOff>
    </xdr:from>
    <xdr:ext cx="373372" cy="264560"/>
    <xdr:sp macro="" textlink="">
      <xdr:nvSpPr>
        <xdr:cNvPr id="10" name="TextBox 9"/>
        <xdr:cNvSpPr txBox="1"/>
      </xdr:nvSpPr>
      <xdr:spPr>
        <a:xfrm>
          <a:off x="2905125" y="14049375"/>
          <a:ext cx="3733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A.1</a:t>
          </a:r>
        </a:p>
      </xdr:txBody>
    </xdr:sp>
    <xdr:clientData/>
  </xdr:oneCellAnchor>
  <xdr:oneCellAnchor>
    <xdr:from>
      <xdr:col>5</xdr:col>
      <xdr:colOff>390525</xdr:colOff>
      <xdr:row>73</xdr:row>
      <xdr:rowOff>66675</xdr:rowOff>
    </xdr:from>
    <xdr:ext cx="373372" cy="264560"/>
    <xdr:sp macro="" textlink="">
      <xdr:nvSpPr>
        <xdr:cNvPr id="11" name="TextBox 10"/>
        <xdr:cNvSpPr txBox="1"/>
      </xdr:nvSpPr>
      <xdr:spPr>
        <a:xfrm>
          <a:off x="3438525" y="14077950"/>
          <a:ext cx="3733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A.2</a:t>
          </a:r>
        </a:p>
      </xdr:txBody>
    </xdr:sp>
    <xdr:clientData/>
  </xdr:oneCellAnchor>
  <xdr:oneCellAnchor>
    <xdr:from>
      <xdr:col>6</xdr:col>
      <xdr:colOff>371475</xdr:colOff>
      <xdr:row>73</xdr:row>
      <xdr:rowOff>95250</xdr:rowOff>
    </xdr:from>
    <xdr:ext cx="373372" cy="264560"/>
    <xdr:sp macro="" textlink="">
      <xdr:nvSpPr>
        <xdr:cNvPr id="12" name="TextBox 11"/>
        <xdr:cNvSpPr txBox="1"/>
      </xdr:nvSpPr>
      <xdr:spPr>
        <a:xfrm>
          <a:off x="4029075" y="14106525"/>
          <a:ext cx="3733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A.3</a:t>
          </a:r>
        </a:p>
      </xdr:txBody>
    </xdr:sp>
    <xdr:clientData/>
  </xdr:oneCellAnchor>
  <xdr:oneCellAnchor>
    <xdr:from>
      <xdr:col>7</xdr:col>
      <xdr:colOff>276225</xdr:colOff>
      <xdr:row>73</xdr:row>
      <xdr:rowOff>66675</xdr:rowOff>
    </xdr:from>
    <xdr:ext cx="373372" cy="264560"/>
    <xdr:sp macro="" textlink="">
      <xdr:nvSpPr>
        <xdr:cNvPr id="13" name="TextBox 12"/>
        <xdr:cNvSpPr txBox="1"/>
      </xdr:nvSpPr>
      <xdr:spPr>
        <a:xfrm>
          <a:off x="4543425" y="14077950"/>
          <a:ext cx="3733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A.4</a:t>
          </a:r>
        </a:p>
      </xdr:txBody>
    </xdr:sp>
    <xdr:clientData/>
  </xdr:oneCellAnchor>
  <xdr:twoCellAnchor>
    <xdr:from>
      <xdr:col>3</xdr:col>
      <xdr:colOff>323847</xdr:colOff>
      <xdr:row>102</xdr:row>
      <xdr:rowOff>66676</xdr:rowOff>
    </xdr:from>
    <xdr:to>
      <xdr:col>4</xdr:col>
      <xdr:colOff>428620</xdr:colOff>
      <xdr:row>104</xdr:row>
      <xdr:rowOff>95249</xdr:rowOff>
    </xdr:to>
    <xdr:sp macro="" textlink="">
      <xdr:nvSpPr>
        <xdr:cNvPr id="15" name="Flowchart: Manual Input 6"/>
        <xdr:cNvSpPr/>
      </xdr:nvSpPr>
      <xdr:spPr>
        <a:xfrm flipH="1">
          <a:off x="2152647" y="19602451"/>
          <a:ext cx="714373" cy="409573"/>
        </a:xfrm>
        <a:custGeom>
          <a:avLst/>
          <a:gdLst>
            <a:gd name="connsiteX0" fmla="*/ 0 w 10000"/>
            <a:gd name="connsiteY0" fmla="*/ 2000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0 w 10000"/>
            <a:gd name="connsiteY4" fmla="*/ 2000 h 10000"/>
            <a:gd name="connsiteX0" fmla="*/ 0 w 10000"/>
            <a:gd name="connsiteY0" fmla="*/ 730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0 w 10000"/>
            <a:gd name="connsiteY4" fmla="*/ 730 h 10000"/>
            <a:gd name="connsiteX0" fmla="*/ 0 w 10000"/>
            <a:gd name="connsiteY0" fmla="*/ 3377 h 12647"/>
            <a:gd name="connsiteX1" fmla="*/ 10000 w 10000"/>
            <a:gd name="connsiteY1" fmla="*/ 0 h 12647"/>
            <a:gd name="connsiteX2" fmla="*/ 10000 w 10000"/>
            <a:gd name="connsiteY2" fmla="*/ 12647 h 12647"/>
            <a:gd name="connsiteX3" fmla="*/ 0 w 10000"/>
            <a:gd name="connsiteY3" fmla="*/ 12647 h 12647"/>
            <a:gd name="connsiteX4" fmla="*/ 0 w 10000"/>
            <a:gd name="connsiteY4" fmla="*/ 3377 h 126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000" h="12647">
              <a:moveTo>
                <a:pt x="0" y="3377"/>
              </a:moveTo>
              <a:lnTo>
                <a:pt x="10000" y="0"/>
              </a:lnTo>
              <a:lnTo>
                <a:pt x="10000" y="12647"/>
              </a:lnTo>
              <a:lnTo>
                <a:pt x="0" y="12647"/>
              </a:lnTo>
              <a:lnTo>
                <a:pt x="0" y="3377"/>
              </a:lnTo>
              <a:close/>
            </a:path>
          </a:pathLst>
        </a:custGeom>
        <a:pattFill prst="dkUpDiag">
          <a:fgClr>
            <a:schemeClr val="accent1">
              <a:lumMod val="60000"/>
              <a:lumOff val="40000"/>
            </a:schemeClr>
          </a:fgClr>
          <a:bgClr>
            <a:schemeClr val="bg1"/>
          </a:bgClr>
        </a:patt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447674</xdr:colOff>
      <xdr:row>102</xdr:row>
      <xdr:rowOff>123836</xdr:rowOff>
    </xdr:from>
    <xdr:to>
      <xdr:col>5</xdr:col>
      <xdr:colOff>552450</xdr:colOff>
      <xdr:row>104</xdr:row>
      <xdr:rowOff>95249</xdr:rowOff>
    </xdr:to>
    <xdr:sp macro="" textlink="">
      <xdr:nvSpPr>
        <xdr:cNvPr id="17" name="Flowchart: Manual Input 6"/>
        <xdr:cNvSpPr/>
      </xdr:nvSpPr>
      <xdr:spPr>
        <a:xfrm>
          <a:off x="2886074" y="19659611"/>
          <a:ext cx="714376" cy="352413"/>
        </a:xfrm>
        <a:custGeom>
          <a:avLst/>
          <a:gdLst>
            <a:gd name="connsiteX0" fmla="*/ 0 w 10000"/>
            <a:gd name="connsiteY0" fmla="*/ 2000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0 w 10000"/>
            <a:gd name="connsiteY4" fmla="*/ 2000 h 10000"/>
            <a:gd name="connsiteX0" fmla="*/ 0 w 10000"/>
            <a:gd name="connsiteY0" fmla="*/ 730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0 w 10000"/>
            <a:gd name="connsiteY4" fmla="*/ 730 h 10000"/>
            <a:gd name="connsiteX0" fmla="*/ 0 w 10000"/>
            <a:gd name="connsiteY0" fmla="*/ 1365 h 10635"/>
            <a:gd name="connsiteX1" fmla="*/ 10000 w 10000"/>
            <a:gd name="connsiteY1" fmla="*/ 0 h 10635"/>
            <a:gd name="connsiteX2" fmla="*/ 10000 w 10000"/>
            <a:gd name="connsiteY2" fmla="*/ 10635 h 10635"/>
            <a:gd name="connsiteX3" fmla="*/ 0 w 10000"/>
            <a:gd name="connsiteY3" fmla="*/ 10635 h 10635"/>
            <a:gd name="connsiteX4" fmla="*/ 0 w 10000"/>
            <a:gd name="connsiteY4" fmla="*/ 1365 h 10635"/>
            <a:gd name="connsiteX0" fmla="*/ 0 w 10000"/>
            <a:gd name="connsiteY0" fmla="*/ 2303 h 11573"/>
            <a:gd name="connsiteX1" fmla="*/ 10000 w 10000"/>
            <a:gd name="connsiteY1" fmla="*/ 0 h 11573"/>
            <a:gd name="connsiteX2" fmla="*/ 10000 w 10000"/>
            <a:gd name="connsiteY2" fmla="*/ 11573 h 11573"/>
            <a:gd name="connsiteX3" fmla="*/ 0 w 10000"/>
            <a:gd name="connsiteY3" fmla="*/ 11573 h 11573"/>
            <a:gd name="connsiteX4" fmla="*/ 0 w 10000"/>
            <a:gd name="connsiteY4" fmla="*/ 2303 h 1157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000" h="11573">
              <a:moveTo>
                <a:pt x="0" y="2303"/>
              </a:moveTo>
              <a:lnTo>
                <a:pt x="10000" y="0"/>
              </a:lnTo>
              <a:lnTo>
                <a:pt x="10000" y="11573"/>
              </a:lnTo>
              <a:lnTo>
                <a:pt x="0" y="11573"/>
              </a:lnTo>
              <a:lnTo>
                <a:pt x="0" y="2303"/>
              </a:lnTo>
              <a:close/>
            </a:path>
          </a:pathLst>
        </a:custGeom>
        <a:pattFill prst="dkUpDiag">
          <a:fgClr>
            <a:schemeClr val="accent2">
              <a:lumMod val="40000"/>
              <a:lumOff val="60000"/>
            </a:schemeClr>
          </a:fgClr>
          <a:bgClr>
            <a:schemeClr val="bg1"/>
          </a:bgClr>
        </a:patt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571499</xdr:colOff>
      <xdr:row>101</xdr:row>
      <xdr:rowOff>95250</xdr:rowOff>
    </xdr:from>
    <xdr:to>
      <xdr:col>3</xdr:col>
      <xdr:colOff>314319</xdr:colOff>
      <xdr:row>104</xdr:row>
      <xdr:rowOff>95249</xdr:rowOff>
    </xdr:to>
    <xdr:sp macro="" textlink="">
      <xdr:nvSpPr>
        <xdr:cNvPr id="22" name="Flowchart: Manual Input 6"/>
        <xdr:cNvSpPr/>
      </xdr:nvSpPr>
      <xdr:spPr>
        <a:xfrm flipH="1">
          <a:off x="1790699" y="19440525"/>
          <a:ext cx="352420" cy="571499"/>
        </a:xfrm>
        <a:custGeom>
          <a:avLst/>
          <a:gdLst>
            <a:gd name="connsiteX0" fmla="*/ 0 w 10000"/>
            <a:gd name="connsiteY0" fmla="*/ 2000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0 w 10000"/>
            <a:gd name="connsiteY4" fmla="*/ 2000 h 10000"/>
            <a:gd name="connsiteX0" fmla="*/ 0 w 10000"/>
            <a:gd name="connsiteY0" fmla="*/ 730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0 w 10000"/>
            <a:gd name="connsiteY4" fmla="*/ 730 h 10000"/>
            <a:gd name="connsiteX0" fmla="*/ 0 w 10000"/>
            <a:gd name="connsiteY0" fmla="*/ 3377 h 12647"/>
            <a:gd name="connsiteX1" fmla="*/ 10000 w 10000"/>
            <a:gd name="connsiteY1" fmla="*/ 0 h 12647"/>
            <a:gd name="connsiteX2" fmla="*/ 10000 w 10000"/>
            <a:gd name="connsiteY2" fmla="*/ 12647 h 12647"/>
            <a:gd name="connsiteX3" fmla="*/ 0 w 10000"/>
            <a:gd name="connsiteY3" fmla="*/ 12647 h 12647"/>
            <a:gd name="connsiteX4" fmla="*/ 0 w 10000"/>
            <a:gd name="connsiteY4" fmla="*/ 3377 h 126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000" h="12647">
              <a:moveTo>
                <a:pt x="0" y="3377"/>
              </a:moveTo>
              <a:lnTo>
                <a:pt x="10000" y="0"/>
              </a:lnTo>
              <a:lnTo>
                <a:pt x="10000" y="12647"/>
              </a:lnTo>
              <a:lnTo>
                <a:pt x="0" y="12647"/>
              </a:lnTo>
              <a:lnTo>
                <a:pt x="0" y="3377"/>
              </a:lnTo>
              <a:close/>
            </a:path>
          </a:pathLst>
        </a:custGeom>
        <a:pattFill prst="dkDnDiag">
          <a:fgClr>
            <a:schemeClr val="accent1">
              <a:lumMod val="75000"/>
            </a:schemeClr>
          </a:fgClr>
          <a:bgClr>
            <a:schemeClr val="bg1"/>
          </a:bgClr>
        </a:patt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552464</xdr:colOff>
      <xdr:row>102</xdr:row>
      <xdr:rowOff>108245</xdr:rowOff>
    </xdr:from>
    <xdr:to>
      <xdr:col>6</xdr:col>
      <xdr:colOff>257175</xdr:colOff>
      <xdr:row>104</xdr:row>
      <xdr:rowOff>95249</xdr:rowOff>
    </xdr:to>
    <xdr:sp macro="" textlink="">
      <xdr:nvSpPr>
        <xdr:cNvPr id="24" name="Flowchart: Manual Input 6"/>
        <xdr:cNvSpPr/>
      </xdr:nvSpPr>
      <xdr:spPr>
        <a:xfrm>
          <a:off x="3600464" y="19644020"/>
          <a:ext cx="314311" cy="368004"/>
        </a:xfrm>
        <a:custGeom>
          <a:avLst/>
          <a:gdLst>
            <a:gd name="connsiteX0" fmla="*/ 0 w 10000"/>
            <a:gd name="connsiteY0" fmla="*/ 2000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0 w 10000"/>
            <a:gd name="connsiteY4" fmla="*/ 2000 h 10000"/>
            <a:gd name="connsiteX0" fmla="*/ 0 w 10000"/>
            <a:gd name="connsiteY0" fmla="*/ 730 h 10000"/>
            <a:gd name="connsiteX1" fmla="*/ 10000 w 10000"/>
            <a:gd name="connsiteY1" fmla="*/ 0 h 10000"/>
            <a:gd name="connsiteX2" fmla="*/ 10000 w 10000"/>
            <a:gd name="connsiteY2" fmla="*/ 10000 h 10000"/>
            <a:gd name="connsiteX3" fmla="*/ 0 w 10000"/>
            <a:gd name="connsiteY3" fmla="*/ 10000 h 10000"/>
            <a:gd name="connsiteX4" fmla="*/ 0 w 10000"/>
            <a:gd name="connsiteY4" fmla="*/ 730 h 10000"/>
            <a:gd name="connsiteX0" fmla="*/ 0 w 10000"/>
            <a:gd name="connsiteY0" fmla="*/ 1365 h 10635"/>
            <a:gd name="connsiteX1" fmla="*/ 10000 w 10000"/>
            <a:gd name="connsiteY1" fmla="*/ 0 h 10635"/>
            <a:gd name="connsiteX2" fmla="*/ 10000 w 10000"/>
            <a:gd name="connsiteY2" fmla="*/ 10635 h 10635"/>
            <a:gd name="connsiteX3" fmla="*/ 0 w 10000"/>
            <a:gd name="connsiteY3" fmla="*/ 10635 h 10635"/>
            <a:gd name="connsiteX4" fmla="*/ 0 w 10000"/>
            <a:gd name="connsiteY4" fmla="*/ 1365 h 10635"/>
            <a:gd name="connsiteX0" fmla="*/ 0 w 10000"/>
            <a:gd name="connsiteY0" fmla="*/ 2303 h 11573"/>
            <a:gd name="connsiteX1" fmla="*/ 10000 w 10000"/>
            <a:gd name="connsiteY1" fmla="*/ 0 h 11573"/>
            <a:gd name="connsiteX2" fmla="*/ 10000 w 10000"/>
            <a:gd name="connsiteY2" fmla="*/ 11573 h 11573"/>
            <a:gd name="connsiteX3" fmla="*/ 0 w 10000"/>
            <a:gd name="connsiteY3" fmla="*/ 11573 h 11573"/>
            <a:gd name="connsiteX4" fmla="*/ 0 w 10000"/>
            <a:gd name="connsiteY4" fmla="*/ 2303 h 11573"/>
            <a:gd name="connsiteX0" fmla="*/ 0 w 10312"/>
            <a:gd name="connsiteY0" fmla="*/ 0 h 12085"/>
            <a:gd name="connsiteX1" fmla="*/ 10312 w 10312"/>
            <a:gd name="connsiteY1" fmla="*/ 512 h 12085"/>
            <a:gd name="connsiteX2" fmla="*/ 10312 w 10312"/>
            <a:gd name="connsiteY2" fmla="*/ 12085 h 12085"/>
            <a:gd name="connsiteX3" fmla="*/ 312 w 10312"/>
            <a:gd name="connsiteY3" fmla="*/ 12085 h 12085"/>
            <a:gd name="connsiteX4" fmla="*/ 0 w 10312"/>
            <a:gd name="connsiteY4" fmla="*/ 0 h 120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312" h="12085">
              <a:moveTo>
                <a:pt x="0" y="0"/>
              </a:moveTo>
              <a:lnTo>
                <a:pt x="10312" y="512"/>
              </a:lnTo>
              <a:lnTo>
                <a:pt x="10312" y="12085"/>
              </a:lnTo>
              <a:lnTo>
                <a:pt x="312" y="12085"/>
              </a:lnTo>
              <a:lnTo>
                <a:pt x="0" y="0"/>
              </a:lnTo>
              <a:close/>
            </a:path>
          </a:pathLst>
        </a:custGeom>
        <a:pattFill prst="dkDnDiag">
          <a:fgClr>
            <a:schemeClr val="accent2">
              <a:lumMod val="60000"/>
              <a:lumOff val="40000"/>
            </a:schemeClr>
          </a:fgClr>
          <a:bgClr>
            <a:schemeClr val="bg1"/>
          </a:bgClr>
        </a:patt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561975</xdr:colOff>
      <xdr:row>102</xdr:row>
      <xdr:rowOff>66675</xdr:rowOff>
    </xdr:from>
    <xdr:ext cx="373372" cy="400050"/>
    <xdr:sp macro="" textlink="">
      <xdr:nvSpPr>
        <xdr:cNvPr id="18" name="TextBox 17"/>
        <xdr:cNvSpPr txBox="1"/>
      </xdr:nvSpPr>
      <xdr:spPr>
        <a:xfrm>
          <a:off x="1781175" y="19602450"/>
          <a:ext cx="373372" cy="4000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A.1</a:t>
          </a:r>
        </a:p>
      </xdr:txBody>
    </xdr:sp>
    <xdr:clientData/>
  </xdr:oneCellAnchor>
  <xdr:oneCellAnchor>
    <xdr:from>
      <xdr:col>3</xdr:col>
      <xdr:colOff>409575</xdr:colOff>
      <xdr:row>102</xdr:row>
      <xdr:rowOff>180975</xdr:rowOff>
    </xdr:from>
    <xdr:ext cx="373372" cy="264560"/>
    <xdr:sp macro="" textlink="">
      <xdr:nvSpPr>
        <xdr:cNvPr id="19" name="TextBox 18"/>
        <xdr:cNvSpPr txBox="1"/>
      </xdr:nvSpPr>
      <xdr:spPr>
        <a:xfrm>
          <a:off x="2238375" y="19716750"/>
          <a:ext cx="3733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A.2</a:t>
          </a:r>
        </a:p>
      </xdr:txBody>
    </xdr:sp>
    <xdr:clientData/>
  </xdr:oneCellAnchor>
  <xdr:oneCellAnchor>
    <xdr:from>
      <xdr:col>4</xdr:col>
      <xdr:colOff>600075</xdr:colOff>
      <xdr:row>102</xdr:row>
      <xdr:rowOff>171450</xdr:rowOff>
    </xdr:from>
    <xdr:ext cx="373372" cy="264560"/>
    <xdr:sp macro="" textlink="">
      <xdr:nvSpPr>
        <xdr:cNvPr id="20" name="TextBox 19"/>
        <xdr:cNvSpPr txBox="1"/>
      </xdr:nvSpPr>
      <xdr:spPr>
        <a:xfrm>
          <a:off x="3038475" y="19707225"/>
          <a:ext cx="3733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A.3</a:t>
          </a:r>
        </a:p>
      </xdr:txBody>
    </xdr:sp>
    <xdr:clientData/>
  </xdr:oneCellAnchor>
  <xdr:oneCellAnchor>
    <xdr:from>
      <xdr:col>5</xdr:col>
      <xdr:colOff>504825</xdr:colOff>
      <xdr:row>102</xdr:row>
      <xdr:rowOff>161925</xdr:rowOff>
    </xdr:from>
    <xdr:ext cx="373372" cy="264560"/>
    <xdr:sp macro="" textlink="">
      <xdr:nvSpPr>
        <xdr:cNvPr id="21" name="TextBox 20"/>
        <xdr:cNvSpPr txBox="1"/>
      </xdr:nvSpPr>
      <xdr:spPr>
        <a:xfrm>
          <a:off x="3552825" y="19697700"/>
          <a:ext cx="3733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A.4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151"/>
  <sheetViews>
    <sheetView view="pageLayout" zoomScaleNormal="100" workbookViewId="0">
      <selection activeCell="Q79" sqref="Q79"/>
    </sheetView>
  </sheetViews>
  <sheetFormatPr defaultRowHeight="15"/>
  <cols>
    <col min="14" max="14" width="9.85546875" customWidth="1"/>
  </cols>
  <sheetData>
    <row r="1" spans="1:21" ht="15.75">
      <c r="A1" s="85" t="s">
        <v>32</v>
      </c>
      <c r="B1" s="86"/>
      <c r="C1" s="86"/>
      <c r="D1" s="86"/>
      <c r="E1" s="86"/>
      <c r="F1" s="86"/>
      <c r="G1" s="86"/>
      <c r="H1" s="86"/>
      <c r="I1" s="86"/>
      <c r="J1" s="87"/>
      <c r="K1" s="2" t="s">
        <v>42</v>
      </c>
      <c r="U1" s="1" t="s">
        <v>27</v>
      </c>
    </row>
    <row r="2" spans="1:21" ht="14.25" customHeight="1">
      <c r="A2" s="98" t="s">
        <v>5</v>
      </c>
      <c r="B2" s="99"/>
      <c r="C2" s="110" t="s">
        <v>60</v>
      </c>
      <c r="D2" s="110"/>
      <c r="E2" s="110"/>
      <c r="F2" s="111"/>
      <c r="G2" s="88" t="s">
        <v>3</v>
      </c>
      <c r="H2" s="89"/>
      <c r="I2" s="89"/>
      <c r="J2" s="90"/>
      <c r="L2" s="91" t="s">
        <v>43</v>
      </c>
      <c r="M2" s="91"/>
      <c r="N2" s="91"/>
      <c r="O2" s="91"/>
      <c r="P2" s="91"/>
      <c r="Q2" s="91"/>
      <c r="R2" s="91"/>
      <c r="S2" s="91"/>
      <c r="U2" s="3" t="s">
        <v>49</v>
      </c>
    </row>
    <row r="3" spans="1:21" ht="15.75" customHeight="1">
      <c r="A3" s="103" t="s">
        <v>4</v>
      </c>
      <c r="B3" s="104"/>
      <c r="C3" s="100" t="s">
        <v>7</v>
      </c>
      <c r="D3" s="100"/>
      <c r="E3" s="100"/>
      <c r="F3" s="28"/>
      <c r="G3" s="116" t="s">
        <v>15</v>
      </c>
      <c r="H3" s="117"/>
      <c r="I3" s="22">
        <v>300</v>
      </c>
      <c r="J3" s="15" t="s">
        <v>13</v>
      </c>
      <c r="L3" s="91"/>
      <c r="M3" s="91"/>
      <c r="N3" s="91"/>
      <c r="O3" s="91"/>
      <c r="P3" s="91"/>
      <c r="Q3" s="91"/>
      <c r="R3" s="91"/>
      <c r="S3" s="91"/>
    </row>
    <row r="4" spans="1:21" ht="17.25">
      <c r="A4" s="105"/>
      <c r="B4" s="106"/>
      <c r="C4" s="101" t="s">
        <v>8</v>
      </c>
      <c r="D4" s="101"/>
      <c r="E4" s="101"/>
      <c r="F4" s="29"/>
      <c r="G4" s="95" t="s">
        <v>16</v>
      </c>
      <c r="H4" s="96"/>
      <c r="I4" s="31">
        <v>100</v>
      </c>
      <c r="J4" s="17" t="s">
        <v>2</v>
      </c>
      <c r="L4" s="91"/>
      <c r="M4" s="91"/>
      <c r="N4" s="91"/>
      <c r="O4" s="91"/>
      <c r="P4" s="91"/>
      <c r="Q4" s="91"/>
      <c r="R4" s="91"/>
      <c r="S4" s="91"/>
    </row>
    <row r="5" spans="1:21">
      <c r="A5" s="107"/>
      <c r="B5" s="108"/>
      <c r="C5" s="102" t="s">
        <v>9</v>
      </c>
      <c r="D5" s="102"/>
      <c r="E5" s="102"/>
      <c r="F5" s="32"/>
      <c r="G5" s="18"/>
      <c r="H5" s="19"/>
      <c r="I5" s="33"/>
      <c r="J5" s="34"/>
      <c r="L5" s="91"/>
      <c r="M5" s="91"/>
      <c r="N5" s="91"/>
      <c r="O5" s="91"/>
      <c r="P5" s="91"/>
      <c r="Q5" s="91"/>
      <c r="R5" s="91"/>
      <c r="S5" s="91"/>
    </row>
    <row r="6" spans="1:21">
      <c r="A6" s="112" t="s">
        <v>6</v>
      </c>
      <c r="B6" s="113"/>
      <c r="C6" s="22"/>
      <c r="D6" s="22"/>
      <c r="E6" s="22"/>
      <c r="F6" s="22"/>
      <c r="G6" s="22"/>
      <c r="H6" s="22"/>
      <c r="I6" s="22"/>
      <c r="J6" s="35"/>
      <c r="K6" s="1"/>
    </row>
    <row r="7" spans="1:21">
      <c r="A7" s="114" t="s">
        <v>25</v>
      </c>
      <c r="B7" s="115"/>
      <c r="C7" s="10"/>
      <c r="D7" s="10"/>
      <c r="E7" s="10"/>
      <c r="F7" s="10"/>
      <c r="G7" s="10"/>
      <c r="H7" s="10"/>
      <c r="I7" s="10"/>
      <c r="J7" s="24"/>
      <c r="K7" s="1" t="s">
        <v>44</v>
      </c>
    </row>
    <row r="8" spans="1:21">
      <c r="A8" s="25"/>
      <c r="B8" s="26"/>
      <c r="C8" s="26"/>
      <c r="D8" s="26"/>
      <c r="E8" s="26"/>
      <c r="F8" s="26"/>
      <c r="G8" s="26"/>
      <c r="H8" s="26"/>
      <c r="I8" s="26"/>
      <c r="J8" s="34"/>
      <c r="L8" t="s">
        <v>45</v>
      </c>
    </row>
    <row r="9" spans="1:21">
      <c r="A9" s="92" t="s">
        <v>10</v>
      </c>
      <c r="B9" s="93"/>
      <c r="C9" s="93"/>
      <c r="D9" s="93"/>
      <c r="E9" s="94"/>
      <c r="F9" s="89" t="s">
        <v>88</v>
      </c>
      <c r="G9" s="89"/>
      <c r="H9" s="89"/>
      <c r="I9" s="89"/>
      <c r="J9" s="90"/>
      <c r="L9" t="s">
        <v>46</v>
      </c>
    </row>
    <row r="10" spans="1:21">
      <c r="A10" s="23"/>
      <c r="B10" s="11"/>
      <c r="C10" s="11"/>
      <c r="D10" s="11"/>
      <c r="E10" s="29"/>
      <c r="F10" s="20" t="s">
        <v>11</v>
      </c>
      <c r="G10" s="97" t="s">
        <v>60</v>
      </c>
      <c r="H10" s="97"/>
      <c r="I10" s="97"/>
      <c r="J10" s="28"/>
      <c r="L10" t="s">
        <v>47</v>
      </c>
    </row>
    <row r="11" spans="1:21">
      <c r="A11" s="23"/>
      <c r="B11" s="11"/>
      <c r="C11" s="11"/>
      <c r="D11" s="11"/>
      <c r="E11" s="29"/>
      <c r="F11" s="23" t="s">
        <v>12</v>
      </c>
      <c r="G11" s="11"/>
      <c r="H11" s="11"/>
      <c r="I11" s="31">
        <v>450</v>
      </c>
      <c r="J11" s="29" t="s">
        <v>13</v>
      </c>
      <c r="L11" t="s">
        <v>48</v>
      </c>
    </row>
    <row r="12" spans="1:21">
      <c r="A12" s="23"/>
      <c r="B12" s="11"/>
      <c r="C12" s="11"/>
      <c r="D12" s="11"/>
      <c r="E12" s="29"/>
      <c r="F12" s="23" t="s">
        <v>14</v>
      </c>
      <c r="G12" s="11"/>
      <c r="H12" s="11"/>
      <c r="I12" s="31">
        <v>550</v>
      </c>
      <c r="J12" s="29" t="s">
        <v>13</v>
      </c>
      <c r="L12" t="s">
        <v>59</v>
      </c>
    </row>
    <row r="13" spans="1:21">
      <c r="A13" s="23"/>
      <c r="B13" s="11"/>
      <c r="C13" s="11"/>
      <c r="D13" s="11"/>
      <c r="E13" s="29"/>
      <c r="F13" s="23" t="s">
        <v>17</v>
      </c>
      <c r="G13" s="11"/>
      <c r="H13" s="11"/>
      <c r="I13" s="10">
        <v>20000</v>
      </c>
      <c r="J13" s="29" t="s">
        <v>13</v>
      </c>
    </row>
    <row r="14" spans="1:21">
      <c r="A14" s="23"/>
      <c r="B14" s="11"/>
      <c r="C14" s="11"/>
      <c r="D14" s="11"/>
      <c r="E14" s="29"/>
      <c r="F14" s="25"/>
      <c r="G14" s="26"/>
      <c r="H14" s="26"/>
      <c r="I14" s="26"/>
      <c r="J14" s="27"/>
      <c r="K14" s="3" t="s">
        <v>50</v>
      </c>
    </row>
    <row r="15" spans="1:21">
      <c r="A15" s="23"/>
      <c r="B15" s="11"/>
      <c r="C15" s="11"/>
      <c r="D15" s="11"/>
      <c r="E15" s="29"/>
      <c r="F15" s="89" t="s">
        <v>18</v>
      </c>
      <c r="G15" s="89"/>
      <c r="H15" s="89"/>
      <c r="I15" s="89"/>
      <c r="J15" s="90"/>
      <c r="L15" t="s">
        <v>31</v>
      </c>
      <c r="N15">
        <f>I3</f>
        <v>300</v>
      </c>
      <c r="P15" s="11" t="s">
        <v>13</v>
      </c>
    </row>
    <row r="16" spans="1:21">
      <c r="A16" s="23"/>
      <c r="B16" s="11"/>
      <c r="C16" s="11"/>
      <c r="D16" s="11"/>
      <c r="E16" s="29"/>
      <c r="F16" s="12" t="s">
        <v>19</v>
      </c>
      <c r="G16" s="11"/>
      <c r="H16" s="11"/>
      <c r="I16" s="30">
        <v>48</v>
      </c>
      <c r="J16" s="29" t="s">
        <v>20</v>
      </c>
      <c r="K16" s="1"/>
      <c r="L16" t="s">
        <v>51</v>
      </c>
      <c r="N16" s="48">
        <f>0.5*I16+I18+I19</f>
        <v>24.1</v>
      </c>
      <c r="P16" s="11" t="s">
        <v>20</v>
      </c>
    </row>
    <row r="17" spans="1:18">
      <c r="A17" s="23"/>
      <c r="B17" s="11"/>
      <c r="C17" s="11"/>
      <c r="D17" s="11"/>
      <c r="E17" s="29"/>
      <c r="F17" s="12" t="s">
        <v>21</v>
      </c>
      <c r="G17" s="11"/>
      <c r="H17" s="11"/>
      <c r="I17" s="10">
        <v>0.75</v>
      </c>
      <c r="J17" s="29" t="s">
        <v>20</v>
      </c>
      <c r="K17" s="3"/>
      <c r="L17" t="s">
        <v>29</v>
      </c>
      <c r="N17">
        <f>I13</f>
        <v>20000</v>
      </c>
      <c r="P17" s="11" t="s">
        <v>13</v>
      </c>
    </row>
    <row r="18" spans="1:18">
      <c r="A18" s="23"/>
      <c r="B18" s="11"/>
      <c r="C18" s="11"/>
      <c r="D18" s="11"/>
      <c r="E18" s="29"/>
      <c r="F18" s="11" t="s">
        <v>23</v>
      </c>
      <c r="G18" s="11"/>
      <c r="H18" s="11"/>
      <c r="I18" s="10">
        <v>0.1</v>
      </c>
      <c r="J18" s="29" t="s">
        <v>20</v>
      </c>
      <c r="L18" t="s">
        <v>30</v>
      </c>
      <c r="N18">
        <f>I22</f>
        <v>0.85</v>
      </c>
    </row>
    <row r="19" spans="1:18">
      <c r="A19" s="23"/>
      <c r="B19" s="11"/>
      <c r="C19" s="11"/>
      <c r="D19" s="11"/>
      <c r="E19" s="29"/>
      <c r="F19" s="11" t="s">
        <v>22</v>
      </c>
      <c r="G19" s="11"/>
      <c r="H19" s="11"/>
      <c r="I19" s="10">
        <v>0</v>
      </c>
      <c r="J19" s="29" t="s">
        <v>20</v>
      </c>
      <c r="L19" t="s">
        <v>53</v>
      </c>
      <c r="N19" s="4">
        <f>N15*N16/(N17*N18-0.6*N15)</f>
        <v>0.42984542211652793</v>
      </c>
      <c r="P19" t="s">
        <v>20</v>
      </c>
    </row>
    <row r="20" spans="1:18">
      <c r="A20" s="23"/>
      <c r="B20" s="11"/>
      <c r="C20" s="11"/>
      <c r="D20" s="11"/>
      <c r="E20" s="29"/>
      <c r="F20" s="26"/>
      <c r="G20" s="26"/>
      <c r="H20" s="26"/>
      <c r="I20" s="26"/>
      <c r="J20" s="27"/>
      <c r="L20" t="s">
        <v>52</v>
      </c>
      <c r="N20" s="4">
        <f>N15*N16/(2*N17*N18+0.4*N15)</f>
        <v>0.21189917936694022</v>
      </c>
      <c r="P20" t="s">
        <v>20</v>
      </c>
    </row>
    <row r="21" spans="1:18">
      <c r="A21" s="23"/>
      <c r="B21" s="11"/>
      <c r="C21" s="11"/>
      <c r="D21" s="11"/>
      <c r="E21" s="11"/>
      <c r="F21" s="88" t="s">
        <v>33</v>
      </c>
      <c r="G21" s="89"/>
      <c r="H21" s="89"/>
      <c r="I21" s="89"/>
      <c r="J21" s="90"/>
      <c r="L21" s="8" t="s">
        <v>35</v>
      </c>
      <c r="N21" s="47">
        <f>MIN(N19,N20)</f>
        <v>0.21189917936694022</v>
      </c>
      <c r="O21" s="8"/>
      <c r="P21" s="8" t="s">
        <v>20</v>
      </c>
      <c r="Q21" s="8"/>
      <c r="R21" s="8"/>
    </row>
    <row r="22" spans="1:18">
      <c r="A22" s="23"/>
      <c r="B22" s="11"/>
      <c r="C22" s="11"/>
      <c r="D22" s="11"/>
      <c r="E22" s="11"/>
      <c r="F22" s="37" t="s">
        <v>24</v>
      </c>
      <c r="G22" s="21"/>
      <c r="H22" s="21"/>
      <c r="I22" s="38">
        <v>0.85</v>
      </c>
      <c r="J22" s="28"/>
      <c r="L22" s="8"/>
      <c r="M22" s="8"/>
      <c r="N22" s="8"/>
      <c r="O22" s="8"/>
      <c r="P22" s="8"/>
      <c r="Q22" s="8"/>
      <c r="R22" s="8"/>
    </row>
    <row r="23" spans="1:18">
      <c r="A23" s="23"/>
      <c r="B23" s="11"/>
      <c r="C23" s="11"/>
      <c r="D23" s="11"/>
      <c r="E23" s="11"/>
      <c r="F23" s="16" t="s">
        <v>34</v>
      </c>
      <c r="G23" s="13"/>
      <c r="H23" s="11"/>
      <c r="I23" s="9">
        <v>0.36</v>
      </c>
      <c r="J23" s="17" t="s">
        <v>20</v>
      </c>
      <c r="K23" s="3" t="s">
        <v>54</v>
      </c>
      <c r="N23" s="8"/>
      <c r="O23" s="8"/>
      <c r="P23" s="8"/>
      <c r="R23" s="8"/>
    </row>
    <row r="24" spans="1:18">
      <c r="A24" s="23"/>
      <c r="B24" s="11"/>
      <c r="C24" s="11"/>
      <c r="D24" s="11"/>
      <c r="E24" s="11"/>
      <c r="F24" s="36"/>
      <c r="G24" s="11"/>
      <c r="H24" s="11"/>
      <c r="I24" s="46"/>
      <c r="J24" s="17"/>
      <c r="K24" s="3"/>
      <c r="L24" t="s">
        <v>55</v>
      </c>
      <c r="M24" s="8"/>
      <c r="N24">
        <f>I23</f>
        <v>0.36</v>
      </c>
      <c r="P24" s="8" t="s">
        <v>20</v>
      </c>
    </row>
    <row r="25" spans="1:18">
      <c r="A25" s="23"/>
      <c r="B25" s="11"/>
      <c r="C25" s="11"/>
      <c r="D25" s="11"/>
      <c r="E25" s="11"/>
      <c r="F25" s="23"/>
      <c r="G25" s="11"/>
      <c r="H25" s="11"/>
      <c r="I25" s="11"/>
      <c r="J25" s="29"/>
      <c r="M25" s="8"/>
    </row>
    <row r="26" spans="1:18">
      <c r="A26" s="23"/>
      <c r="B26" s="11"/>
      <c r="C26" s="11"/>
      <c r="D26" s="11"/>
      <c r="E26" s="11"/>
      <c r="F26" s="23"/>
      <c r="G26" s="11"/>
      <c r="H26" s="11"/>
      <c r="I26" s="11"/>
      <c r="J26" s="29"/>
      <c r="K26" s="3" t="s">
        <v>56</v>
      </c>
      <c r="O26" s="39"/>
    </row>
    <row r="27" spans="1:18">
      <c r="A27" s="23"/>
      <c r="B27" s="11"/>
      <c r="C27" s="11"/>
      <c r="D27" s="11"/>
      <c r="E27" s="11"/>
      <c r="F27" s="23"/>
      <c r="G27" s="11"/>
      <c r="H27" s="11"/>
      <c r="I27" s="11"/>
      <c r="J27" s="29"/>
      <c r="L27" t="s">
        <v>1</v>
      </c>
      <c r="N27">
        <f>I19</f>
        <v>0</v>
      </c>
      <c r="P27" t="s">
        <v>20</v>
      </c>
    </row>
    <row r="28" spans="1:18">
      <c r="A28" s="23"/>
      <c r="B28" s="11"/>
      <c r="C28" s="11"/>
      <c r="D28" s="11"/>
      <c r="E28" s="11"/>
      <c r="F28" s="23"/>
      <c r="G28" s="11"/>
      <c r="H28" s="11"/>
      <c r="I28" s="11"/>
      <c r="J28" s="29"/>
      <c r="L28" t="s">
        <v>0</v>
      </c>
      <c r="N28">
        <f>I18</f>
        <v>0.1</v>
      </c>
      <c r="P28" t="s">
        <v>20</v>
      </c>
    </row>
    <row r="29" spans="1:18">
      <c r="A29" s="23"/>
      <c r="B29" s="11"/>
      <c r="C29" s="11"/>
      <c r="D29" s="11"/>
      <c r="E29" s="11"/>
      <c r="F29" s="23"/>
      <c r="G29" s="11"/>
      <c r="H29" s="11"/>
      <c r="I29" s="11"/>
      <c r="J29" s="29"/>
      <c r="L29" t="s">
        <v>57</v>
      </c>
      <c r="N29">
        <f>I17</f>
        <v>0.75</v>
      </c>
      <c r="P29" t="s">
        <v>20</v>
      </c>
    </row>
    <row r="30" spans="1:18">
      <c r="A30" s="92" t="s">
        <v>61</v>
      </c>
      <c r="B30" s="93"/>
      <c r="C30" s="93"/>
      <c r="D30" s="93"/>
      <c r="E30" s="93"/>
      <c r="F30" s="93"/>
      <c r="G30" s="93"/>
      <c r="H30" s="93"/>
      <c r="I30" s="93"/>
      <c r="J30" s="94"/>
      <c r="L30" t="s">
        <v>28</v>
      </c>
      <c r="N30">
        <f>N29-N28-N27</f>
        <v>0.65</v>
      </c>
      <c r="P30" t="s">
        <v>20</v>
      </c>
    </row>
    <row r="31" spans="1:18">
      <c r="A31" s="20"/>
      <c r="B31" s="21"/>
      <c r="C31" s="21"/>
      <c r="D31" s="21"/>
      <c r="E31" s="21"/>
      <c r="F31" s="62" t="s">
        <v>66</v>
      </c>
      <c r="G31" s="62"/>
      <c r="H31" s="21"/>
      <c r="I31" s="63">
        <f>MIN(B46:I46)</f>
        <v>0.36</v>
      </c>
      <c r="J31" s="64" t="s">
        <v>20</v>
      </c>
    </row>
    <row r="32" spans="1:18">
      <c r="A32" s="23"/>
      <c r="B32" s="11"/>
      <c r="C32" s="11"/>
      <c r="D32" s="11"/>
      <c r="E32" s="11"/>
      <c r="F32" s="13" t="s">
        <v>67</v>
      </c>
      <c r="G32" s="13"/>
      <c r="H32" s="11"/>
      <c r="I32" s="45">
        <f>MIN(J39:J45)</f>
        <v>0.36</v>
      </c>
      <c r="J32" s="17" t="s">
        <v>20</v>
      </c>
    </row>
    <row r="33" spans="1:17">
      <c r="A33" s="23"/>
      <c r="B33" s="11"/>
      <c r="C33" s="11"/>
      <c r="D33" s="11"/>
      <c r="E33" s="11"/>
      <c r="F33" s="11" t="s">
        <v>68</v>
      </c>
      <c r="G33" s="11"/>
      <c r="H33" s="11"/>
      <c r="I33" s="45">
        <v>1.5</v>
      </c>
      <c r="J33" s="17" t="s">
        <v>20</v>
      </c>
      <c r="L33" t="s">
        <v>55</v>
      </c>
      <c r="N33" s="49">
        <f>I23</f>
        <v>0.36</v>
      </c>
      <c r="P33" t="s">
        <v>20</v>
      </c>
    </row>
    <row r="34" spans="1:17">
      <c r="A34" s="23"/>
      <c r="B34" s="11"/>
      <c r="C34" s="11"/>
      <c r="D34" s="11"/>
      <c r="E34" s="11"/>
      <c r="F34" s="11" t="s">
        <v>69</v>
      </c>
      <c r="G34" s="11"/>
      <c r="H34" s="11"/>
      <c r="I34" s="45">
        <v>1.5</v>
      </c>
      <c r="J34" s="17" t="s">
        <v>20</v>
      </c>
      <c r="L34" t="s">
        <v>36</v>
      </c>
      <c r="N34" s="4">
        <f>(N33-N28)/N30</f>
        <v>0.4</v>
      </c>
      <c r="P34" t="s">
        <v>20</v>
      </c>
    </row>
    <row r="35" spans="1:17">
      <c r="A35" s="23"/>
      <c r="B35" s="11"/>
      <c r="C35" s="11"/>
      <c r="D35" s="11"/>
      <c r="E35" s="11"/>
      <c r="F35" s="11"/>
      <c r="G35" s="11"/>
      <c r="H35" s="11"/>
      <c r="I35" s="11"/>
      <c r="J35" s="29"/>
    </row>
    <row r="36" spans="1:17">
      <c r="A36" s="23"/>
      <c r="B36" s="11"/>
      <c r="C36" s="11"/>
      <c r="D36" s="11"/>
      <c r="E36" s="11"/>
      <c r="F36" s="11"/>
      <c r="G36" s="11"/>
      <c r="H36" s="11"/>
      <c r="I36" s="11"/>
      <c r="J36" s="29"/>
      <c r="K36" s="3" t="s">
        <v>58</v>
      </c>
    </row>
    <row r="37" spans="1:17">
      <c r="A37" s="23"/>
      <c r="B37" s="11"/>
      <c r="C37" s="11"/>
      <c r="D37" s="11"/>
      <c r="E37" s="11"/>
      <c r="F37" s="11"/>
      <c r="G37" s="11"/>
      <c r="H37" s="11"/>
      <c r="I37" s="11"/>
      <c r="J37" s="29"/>
      <c r="L37" t="s">
        <v>37</v>
      </c>
      <c r="N37" s="7">
        <v>0.9</v>
      </c>
    </row>
    <row r="38" spans="1:17">
      <c r="A38" s="23"/>
      <c r="B38" s="11"/>
      <c r="C38" s="11"/>
      <c r="D38" s="11"/>
      <c r="E38" s="11"/>
      <c r="F38" s="11"/>
      <c r="G38" s="11"/>
      <c r="H38" s="11"/>
      <c r="I38" s="11"/>
      <c r="J38" s="66" t="s">
        <v>62</v>
      </c>
      <c r="L38" s="50" t="s">
        <v>38</v>
      </c>
      <c r="M38" s="6"/>
      <c r="N38" s="54">
        <f>IF(N34&lt;N37,1.123*(SQRT((((1-N34)/(1-(N34/N37)))^2)-1)),50)</f>
        <v>0.45809591310117537</v>
      </c>
      <c r="O38" s="6"/>
      <c r="P38" s="6"/>
      <c r="Q38" s="6"/>
    </row>
    <row r="39" spans="1:17">
      <c r="A39" s="23"/>
      <c r="B39" s="56">
        <v>0.75</v>
      </c>
      <c r="C39" s="56">
        <v>0.75</v>
      </c>
      <c r="D39" s="56">
        <v>0.75</v>
      </c>
      <c r="E39" s="56">
        <v>0.75</v>
      </c>
      <c r="F39" s="56">
        <v>0.75</v>
      </c>
      <c r="G39" s="56">
        <v>0.75</v>
      </c>
      <c r="H39" s="56">
        <v>0.75</v>
      </c>
      <c r="I39" s="56">
        <v>0.75</v>
      </c>
      <c r="J39" s="58">
        <f>MIN(B39:I39)</f>
        <v>0.75</v>
      </c>
      <c r="L39" s="52" t="s">
        <v>39</v>
      </c>
      <c r="M39" s="52"/>
      <c r="N39" s="53">
        <f>2*N16+2*(N28+N27)</f>
        <v>48.400000000000006</v>
      </c>
      <c r="O39" s="6"/>
      <c r="P39" s="52" t="s">
        <v>20</v>
      </c>
      <c r="Q39" s="6"/>
    </row>
    <row r="40" spans="1:17">
      <c r="A40" s="23"/>
      <c r="B40" s="56">
        <v>0.75</v>
      </c>
      <c r="C40" s="56">
        <v>0.48</v>
      </c>
      <c r="D40" s="56">
        <v>0.52</v>
      </c>
      <c r="E40" s="57">
        <v>0.56999999999999995</v>
      </c>
      <c r="F40" s="56">
        <v>0.56000000000000005</v>
      </c>
      <c r="G40" s="56">
        <v>0.57999999999999996</v>
      </c>
      <c r="H40" s="56">
        <v>0.6</v>
      </c>
      <c r="I40" s="56">
        <v>0.75</v>
      </c>
      <c r="J40" s="58">
        <f t="shared" ref="J40:J45" si="0">MIN(B40:I40)</f>
        <v>0.48</v>
      </c>
      <c r="L40" s="52" t="s">
        <v>40</v>
      </c>
      <c r="M40" s="6"/>
      <c r="N40" s="51">
        <f>N38*SQRT(N39*N30)</f>
        <v>2.5694239999999979</v>
      </c>
      <c r="O40" s="6"/>
      <c r="P40" s="52" t="s">
        <v>20</v>
      </c>
      <c r="Q40" s="6"/>
    </row>
    <row r="41" spans="1:17">
      <c r="A41" s="23"/>
      <c r="B41" s="56">
        <v>0.75</v>
      </c>
      <c r="C41" s="56">
        <v>0.56999999999999995</v>
      </c>
      <c r="D41" s="56">
        <v>0.59</v>
      </c>
      <c r="E41" s="57">
        <v>0.55000000000000004</v>
      </c>
      <c r="F41" s="56">
        <v>0.59</v>
      </c>
      <c r="G41" s="56">
        <v>0.6</v>
      </c>
      <c r="H41" s="56">
        <v>0.66</v>
      </c>
      <c r="I41" s="56">
        <v>0.75</v>
      </c>
      <c r="J41" s="58">
        <f t="shared" si="0"/>
        <v>0.55000000000000004</v>
      </c>
      <c r="L41" s="52"/>
      <c r="M41" s="52"/>
      <c r="N41" s="52"/>
      <c r="O41" s="52"/>
      <c r="P41" s="52"/>
      <c r="Q41" s="6"/>
    </row>
    <row r="42" spans="1:17">
      <c r="A42" s="23"/>
      <c r="B42" s="56">
        <v>0.75</v>
      </c>
      <c r="C42" s="56">
        <v>0.61</v>
      </c>
      <c r="D42" s="56">
        <v>0.47</v>
      </c>
      <c r="E42" s="57">
        <v>0.57999999999999996</v>
      </c>
      <c r="F42" s="56">
        <v>0.36</v>
      </c>
      <c r="G42" s="56">
        <v>0.57999999999999996</v>
      </c>
      <c r="H42" s="56">
        <v>0.64</v>
      </c>
      <c r="I42" s="56">
        <v>0.75</v>
      </c>
      <c r="J42" s="58">
        <f t="shared" si="0"/>
        <v>0.36</v>
      </c>
      <c r="K42" s="3" t="s">
        <v>64</v>
      </c>
      <c r="L42" s="3"/>
      <c r="M42" s="3"/>
      <c r="N42" s="3"/>
      <c r="O42" s="3"/>
      <c r="P42" s="3"/>
    </row>
    <row r="43" spans="1:17">
      <c r="A43" s="23"/>
      <c r="B43" s="56">
        <v>0.75</v>
      </c>
      <c r="C43" s="56">
        <v>0.62</v>
      </c>
      <c r="D43" s="56">
        <v>0.59</v>
      </c>
      <c r="E43" s="57">
        <v>0.57999999999999996</v>
      </c>
      <c r="F43" s="56">
        <v>0.56999999999999995</v>
      </c>
      <c r="G43" s="56">
        <v>0.48</v>
      </c>
      <c r="H43" s="56">
        <v>0.62</v>
      </c>
      <c r="I43" s="56">
        <v>0.75</v>
      </c>
      <c r="J43" s="58">
        <f t="shared" si="0"/>
        <v>0.48</v>
      </c>
      <c r="L43" s="1" t="s">
        <v>41</v>
      </c>
      <c r="M43" s="3"/>
      <c r="N43" s="3"/>
      <c r="O43" s="3"/>
      <c r="P43" s="3"/>
    </row>
    <row r="44" spans="1:17">
      <c r="A44" s="23"/>
      <c r="B44" s="56">
        <v>0.75</v>
      </c>
      <c r="C44" s="56">
        <v>0.56999999999999995</v>
      </c>
      <c r="D44" s="56">
        <v>0.59</v>
      </c>
      <c r="E44" s="57">
        <v>0.61</v>
      </c>
      <c r="F44" s="56">
        <v>0.56999999999999995</v>
      </c>
      <c r="G44" s="56">
        <v>0.56000000000000005</v>
      </c>
      <c r="H44" s="56">
        <v>0.49</v>
      </c>
      <c r="I44" s="56">
        <v>0.75</v>
      </c>
      <c r="J44" s="58">
        <f t="shared" si="0"/>
        <v>0.49</v>
      </c>
      <c r="L44" s="3"/>
      <c r="M44" s="55"/>
      <c r="N44" s="3"/>
      <c r="O44" s="3"/>
      <c r="P44" s="3"/>
    </row>
    <row r="45" spans="1:17">
      <c r="A45" s="23"/>
      <c r="B45" s="56">
        <v>0.75</v>
      </c>
      <c r="C45" s="56">
        <v>0.75</v>
      </c>
      <c r="D45" s="56">
        <v>0.75</v>
      </c>
      <c r="E45" s="57">
        <v>0.75</v>
      </c>
      <c r="F45" s="56">
        <v>0.75</v>
      </c>
      <c r="G45" s="56">
        <v>0.75</v>
      </c>
      <c r="H45" s="56">
        <v>0.75</v>
      </c>
      <c r="I45" s="56">
        <v>0.75</v>
      </c>
      <c r="J45" s="59">
        <f t="shared" si="0"/>
        <v>0.75</v>
      </c>
      <c r="L45" s="3"/>
      <c r="M45" s="55"/>
      <c r="N45" s="3"/>
      <c r="O45" s="3"/>
      <c r="P45" s="3"/>
    </row>
    <row r="46" spans="1:17">
      <c r="A46" s="66" t="s">
        <v>63</v>
      </c>
      <c r="B46" s="58">
        <f>MIN(B39:B45)</f>
        <v>0.75</v>
      </c>
      <c r="C46" s="58">
        <f t="shared" ref="C46:H46" si="1">MIN(C39:C45)</f>
        <v>0.48</v>
      </c>
      <c r="D46" s="58">
        <f t="shared" si="1"/>
        <v>0.47</v>
      </c>
      <c r="E46" s="58">
        <f t="shared" si="1"/>
        <v>0.55000000000000004</v>
      </c>
      <c r="F46" s="58">
        <f t="shared" si="1"/>
        <v>0.36</v>
      </c>
      <c r="G46" s="58">
        <f t="shared" si="1"/>
        <v>0.48</v>
      </c>
      <c r="H46" s="58">
        <f t="shared" si="1"/>
        <v>0.49</v>
      </c>
      <c r="I46" s="58">
        <f>MIN(I39:I45)</f>
        <v>0.75</v>
      </c>
      <c r="J46" s="29"/>
      <c r="L46" s="3"/>
      <c r="M46" s="3"/>
      <c r="N46" s="3"/>
      <c r="O46" s="3"/>
      <c r="P46" s="3"/>
    </row>
    <row r="47" spans="1:17">
      <c r="A47" s="23"/>
      <c r="B47" s="11"/>
      <c r="C47" s="11"/>
      <c r="D47" s="11"/>
      <c r="E47" s="11"/>
      <c r="F47" s="11"/>
      <c r="G47" s="11"/>
      <c r="H47" s="11"/>
      <c r="I47" s="11"/>
      <c r="J47" s="29"/>
      <c r="L47" s="3"/>
      <c r="M47" s="3"/>
      <c r="N47" s="44"/>
      <c r="O47" s="3"/>
      <c r="P47" s="3"/>
    </row>
    <row r="48" spans="1:17">
      <c r="A48" s="23"/>
      <c r="B48" s="11"/>
      <c r="C48" s="11"/>
      <c r="D48" s="11"/>
      <c r="E48" s="11"/>
      <c r="F48" s="11"/>
      <c r="G48" s="11"/>
      <c r="H48" s="11"/>
      <c r="I48" s="11"/>
      <c r="J48" s="29"/>
      <c r="L48" s="3"/>
      <c r="M48" s="3"/>
      <c r="N48" s="44"/>
      <c r="O48" s="3"/>
      <c r="P48" s="3"/>
    </row>
    <row r="49" spans="1:21">
      <c r="A49" s="23"/>
      <c r="B49" s="11"/>
      <c r="C49" s="11"/>
      <c r="D49" s="11"/>
      <c r="E49" s="11"/>
      <c r="F49" s="11"/>
      <c r="G49" s="11"/>
      <c r="H49" s="11"/>
      <c r="I49" s="11"/>
      <c r="J49" s="29"/>
    </row>
    <row r="50" spans="1:21">
      <c r="A50" s="43" t="s">
        <v>26</v>
      </c>
      <c r="B50" s="26"/>
      <c r="C50" s="26"/>
      <c r="D50" s="26"/>
      <c r="E50" s="26"/>
      <c r="F50" s="26"/>
      <c r="G50" s="26"/>
      <c r="H50" s="26"/>
      <c r="I50" s="26"/>
      <c r="J50" s="27"/>
    </row>
    <row r="51" spans="1:21">
      <c r="K51" s="1"/>
      <c r="L51" s="11" t="s">
        <v>93</v>
      </c>
      <c r="N51">
        <f>I33</f>
        <v>1.5</v>
      </c>
      <c r="P51" t="s">
        <v>20</v>
      </c>
      <c r="U51" s="3" t="s">
        <v>73</v>
      </c>
    </row>
    <row r="52" spans="1:21" ht="15.75">
      <c r="J52" s="2"/>
      <c r="L52" t="s">
        <v>55</v>
      </c>
      <c r="N52">
        <f>MIN(B46:I46)</f>
        <v>0.36</v>
      </c>
      <c r="O52" s="42"/>
      <c r="P52" s="60" t="s">
        <v>20</v>
      </c>
      <c r="Q52" s="42"/>
      <c r="R52" s="42"/>
    </row>
    <row r="53" spans="1:21" ht="15" customHeight="1">
      <c r="I53" s="3"/>
      <c r="J53" s="5"/>
      <c r="K53" s="42"/>
      <c r="L53" t="s">
        <v>89</v>
      </c>
      <c r="N53">
        <v>0.55000000000000004</v>
      </c>
      <c r="P53" s="3" t="s">
        <v>20</v>
      </c>
      <c r="Q53" s="42"/>
    </row>
    <row r="54" spans="1:21">
      <c r="I54" s="3"/>
      <c r="J54" s="5"/>
      <c r="K54" s="42"/>
      <c r="L54" t="s">
        <v>90</v>
      </c>
      <c r="N54">
        <v>0.48</v>
      </c>
      <c r="O54" s="42"/>
      <c r="P54" s="60" t="s">
        <v>20</v>
      </c>
      <c r="Q54" s="42"/>
    </row>
    <row r="55" spans="1:21" ht="15" customHeight="1">
      <c r="I55" s="3"/>
      <c r="J55" s="5"/>
      <c r="L55" t="s">
        <v>91</v>
      </c>
      <c r="N55" s="4">
        <f>N52+(N53-N52)*((N40*0.5)/N51)</f>
        <v>0.5227301866666666</v>
      </c>
      <c r="P55" s="3" t="s">
        <v>20</v>
      </c>
    </row>
    <row r="56" spans="1:21">
      <c r="I56" s="3"/>
      <c r="J56" s="5"/>
      <c r="L56" t="s">
        <v>92</v>
      </c>
      <c r="N56" s="4">
        <f>N52+(N54-N52)*(0.5*N40/N51)</f>
        <v>0.4627769599999999</v>
      </c>
      <c r="P56" s="3" t="s">
        <v>20</v>
      </c>
    </row>
    <row r="57" spans="1:21" ht="17.25">
      <c r="I57" s="3"/>
      <c r="J57" s="3"/>
      <c r="L57" t="s">
        <v>94</v>
      </c>
      <c r="N57" s="4">
        <f>(N55+N52)*(N40*0.5)/2</f>
        <v>0.56702703178645286</v>
      </c>
      <c r="P57" s="60" t="s">
        <v>71</v>
      </c>
    </row>
    <row r="58" spans="1:21" ht="17.25">
      <c r="L58" t="s">
        <v>95</v>
      </c>
      <c r="N58" s="4">
        <f>(N52+N56)*(0.5*N40)/2</f>
        <v>0.52851571691775956</v>
      </c>
      <c r="P58" s="60" t="s">
        <v>71</v>
      </c>
    </row>
    <row r="59" spans="1:21">
      <c r="E59" s="4"/>
      <c r="L59" t="s">
        <v>65</v>
      </c>
      <c r="M59" s="42"/>
      <c r="N59" s="65">
        <f>(N57+N58)/N40</f>
        <v>0.42637678666666667</v>
      </c>
      <c r="O59" s="42"/>
      <c r="P59" s="60" t="s">
        <v>20</v>
      </c>
    </row>
    <row r="61" spans="1:21">
      <c r="E61" s="4"/>
      <c r="L61" s="1" t="s">
        <v>70</v>
      </c>
      <c r="M61" s="42"/>
      <c r="N61" s="42"/>
      <c r="O61" s="42"/>
      <c r="P61" s="42"/>
      <c r="Q61" s="42"/>
    </row>
    <row r="62" spans="1:21">
      <c r="J62" s="3"/>
      <c r="L62" s="5"/>
      <c r="M62" s="5"/>
      <c r="N62" s="5"/>
      <c r="O62" s="5"/>
      <c r="P62" s="5"/>
    </row>
    <row r="64" spans="1:21">
      <c r="K64" s="60"/>
    </row>
    <row r="65" spans="5:19">
      <c r="J65" s="3"/>
      <c r="K65" s="5"/>
    </row>
    <row r="70" spans="5:19">
      <c r="K70" s="3"/>
      <c r="L70" s="11" t="s">
        <v>93</v>
      </c>
      <c r="N70">
        <f>I34</f>
        <v>1.5</v>
      </c>
      <c r="P70" t="s">
        <v>20</v>
      </c>
    </row>
    <row r="71" spans="5:19">
      <c r="E71" s="4"/>
      <c r="J71" s="3"/>
      <c r="L71" t="s">
        <v>55</v>
      </c>
      <c r="N71">
        <f>MIN(J39:J45)</f>
        <v>0.36</v>
      </c>
      <c r="O71" s="42"/>
      <c r="P71" s="60" t="s">
        <v>20</v>
      </c>
    </row>
    <row r="72" spans="5:19">
      <c r="E72" s="4"/>
      <c r="L72" t="s">
        <v>89</v>
      </c>
      <c r="N72">
        <v>0.55000000000000004</v>
      </c>
      <c r="P72" s="3" t="s">
        <v>20</v>
      </c>
    </row>
    <row r="73" spans="5:19">
      <c r="E73" s="4"/>
      <c r="L73" t="s">
        <v>90</v>
      </c>
      <c r="N73">
        <v>0.48</v>
      </c>
      <c r="O73" s="42"/>
      <c r="P73" s="60" t="s">
        <v>20</v>
      </c>
    </row>
    <row r="74" spans="5:19">
      <c r="E74" s="4"/>
      <c r="L74" t="s">
        <v>91</v>
      </c>
      <c r="N74" s="4">
        <f>N71+(N72-N71)*((N40*0.5)/N70)</f>
        <v>0.5227301866666666</v>
      </c>
      <c r="P74" s="3" t="s">
        <v>20</v>
      </c>
    </row>
    <row r="75" spans="5:19">
      <c r="E75" s="4"/>
      <c r="L75" t="s">
        <v>92</v>
      </c>
      <c r="N75" s="4">
        <f>N71+(N73-N71)*(0.5*N40/N70)</f>
        <v>0.4627769599999999</v>
      </c>
      <c r="P75" s="3" t="s">
        <v>20</v>
      </c>
    </row>
    <row r="76" spans="5:19" ht="17.25">
      <c r="J76" s="3"/>
      <c r="L76" t="s">
        <v>94</v>
      </c>
      <c r="N76" s="4">
        <f>(N74+N71)*(N40*0.5)/2</f>
        <v>0.56702703178645286</v>
      </c>
      <c r="P76" s="60" t="s">
        <v>71</v>
      </c>
    </row>
    <row r="77" spans="5:19" ht="17.25">
      <c r="L77" t="s">
        <v>95</v>
      </c>
      <c r="N77" s="4">
        <f>(N71+N75)*(0.5*N40)/2</f>
        <v>0.52851571691775956</v>
      </c>
      <c r="P77" s="60" t="s">
        <v>71</v>
      </c>
    </row>
    <row r="78" spans="5:19">
      <c r="L78" t="s">
        <v>72</v>
      </c>
      <c r="M78" s="42"/>
      <c r="N78" s="65">
        <f>(N76+N77)/N40</f>
        <v>0.42637678666666667</v>
      </c>
      <c r="O78" s="42"/>
      <c r="P78" s="60" t="s">
        <v>20</v>
      </c>
    </row>
    <row r="79" spans="5:19">
      <c r="E79" s="4"/>
      <c r="J79" s="3"/>
      <c r="L79" t="s">
        <v>35</v>
      </c>
      <c r="N79" s="4">
        <f>MIN(N59,N78)</f>
        <v>0.42637678666666667</v>
      </c>
      <c r="P79" t="s">
        <v>20</v>
      </c>
      <c r="Q79" t="s">
        <v>96</v>
      </c>
      <c r="S79" s="61" t="str">
        <f>IF(N40&lt;=2*N51,"True","False")</f>
        <v>True</v>
      </c>
    </row>
    <row r="83" spans="5:19">
      <c r="E83" s="4"/>
      <c r="K83" s="3" t="s">
        <v>75</v>
      </c>
    </row>
    <row r="84" spans="5:19">
      <c r="E84" s="4"/>
      <c r="J84" s="3"/>
      <c r="L84" s="3" t="s">
        <v>80</v>
      </c>
    </row>
    <row r="85" spans="5:19">
      <c r="E85" s="4"/>
      <c r="L85" t="s">
        <v>76</v>
      </c>
      <c r="O85" s="41" t="str">
        <f>IF((N59-N28)&gt;=N71,"True","False")</f>
        <v>False</v>
      </c>
      <c r="S85" t="s">
        <v>82</v>
      </c>
    </row>
    <row r="86" spans="5:19">
      <c r="E86" s="4"/>
      <c r="J86" s="3"/>
      <c r="L86" t="s">
        <v>77</v>
      </c>
      <c r="O86" s="41" t="str">
        <f>IF((N78-N28)&gt;=N52,"True","False")</f>
        <v>False</v>
      </c>
    </row>
    <row r="87" spans="5:19">
      <c r="E87" s="4"/>
      <c r="K87" s="3"/>
    </row>
    <row r="88" spans="5:19">
      <c r="E88" s="4"/>
      <c r="L88" s="3" t="s">
        <v>81</v>
      </c>
      <c r="S88" t="s">
        <v>82</v>
      </c>
    </row>
    <row r="89" spans="5:19">
      <c r="E89" s="4"/>
      <c r="L89" t="s">
        <v>78</v>
      </c>
    </row>
    <row r="90" spans="5:19" ht="15" customHeight="1">
      <c r="O90" s="41" t="str">
        <f>IF((N33-N28)&gt;=(MAX(0.5*N79,MAX(0.2*N29,2.5))),"True","False")</f>
        <v>False</v>
      </c>
      <c r="S90" t="s">
        <v>79</v>
      </c>
    </row>
    <row r="92" spans="5:19">
      <c r="K92" s="3"/>
    </row>
    <row r="94" spans="5:19">
      <c r="E94" s="4"/>
    </row>
    <row r="98" spans="1:21">
      <c r="E98" s="4"/>
    </row>
    <row r="99" spans="1:21">
      <c r="E99" s="4"/>
    </row>
    <row r="100" spans="1:21">
      <c r="E100" s="4"/>
    </row>
    <row r="101" spans="1:21">
      <c r="A101" s="1"/>
      <c r="E101" s="4"/>
      <c r="J101" s="1"/>
      <c r="K101" s="1" t="s">
        <v>83</v>
      </c>
      <c r="U101" s="3" t="s">
        <v>74</v>
      </c>
    </row>
    <row r="102" spans="1:21" ht="15" customHeight="1">
      <c r="D102" s="1"/>
      <c r="E102" s="4"/>
      <c r="L102" s="91" t="s">
        <v>87</v>
      </c>
      <c r="M102" s="91"/>
      <c r="N102" s="91"/>
      <c r="O102" s="91"/>
      <c r="P102" s="91"/>
      <c r="Q102" s="91"/>
      <c r="R102" s="91"/>
      <c r="S102" s="91"/>
    </row>
    <row r="103" spans="1:21">
      <c r="E103" s="4"/>
      <c r="L103" s="91"/>
      <c r="M103" s="91"/>
      <c r="N103" s="91"/>
      <c r="O103" s="91"/>
      <c r="P103" s="91"/>
      <c r="Q103" s="91"/>
      <c r="R103" s="91"/>
      <c r="S103" s="91"/>
    </row>
    <row r="104" spans="1:21">
      <c r="E104" s="4"/>
      <c r="L104" s="91"/>
      <c r="M104" s="91"/>
      <c r="N104" s="91"/>
      <c r="O104" s="91"/>
      <c r="P104" s="91"/>
      <c r="Q104" s="91"/>
      <c r="R104" s="91"/>
      <c r="S104" s="91"/>
    </row>
    <row r="105" spans="1:21">
      <c r="L105" s="91"/>
      <c r="M105" s="91"/>
      <c r="N105" s="91"/>
      <c r="O105" s="91"/>
      <c r="P105" s="91"/>
      <c r="Q105" s="91"/>
      <c r="R105" s="91"/>
      <c r="S105" s="91"/>
    </row>
    <row r="106" spans="1:21" ht="15" customHeight="1">
      <c r="B106" s="40"/>
      <c r="K106" s="1"/>
    </row>
    <row r="107" spans="1:21">
      <c r="F107" s="3"/>
      <c r="K107" s="1" t="s">
        <v>44</v>
      </c>
    </row>
    <row r="108" spans="1:21">
      <c r="L108" t="s">
        <v>45</v>
      </c>
    </row>
    <row r="109" spans="1:21">
      <c r="E109" s="4"/>
      <c r="I109" s="4"/>
      <c r="L109" t="s">
        <v>46</v>
      </c>
    </row>
    <row r="110" spans="1:21">
      <c r="E110" s="4"/>
      <c r="I110" s="4"/>
      <c r="L110" t="s">
        <v>47</v>
      </c>
    </row>
    <row r="111" spans="1:21">
      <c r="B111" s="40"/>
      <c r="E111" s="4"/>
      <c r="I111" s="4"/>
      <c r="L111" t="s">
        <v>48</v>
      </c>
    </row>
    <row r="112" spans="1:21">
      <c r="E112" s="4"/>
      <c r="I112" s="4"/>
      <c r="L112" t="s">
        <v>59</v>
      </c>
    </row>
    <row r="113" spans="1:19">
      <c r="E113" s="4"/>
      <c r="I113" s="4"/>
      <c r="M113" s="8"/>
    </row>
    <row r="114" spans="1:19">
      <c r="E114" s="4"/>
      <c r="I114" s="4"/>
      <c r="L114" s="3" t="s">
        <v>84</v>
      </c>
      <c r="Q114" s="14"/>
    </row>
    <row r="115" spans="1:19">
      <c r="A115" s="1"/>
      <c r="E115" s="4"/>
      <c r="I115" s="4"/>
      <c r="L115" t="s">
        <v>85</v>
      </c>
      <c r="P115" s="41" t="str">
        <f>IF((N59-N28)&gt;=N37*N78,"True","False")</f>
        <v>False</v>
      </c>
      <c r="Q115" s="14"/>
      <c r="S115" t="s">
        <v>82</v>
      </c>
    </row>
    <row r="116" spans="1:19">
      <c r="E116" s="4"/>
      <c r="I116" s="4"/>
      <c r="L116" t="s">
        <v>86</v>
      </c>
      <c r="P116" s="41" t="str">
        <f>IF((N78-N28)&gt;=N37*N52,"True","False")</f>
        <v>True</v>
      </c>
    </row>
    <row r="117" spans="1:19">
      <c r="E117" s="4"/>
      <c r="F117" s="3"/>
      <c r="I117" s="4"/>
    </row>
    <row r="118" spans="1:19">
      <c r="E118" s="4"/>
      <c r="F118" s="3"/>
      <c r="I118" s="4"/>
    </row>
    <row r="119" spans="1:19">
      <c r="E119" s="4"/>
      <c r="I119" s="4"/>
    </row>
    <row r="121" spans="1:19">
      <c r="A121" s="1"/>
    </row>
    <row r="125" spans="1:19">
      <c r="F125" s="4"/>
    </row>
    <row r="126" spans="1:19">
      <c r="F126" s="4"/>
    </row>
    <row r="127" spans="1:19">
      <c r="F127" s="4"/>
    </row>
    <row r="130" spans="6:11">
      <c r="F130" s="4"/>
      <c r="K130" s="4"/>
    </row>
    <row r="139" spans="6:11">
      <c r="F139" s="4"/>
    </row>
    <row r="140" spans="6:11">
      <c r="F140" s="4"/>
    </row>
    <row r="141" spans="6:11">
      <c r="F141" s="4"/>
    </row>
    <row r="142" spans="6:11">
      <c r="F142" s="4"/>
    </row>
    <row r="143" spans="6:11">
      <c r="F143" s="4"/>
    </row>
    <row r="151" spans="1:21">
      <c r="A151" s="109"/>
      <c r="B151" s="109"/>
      <c r="C151" s="109"/>
      <c r="D151" s="109"/>
      <c r="E151" s="109"/>
      <c r="F151" s="109"/>
      <c r="G151" s="109"/>
      <c r="H151" s="109"/>
      <c r="I151" s="109"/>
      <c r="U151" s="3"/>
    </row>
  </sheetData>
  <mergeCells count="21">
    <mergeCell ref="L102:S105"/>
    <mergeCell ref="A151:I151"/>
    <mergeCell ref="F21:J21"/>
    <mergeCell ref="C2:F2"/>
    <mergeCell ref="F9:J9"/>
    <mergeCell ref="F15:J15"/>
    <mergeCell ref="A9:E9"/>
    <mergeCell ref="A6:B6"/>
    <mergeCell ref="A7:B7"/>
    <mergeCell ref="G3:H3"/>
    <mergeCell ref="A1:J1"/>
    <mergeCell ref="G2:J2"/>
    <mergeCell ref="L2:S5"/>
    <mergeCell ref="A30:J30"/>
    <mergeCell ref="G4:H4"/>
    <mergeCell ref="G10:I10"/>
    <mergeCell ref="A2:B2"/>
    <mergeCell ref="C3:E3"/>
    <mergeCell ref="C4:E4"/>
    <mergeCell ref="C5:E5"/>
    <mergeCell ref="A3:B5"/>
  </mergeCells>
  <pageMargins left="0.23622047244094491" right="0.23622047244094491" top="0.74803149606299213" bottom="0.74803149606299213" header="0.31496062992125984" footer="0.31496062992125984"/>
  <pageSetup paperSize="9" orientation="portrait" horizontalDpi="1200" verticalDpi="1200" r:id="rId1"/>
  <headerFooter>
    <oddHeader>&amp;C&amp;"-,Bold"ASSESSMENT OF GENERAL METAL LOSS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0</xdr:rowOff>
                  </from>
                  <to>
                    <xdr:col>2</xdr:col>
                    <xdr:colOff>371475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0</xdr:rowOff>
                  </from>
                  <to>
                    <xdr:col>2</xdr:col>
                    <xdr:colOff>371475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200025</xdr:rowOff>
                  </from>
                  <to>
                    <xdr:col>2</xdr:col>
                    <xdr:colOff>371475</xdr:colOff>
                    <xdr:row>5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0" workbookViewId="0">
      <selection activeCell="L125" sqref="L125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P50"/>
  <sheetViews>
    <sheetView topLeftCell="A73" workbookViewId="0">
      <selection activeCell="I14" sqref="I14"/>
    </sheetView>
  </sheetViews>
  <sheetFormatPr defaultRowHeight="15"/>
  <sheetData>
    <row r="50" spans="42:42">
      <c r="AP50" t="s">
        <v>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opLeftCell="A82" workbookViewId="0">
      <selection activeCell="C96" sqref="C96"/>
    </sheetView>
  </sheetViews>
  <sheetFormatPr defaultRowHeight="15"/>
  <cols>
    <col min="4" max="4" width="9.140625" customWidth="1"/>
  </cols>
  <sheetData>
    <row r="1" spans="1:7">
      <c r="A1" s="1" t="s">
        <v>98</v>
      </c>
    </row>
    <row r="2" spans="1:7">
      <c r="B2" t="s">
        <v>99</v>
      </c>
    </row>
    <row r="3" spans="1:7">
      <c r="B3" t="s">
        <v>100</v>
      </c>
    </row>
    <row r="4" spans="1:7">
      <c r="B4" t="s">
        <v>101</v>
      </c>
    </row>
    <row r="5" spans="1:7">
      <c r="B5" t="s">
        <v>102</v>
      </c>
    </row>
    <row r="6" spans="1:7">
      <c r="A6" s="67" t="s">
        <v>103</v>
      </c>
    </row>
    <row r="7" spans="1:7">
      <c r="B7" t="s">
        <v>104</v>
      </c>
      <c r="F7" s="69" t="s">
        <v>111</v>
      </c>
    </row>
    <row r="8" spans="1:7">
      <c r="B8" t="s">
        <v>105</v>
      </c>
      <c r="F8" s="69">
        <v>3.85</v>
      </c>
      <c r="G8" s="76" t="s">
        <v>118</v>
      </c>
    </row>
    <row r="9" spans="1:7">
      <c r="B9" t="s">
        <v>106</v>
      </c>
      <c r="F9" s="69">
        <v>484</v>
      </c>
      <c r="G9" s="75" t="s">
        <v>119</v>
      </c>
    </row>
    <row r="10" spans="1:7">
      <c r="B10" t="s">
        <v>107</v>
      </c>
      <c r="F10" s="69">
        <v>16</v>
      </c>
      <c r="G10" s="75" t="s">
        <v>119</v>
      </c>
    </row>
    <row r="11" spans="1:7">
      <c r="B11" t="s">
        <v>108</v>
      </c>
      <c r="F11" s="69">
        <v>2</v>
      </c>
      <c r="G11" s="75" t="s">
        <v>119</v>
      </c>
    </row>
    <row r="12" spans="1:7">
      <c r="B12" t="s">
        <v>109</v>
      </c>
      <c r="F12" s="69">
        <v>1</v>
      </c>
      <c r="G12" s="75"/>
    </row>
    <row r="13" spans="1:7">
      <c r="B13" t="s">
        <v>110</v>
      </c>
      <c r="F13" s="69">
        <v>1524</v>
      </c>
      <c r="G13" s="75" t="s">
        <v>119</v>
      </c>
    </row>
    <row r="14" spans="1:7">
      <c r="A14" s="67" t="s">
        <v>112</v>
      </c>
    </row>
    <row r="15" spans="1:7">
      <c r="B15" t="s">
        <v>113</v>
      </c>
    </row>
    <row r="16" spans="1:7">
      <c r="B16" t="s">
        <v>114</v>
      </c>
    </row>
    <row r="17" spans="2:6">
      <c r="B17" t="s">
        <v>115</v>
      </c>
    </row>
    <row r="19" spans="2:6">
      <c r="C19" t="s">
        <v>116</v>
      </c>
    </row>
    <row r="20" spans="2:6">
      <c r="C20" s="56" t="s">
        <v>117</v>
      </c>
      <c r="D20" s="70" t="s">
        <v>129</v>
      </c>
      <c r="E20" s="71"/>
      <c r="F20" s="72"/>
    </row>
    <row r="21" spans="2:6">
      <c r="C21" s="56">
        <v>1</v>
      </c>
      <c r="D21" s="70">
        <v>13</v>
      </c>
      <c r="E21" s="71"/>
      <c r="F21" s="72"/>
    </row>
    <row r="22" spans="2:6">
      <c r="C22" s="56">
        <v>2</v>
      </c>
      <c r="D22" s="70">
        <v>12</v>
      </c>
      <c r="E22" s="71"/>
      <c r="F22" s="72"/>
    </row>
    <row r="23" spans="2:6">
      <c r="C23" s="56">
        <v>3</v>
      </c>
      <c r="D23" s="70">
        <v>11</v>
      </c>
      <c r="E23" s="71"/>
      <c r="F23" s="72"/>
    </row>
    <row r="24" spans="2:6">
      <c r="C24" s="56">
        <v>4</v>
      </c>
      <c r="D24" s="70">
        <v>13</v>
      </c>
      <c r="E24" s="71"/>
      <c r="F24" s="72"/>
    </row>
    <row r="25" spans="2:6">
      <c r="C25" s="56">
        <v>5</v>
      </c>
      <c r="D25" s="70">
        <v>10</v>
      </c>
      <c r="E25" s="71"/>
      <c r="F25" s="72"/>
    </row>
    <row r="26" spans="2:6">
      <c r="C26" s="56">
        <v>6</v>
      </c>
      <c r="D26" s="70">
        <v>12</v>
      </c>
      <c r="E26" s="71"/>
      <c r="F26" s="72"/>
    </row>
    <row r="27" spans="2:6">
      <c r="C27" s="56">
        <v>7</v>
      </c>
      <c r="D27" s="70">
        <v>11</v>
      </c>
      <c r="E27" s="71"/>
      <c r="F27" s="72"/>
    </row>
    <row r="28" spans="2:6">
      <c r="C28" s="56">
        <v>8</v>
      </c>
      <c r="D28" s="70">
        <v>12</v>
      </c>
      <c r="E28" s="71"/>
      <c r="F28" s="72"/>
    </row>
    <row r="29" spans="2:6">
      <c r="C29" s="56">
        <v>9</v>
      </c>
      <c r="D29" s="70">
        <v>13</v>
      </c>
      <c r="E29" s="71"/>
      <c r="F29" s="72"/>
    </row>
    <row r="30" spans="2:6">
      <c r="C30" s="56">
        <v>10</v>
      </c>
      <c r="D30" s="70">
        <v>13</v>
      </c>
      <c r="E30" s="71"/>
      <c r="F30" s="72"/>
    </row>
    <row r="31" spans="2:6">
      <c r="C31" s="56">
        <v>11</v>
      </c>
      <c r="D31" s="70">
        <v>11</v>
      </c>
      <c r="E31" s="71"/>
      <c r="F31" s="72"/>
    </row>
    <row r="32" spans="2:6">
      <c r="C32" s="56">
        <v>12</v>
      </c>
      <c r="D32" s="70">
        <v>12</v>
      </c>
      <c r="E32" s="71"/>
      <c r="F32" s="72"/>
    </row>
    <row r="33" spans="1:9">
      <c r="C33" s="56">
        <v>13</v>
      </c>
      <c r="D33" s="70">
        <v>12</v>
      </c>
      <c r="E33" s="71"/>
      <c r="F33" s="72"/>
    </row>
    <row r="34" spans="1:9">
      <c r="C34" s="56">
        <v>14</v>
      </c>
      <c r="D34" s="25">
        <v>13</v>
      </c>
      <c r="E34" s="26"/>
      <c r="F34" s="27"/>
    </row>
    <row r="35" spans="1:9">
      <c r="C35" s="56">
        <v>15</v>
      </c>
      <c r="D35" s="25">
        <v>13</v>
      </c>
      <c r="E35" s="26"/>
      <c r="F35" s="27"/>
    </row>
    <row r="37" spans="1:9">
      <c r="A37" s="67" t="s">
        <v>120</v>
      </c>
      <c r="B37" t="s">
        <v>130</v>
      </c>
    </row>
    <row r="38" spans="1:9">
      <c r="B38" t="s">
        <v>131</v>
      </c>
    </row>
    <row r="39" spans="1:9">
      <c r="B39" t="s">
        <v>121</v>
      </c>
    </row>
    <row r="41" spans="1:9">
      <c r="C41" t="s">
        <v>123</v>
      </c>
    </row>
    <row r="42" spans="1:9" ht="15.75">
      <c r="C42" s="56" t="s">
        <v>117</v>
      </c>
      <c r="D42" s="56" t="s">
        <v>128</v>
      </c>
      <c r="E42" s="77" t="s">
        <v>135</v>
      </c>
    </row>
    <row r="43" spans="1:9">
      <c r="C43" s="56">
        <v>1</v>
      </c>
      <c r="D43" s="56">
        <v>13</v>
      </c>
      <c r="E43" s="74">
        <f t="shared" ref="E43:E57" si="0">(D43-D$58)^2</f>
        <v>0.8711111111111115</v>
      </c>
      <c r="H43" s="11"/>
      <c r="I43" s="11"/>
    </row>
    <row r="44" spans="1:9">
      <c r="C44" s="56">
        <v>2</v>
      </c>
      <c r="D44" s="56">
        <v>12</v>
      </c>
      <c r="E44" s="74">
        <f t="shared" si="0"/>
        <v>4.4444444444444132E-3</v>
      </c>
      <c r="H44" s="11"/>
      <c r="I44" s="11"/>
    </row>
    <row r="45" spans="1:9">
      <c r="C45" s="56">
        <v>3</v>
      </c>
      <c r="D45" s="56">
        <v>11</v>
      </c>
      <c r="E45" s="74">
        <f t="shared" si="0"/>
        <v>1.1377777777777773</v>
      </c>
      <c r="H45" s="11"/>
      <c r="I45" s="11"/>
    </row>
    <row r="46" spans="1:9">
      <c r="C46" s="56">
        <v>4</v>
      </c>
      <c r="D46" s="56">
        <v>13</v>
      </c>
      <c r="E46" s="74">
        <f t="shared" si="0"/>
        <v>0.8711111111111115</v>
      </c>
      <c r="H46" s="11"/>
      <c r="I46" s="11"/>
    </row>
    <row r="47" spans="1:9">
      <c r="C47" s="56">
        <v>5</v>
      </c>
      <c r="D47" s="56">
        <v>10</v>
      </c>
      <c r="E47" s="74">
        <f t="shared" si="0"/>
        <v>4.27111111111111</v>
      </c>
      <c r="H47" s="11"/>
      <c r="I47" s="11"/>
    </row>
    <row r="48" spans="1:9">
      <c r="C48" s="56">
        <v>6</v>
      </c>
      <c r="D48" s="56">
        <v>12</v>
      </c>
      <c r="E48" s="74">
        <f t="shared" si="0"/>
        <v>4.4444444444444132E-3</v>
      </c>
      <c r="H48" s="11"/>
      <c r="I48" s="11"/>
    </row>
    <row r="49" spans="1:9">
      <c r="C49" s="56">
        <v>7</v>
      </c>
      <c r="D49" s="56">
        <v>11</v>
      </c>
      <c r="E49" s="74">
        <f t="shared" si="0"/>
        <v>1.1377777777777773</v>
      </c>
      <c r="H49" s="11"/>
      <c r="I49" s="11"/>
    </row>
    <row r="50" spans="1:9">
      <c r="C50" s="56">
        <v>8</v>
      </c>
      <c r="D50" s="56">
        <v>12</v>
      </c>
      <c r="E50" s="74">
        <f t="shared" si="0"/>
        <v>4.4444444444444132E-3</v>
      </c>
      <c r="H50" s="11"/>
      <c r="I50" s="11"/>
    </row>
    <row r="51" spans="1:9">
      <c r="C51" s="56">
        <v>9</v>
      </c>
      <c r="D51" s="56">
        <v>13</v>
      </c>
      <c r="E51" s="74">
        <f t="shared" si="0"/>
        <v>0.8711111111111115</v>
      </c>
      <c r="H51" s="11"/>
      <c r="I51" s="11"/>
    </row>
    <row r="52" spans="1:9">
      <c r="C52" s="56">
        <v>10</v>
      </c>
      <c r="D52" s="56">
        <v>13</v>
      </c>
      <c r="E52" s="74">
        <f t="shared" si="0"/>
        <v>0.8711111111111115</v>
      </c>
      <c r="H52" s="11"/>
      <c r="I52" s="11"/>
    </row>
    <row r="53" spans="1:9">
      <c r="C53" s="56">
        <v>11</v>
      </c>
      <c r="D53" s="56">
        <v>11</v>
      </c>
      <c r="E53" s="74">
        <f t="shared" si="0"/>
        <v>1.1377777777777773</v>
      </c>
      <c r="H53" s="11"/>
      <c r="I53" s="11"/>
    </row>
    <row r="54" spans="1:9">
      <c r="C54" s="56">
        <v>12</v>
      </c>
      <c r="D54" s="56">
        <v>12</v>
      </c>
      <c r="E54" s="74">
        <f t="shared" si="0"/>
        <v>4.4444444444444132E-3</v>
      </c>
      <c r="H54" s="11"/>
      <c r="I54" s="11"/>
    </row>
    <row r="55" spans="1:9">
      <c r="C55" s="56">
        <v>13</v>
      </c>
      <c r="D55" s="56">
        <v>12</v>
      </c>
      <c r="E55" s="74">
        <f t="shared" si="0"/>
        <v>4.4444444444444132E-3</v>
      </c>
      <c r="H55" s="11"/>
      <c r="I55" s="11"/>
    </row>
    <row r="56" spans="1:9">
      <c r="C56" s="56">
        <v>14</v>
      </c>
      <c r="D56" s="56">
        <v>13</v>
      </c>
      <c r="E56" s="74">
        <f t="shared" si="0"/>
        <v>0.8711111111111115</v>
      </c>
      <c r="H56" s="11"/>
      <c r="I56" s="11"/>
    </row>
    <row r="57" spans="1:9">
      <c r="C57" s="56">
        <v>15</v>
      </c>
      <c r="D57" s="56">
        <v>13</v>
      </c>
      <c r="E57" s="74">
        <f t="shared" si="0"/>
        <v>0.8711111111111115</v>
      </c>
      <c r="H57" s="11"/>
      <c r="I57" s="11"/>
    </row>
    <row r="58" spans="1:9">
      <c r="C58" t="s">
        <v>127</v>
      </c>
      <c r="D58" s="73">
        <f>AVERAGE(D43:D57)</f>
        <v>12.066666666666666</v>
      </c>
      <c r="E58" s="75" t="s">
        <v>20</v>
      </c>
    </row>
    <row r="59" spans="1:9" ht="17.25">
      <c r="C59" t="s">
        <v>29</v>
      </c>
      <c r="D59" s="73">
        <f>SUM(E43:E57)</f>
        <v>12.933333333333339</v>
      </c>
      <c r="E59" s="75" t="s">
        <v>71</v>
      </c>
    </row>
    <row r="60" spans="1:9">
      <c r="C60" t="s">
        <v>122</v>
      </c>
      <c r="D60" s="4">
        <f>(1/D58)*((D59/(C57-1))^0.5)</f>
        <v>7.9653323595849854E-2</v>
      </c>
      <c r="E60" s="73">
        <f>D60*100</f>
        <v>7.965332359584985</v>
      </c>
      <c r="F60" t="s">
        <v>124</v>
      </c>
    </row>
    <row r="61" spans="1:9">
      <c r="C61" t="s">
        <v>154</v>
      </c>
      <c r="D61">
        <f>MIN(D43:D57)</f>
        <v>10</v>
      </c>
      <c r="E61" s="75" t="s">
        <v>20</v>
      </c>
    </row>
    <row r="62" spans="1:9">
      <c r="E62" s="75"/>
    </row>
    <row r="63" spans="1:9">
      <c r="A63" s="67" t="s">
        <v>125</v>
      </c>
      <c r="B63" t="s">
        <v>126</v>
      </c>
    </row>
    <row r="64" spans="1:9">
      <c r="C64" t="s">
        <v>132</v>
      </c>
      <c r="E64" t="str">
        <f>IF(E60&lt;=10,"The average thickness, t.am can use in the calculation","The average thickness, t.am can not use in the calculation")</f>
        <v>The average thickness, t.am can use in the calculation</v>
      </c>
    </row>
    <row r="65" spans="1:7">
      <c r="C65" t="s">
        <v>127</v>
      </c>
      <c r="D65" s="7">
        <f>D58</f>
        <v>12.066666666666666</v>
      </c>
      <c r="E65" s="75" t="s">
        <v>20</v>
      </c>
    </row>
    <row r="66" spans="1:7">
      <c r="C66" t="s">
        <v>1</v>
      </c>
      <c r="D66" s="73">
        <f>F10-D65</f>
        <v>3.9333333333333336</v>
      </c>
      <c r="E66" s="75" t="s">
        <v>20</v>
      </c>
    </row>
    <row r="68" spans="1:7">
      <c r="A68" s="67" t="s">
        <v>133</v>
      </c>
      <c r="B68" t="s">
        <v>134</v>
      </c>
    </row>
    <row r="69" spans="1:7">
      <c r="C69" t="s">
        <v>29</v>
      </c>
      <c r="D69" s="78">
        <v>96.195999999999998</v>
      </c>
      <c r="E69" s="75" t="s">
        <v>136</v>
      </c>
    </row>
    <row r="70" spans="1:7">
      <c r="C70" t="s">
        <v>51</v>
      </c>
      <c r="D70" s="48">
        <f>F9/2+F11+D66</f>
        <v>247.93333333333334</v>
      </c>
      <c r="E70" s="75" t="s">
        <v>20</v>
      </c>
    </row>
    <row r="71" spans="1:7">
      <c r="C71" t="s">
        <v>139</v>
      </c>
      <c r="D71" s="7">
        <f>F8*D70/(D69*F12-0.6*F8)</f>
        <v>10.1670465600125</v>
      </c>
      <c r="E71" s="75" t="s">
        <v>20</v>
      </c>
      <c r="G71" t="s">
        <v>137</v>
      </c>
    </row>
    <row r="72" spans="1:7">
      <c r="C72" t="s">
        <v>138</v>
      </c>
      <c r="D72" s="73">
        <f>F8*D70/(2*D69*F12+0.4*F8)</f>
        <v>4.922051715721663</v>
      </c>
      <c r="E72" s="75" t="s">
        <v>20</v>
      </c>
      <c r="G72" t="s">
        <v>140</v>
      </c>
    </row>
    <row r="73" spans="1:7">
      <c r="C73" t="s">
        <v>141</v>
      </c>
      <c r="D73" s="7">
        <f>MAX(D71:D72)</f>
        <v>10.1670465600125</v>
      </c>
      <c r="E73" s="75" t="s">
        <v>20</v>
      </c>
    </row>
    <row r="74" spans="1:7">
      <c r="A74" s="67" t="s">
        <v>142</v>
      </c>
      <c r="B74" t="s">
        <v>143</v>
      </c>
    </row>
    <row r="75" spans="1:7">
      <c r="A75" s="67"/>
      <c r="B75" t="s">
        <v>148</v>
      </c>
    </row>
    <row r="76" spans="1:7">
      <c r="C76" t="s">
        <v>144</v>
      </c>
      <c r="E76" t="str">
        <f>IF((D58-F11)&gt;=D73,"The component is acceptable for continued operation","The component is not acceptable for continued operation")</f>
        <v>The component is not acceptable for continued operation</v>
      </c>
    </row>
    <row r="77" spans="1:7">
      <c r="B77" t="s">
        <v>145</v>
      </c>
    </row>
    <row r="78" spans="1:7">
      <c r="C78" t="s">
        <v>146</v>
      </c>
      <c r="D78" s="73">
        <f>D58-F11</f>
        <v>10.066666666666666</v>
      </c>
    </row>
    <row r="79" spans="1:7">
      <c r="C79" t="s">
        <v>147</v>
      </c>
      <c r="D79" s="73">
        <f>D69*F12*D78/(D70+F11+D66+0.6*D78)</f>
        <v>3.7258492792284406</v>
      </c>
    </row>
    <row r="80" spans="1:7">
      <c r="C80" t="s">
        <v>144</v>
      </c>
      <c r="E80" t="str">
        <f>IF(D79&gt;=F8,"The component is acceptable for continued operation","The component is not acceptable for continued operation")</f>
        <v>The component is not acceptable for continued operation</v>
      </c>
    </row>
    <row r="82" spans="2:7">
      <c r="C82" t="str">
        <f>IF(E64="The average thickness, t.am can use in the calculation",IF(E76="The component is acceptable for continued operation",IF(E80="The component is acceptable for continued operation","The Level 1 assessment criteria are satisfied","The Level 1 assessment criteria are not satisfied"),"The Level 1 assessment criteria are not satisfied"),"The Level 1 assessment criteria are not satisfied")</f>
        <v>The Level 1 assessment criteria are not satisfied</v>
      </c>
    </row>
    <row r="84" spans="2:7">
      <c r="B84" t="s">
        <v>149</v>
      </c>
      <c r="G84" s="7">
        <f>D65-2</f>
        <v>10.066666666666666</v>
      </c>
    </row>
    <row r="85" spans="2:7">
      <c r="C85" t="s">
        <v>150</v>
      </c>
      <c r="D85" s="68">
        <v>0.9</v>
      </c>
      <c r="G85" s="73">
        <f>D85*D73</f>
        <v>9.150341904011249</v>
      </c>
    </row>
    <row r="86" spans="2:7">
      <c r="B86" t="s">
        <v>148</v>
      </c>
    </row>
    <row r="87" spans="2:7">
      <c r="C87" t="s">
        <v>151</v>
      </c>
      <c r="E87" t="str">
        <f>IF((D65-F11)&gt;=D85*D73,"The component is acceptable for continued operation","The component is not acceptable for continued operation")</f>
        <v>The component is acceptable for continued operation</v>
      </c>
    </row>
    <row r="88" spans="2:7">
      <c r="B88" t="s">
        <v>145</v>
      </c>
    </row>
    <row r="89" spans="2:7">
      <c r="C89" t="s">
        <v>146</v>
      </c>
      <c r="D89" s="73">
        <f>(D65-F11)/D85</f>
        <v>11.185185185185185</v>
      </c>
      <c r="E89" s="75" t="s">
        <v>20</v>
      </c>
    </row>
    <row r="90" spans="2:7">
      <c r="C90" t="s">
        <v>147</v>
      </c>
      <c r="D90" s="73">
        <f>D69*F12*D89/(D70+F11+D66+0.6*D89)</f>
        <v>4.1291705042924551</v>
      </c>
      <c r="E90" s="75" t="s">
        <v>13</v>
      </c>
    </row>
    <row r="91" spans="2:7">
      <c r="C91" t="s">
        <v>151</v>
      </c>
      <c r="E91" t="str">
        <f>IF(D90&gt;=F8,"The component is acceptable for continued operation","The component is not acceptable for continued operation")</f>
        <v>The component is acceptable for continued operation</v>
      </c>
    </row>
    <row r="92" spans="2:7">
      <c r="B92" t="s">
        <v>152</v>
      </c>
    </row>
    <row r="93" spans="2:7">
      <c r="C93" t="s">
        <v>153</v>
      </c>
      <c r="D93">
        <f>MAX(0.2*F10,2.5)</f>
        <v>3.2</v>
      </c>
      <c r="E93" s="75" t="s">
        <v>20</v>
      </c>
    </row>
    <row r="94" spans="2:7">
      <c r="C94" t="s">
        <v>151</v>
      </c>
      <c r="E94" t="str">
        <f>IF((D61-F11)&gt;=MAX(0.5*(D73),D93),"The component is acceptable for continued operation","The component is not acceptable for continued operation")</f>
        <v>The component is acceptable for continued operation</v>
      </c>
    </row>
    <row r="96" spans="2:7">
      <c r="C96" t="str">
        <f>IF(E64="The average thickness, t.am can use in the calculation",IF(E87="The component is acceptable for continued operation",IF(E91="The component is acceptable for continued operation",IF(E94="The component is acceptable for continued operation","The Level 2 assessment criteria are satisfied","The Level 2 assessment criteria are not satisfied"),"The Level 2 assessment criteria are not satisfied"),"The Level 2 assessment criteria are not satisfied"),"The Level 2 assessment criteria are not satisfied")</f>
        <v>The Level 2 assessment criteria are satisfied</v>
      </c>
    </row>
  </sheetData>
  <sortState ref="H43:H57">
    <sortCondition ref="H43"/>
  </sortState>
  <conditionalFormatting sqref="J60">
    <cfRule type="expression" dxfId="298" priority="47">
      <formula>$E$64="The average thickness , t.am can not to be used in the calculation"</formula>
    </cfRule>
    <cfRule type="expression" dxfId="297" priority="48">
      <formula>$E$64="The average thickness, t.am to be used in the calculation"</formula>
    </cfRule>
  </conditionalFormatting>
  <conditionalFormatting sqref="J61:J62">
    <cfRule type="expression" dxfId="296" priority="43">
      <formula>$E$64="The average thickness , t.am can not to be used in the calculation"</formula>
    </cfRule>
    <cfRule type="expression" dxfId="295" priority="44">
      <formula>$E$64="The average thickness, t.am to be used in the calculation"</formula>
    </cfRule>
  </conditionalFormatting>
  <conditionalFormatting sqref="E64:J64">
    <cfRule type="expression" dxfId="294" priority="41">
      <formula>$E$64="The average thickness, t.am can not use in the calculation"</formula>
    </cfRule>
    <cfRule type="expression" dxfId="293" priority="42">
      <formula>$E$64="The average thickness, t.am can use in the calculation"</formula>
    </cfRule>
  </conditionalFormatting>
  <conditionalFormatting sqref="K55">
    <cfRule type="expression" dxfId="292" priority="39">
      <formula>"The average thickness, t.am can not use in the calculation"</formula>
    </cfRule>
    <cfRule type="expression" dxfId="291" priority="40">
      <formula>"The average thickness, t.am can use in the calculation"</formula>
    </cfRule>
  </conditionalFormatting>
  <conditionalFormatting sqref="E76:J76">
    <cfRule type="expression" dxfId="290" priority="37">
      <formula>$E$76="The component is not acceptable for continued operation"</formula>
    </cfRule>
    <cfRule type="expression" dxfId="289" priority="38">
      <formula>$E$76="The component is acceptable for continued operation"</formula>
    </cfRule>
  </conditionalFormatting>
  <conditionalFormatting sqref="E80:J80">
    <cfRule type="expression" dxfId="288" priority="33">
      <formula>$E$76="The component is not acceptable for continued operation"</formula>
    </cfRule>
    <cfRule type="expression" dxfId="287" priority="34">
      <formula>$E$76="The component is acceptable for continued operation"</formula>
    </cfRule>
  </conditionalFormatting>
  <conditionalFormatting sqref="C82">
    <cfRule type="expression" dxfId="286" priority="31">
      <formula>$C$82="The Level 1 assessment criteria are not satisfied"</formula>
    </cfRule>
    <cfRule type="expression" dxfId="285" priority="32">
      <formula>$C$82="The Level 1 assessment criteria are satisfied"</formula>
    </cfRule>
  </conditionalFormatting>
  <conditionalFormatting sqref="D82">
    <cfRule type="expression" dxfId="284" priority="29">
      <formula>$C$82="The Level 1 assessment criteria are not satisfied"</formula>
    </cfRule>
    <cfRule type="expression" dxfId="283" priority="30">
      <formula>$C$82="The Level 1 assessment criteria are satisfied"</formula>
    </cfRule>
  </conditionalFormatting>
  <conditionalFormatting sqref="E82">
    <cfRule type="expression" dxfId="282" priority="27">
      <formula>$C$82="The Level 1 assessment criteria are not satisfied"</formula>
    </cfRule>
    <cfRule type="expression" dxfId="281" priority="28">
      <formula>$C$82="The Level 1 assessment criteria are satisfied"</formula>
    </cfRule>
  </conditionalFormatting>
  <conditionalFormatting sqref="F82:G82">
    <cfRule type="expression" dxfId="280" priority="23">
      <formula>$C$82="The Level 1 assessment criteria are not satisfied"</formula>
    </cfRule>
    <cfRule type="expression" dxfId="279" priority="24">
      <formula>$C$82="The Level 1 assessment criteria are satisfied"</formula>
    </cfRule>
  </conditionalFormatting>
  <conditionalFormatting sqref="E87:J87">
    <cfRule type="expression" dxfId="278" priority="21">
      <formula>$E$87="The component is not acceptable for continued operation"</formula>
    </cfRule>
    <cfRule type="expression" dxfId="277" priority="22">
      <formula>$E$87="The component is acceptable for continued operation"</formula>
    </cfRule>
  </conditionalFormatting>
  <conditionalFormatting sqref="E91:J91">
    <cfRule type="expression" dxfId="276" priority="19">
      <formula>$E$91="The component is not acceptable for continued operation"</formula>
    </cfRule>
    <cfRule type="expression" dxfId="275" priority="20">
      <formula>$E$91="The component is acceptable for continued operation"</formula>
    </cfRule>
  </conditionalFormatting>
  <conditionalFormatting sqref="C96">
    <cfRule type="expression" dxfId="274" priority="17">
      <formula>$C$96="The Level 2 assessment criteria are not satisfied"</formula>
    </cfRule>
    <cfRule type="expression" dxfId="273" priority="18">
      <formula>$C$96="The Level 2 assessment criteria are satisfied"</formula>
    </cfRule>
  </conditionalFormatting>
  <conditionalFormatting sqref="D96">
    <cfRule type="expression" dxfId="272" priority="9">
      <formula>$C$96="The Level 2 assessment criteria are not satisfied"</formula>
    </cfRule>
    <cfRule type="expression" dxfId="271" priority="10">
      <formula>$C$96="The Level 2 assessment criteria are satisfied"</formula>
    </cfRule>
  </conditionalFormatting>
  <conditionalFormatting sqref="E96">
    <cfRule type="expression" dxfId="270" priority="7">
      <formula>$C$96="The Level 2 assessment criteria are not satisfied"</formula>
    </cfRule>
    <cfRule type="expression" dxfId="269" priority="8">
      <formula>$C$96="The Level 2 assessment criteria are satisfied"</formula>
    </cfRule>
  </conditionalFormatting>
  <conditionalFormatting sqref="F96">
    <cfRule type="expression" dxfId="268" priority="5">
      <formula>$C$96="The Level 2 assessment criteria are not satisfied"</formula>
    </cfRule>
    <cfRule type="expression" dxfId="267" priority="6">
      <formula>$C$96="The Level 2 assessment criteria are satisfied"</formula>
    </cfRule>
  </conditionalFormatting>
  <conditionalFormatting sqref="G96">
    <cfRule type="expression" dxfId="266" priority="3">
      <formula>$C$96="The Level 2 assessment criteria are not satisfied"</formula>
    </cfRule>
    <cfRule type="expression" dxfId="265" priority="4">
      <formula>$C$96="The Level 2 assessment criteria are satisfied"</formula>
    </cfRule>
  </conditionalFormatting>
  <conditionalFormatting sqref="E94:J94">
    <cfRule type="expression" dxfId="264" priority="1">
      <formula>$E$91="The component is not acceptable for continued operation"</formula>
    </cfRule>
    <cfRule type="expression" dxfId="263" priority="2">
      <formula>$E$91="The component is acceptable for continued operation"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8"/>
  <sheetViews>
    <sheetView topLeftCell="A106" workbookViewId="0">
      <selection activeCell="M137" sqref="M137"/>
    </sheetView>
  </sheetViews>
  <sheetFormatPr defaultRowHeight="15"/>
  <cols>
    <col min="4" max="4" width="9.140625" customWidth="1"/>
  </cols>
  <sheetData>
    <row r="1" spans="1:7">
      <c r="A1" s="1" t="s">
        <v>98</v>
      </c>
    </row>
    <row r="2" spans="1:7">
      <c r="B2" t="s">
        <v>155</v>
      </c>
    </row>
    <row r="3" spans="1:7">
      <c r="B3" t="s">
        <v>156</v>
      </c>
    </row>
    <row r="4" spans="1:7">
      <c r="B4" t="s">
        <v>157</v>
      </c>
    </row>
    <row r="5" spans="1:7">
      <c r="B5" t="s">
        <v>158</v>
      </c>
    </row>
    <row r="6" spans="1:7">
      <c r="A6" s="67" t="s">
        <v>103</v>
      </c>
    </row>
    <row r="7" spans="1:7">
      <c r="B7" t="s">
        <v>104</v>
      </c>
      <c r="F7" s="69" t="s">
        <v>111</v>
      </c>
    </row>
    <row r="8" spans="1:7">
      <c r="B8" t="s">
        <v>105</v>
      </c>
      <c r="F8" s="69">
        <v>300</v>
      </c>
      <c r="G8" s="76" t="s">
        <v>159</v>
      </c>
    </row>
    <row r="9" spans="1:7">
      <c r="B9" t="s">
        <v>106</v>
      </c>
      <c r="F9" s="69">
        <v>48</v>
      </c>
      <c r="G9" s="75" t="s">
        <v>160</v>
      </c>
    </row>
    <row r="10" spans="1:7">
      <c r="B10" t="s">
        <v>107</v>
      </c>
      <c r="F10" s="69">
        <v>0.75</v>
      </c>
      <c r="G10" s="75" t="s">
        <v>160</v>
      </c>
    </row>
    <row r="11" spans="1:7">
      <c r="B11" t="s">
        <v>161</v>
      </c>
      <c r="F11" s="69">
        <v>0</v>
      </c>
      <c r="G11" s="75" t="s">
        <v>160</v>
      </c>
    </row>
    <row r="12" spans="1:7">
      <c r="B12" t="s">
        <v>108</v>
      </c>
      <c r="F12" s="69">
        <v>0.1</v>
      </c>
      <c r="G12" s="75" t="s">
        <v>160</v>
      </c>
    </row>
    <row r="13" spans="1:7">
      <c r="B13" t="s">
        <v>109</v>
      </c>
      <c r="F13" s="69">
        <v>0.85</v>
      </c>
      <c r="G13" s="75"/>
    </row>
    <row r="14" spans="1:7">
      <c r="A14" s="67" t="s">
        <v>112</v>
      </c>
    </row>
    <row r="15" spans="1:7">
      <c r="B15" t="s">
        <v>162</v>
      </c>
    </row>
    <row r="16" spans="1:7">
      <c r="B16" t="s">
        <v>163</v>
      </c>
    </row>
    <row r="19" spans="3:6">
      <c r="C19" s="11"/>
      <c r="D19" s="11"/>
      <c r="E19" s="11"/>
      <c r="F19" s="11"/>
    </row>
    <row r="20" spans="3:6">
      <c r="C20" s="11"/>
      <c r="D20" s="11"/>
      <c r="E20" s="11"/>
      <c r="F20" s="11"/>
    </row>
    <row r="21" spans="3:6">
      <c r="C21" s="11"/>
      <c r="D21" s="11"/>
      <c r="E21" s="11"/>
      <c r="F21" s="11"/>
    </row>
    <row r="22" spans="3:6">
      <c r="C22" s="11"/>
      <c r="D22" s="11"/>
      <c r="E22" s="11"/>
      <c r="F22" s="11"/>
    </row>
    <row r="23" spans="3:6">
      <c r="C23" s="11"/>
      <c r="D23" s="11"/>
      <c r="E23" s="11"/>
      <c r="F23" s="11"/>
    </row>
    <row r="24" spans="3:6">
      <c r="C24" s="11"/>
      <c r="D24" s="11"/>
      <c r="E24" s="11"/>
      <c r="F24" s="11"/>
    </row>
    <row r="25" spans="3:6">
      <c r="C25" s="11"/>
      <c r="D25" s="11"/>
      <c r="E25" s="11"/>
      <c r="F25" s="11"/>
    </row>
    <row r="26" spans="3:6">
      <c r="C26" s="11"/>
      <c r="D26" s="11"/>
      <c r="E26" s="11"/>
      <c r="F26" s="11"/>
    </row>
    <row r="27" spans="3:6">
      <c r="C27" s="11"/>
      <c r="D27" s="11"/>
      <c r="E27" s="11"/>
      <c r="F27" s="11"/>
    </row>
    <row r="28" spans="3:6">
      <c r="C28" s="11"/>
      <c r="D28" s="11"/>
      <c r="E28" s="11"/>
      <c r="F28" s="11"/>
    </row>
    <row r="29" spans="3:6">
      <c r="C29" s="11"/>
      <c r="D29" s="11"/>
      <c r="E29" s="11"/>
      <c r="F29" s="11"/>
    </row>
    <row r="30" spans="3:6">
      <c r="C30" s="11"/>
      <c r="D30" s="11"/>
      <c r="E30" s="11"/>
      <c r="F30" s="11"/>
    </row>
    <row r="31" spans="3:6">
      <c r="C31" s="11"/>
      <c r="D31" s="11"/>
      <c r="E31" s="11"/>
      <c r="F31" s="11"/>
    </row>
    <row r="32" spans="3:6">
      <c r="C32" s="11"/>
      <c r="D32" s="11"/>
      <c r="E32" s="11"/>
      <c r="F32" s="11"/>
    </row>
    <row r="33" spans="1:11">
      <c r="C33" s="11"/>
      <c r="D33" s="11"/>
      <c r="E33" s="11"/>
      <c r="F33" s="11"/>
    </row>
    <row r="34" spans="1:11">
      <c r="B34" t="s">
        <v>184</v>
      </c>
      <c r="C34" s="11"/>
      <c r="D34" s="11"/>
      <c r="E34" s="11"/>
      <c r="F34" s="11"/>
    </row>
    <row r="35" spans="1:11">
      <c r="B35" t="s">
        <v>180</v>
      </c>
      <c r="C35" s="11" t="s">
        <v>179</v>
      </c>
      <c r="D35" s="11"/>
      <c r="E35" s="11"/>
      <c r="K35" t="s">
        <v>183</v>
      </c>
    </row>
    <row r="36" spans="1:11">
      <c r="B36" t="s">
        <v>181</v>
      </c>
      <c r="C36" s="11" t="s">
        <v>171</v>
      </c>
      <c r="D36" s="11" t="s">
        <v>172</v>
      </c>
      <c r="E36" s="11" t="s">
        <v>173</v>
      </c>
      <c r="F36" s="11" t="s">
        <v>174</v>
      </c>
      <c r="G36" t="s">
        <v>175</v>
      </c>
      <c r="H36" t="s">
        <v>176</v>
      </c>
      <c r="I36" t="s">
        <v>177</v>
      </c>
      <c r="J36" t="s">
        <v>178</v>
      </c>
      <c r="K36" t="s">
        <v>182</v>
      </c>
    </row>
    <row r="37" spans="1:11">
      <c r="B37" t="s">
        <v>164</v>
      </c>
      <c r="C37" s="11">
        <v>0.75</v>
      </c>
      <c r="D37" s="11">
        <v>0.75</v>
      </c>
      <c r="E37" s="11">
        <v>0.75</v>
      </c>
      <c r="F37" s="11">
        <v>0.75</v>
      </c>
      <c r="G37">
        <v>0.75</v>
      </c>
      <c r="H37">
        <v>0.75</v>
      </c>
      <c r="I37">
        <v>0.75</v>
      </c>
      <c r="J37">
        <v>0.75</v>
      </c>
      <c r="K37">
        <v>0.75</v>
      </c>
    </row>
    <row r="38" spans="1:11">
      <c r="B38" t="s">
        <v>165</v>
      </c>
      <c r="C38" s="11">
        <v>0.75</v>
      </c>
      <c r="D38" s="11">
        <v>0.48</v>
      </c>
      <c r="E38" s="11">
        <v>0.52</v>
      </c>
      <c r="F38" s="11">
        <v>0.56999999999999995</v>
      </c>
      <c r="G38">
        <v>0.56000000000000005</v>
      </c>
      <c r="H38">
        <v>0.57999999999999996</v>
      </c>
      <c r="I38">
        <v>0.6</v>
      </c>
      <c r="J38">
        <v>0.75</v>
      </c>
      <c r="K38">
        <v>0.48</v>
      </c>
    </row>
    <row r="39" spans="1:11">
      <c r="B39" t="s">
        <v>166</v>
      </c>
      <c r="C39" s="11">
        <v>0.75</v>
      </c>
      <c r="D39" s="11">
        <v>0.56999999999999995</v>
      </c>
      <c r="E39" s="11">
        <v>0.59</v>
      </c>
      <c r="F39" s="11">
        <v>0.55000000000000004</v>
      </c>
      <c r="G39">
        <v>0.59</v>
      </c>
      <c r="H39">
        <v>0.6</v>
      </c>
      <c r="I39">
        <v>0.66</v>
      </c>
      <c r="J39">
        <v>0.75</v>
      </c>
      <c r="K39">
        <v>0.55000000000000004</v>
      </c>
    </row>
    <row r="40" spans="1:11">
      <c r="B40" t="s">
        <v>167</v>
      </c>
      <c r="C40" s="11">
        <v>0.75</v>
      </c>
      <c r="D40" s="11">
        <v>0.61</v>
      </c>
      <c r="E40" s="11">
        <v>0.47</v>
      </c>
      <c r="F40" s="11">
        <v>0.57999999999999996</v>
      </c>
      <c r="G40">
        <v>0.36</v>
      </c>
      <c r="H40">
        <v>0.57999999999999996</v>
      </c>
      <c r="I40">
        <v>0.64</v>
      </c>
      <c r="J40">
        <v>0.75</v>
      </c>
      <c r="K40">
        <v>0.36</v>
      </c>
    </row>
    <row r="41" spans="1:11">
      <c r="B41" t="s">
        <v>168</v>
      </c>
      <c r="C41" s="11">
        <v>0.75</v>
      </c>
      <c r="D41" s="11">
        <v>0.62</v>
      </c>
      <c r="E41" s="11">
        <v>0.59</v>
      </c>
      <c r="F41" s="11">
        <v>0.57999999999999996</v>
      </c>
      <c r="G41">
        <v>0.56999999999999995</v>
      </c>
      <c r="H41">
        <v>0.48</v>
      </c>
      <c r="I41">
        <v>0.62</v>
      </c>
      <c r="J41">
        <v>0.75</v>
      </c>
      <c r="K41">
        <v>0.48</v>
      </c>
    </row>
    <row r="42" spans="1:11">
      <c r="B42" t="s">
        <v>169</v>
      </c>
      <c r="C42" s="11">
        <v>0.75</v>
      </c>
      <c r="D42" s="11">
        <v>0.56999999999999995</v>
      </c>
      <c r="E42" s="11">
        <v>0.59</v>
      </c>
      <c r="F42" s="11">
        <v>0.61</v>
      </c>
      <c r="G42">
        <v>0.56999999999999995</v>
      </c>
      <c r="H42">
        <v>0.56000000000000005</v>
      </c>
      <c r="I42">
        <v>0.49</v>
      </c>
      <c r="J42">
        <v>0.75</v>
      </c>
      <c r="K42">
        <v>0.49</v>
      </c>
    </row>
    <row r="43" spans="1:11">
      <c r="B43" t="s">
        <v>170</v>
      </c>
      <c r="C43" s="11">
        <v>0.75</v>
      </c>
      <c r="D43" s="11">
        <v>0.75</v>
      </c>
      <c r="E43" s="11">
        <v>0.75</v>
      </c>
      <c r="F43" s="11">
        <v>0.75</v>
      </c>
      <c r="G43">
        <v>0.75</v>
      </c>
      <c r="H43">
        <v>0.75</v>
      </c>
      <c r="I43">
        <v>0.75</v>
      </c>
      <c r="J43">
        <v>0.75</v>
      </c>
      <c r="K43">
        <v>0.75</v>
      </c>
    </row>
    <row r="44" spans="1:11">
      <c r="B44" t="s">
        <v>180</v>
      </c>
      <c r="C44" s="11">
        <f>MIN(C37:C43)</f>
        <v>0.75</v>
      </c>
      <c r="D44" s="11">
        <f t="shared" ref="D44:J44" si="0">MIN(D37:D43)</f>
        <v>0.48</v>
      </c>
      <c r="E44" s="11">
        <f t="shared" si="0"/>
        <v>0.47</v>
      </c>
      <c r="F44" s="11">
        <f t="shared" si="0"/>
        <v>0.55000000000000004</v>
      </c>
      <c r="G44" s="11">
        <f t="shared" si="0"/>
        <v>0.36</v>
      </c>
      <c r="H44" s="11">
        <f t="shared" si="0"/>
        <v>0.48</v>
      </c>
      <c r="I44" s="11">
        <f t="shared" si="0"/>
        <v>0.49</v>
      </c>
      <c r="J44" s="11">
        <f t="shared" si="0"/>
        <v>0.75</v>
      </c>
    </row>
    <row r="45" spans="1:11">
      <c r="B45" t="s">
        <v>182</v>
      </c>
      <c r="C45" s="11"/>
      <c r="D45" s="11"/>
      <c r="E45" s="11"/>
      <c r="F45" s="11"/>
    </row>
    <row r="46" spans="1:11">
      <c r="F46" s="11"/>
    </row>
    <row r="47" spans="1:11">
      <c r="C47" s="11"/>
      <c r="D47" s="11"/>
      <c r="E47" s="11"/>
      <c r="F47" s="11"/>
    </row>
    <row r="48" spans="1:11">
      <c r="A48" s="67" t="s">
        <v>120</v>
      </c>
      <c r="B48" t="s">
        <v>134</v>
      </c>
    </row>
    <row r="49" spans="1:7">
      <c r="C49" t="s">
        <v>29</v>
      </c>
      <c r="D49" s="81">
        <v>20000</v>
      </c>
      <c r="E49" s="75" t="s">
        <v>185</v>
      </c>
    </row>
    <row r="50" spans="1:7">
      <c r="C50" t="s">
        <v>51</v>
      </c>
      <c r="D50" s="48">
        <f>F9/2+F11+F12</f>
        <v>24.1</v>
      </c>
      <c r="E50" s="75" t="s">
        <v>160</v>
      </c>
    </row>
    <row r="51" spans="1:7">
      <c r="C51" t="s">
        <v>139</v>
      </c>
      <c r="D51" s="4">
        <f>F8*D50/(D49*F13-0.6*F8)</f>
        <v>0.42984542211652793</v>
      </c>
      <c r="E51" s="75" t="s">
        <v>160</v>
      </c>
      <c r="G51" t="s">
        <v>137</v>
      </c>
    </row>
    <row r="52" spans="1:7">
      <c r="C52" t="s">
        <v>138</v>
      </c>
      <c r="D52" s="4">
        <f>F8*D50/(2*D49*F13+0.4*F8)</f>
        <v>0.21189917936694022</v>
      </c>
      <c r="E52" s="75" t="s">
        <v>160</v>
      </c>
      <c r="G52" t="s">
        <v>140</v>
      </c>
    </row>
    <row r="53" spans="1:7">
      <c r="C53" t="s">
        <v>141</v>
      </c>
      <c r="D53" s="4">
        <f>MAX(D51:D52)</f>
        <v>0.42984542211652793</v>
      </c>
      <c r="E53" s="75" t="s">
        <v>160</v>
      </c>
    </row>
    <row r="54" spans="1:7">
      <c r="A54" s="67" t="s">
        <v>125</v>
      </c>
      <c r="B54" t="s">
        <v>186</v>
      </c>
    </row>
    <row r="55" spans="1:7">
      <c r="C55" s="11" t="s">
        <v>154</v>
      </c>
      <c r="D55" s="80">
        <f>MIN(C37:J43)</f>
        <v>0.36</v>
      </c>
      <c r="E55" s="79" t="s">
        <v>160</v>
      </c>
    </row>
    <row r="56" spans="1:7">
      <c r="A56" s="67" t="s">
        <v>133</v>
      </c>
      <c r="B56" t="s">
        <v>187</v>
      </c>
    </row>
    <row r="57" spans="1:7">
      <c r="C57" t="s">
        <v>128</v>
      </c>
      <c r="D57" s="4">
        <f>F10-F11</f>
        <v>0.75</v>
      </c>
      <c r="E57" s="79" t="s">
        <v>160</v>
      </c>
    </row>
    <row r="58" spans="1:7">
      <c r="C58" t="s">
        <v>188</v>
      </c>
      <c r="D58" s="4">
        <f>D57-F12</f>
        <v>0.65</v>
      </c>
      <c r="E58" s="79" t="s">
        <v>160</v>
      </c>
    </row>
    <row r="59" spans="1:7">
      <c r="A59" s="67" t="s">
        <v>142</v>
      </c>
      <c r="B59" t="s">
        <v>189</v>
      </c>
    </row>
    <row r="60" spans="1:7">
      <c r="A60" s="67"/>
      <c r="C60" t="s">
        <v>190</v>
      </c>
      <c r="D60" s="4">
        <f>(D55-F12)/D58</f>
        <v>0.4</v>
      </c>
    </row>
    <row r="61" spans="1:7">
      <c r="A61" s="67" t="s">
        <v>191</v>
      </c>
      <c r="B61" t="s">
        <v>192</v>
      </c>
    </row>
    <row r="62" spans="1:7">
      <c r="A62" s="67"/>
      <c r="C62" t="s">
        <v>150</v>
      </c>
      <c r="D62" s="68">
        <v>0.9</v>
      </c>
    </row>
    <row r="63" spans="1:7">
      <c r="A63" s="67"/>
      <c r="C63" t="s">
        <v>38</v>
      </c>
      <c r="D63" s="4">
        <f>IF(D60&gt;=D62,50,1.123*(((((1-D60)/(1-(D60/D62)))^2)-1)^0.5))</f>
        <v>0.45809591310117537</v>
      </c>
      <c r="G63" t="s">
        <v>193</v>
      </c>
    </row>
    <row r="64" spans="1:7">
      <c r="A64" s="67"/>
      <c r="C64" t="s">
        <v>39</v>
      </c>
      <c r="D64">
        <f>F9+2*(F11+F12)</f>
        <v>48.2</v>
      </c>
      <c r="E64" s="75" t="s">
        <v>160</v>
      </c>
    </row>
    <row r="65" spans="1:17">
      <c r="A65" s="67"/>
      <c r="C65" t="s">
        <v>40</v>
      </c>
      <c r="D65" s="73">
        <f>D63*SQRT(D64*D58)</f>
        <v>2.5641097771444947</v>
      </c>
      <c r="E65" s="75" t="s">
        <v>160</v>
      </c>
      <c r="G65" s="76">
        <v>4.5</v>
      </c>
    </row>
    <row r="66" spans="1:17">
      <c r="A66" s="67"/>
    </row>
    <row r="67" spans="1:17">
      <c r="A67" s="67" t="s">
        <v>194</v>
      </c>
      <c r="B67" t="s">
        <v>195</v>
      </c>
    </row>
    <row r="68" spans="1:17">
      <c r="A68" s="67"/>
      <c r="B68" t="s">
        <v>41</v>
      </c>
    </row>
    <row r="69" spans="1:17">
      <c r="A69" s="67"/>
      <c r="C69" t="s">
        <v>196</v>
      </c>
      <c r="E69" s="68">
        <v>1.5</v>
      </c>
      <c r="F69" t="s">
        <v>160</v>
      </c>
    </row>
    <row r="70" spans="1:17">
      <c r="A70" s="67"/>
      <c r="C70" t="s">
        <v>197</v>
      </c>
      <c r="E70" s="68">
        <v>7</v>
      </c>
      <c r="F70" t="s">
        <v>198</v>
      </c>
    </row>
    <row r="71" spans="1:17">
      <c r="B71" t="s">
        <v>199</v>
      </c>
      <c r="C71" s="48">
        <v>1</v>
      </c>
      <c r="D71" s="48">
        <v>2</v>
      </c>
      <c r="E71" s="48">
        <v>3</v>
      </c>
      <c r="F71" s="48">
        <v>4</v>
      </c>
      <c r="G71" s="48">
        <v>5</v>
      </c>
      <c r="H71" s="48">
        <v>6</v>
      </c>
      <c r="I71" s="48">
        <v>7</v>
      </c>
      <c r="J71" s="48">
        <v>8</v>
      </c>
    </row>
    <row r="72" spans="1:17">
      <c r="B72" t="s">
        <v>200</v>
      </c>
      <c r="C72">
        <v>0.75</v>
      </c>
      <c r="D72">
        <v>0.48</v>
      </c>
      <c r="E72">
        <v>0.47</v>
      </c>
      <c r="F72">
        <v>0.55000000000000004</v>
      </c>
      <c r="G72" s="82">
        <v>0.36</v>
      </c>
      <c r="H72">
        <v>0.48</v>
      </c>
      <c r="I72">
        <v>0.49</v>
      </c>
      <c r="J72">
        <v>0.75</v>
      </c>
      <c r="M72" s="84"/>
      <c r="N72" s="84"/>
      <c r="O72" s="84"/>
      <c r="P72" s="84"/>
      <c r="Q72" s="84"/>
    </row>
    <row r="73" spans="1:17">
      <c r="C73" s="7"/>
      <c r="M73" s="84"/>
      <c r="N73" s="84"/>
      <c r="O73" s="84"/>
      <c r="P73" s="84"/>
      <c r="Q73" s="84"/>
    </row>
    <row r="74" spans="1:17">
      <c r="C74" s="7"/>
      <c r="M74" s="84"/>
      <c r="N74" s="84"/>
      <c r="O74" s="84"/>
      <c r="P74" s="84"/>
      <c r="Q74" s="84"/>
    </row>
    <row r="75" spans="1:17">
      <c r="C75" s="7"/>
      <c r="M75" s="84"/>
      <c r="N75" s="84"/>
      <c r="O75" s="84"/>
      <c r="P75" s="84"/>
      <c r="Q75" s="84"/>
    </row>
    <row r="76" spans="1:17">
      <c r="M76" s="84"/>
      <c r="N76" s="84"/>
      <c r="O76" s="84"/>
      <c r="P76" s="84"/>
      <c r="Q76" s="84"/>
    </row>
    <row r="77" spans="1:17">
      <c r="M77" s="84"/>
      <c r="N77" s="84"/>
      <c r="O77" s="84"/>
      <c r="P77" s="84"/>
      <c r="Q77" s="84"/>
    </row>
    <row r="78" spans="1:17">
      <c r="M78" s="84"/>
      <c r="N78" s="84"/>
      <c r="O78" s="84"/>
      <c r="P78" s="84"/>
      <c r="Q78" s="84"/>
    </row>
    <row r="79" spans="1:17">
      <c r="M79" s="84"/>
      <c r="N79" s="84"/>
      <c r="O79" s="84"/>
      <c r="P79" s="84"/>
      <c r="Q79" s="84"/>
    </row>
    <row r="82" spans="2:17">
      <c r="Q82" s="7"/>
    </row>
    <row r="84" spans="2:17">
      <c r="C84" t="s">
        <v>141</v>
      </c>
      <c r="D84">
        <f>MIN(C72:J72)</f>
        <v>0.36</v>
      </c>
      <c r="E84" s="75" t="s">
        <v>160</v>
      </c>
    </row>
    <row r="85" spans="2:17">
      <c r="C85" t="s">
        <v>234</v>
      </c>
      <c r="D85">
        <f>D84</f>
        <v>0.36</v>
      </c>
      <c r="E85" s="75" t="s">
        <v>160</v>
      </c>
    </row>
    <row r="86" spans="2:17">
      <c r="C86" t="s">
        <v>233</v>
      </c>
      <c r="D86">
        <f>F72</f>
        <v>0.55000000000000004</v>
      </c>
      <c r="E86" s="75" t="s">
        <v>160</v>
      </c>
    </row>
    <row r="87" spans="2:17">
      <c r="C87" t="s">
        <v>232</v>
      </c>
      <c r="D87">
        <f>H72</f>
        <v>0.48</v>
      </c>
      <c r="E87" s="75" t="s">
        <v>160</v>
      </c>
    </row>
    <row r="88" spans="2:17">
      <c r="C88" t="s">
        <v>201</v>
      </c>
      <c r="D88" s="4">
        <f>D85+(D86-D85)*((D65/2)/E69)</f>
        <v>0.52239361921915139</v>
      </c>
      <c r="E88" s="75" t="s">
        <v>160</v>
      </c>
    </row>
    <row r="89" spans="2:17">
      <c r="C89" t="s">
        <v>202</v>
      </c>
      <c r="D89" s="4">
        <f>D85+(D87-D85)*((D65/2)/E69)</f>
        <v>0.46256439108577979</v>
      </c>
      <c r="E89" s="75" t="s">
        <v>160</v>
      </c>
    </row>
    <row r="90" spans="2:17">
      <c r="C90" t="s">
        <v>231</v>
      </c>
      <c r="D90" s="4">
        <f>0.5*(D88+D85)*(D65/2)</f>
        <v>0.56563852658243563</v>
      </c>
      <c r="E90" s="75" t="s">
        <v>236</v>
      </c>
    </row>
    <row r="91" spans="2:17">
      <c r="C91" t="s">
        <v>235</v>
      </c>
      <c r="D91" s="4">
        <f>0.5*(D89+D85)*(D65/2)</f>
        <v>0.52728634937848895</v>
      </c>
      <c r="E91" s="75" t="s">
        <v>236</v>
      </c>
    </row>
    <row r="92" spans="2:17">
      <c r="C92" t="s">
        <v>203</v>
      </c>
      <c r="D92" s="4">
        <f>(D90+D91)/D65</f>
        <v>0.42623950257623283</v>
      </c>
      <c r="E92" s="75" t="s">
        <v>160</v>
      </c>
    </row>
    <row r="94" spans="2:17">
      <c r="B94" t="s">
        <v>70</v>
      </c>
    </row>
    <row r="95" spans="2:17">
      <c r="C95" t="s">
        <v>196</v>
      </c>
      <c r="E95" s="68">
        <v>1.5</v>
      </c>
      <c r="F95" t="s">
        <v>160</v>
      </c>
      <c r="N95" s="73"/>
    </row>
    <row r="96" spans="2:17">
      <c r="C96" t="s">
        <v>197</v>
      </c>
      <c r="E96" s="68">
        <v>7</v>
      </c>
      <c r="F96" t="s">
        <v>198</v>
      </c>
      <c r="N96" s="73"/>
    </row>
    <row r="97" spans="2:15">
      <c r="B97" t="s">
        <v>199</v>
      </c>
      <c r="C97" s="48">
        <v>1</v>
      </c>
      <c r="D97" s="48">
        <v>2</v>
      </c>
      <c r="E97" s="48">
        <v>3</v>
      </c>
      <c r="F97" s="48">
        <v>4</v>
      </c>
      <c r="G97" s="48">
        <v>5</v>
      </c>
      <c r="H97" s="48">
        <v>6</v>
      </c>
      <c r="I97" s="48">
        <v>7</v>
      </c>
      <c r="J97" s="48"/>
    </row>
    <row r="98" spans="2:15">
      <c r="B98" t="s">
        <v>200</v>
      </c>
      <c r="C98">
        <f>K37</f>
        <v>0.75</v>
      </c>
      <c r="D98">
        <f>K38</f>
        <v>0.48</v>
      </c>
      <c r="E98">
        <f>K39</f>
        <v>0.55000000000000004</v>
      </c>
      <c r="F98" s="82">
        <f>K40</f>
        <v>0.36</v>
      </c>
      <c r="G98">
        <f>K41</f>
        <v>0.48</v>
      </c>
      <c r="H98">
        <f>K43</f>
        <v>0.75</v>
      </c>
      <c r="I98">
        <f>K42</f>
        <v>0.49</v>
      </c>
    </row>
    <row r="99" spans="2:15">
      <c r="C99" s="7"/>
      <c r="O99" s="75"/>
    </row>
    <row r="100" spans="2:15">
      <c r="C100" s="7"/>
    </row>
    <row r="101" spans="2:15">
      <c r="C101" s="7"/>
    </row>
    <row r="110" spans="2:15">
      <c r="C110" t="s">
        <v>234</v>
      </c>
      <c r="D110">
        <f>D84</f>
        <v>0.36</v>
      </c>
      <c r="E110" s="75" t="s">
        <v>160</v>
      </c>
    </row>
    <row r="111" spans="2:15">
      <c r="C111" t="s">
        <v>233</v>
      </c>
      <c r="D111">
        <f>E98</f>
        <v>0.55000000000000004</v>
      </c>
      <c r="E111" s="75" t="s">
        <v>160</v>
      </c>
    </row>
    <row r="112" spans="2:15">
      <c r="C112" t="s">
        <v>232</v>
      </c>
      <c r="D112">
        <f>G98</f>
        <v>0.48</v>
      </c>
      <c r="E112" s="75" t="s">
        <v>160</v>
      </c>
    </row>
    <row r="113" spans="1:7">
      <c r="C113" t="s">
        <v>201</v>
      </c>
      <c r="D113" s="4">
        <f>D110+(D111-D110)*((D65/2)/E95)</f>
        <v>0.52239361921915139</v>
      </c>
      <c r="E113" s="75" t="s">
        <v>160</v>
      </c>
    </row>
    <row r="114" spans="1:7">
      <c r="C114" t="s">
        <v>202</v>
      </c>
      <c r="D114" s="4">
        <f>D110+(D112-D110)*((D65/2)/E95)</f>
        <v>0.46256439108577979</v>
      </c>
      <c r="E114" s="75" t="s">
        <v>160</v>
      </c>
    </row>
    <row r="115" spans="1:7">
      <c r="C115" t="s">
        <v>231</v>
      </c>
      <c r="D115" s="4">
        <f>0.5*(D113+D110)*(D65/2)</f>
        <v>0.56563852658243563</v>
      </c>
      <c r="E115" s="75" t="s">
        <v>236</v>
      </c>
    </row>
    <row r="116" spans="1:7">
      <c r="C116" t="s">
        <v>235</v>
      </c>
      <c r="D116" s="4">
        <f>0.5*(D114+D110)*D65/2</f>
        <v>0.52728634937848895</v>
      </c>
      <c r="E116" s="75" t="s">
        <v>236</v>
      </c>
    </row>
    <row r="117" spans="1:7">
      <c r="C117" t="s">
        <v>204</v>
      </c>
      <c r="D117" s="4">
        <f>(D115+D116)/D65</f>
        <v>0.42623950257623283</v>
      </c>
      <c r="E117" s="75" t="s">
        <v>160</v>
      </c>
    </row>
    <row r="118" spans="1:7">
      <c r="A118" s="67" t="s">
        <v>205</v>
      </c>
      <c r="B118" t="s">
        <v>206</v>
      </c>
    </row>
    <row r="119" spans="1:7">
      <c r="A119" s="67"/>
      <c r="B119" t="s">
        <v>144</v>
      </c>
    </row>
    <row r="120" spans="1:7">
      <c r="B120" t="s">
        <v>208</v>
      </c>
    </row>
    <row r="121" spans="1:7">
      <c r="C121" t="s">
        <v>209</v>
      </c>
      <c r="F121" t="str">
        <f>IF(D92-F12&gt;=D51,"The Level 1 assessment criteria are satisfied","The Level 1 assessment criteria are not satisfied")</f>
        <v>The Level 1 assessment criteria are not satisfied</v>
      </c>
    </row>
    <row r="122" spans="1:7">
      <c r="C122" t="s">
        <v>210</v>
      </c>
      <c r="F122" t="str">
        <f>IF(D116-F12&gt;=D52,"The Level 1 assessment criteria are satisfied","The Level 1 assessment criteria are not satisfied")</f>
        <v>The Level 1 assessment criteria are satisfied</v>
      </c>
    </row>
    <row r="124" spans="1:7">
      <c r="C124" t="str">
        <f>IF(F121="The Level 1 assessment criteria are satisfied",IF(F122="The Level 1 assessment criteria are satisfied","The component is acceptable for continued operation","The component is notacceptable for continued operation"),"The component is not acceptable for continued operation")</f>
        <v>The component is not acceptable for continued operation</v>
      </c>
    </row>
    <row r="126" spans="1:7">
      <c r="B126" t="s">
        <v>207</v>
      </c>
    </row>
    <row r="127" spans="1:7">
      <c r="C127" t="s">
        <v>153</v>
      </c>
      <c r="D127">
        <f>MAX(0.2*F10,0.1)</f>
        <v>0.15000000000000002</v>
      </c>
      <c r="E127" s="75" t="s">
        <v>160</v>
      </c>
    </row>
    <row r="128" spans="1:7">
      <c r="C128" t="s">
        <v>211</v>
      </c>
      <c r="G128" t="str">
        <f>IF((D55-F12)&gt;=(MAX(0.5*D53,D127)),"The Level 1 assessment criteria are satisfied","The Level 1 assessment criteria are not satisfied")</f>
        <v>The Level 1 assessment criteria are satisfied</v>
      </c>
    </row>
    <row r="130" spans="2:11">
      <c r="C130" t="str">
        <f>IF(G128="The Level 1 assessment criteria are satisfied","The component is acceptable for continued operation","The component is not acceptable for continued operation")</f>
        <v>The component is acceptable for continued operation</v>
      </c>
      <c r="K130" s="4"/>
    </row>
    <row r="131" spans="2:11">
      <c r="K131" s="4"/>
    </row>
    <row r="132" spans="2:11">
      <c r="B132" t="s">
        <v>151</v>
      </c>
    </row>
    <row r="133" spans="2:11">
      <c r="B133" t="s">
        <v>208</v>
      </c>
    </row>
    <row r="134" spans="2:11">
      <c r="C134" t="s">
        <v>150</v>
      </c>
      <c r="D134" s="68">
        <v>0.9</v>
      </c>
    </row>
    <row r="135" spans="2:11">
      <c r="C135" t="s">
        <v>209</v>
      </c>
      <c r="F135" t="str">
        <f>IF(D106-F26&gt;=D134*D65,"The Level 1 assessment criteria are satisfied","The Level 1 assessment criteria are not satisfied")</f>
        <v>The Level 1 assessment criteria are not satisfied</v>
      </c>
    </row>
    <row r="136" spans="2:11">
      <c r="C136" t="s">
        <v>210</v>
      </c>
      <c r="F136" t="str">
        <f>IF(D130-F26&gt;=D134*D66,"The Level 1 assessment criteria are satisfied","The Level 1 assessment criteria are not satisfied")</f>
        <v>The Level 1 assessment criteria are satisfied</v>
      </c>
    </row>
    <row r="138" spans="2:11">
      <c r="C138" t="str">
        <f>IF(F135="The Level 1 assessment criteria are satisfied",IF(F136="The Level 1 assessment criteria are satisfied","The component is acceptable for continued operation","The component is notacceptable for continued operation"),"The component is not acceptable for continued operation")</f>
        <v>The component is not acceptable for continued operation</v>
      </c>
    </row>
  </sheetData>
  <sortState ref="N73:N80">
    <sortCondition ref="N73"/>
  </sortState>
  <conditionalFormatting sqref="O80">
    <cfRule type="expression" dxfId="262" priority="110">
      <formula>$M$80="The Level 1 assessment criteria are not satisfied"</formula>
    </cfRule>
    <cfRule type="expression" dxfId="261" priority="111">
      <formula>$M$80="The Level 1 assessment criteria are satisfied"</formula>
    </cfRule>
  </conditionalFormatting>
  <conditionalFormatting sqref="P80:Q80">
    <cfRule type="expression" dxfId="260" priority="108">
      <formula>$M$80="The Level 1 assessment criteria are not satisfied"</formula>
    </cfRule>
    <cfRule type="expression" dxfId="259" priority="109">
      <formula>$M$80="The Level 1 assessment criteria are satisfied"</formula>
    </cfRule>
  </conditionalFormatting>
  <conditionalFormatting sqref="M102">
    <cfRule type="expression" dxfId="258" priority="102">
      <formula>$M$102="The Level 2 assessment criteria are not satisfied"</formula>
    </cfRule>
    <cfRule type="expression" dxfId="257" priority="103">
      <formula>$M$102="The Level 2 assessment criteria are satisfied"</formula>
    </cfRule>
  </conditionalFormatting>
  <conditionalFormatting sqref="N102">
    <cfRule type="expression" dxfId="256" priority="100">
      <formula>$M$102="The Level 2 assessment criteria are not satisfied"</formula>
    </cfRule>
    <cfRule type="expression" dxfId="255" priority="101">
      <formula>$M$102="The Level 2 assessment criteria are satisfied"</formula>
    </cfRule>
  </conditionalFormatting>
  <conditionalFormatting sqref="O102">
    <cfRule type="expression" dxfId="254" priority="98">
      <formula>$M$102="The Level 2 assessment criteria are not satisfied"</formula>
    </cfRule>
    <cfRule type="expression" dxfId="253" priority="99">
      <formula>$M$102="The Level 2 assessment criteria are satisfied"</formula>
    </cfRule>
  </conditionalFormatting>
  <conditionalFormatting sqref="P102">
    <cfRule type="expression" dxfId="252" priority="96">
      <formula>$M$102="The Level 2 assessment criteria are not satisfied"</formula>
    </cfRule>
    <cfRule type="expression" dxfId="251" priority="97">
      <formula>$M$102="The Level 2 assessment criteria are satisfied"</formula>
    </cfRule>
  </conditionalFormatting>
  <conditionalFormatting sqref="Q102">
    <cfRule type="expression" dxfId="250" priority="94">
      <formula>$M$102="The Level 2 assessment criteria are not satisfied"</formula>
    </cfRule>
    <cfRule type="expression" dxfId="249" priority="95">
      <formula>$M$102="The Level 2 assessment criteria are satisfied"</formula>
    </cfRule>
  </conditionalFormatting>
  <conditionalFormatting sqref="F55:J55">
    <cfRule type="expression" dxfId="248" priority="140">
      <formula>#REF!="The average thickness, t.am can not use in the calculation"</formula>
    </cfRule>
    <cfRule type="expression" dxfId="247" priority="141">
      <formula>#REF!="The average thickness, t.am can use in the calculation"</formula>
    </cfRule>
  </conditionalFormatting>
  <conditionalFormatting sqref="O74:R74 I75:J75 O78:R78">
    <cfRule type="expression" dxfId="246" priority="142">
      <formula>$O$74="The component is not acceptable for continued operation"</formula>
    </cfRule>
    <cfRule type="expression" dxfId="245" priority="143">
      <formula>$O$74="The component is acceptable for continued operation"</formula>
    </cfRule>
  </conditionalFormatting>
  <conditionalFormatting sqref="I82:J82 O93:R93">
    <cfRule type="expression" dxfId="244" priority="150">
      <formula>$O$93="The component is not acceptable for continued operation"</formula>
    </cfRule>
    <cfRule type="expression" dxfId="243" priority="151">
      <formula>$O$93="The component is acceptable for continued operation"</formula>
    </cfRule>
  </conditionalFormatting>
  <conditionalFormatting sqref="I94:J94 O97:R97 O100:R100">
    <cfRule type="expression" dxfId="242" priority="154">
      <formula>$O$97="The component is not acceptable for continued operation"</formula>
    </cfRule>
    <cfRule type="expression" dxfId="241" priority="155">
      <formula>$O$97="The component is acceptable for continued operation"</formula>
    </cfRule>
  </conditionalFormatting>
  <conditionalFormatting sqref="I101:J101">
    <cfRule type="expression" dxfId="240" priority="87">
      <formula>$O$74="The component is not acceptable for continued operation"</formula>
    </cfRule>
    <cfRule type="expression" dxfId="239" priority="88">
      <formula>$O$74="The component is acceptable for continued operation"</formula>
    </cfRule>
  </conditionalFormatting>
  <conditionalFormatting sqref="I108:J108">
    <cfRule type="expression" dxfId="238" priority="89">
      <formula>$O$93="The component is not acceptable for continued operation"</formula>
    </cfRule>
    <cfRule type="expression" dxfId="237" priority="90">
      <formula>$O$93="The component is acceptable for continued operation"</formula>
    </cfRule>
  </conditionalFormatting>
  <conditionalFormatting sqref="L37:L43">
    <cfRule type="expression" dxfId="236" priority="85">
      <formula>MIN($K$37:$K$43)</formula>
    </cfRule>
  </conditionalFormatting>
  <conditionalFormatting sqref="F121:J121">
    <cfRule type="expression" dxfId="235" priority="83">
      <formula>$F$121="The Level 1 assessment criteria are not satisfied"</formula>
    </cfRule>
    <cfRule type="expression" dxfId="234" priority="84">
      <formula>$F$121="The Level 1 assessment criteria are satisfied"</formula>
    </cfRule>
  </conditionalFormatting>
  <conditionalFormatting sqref="F122">
    <cfRule type="expression" dxfId="233" priority="81">
      <formula>$F$122="The Level 1 assessment criteria are not satisfied"</formula>
    </cfRule>
    <cfRule type="expression" dxfId="232" priority="82">
      <formula>$F$122="The Level 1 assessment criteria are satisfied"</formula>
    </cfRule>
  </conditionalFormatting>
  <conditionalFormatting sqref="G122">
    <cfRule type="expression" dxfId="231" priority="79">
      <formula>$F$122="The Level 1 assessment criteria are not satisfied"</formula>
    </cfRule>
    <cfRule type="expression" dxfId="230" priority="80">
      <formula>$F$122="The Level 1 assessment criteria are satisfied"</formula>
    </cfRule>
  </conditionalFormatting>
  <conditionalFormatting sqref="H122:I122">
    <cfRule type="expression" dxfId="229" priority="75">
      <formula>$F$122="The Level 1 assessment criteria are not satisfied"</formula>
    </cfRule>
    <cfRule type="expression" dxfId="228" priority="76">
      <formula>$F$122="The Level 1 assessment criteria are satisfied"</formula>
    </cfRule>
  </conditionalFormatting>
  <conditionalFormatting sqref="J122">
    <cfRule type="expression" dxfId="227" priority="73">
      <formula>$F$122="The Level 1 assessment criteria are not satisfied"</formula>
    </cfRule>
    <cfRule type="expression" dxfId="226" priority="74">
      <formula>$F$122="The Level 1 assessment criteria are satisfied"</formula>
    </cfRule>
  </conditionalFormatting>
  <conditionalFormatting sqref="C124">
    <cfRule type="expression" dxfId="225" priority="71">
      <formula>$C$124="The component is not acceptable for continued operation"</formula>
    </cfRule>
    <cfRule type="expression" dxfId="224" priority="72">
      <formula>$C$124="The component is  acceptable for continued operation"</formula>
    </cfRule>
  </conditionalFormatting>
  <conditionalFormatting sqref="D124">
    <cfRule type="expression" dxfId="223" priority="69">
      <formula>$C$124="The component is not acceptable for continued operation"</formula>
    </cfRule>
    <cfRule type="expression" dxfId="222" priority="70">
      <formula>$C$124="The component is  acceptable for continued operation"</formula>
    </cfRule>
  </conditionalFormatting>
  <conditionalFormatting sqref="E124">
    <cfRule type="expression" dxfId="221" priority="67">
      <formula>$C$124="The component is not acceptable for continued operation"</formula>
    </cfRule>
    <cfRule type="expression" dxfId="220" priority="68">
      <formula>$C$124="The component is  acceptable for continued operation"</formula>
    </cfRule>
  </conditionalFormatting>
  <conditionalFormatting sqref="F124">
    <cfRule type="expression" dxfId="219" priority="65">
      <formula>$C$124="The component is not acceptable for continued operation"</formula>
    </cfRule>
    <cfRule type="expression" dxfId="218" priority="66">
      <formula>$C$124="The component is  acceptable for continued operation"</formula>
    </cfRule>
  </conditionalFormatting>
  <conditionalFormatting sqref="G124">
    <cfRule type="expression" dxfId="217" priority="63">
      <formula>$C$124="The component is not acceptable for continued operation"</formula>
    </cfRule>
    <cfRule type="expression" dxfId="216" priority="64">
      <formula>$C$124="The component is  acceptable for continued operation"</formula>
    </cfRule>
  </conditionalFormatting>
  <conditionalFormatting sqref="H124">
    <cfRule type="expression" dxfId="215" priority="61">
      <formula>$C$124="The component is not acceptable for continued operation"</formula>
    </cfRule>
    <cfRule type="expression" dxfId="214" priority="62">
      <formula>$C$124="The component is  acceptable for continued operation"</formula>
    </cfRule>
  </conditionalFormatting>
  <conditionalFormatting sqref="G128">
    <cfRule type="expression" dxfId="213" priority="59">
      <formula>$G$128="The Level 1 assessment criteria are satisfied"</formula>
    </cfRule>
    <cfRule type="expression" dxfId="212" priority="60">
      <formula>$G$128="The Level 1 assessment criteria are not satisfied"</formula>
    </cfRule>
  </conditionalFormatting>
  <conditionalFormatting sqref="H128">
    <cfRule type="expression" dxfId="211" priority="57">
      <formula>$G$128="The Level 1 assessment criteria are satisfied"</formula>
    </cfRule>
    <cfRule type="expression" dxfId="210" priority="58">
      <formula>$G$128="The Level 1 assessment criteria are not satisfied"</formula>
    </cfRule>
  </conditionalFormatting>
  <conditionalFormatting sqref="I128">
    <cfRule type="expression" dxfId="209" priority="55">
      <formula>$G$128="The Level 1 assessment criteria are satisfied"</formula>
    </cfRule>
    <cfRule type="expression" dxfId="208" priority="56">
      <formula>$G$128="The Level 1 assessment criteria are not satisfied"</formula>
    </cfRule>
  </conditionalFormatting>
  <conditionalFormatting sqref="J128">
    <cfRule type="expression" dxfId="207" priority="53">
      <formula>$G$128="The Level 1 assessment criteria are satisfied"</formula>
    </cfRule>
    <cfRule type="expression" dxfId="206" priority="54">
      <formula>$G$128="The Level 1 assessment criteria are not satisfied"</formula>
    </cfRule>
  </conditionalFormatting>
  <conditionalFormatting sqref="K128">
    <cfRule type="expression" dxfId="205" priority="49">
      <formula>$G$128="The Level 1 assessment criteria are satisfied"</formula>
    </cfRule>
    <cfRule type="expression" dxfId="204" priority="50">
      <formula>$G$128="The Level 1 assessment criteria are not satisfied"</formula>
    </cfRule>
  </conditionalFormatting>
  <conditionalFormatting sqref="B130">
    <cfRule type="expression" dxfId="203" priority="35">
      <formula>$C$130="The component is not acceptable for continued operation"</formula>
    </cfRule>
    <cfRule type="expression" dxfId="202" priority="36">
      <formula>$C$130="The component is  acceptable for continued operation"</formula>
    </cfRule>
  </conditionalFormatting>
  <conditionalFormatting sqref="C130">
    <cfRule type="expression" dxfId="201" priority="33">
      <formula>$C$130="The component is acceptable for continued operation"</formula>
    </cfRule>
    <cfRule type="expression" dxfId="200" priority="34">
      <formula>$C$130="The component is not acceptable for continued operation"</formula>
    </cfRule>
  </conditionalFormatting>
  <conditionalFormatting sqref="D130">
    <cfRule type="expression" dxfId="199" priority="31">
      <formula>$C$130="The component is acceptable for continued operation"</formula>
    </cfRule>
    <cfRule type="expression" dxfId="198" priority="32">
      <formula>$C$130="The component is not acceptable for continued operation"</formula>
    </cfRule>
  </conditionalFormatting>
  <conditionalFormatting sqref="E130">
    <cfRule type="expression" dxfId="197" priority="29">
      <formula>$C$130="The component is acceptable for continued operation"</formula>
    </cfRule>
    <cfRule type="expression" dxfId="196" priority="30">
      <formula>$C$130="The component is not acceptable for continued operation"</formula>
    </cfRule>
  </conditionalFormatting>
  <conditionalFormatting sqref="F130">
    <cfRule type="expression" dxfId="195" priority="27">
      <formula>$C$130="The component is acceptable for continued operation"</formula>
    </cfRule>
    <cfRule type="expression" dxfId="194" priority="28">
      <formula>$C$130="The component is not acceptable for continued operation"</formula>
    </cfRule>
  </conditionalFormatting>
  <conditionalFormatting sqref="G130">
    <cfRule type="expression" dxfId="193" priority="25">
      <formula>$C$130="The component is acceptable for continued operation"</formula>
    </cfRule>
    <cfRule type="expression" dxfId="192" priority="26">
      <formula>$C$130="The component is not acceptable for continued operation"</formula>
    </cfRule>
  </conditionalFormatting>
  <conditionalFormatting sqref="H130">
    <cfRule type="expression" dxfId="191" priority="23">
      <formula>$C$130="The component is acceptable for continued operation"</formula>
    </cfRule>
    <cfRule type="expression" dxfId="190" priority="24">
      <formula>$C$130="The component is not acceptable for continued operation"</formula>
    </cfRule>
  </conditionalFormatting>
  <conditionalFormatting sqref="F135:J135">
    <cfRule type="expression" dxfId="189" priority="21">
      <formula>$F$121="The Level 1 assessment criteria are not satisfied"</formula>
    </cfRule>
    <cfRule type="expression" dxfId="188" priority="22">
      <formula>$F$121="The Level 1 assessment criteria are satisfied"</formula>
    </cfRule>
  </conditionalFormatting>
  <conditionalFormatting sqref="F136">
    <cfRule type="expression" dxfId="187" priority="19">
      <formula>$F$122="The Level 1 assessment criteria are not satisfied"</formula>
    </cfRule>
    <cfRule type="expression" dxfId="186" priority="20">
      <formula>$F$122="The Level 1 assessment criteria are satisfied"</formula>
    </cfRule>
  </conditionalFormatting>
  <conditionalFormatting sqref="G136">
    <cfRule type="expression" dxfId="185" priority="17">
      <formula>$F$122="The Level 1 assessment criteria are not satisfied"</formula>
    </cfRule>
    <cfRule type="expression" dxfId="184" priority="18">
      <formula>$F$122="The Level 1 assessment criteria are satisfied"</formula>
    </cfRule>
  </conditionalFormatting>
  <conditionalFormatting sqref="H136:I136">
    <cfRule type="expression" dxfId="183" priority="15">
      <formula>$F$122="The Level 1 assessment criteria are not satisfied"</formula>
    </cfRule>
    <cfRule type="expression" dxfId="182" priority="16">
      <formula>$F$122="The Level 1 assessment criteria are satisfied"</formula>
    </cfRule>
  </conditionalFormatting>
  <conditionalFormatting sqref="J136">
    <cfRule type="expression" dxfId="181" priority="13">
      <formula>$F$122="The Level 1 assessment criteria are not satisfied"</formula>
    </cfRule>
    <cfRule type="expression" dxfId="180" priority="14">
      <formula>$F$122="The Level 1 assessment criteria are satisfied"</formula>
    </cfRule>
  </conditionalFormatting>
  <conditionalFormatting sqref="C138">
    <cfRule type="expression" dxfId="179" priority="11">
      <formula>$C$124="The component is not acceptable for continued operation"</formula>
    </cfRule>
    <cfRule type="expression" dxfId="178" priority="12">
      <formula>$C$124="The component is  acceptable for continued operation"</formula>
    </cfRule>
  </conditionalFormatting>
  <conditionalFormatting sqref="D138">
    <cfRule type="expression" dxfId="177" priority="9">
      <formula>$C$124="The component is not acceptable for continued operation"</formula>
    </cfRule>
    <cfRule type="expression" dxfId="176" priority="10">
      <formula>$C$124="The component is  acceptable for continued operation"</formula>
    </cfRule>
  </conditionalFormatting>
  <conditionalFormatting sqref="E138">
    <cfRule type="expression" dxfId="175" priority="7">
      <formula>$C$124="The component is not acceptable for continued operation"</formula>
    </cfRule>
    <cfRule type="expression" dxfId="174" priority="8">
      <formula>$C$124="The component is  acceptable for continued operation"</formula>
    </cfRule>
  </conditionalFormatting>
  <conditionalFormatting sqref="F138">
    <cfRule type="expression" dxfId="173" priority="5">
      <formula>$C$124="The component is not acceptable for continued operation"</formula>
    </cfRule>
    <cfRule type="expression" dxfId="172" priority="6">
      <formula>$C$124="The component is  acceptable for continued operation"</formula>
    </cfRule>
  </conditionalFormatting>
  <conditionalFormatting sqref="G138">
    <cfRule type="expression" dxfId="171" priority="3">
      <formula>$C$124="The component is not acceptable for continued operation"</formula>
    </cfRule>
    <cfRule type="expression" dxfId="170" priority="4">
      <formula>$C$124="The component is  acceptable for continued operation"</formula>
    </cfRule>
  </conditionalFormatting>
  <conditionalFormatting sqref="H138">
    <cfRule type="expression" dxfId="169" priority="1">
      <formula>$C$124="The component is not acceptable for continued operation"</formula>
    </cfRule>
    <cfRule type="expression" dxfId="168" priority="2">
      <formula>$C$124="The component is  acceptable for continued operation"</formula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"/>
  <sheetViews>
    <sheetView topLeftCell="A112" workbookViewId="0">
      <selection activeCell="D133" sqref="D133"/>
    </sheetView>
  </sheetViews>
  <sheetFormatPr defaultRowHeight="15"/>
  <cols>
    <col min="4" max="4" width="9.140625" customWidth="1"/>
  </cols>
  <sheetData>
    <row r="1" spans="1:7">
      <c r="A1" s="1" t="s">
        <v>98</v>
      </c>
    </row>
    <row r="2" spans="1:7">
      <c r="B2" t="s">
        <v>212</v>
      </c>
    </row>
    <row r="3" spans="1:7">
      <c r="B3" t="s">
        <v>213</v>
      </c>
    </row>
    <row r="4" spans="1:7">
      <c r="B4" t="s">
        <v>214</v>
      </c>
    </row>
    <row r="5" spans="1:7">
      <c r="B5" t="s">
        <v>215</v>
      </c>
    </row>
    <row r="6" spans="1:7">
      <c r="A6" s="67" t="s">
        <v>103</v>
      </c>
    </row>
    <row r="7" spans="1:7">
      <c r="B7" t="s">
        <v>104</v>
      </c>
      <c r="F7" s="69" t="s">
        <v>111</v>
      </c>
    </row>
    <row r="8" spans="1:7">
      <c r="B8" t="s">
        <v>105</v>
      </c>
      <c r="F8" s="69">
        <v>1.85</v>
      </c>
      <c r="G8" s="76" t="s">
        <v>216</v>
      </c>
    </row>
    <row r="9" spans="1:7">
      <c r="B9" t="s">
        <v>217</v>
      </c>
      <c r="F9" s="69">
        <v>2032</v>
      </c>
      <c r="G9" s="75" t="s">
        <v>20</v>
      </c>
    </row>
    <row r="10" spans="1:7">
      <c r="B10" t="s">
        <v>107</v>
      </c>
      <c r="F10" s="69">
        <v>19</v>
      </c>
      <c r="G10" s="75" t="s">
        <v>20</v>
      </c>
    </row>
    <row r="11" spans="1:7">
      <c r="B11" t="s">
        <v>161</v>
      </c>
      <c r="F11" s="69">
        <v>0</v>
      </c>
      <c r="G11" s="75" t="s">
        <v>20</v>
      </c>
    </row>
    <row r="12" spans="1:7">
      <c r="B12" t="s">
        <v>108</v>
      </c>
      <c r="F12" s="69">
        <v>3</v>
      </c>
      <c r="G12" s="75" t="s">
        <v>20</v>
      </c>
    </row>
    <row r="13" spans="1:7">
      <c r="B13" t="s">
        <v>109</v>
      </c>
      <c r="F13" s="69">
        <v>1</v>
      </c>
      <c r="G13" s="75"/>
    </row>
    <row r="14" spans="1:7">
      <c r="A14" s="67" t="s">
        <v>112</v>
      </c>
    </row>
    <row r="15" spans="1:7">
      <c r="B15" t="s">
        <v>218</v>
      </c>
    </row>
    <row r="16" spans="1:7">
      <c r="B16" t="s">
        <v>219</v>
      </c>
      <c r="C16" s="11"/>
      <c r="D16" s="11"/>
      <c r="E16" s="11"/>
      <c r="F16" s="11"/>
    </row>
    <row r="17" spans="1:11">
      <c r="C17" s="118" t="s">
        <v>179</v>
      </c>
      <c r="D17" s="118"/>
      <c r="E17" s="118"/>
      <c r="F17" s="118"/>
      <c r="G17" s="118"/>
      <c r="H17" s="118"/>
      <c r="I17" s="118"/>
      <c r="J17" s="118"/>
    </row>
    <row r="18" spans="1:11">
      <c r="B18" t="s">
        <v>223</v>
      </c>
      <c r="C18" s="11" t="s">
        <v>171</v>
      </c>
      <c r="D18" s="11" t="s">
        <v>172</v>
      </c>
      <c r="E18" s="11" t="s">
        <v>173</v>
      </c>
      <c r="F18" s="11" t="s">
        <v>174</v>
      </c>
      <c r="G18" t="s">
        <v>175</v>
      </c>
      <c r="H18" t="s">
        <v>176</v>
      </c>
      <c r="I18" t="s">
        <v>177</v>
      </c>
      <c r="J18" t="s">
        <v>178</v>
      </c>
      <c r="K18" t="s">
        <v>222</v>
      </c>
    </row>
    <row r="19" spans="1:11">
      <c r="B19" t="s">
        <v>164</v>
      </c>
      <c r="C19" s="11">
        <v>20</v>
      </c>
      <c r="D19" s="11">
        <v>20</v>
      </c>
      <c r="E19" s="11">
        <v>19</v>
      </c>
      <c r="F19" s="11">
        <v>20</v>
      </c>
      <c r="G19">
        <v>20</v>
      </c>
      <c r="H19">
        <v>19</v>
      </c>
      <c r="I19">
        <v>20</v>
      </c>
      <c r="J19">
        <v>20</v>
      </c>
      <c r="K19">
        <v>19</v>
      </c>
    </row>
    <row r="20" spans="1:11">
      <c r="B20" t="s">
        <v>165</v>
      </c>
      <c r="C20" s="11">
        <v>20</v>
      </c>
      <c r="D20" s="11">
        <v>20</v>
      </c>
      <c r="E20" s="11">
        <v>20</v>
      </c>
      <c r="F20" s="11">
        <v>19</v>
      </c>
      <c r="G20">
        <v>19</v>
      </c>
      <c r="H20">
        <v>19</v>
      </c>
      <c r="I20">
        <v>20</v>
      </c>
      <c r="J20">
        <v>20</v>
      </c>
      <c r="K20">
        <v>19</v>
      </c>
    </row>
    <row r="21" spans="1:11">
      <c r="B21" t="s">
        <v>166</v>
      </c>
      <c r="C21" s="11">
        <v>19</v>
      </c>
      <c r="D21" s="11">
        <v>19</v>
      </c>
      <c r="E21" s="11">
        <v>19</v>
      </c>
      <c r="F21" s="11">
        <v>19</v>
      </c>
      <c r="G21">
        <v>19</v>
      </c>
      <c r="H21">
        <v>19</v>
      </c>
      <c r="I21">
        <v>19</v>
      </c>
      <c r="J21">
        <v>20</v>
      </c>
      <c r="K21">
        <v>19</v>
      </c>
    </row>
    <row r="22" spans="1:11">
      <c r="B22" t="s">
        <v>167</v>
      </c>
      <c r="C22" s="11">
        <v>20</v>
      </c>
      <c r="D22" s="11">
        <v>19</v>
      </c>
      <c r="E22" s="11">
        <v>19</v>
      </c>
      <c r="F22" s="11">
        <v>17</v>
      </c>
      <c r="G22">
        <v>17</v>
      </c>
      <c r="H22">
        <v>18</v>
      </c>
      <c r="I22">
        <v>19</v>
      </c>
      <c r="J22">
        <v>19</v>
      </c>
      <c r="K22">
        <v>17</v>
      </c>
    </row>
    <row r="23" spans="1:11">
      <c r="B23" t="s">
        <v>168</v>
      </c>
      <c r="C23" s="11">
        <v>19</v>
      </c>
      <c r="D23" s="11">
        <v>19</v>
      </c>
      <c r="E23" s="11">
        <v>19</v>
      </c>
      <c r="F23" s="11">
        <v>17</v>
      </c>
      <c r="G23">
        <v>14</v>
      </c>
      <c r="H23">
        <v>15</v>
      </c>
      <c r="I23">
        <v>19</v>
      </c>
      <c r="J23">
        <v>19</v>
      </c>
      <c r="K23">
        <v>14</v>
      </c>
    </row>
    <row r="24" spans="1:11">
      <c r="B24" t="s">
        <v>169</v>
      </c>
      <c r="C24" s="11">
        <v>19</v>
      </c>
      <c r="D24" s="11">
        <v>19</v>
      </c>
      <c r="E24" s="11">
        <v>20</v>
      </c>
      <c r="F24" s="11">
        <v>17</v>
      </c>
      <c r="G24">
        <v>15</v>
      </c>
      <c r="H24">
        <v>16</v>
      </c>
      <c r="I24">
        <v>19</v>
      </c>
      <c r="J24">
        <v>19</v>
      </c>
      <c r="K24">
        <v>15</v>
      </c>
    </row>
    <row r="25" spans="1:11">
      <c r="B25" t="s">
        <v>170</v>
      </c>
      <c r="C25" s="11">
        <v>20</v>
      </c>
      <c r="D25" s="11">
        <v>20</v>
      </c>
      <c r="E25" s="11">
        <v>19</v>
      </c>
      <c r="F25" s="11">
        <v>19</v>
      </c>
      <c r="G25">
        <v>20</v>
      </c>
      <c r="H25">
        <v>19</v>
      </c>
      <c r="I25">
        <v>19</v>
      </c>
      <c r="J25">
        <v>19</v>
      </c>
      <c r="K25">
        <v>19</v>
      </c>
    </row>
    <row r="26" spans="1:11">
      <c r="B26" t="s">
        <v>220</v>
      </c>
      <c r="C26" s="11">
        <v>20</v>
      </c>
      <c r="D26" s="11">
        <v>20</v>
      </c>
      <c r="E26" s="11">
        <v>19</v>
      </c>
      <c r="F26" s="11">
        <v>19</v>
      </c>
      <c r="G26" s="11">
        <v>19</v>
      </c>
      <c r="H26" s="11">
        <v>19</v>
      </c>
      <c r="I26" s="11">
        <v>20</v>
      </c>
      <c r="J26" s="11">
        <v>19</v>
      </c>
      <c r="K26">
        <v>19</v>
      </c>
    </row>
    <row r="27" spans="1:11">
      <c r="B27" t="s">
        <v>221</v>
      </c>
      <c r="C27" s="11">
        <v>19</v>
      </c>
      <c r="D27" s="11">
        <v>19</v>
      </c>
      <c r="E27" s="11">
        <v>19</v>
      </c>
      <c r="F27" s="11">
        <v>17</v>
      </c>
      <c r="G27">
        <v>14</v>
      </c>
      <c r="H27">
        <v>15</v>
      </c>
      <c r="I27">
        <v>19</v>
      </c>
      <c r="J27">
        <v>19</v>
      </c>
    </row>
    <row r="28" spans="1:11">
      <c r="F28" s="11"/>
    </row>
    <row r="29" spans="1:11">
      <c r="C29" s="11"/>
      <c r="D29" s="11"/>
      <c r="E29" s="11"/>
      <c r="F29" s="11"/>
    </row>
    <row r="30" spans="1:11">
      <c r="A30" s="67" t="s">
        <v>120</v>
      </c>
      <c r="B30" t="s">
        <v>134</v>
      </c>
    </row>
    <row r="31" spans="1:11">
      <c r="A31" s="67"/>
      <c r="B31" t="s">
        <v>224</v>
      </c>
    </row>
    <row r="32" spans="1:11">
      <c r="A32" s="67"/>
      <c r="C32" t="s">
        <v>225</v>
      </c>
      <c r="D32">
        <v>2</v>
      </c>
    </row>
    <row r="33" spans="1:7">
      <c r="A33" s="67"/>
      <c r="C33" t="s">
        <v>226</v>
      </c>
      <c r="D33" s="4">
        <f>0.2534+0.13995*D32+0.12238*(D32^2)-0.015297*(D32^3)</f>
        <v>0.90044400000000002</v>
      </c>
    </row>
    <row r="34" spans="1:7">
      <c r="C34" t="s">
        <v>29</v>
      </c>
      <c r="D34" s="81">
        <v>120.658</v>
      </c>
      <c r="E34" s="75" t="s">
        <v>227</v>
      </c>
    </row>
    <row r="35" spans="1:7">
      <c r="C35" t="s">
        <v>39</v>
      </c>
      <c r="D35" s="81">
        <v>2038</v>
      </c>
      <c r="E35" s="75" t="s">
        <v>20</v>
      </c>
    </row>
    <row r="36" spans="1:7">
      <c r="C36" t="s">
        <v>141</v>
      </c>
      <c r="D36" s="7">
        <f>F8*D35*D33/(2*D34*F13-0.2*F8)</f>
        <v>14.090061728354073</v>
      </c>
      <c r="E36" s="75" t="s">
        <v>227</v>
      </c>
    </row>
    <row r="37" spans="1:7">
      <c r="A37" s="67" t="s">
        <v>125</v>
      </c>
      <c r="B37" t="s">
        <v>186</v>
      </c>
    </row>
    <row r="38" spans="1:7">
      <c r="C38" s="11" t="s">
        <v>154</v>
      </c>
      <c r="D38" s="83">
        <f>MIN(C19:J26)</f>
        <v>14</v>
      </c>
      <c r="E38" s="79" t="s">
        <v>20</v>
      </c>
    </row>
    <row r="39" spans="1:7">
      <c r="A39" s="67" t="s">
        <v>133</v>
      </c>
      <c r="B39" t="s">
        <v>187</v>
      </c>
    </row>
    <row r="40" spans="1:7">
      <c r="C40" t="s">
        <v>128</v>
      </c>
      <c r="D40" s="7">
        <f>F10-F11</f>
        <v>19</v>
      </c>
      <c r="E40" s="79" t="s">
        <v>20</v>
      </c>
    </row>
    <row r="41" spans="1:7">
      <c r="C41" t="s">
        <v>188</v>
      </c>
      <c r="D41" s="7">
        <f>D40-F12</f>
        <v>16</v>
      </c>
      <c r="E41" s="79" t="s">
        <v>20</v>
      </c>
    </row>
    <row r="42" spans="1:7">
      <c r="A42" s="67" t="s">
        <v>142</v>
      </c>
      <c r="B42" t="s">
        <v>189</v>
      </c>
    </row>
    <row r="43" spans="1:7">
      <c r="A43" s="67"/>
      <c r="C43" t="s">
        <v>190</v>
      </c>
      <c r="D43" s="4">
        <f>(D38-F12)/D41</f>
        <v>0.6875</v>
      </c>
    </row>
    <row r="44" spans="1:7">
      <c r="A44" s="67" t="s">
        <v>191</v>
      </c>
      <c r="B44" t="s">
        <v>192</v>
      </c>
    </row>
    <row r="45" spans="1:7">
      <c r="A45" s="67"/>
      <c r="C45" t="s">
        <v>150</v>
      </c>
      <c r="D45" s="68">
        <v>0.9</v>
      </c>
    </row>
    <row r="46" spans="1:7">
      <c r="A46" s="67"/>
      <c r="C46" t="s">
        <v>38</v>
      </c>
      <c r="D46" s="4">
        <f>IF(D43&gt;=D45,50,1.123*(((((1-D43)/(1-(D43/D45)))^2)-1)^0.5))</f>
        <v>0.9736676199212152</v>
      </c>
      <c r="G46" t="s">
        <v>193</v>
      </c>
    </row>
    <row r="47" spans="1:7">
      <c r="A47" s="67"/>
      <c r="C47" t="s">
        <v>228</v>
      </c>
      <c r="D47" s="48">
        <f>D33*D35</f>
        <v>1835.1048720000001</v>
      </c>
      <c r="E47" s="75" t="s">
        <v>20</v>
      </c>
    </row>
    <row r="48" spans="1:7">
      <c r="A48" s="67"/>
      <c r="C48" t="s">
        <v>39</v>
      </c>
      <c r="D48" s="48">
        <f>2*D47</f>
        <v>3670.2097440000002</v>
      </c>
      <c r="E48" s="75" t="s">
        <v>20</v>
      </c>
    </row>
    <row r="49" spans="1:14">
      <c r="A49" s="67"/>
      <c r="C49" t="s">
        <v>40</v>
      </c>
      <c r="D49" s="48">
        <f>D46*SQRT(D48*D41)</f>
        <v>235.94792409860608</v>
      </c>
      <c r="E49" s="75" t="s">
        <v>20</v>
      </c>
      <c r="G49" s="76"/>
    </row>
    <row r="50" spans="1:14">
      <c r="A50" s="67"/>
    </row>
    <row r="51" spans="1:14">
      <c r="A51" s="67" t="s">
        <v>194</v>
      </c>
      <c r="B51" t="s">
        <v>195</v>
      </c>
    </row>
    <row r="52" spans="1:14">
      <c r="A52" s="67"/>
      <c r="B52" t="s">
        <v>41</v>
      </c>
    </row>
    <row r="53" spans="1:14">
      <c r="A53" s="67"/>
      <c r="C53" t="s">
        <v>196</v>
      </c>
      <c r="E53" s="68">
        <v>100</v>
      </c>
      <c r="F53" s="75" t="s">
        <v>20</v>
      </c>
    </row>
    <row r="54" spans="1:14">
      <c r="A54" s="67"/>
      <c r="C54" t="s">
        <v>197</v>
      </c>
      <c r="E54" s="68">
        <v>8</v>
      </c>
      <c r="F54" s="75" t="s">
        <v>198</v>
      </c>
    </row>
    <row r="55" spans="1:14">
      <c r="B55" t="s">
        <v>199</v>
      </c>
      <c r="C55" s="48">
        <v>1</v>
      </c>
      <c r="D55" s="48">
        <v>2</v>
      </c>
      <c r="E55" s="48">
        <v>3</v>
      </c>
      <c r="F55" s="48">
        <v>4</v>
      </c>
      <c r="G55" s="48">
        <v>5</v>
      </c>
      <c r="H55" s="48">
        <v>6</v>
      </c>
      <c r="I55" s="48">
        <v>7</v>
      </c>
      <c r="J55" s="48">
        <v>8</v>
      </c>
    </row>
    <row r="56" spans="1:14">
      <c r="B56" t="s">
        <v>200</v>
      </c>
      <c r="C56" s="11">
        <f>C27-$F$12+3</f>
        <v>19</v>
      </c>
      <c r="D56" s="11">
        <f t="shared" ref="D56:J56" si="0">D27-$F$12+3</f>
        <v>19</v>
      </c>
      <c r="E56" s="11">
        <f t="shared" si="0"/>
        <v>19</v>
      </c>
      <c r="F56" s="11">
        <f t="shared" si="0"/>
        <v>17</v>
      </c>
      <c r="G56" s="11">
        <f t="shared" si="0"/>
        <v>14</v>
      </c>
      <c r="H56" s="11">
        <f t="shared" si="0"/>
        <v>15</v>
      </c>
      <c r="I56" s="11">
        <f t="shared" si="0"/>
        <v>19</v>
      </c>
      <c r="J56" s="11">
        <f t="shared" si="0"/>
        <v>19</v>
      </c>
    </row>
    <row r="57" spans="1:14">
      <c r="C57" s="7"/>
    </row>
    <row r="58" spans="1:14">
      <c r="C58" s="7"/>
    </row>
    <row r="59" spans="1:14">
      <c r="C59" s="7"/>
      <c r="N59" s="73"/>
    </row>
    <row r="60" spans="1:14">
      <c r="N60" s="73"/>
    </row>
    <row r="65" spans="3:17">
      <c r="Q65" s="7"/>
    </row>
    <row r="68" spans="3:17">
      <c r="C68" t="s">
        <v>141</v>
      </c>
      <c r="D68">
        <f>MIN(C56:J56)</f>
        <v>14</v>
      </c>
      <c r="E68" s="75" t="s">
        <v>20</v>
      </c>
    </row>
    <row r="69" spans="3:17">
      <c r="C69" t="s">
        <v>237</v>
      </c>
      <c r="D69">
        <f>E56</f>
        <v>19</v>
      </c>
      <c r="E69" s="75" t="s">
        <v>20</v>
      </c>
    </row>
    <row r="70" spans="3:17">
      <c r="C70" t="s">
        <v>233</v>
      </c>
      <c r="D70">
        <f>F56</f>
        <v>17</v>
      </c>
      <c r="E70" s="75" t="s">
        <v>20</v>
      </c>
    </row>
    <row r="71" spans="3:17">
      <c r="C71" t="s">
        <v>232</v>
      </c>
      <c r="D71">
        <f>G56</f>
        <v>14</v>
      </c>
      <c r="E71" s="75" t="s">
        <v>20</v>
      </c>
    </row>
    <row r="72" spans="3:17">
      <c r="C72" t="s">
        <v>239</v>
      </c>
      <c r="D72">
        <f>H56</f>
        <v>15</v>
      </c>
      <c r="E72" s="75" t="s">
        <v>20</v>
      </c>
    </row>
    <row r="73" spans="3:17">
      <c r="C73" t="s">
        <v>238</v>
      </c>
      <c r="D73">
        <f>I56</f>
        <v>19</v>
      </c>
      <c r="E73" s="75" t="s">
        <v>20</v>
      </c>
    </row>
    <row r="74" spans="3:17">
      <c r="C74" t="s">
        <v>231</v>
      </c>
      <c r="D74" s="73">
        <f>0.5*((D69-D70)*(D49/2-E53)/E53)*(D49/2-E53)</f>
        <v>3.2306331174978595</v>
      </c>
      <c r="E74" s="75" t="s">
        <v>245</v>
      </c>
    </row>
    <row r="75" spans="3:17">
      <c r="C75" t="s">
        <v>235</v>
      </c>
      <c r="D75" s="48">
        <f>(0.5*(D70-D71)*E53)+((D70-D71)*(D49/2-E53))</f>
        <v>203.92188614790911</v>
      </c>
      <c r="E75" s="75" t="s">
        <v>245</v>
      </c>
    </row>
    <row r="76" spans="3:17">
      <c r="C76" t="s">
        <v>240</v>
      </c>
      <c r="D76" s="48">
        <f>(D49/2)*D71</f>
        <v>1651.6354686902425</v>
      </c>
      <c r="E76" s="75" t="s">
        <v>245</v>
      </c>
    </row>
    <row r="77" spans="3:17">
      <c r="C77" t="s">
        <v>241</v>
      </c>
      <c r="D77" s="48">
        <f>(D49/2)*D71</f>
        <v>1651.6354686902425</v>
      </c>
      <c r="E77" s="75" t="s">
        <v>245</v>
      </c>
    </row>
    <row r="78" spans="3:17">
      <c r="C78" t="s">
        <v>242</v>
      </c>
      <c r="D78" s="7">
        <f>(0.5*(D72-D71)*E53)+((D72-D71)*(D49/2-E53))</f>
        <v>67.97396204930304</v>
      </c>
      <c r="E78" s="75" t="s">
        <v>245</v>
      </c>
    </row>
    <row r="79" spans="3:17">
      <c r="C79" t="s">
        <v>243</v>
      </c>
      <c r="D79" s="73">
        <f>0.5*((D73-D72)*(D49/2-E53)/E53)*(D49/2-E53)</f>
        <v>6.4612662349957191</v>
      </c>
      <c r="E79" s="75" t="s">
        <v>245</v>
      </c>
    </row>
    <row r="80" spans="3:17">
      <c r="C80" t="s">
        <v>244</v>
      </c>
      <c r="D80" s="48">
        <f>SUM(D74:D79)</f>
        <v>3584.8586849301901</v>
      </c>
      <c r="E80" s="75" t="s">
        <v>245</v>
      </c>
    </row>
    <row r="81" spans="2:15">
      <c r="C81" t="s">
        <v>203</v>
      </c>
      <c r="D81" s="7">
        <f>D80/D49</f>
        <v>15.193431765189107</v>
      </c>
      <c r="E81" s="75" t="s">
        <v>20</v>
      </c>
    </row>
    <row r="83" spans="2:15">
      <c r="B83" t="s">
        <v>70</v>
      </c>
      <c r="N83" s="73"/>
    </row>
    <row r="84" spans="2:15">
      <c r="C84" t="s">
        <v>196</v>
      </c>
      <c r="E84" s="68">
        <v>100</v>
      </c>
      <c r="F84" s="75" t="s">
        <v>20</v>
      </c>
      <c r="N84" s="73"/>
    </row>
    <row r="85" spans="2:15">
      <c r="C85" t="s">
        <v>197</v>
      </c>
      <c r="E85" s="68">
        <v>8</v>
      </c>
      <c r="F85" s="75" t="s">
        <v>198</v>
      </c>
      <c r="J85" s="48"/>
    </row>
    <row r="86" spans="2:15">
      <c r="B86" t="s">
        <v>199</v>
      </c>
      <c r="C86" s="48">
        <v>1</v>
      </c>
      <c r="D86" s="48">
        <v>2</v>
      </c>
      <c r="E86" s="48">
        <v>3</v>
      </c>
      <c r="F86" s="48">
        <v>4</v>
      </c>
      <c r="G86" s="48">
        <v>5</v>
      </c>
      <c r="H86" s="48">
        <v>6</v>
      </c>
      <c r="I86" s="48">
        <v>7</v>
      </c>
      <c r="J86" s="48">
        <v>8</v>
      </c>
    </row>
    <row r="87" spans="2:15">
      <c r="B87" t="s">
        <v>200</v>
      </c>
      <c r="C87">
        <f>K19-$F$12+3</f>
        <v>19</v>
      </c>
      <c r="D87">
        <f>K20-$F$12+3</f>
        <v>19</v>
      </c>
      <c r="E87" s="11">
        <f>K21-$F$12+3</f>
        <v>19</v>
      </c>
      <c r="F87" s="11">
        <f>K22-$F$12+3</f>
        <v>17</v>
      </c>
      <c r="G87" s="11">
        <f>K23-$F$12+3</f>
        <v>14</v>
      </c>
      <c r="H87" s="11">
        <f>K24-$F$12+3</f>
        <v>15</v>
      </c>
      <c r="I87" s="11">
        <f>K25-$F$12+3</f>
        <v>19</v>
      </c>
      <c r="J87" s="11">
        <f>K26-$F$12+3</f>
        <v>19</v>
      </c>
      <c r="O87" s="75"/>
    </row>
    <row r="88" spans="2:15">
      <c r="C88" s="7"/>
    </row>
    <row r="89" spans="2:15">
      <c r="C89" s="7"/>
    </row>
    <row r="90" spans="2:15">
      <c r="C90" s="7"/>
    </row>
    <row r="100" spans="3:5">
      <c r="C100" t="s">
        <v>237</v>
      </c>
      <c r="D100">
        <f>E87</f>
        <v>19</v>
      </c>
      <c r="E100" s="75" t="s">
        <v>20</v>
      </c>
    </row>
    <row r="101" spans="3:5">
      <c r="C101" t="s">
        <v>233</v>
      </c>
      <c r="D101">
        <f>F87</f>
        <v>17</v>
      </c>
      <c r="E101" s="75" t="s">
        <v>20</v>
      </c>
    </row>
    <row r="102" spans="3:5">
      <c r="C102" t="s">
        <v>232</v>
      </c>
      <c r="D102">
        <f>G87</f>
        <v>14</v>
      </c>
      <c r="E102" s="75" t="s">
        <v>20</v>
      </c>
    </row>
    <row r="103" spans="3:5">
      <c r="C103" t="s">
        <v>239</v>
      </c>
      <c r="D103">
        <f>H87</f>
        <v>15</v>
      </c>
      <c r="E103" s="75" t="s">
        <v>20</v>
      </c>
    </row>
    <row r="104" spans="3:5">
      <c r="C104" t="s">
        <v>238</v>
      </c>
      <c r="D104">
        <f>I87</f>
        <v>19</v>
      </c>
      <c r="E104" s="75" t="s">
        <v>20</v>
      </c>
    </row>
    <row r="105" spans="3:5">
      <c r="C105" t="s">
        <v>231</v>
      </c>
      <c r="D105" s="73">
        <f>0.5*((D100-D101)*(D49/2-E84)/E84)*(D49/2-E84)</f>
        <v>3.2306331174978595</v>
      </c>
      <c r="E105" s="75" t="s">
        <v>245</v>
      </c>
    </row>
    <row r="106" spans="3:5">
      <c r="C106" t="s">
        <v>235</v>
      </c>
      <c r="D106" s="48">
        <f>(0.5*(D101-D102)*E84)+((D101-D102)*(D49/2-E84))</f>
        <v>203.92188614790911</v>
      </c>
      <c r="E106" s="75" t="s">
        <v>245</v>
      </c>
    </row>
    <row r="107" spans="3:5">
      <c r="C107" t="s">
        <v>240</v>
      </c>
      <c r="D107" s="48">
        <f>(D49/2)*D102</f>
        <v>1651.6354686902425</v>
      </c>
      <c r="E107" s="75" t="s">
        <v>245</v>
      </c>
    </row>
    <row r="108" spans="3:5">
      <c r="C108" t="s">
        <v>241</v>
      </c>
      <c r="D108" s="48">
        <f>(D49/2)*D102</f>
        <v>1651.6354686902425</v>
      </c>
      <c r="E108" s="75" t="s">
        <v>245</v>
      </c>
    </row>
    <row r="109" spans="3:5">
      <c r="C109" t="s">
        <v>242</v>
      </c>
      <c r="D109" s="7">
        <f>(0.5*(D103-D102)*E84)+((D103-D102)*(D49/2-E84))</f>
        <v>67.97396204930304</v>
      </c>
      <c r="E109" s="75" t="s">
        <v>245</v>
      </c>
    </row>
    <row r="110" spans="3:5">
      <c r="C110" t="s">
        <v>243</v>
      </c>
      <c r="D110" s="73">
        <f>0.5*((D104-D103)*(D49/2-E84)/E84)*(D49/2-E84)</f>
        <v>6.4612662349957191</v>
      </c>
      <c r="E110" s="75" t="s">
        <v>245</v>
      </c>
    </row>
    <row r="111" spans="3:5">
      <c r="C111" t="s">
        <v>244</v>
      </c>
      <c r="D111" s="48">
        <f>SUM(D105:D110)</f>
        <v>3584.8586849301901</v>
      </c>
      <c r="E111" s="75" t="s">
        <v>245</v>
      </c>
    </row>
    <row r="112" spans="3:5">
      <c r="C112" t="s">
        <v>204</v>
      </c>
      <c r="D112" s="7">
        <f>D80/D49</f>
        <v>15.193431765189107</v>
      </c>
      <c r="E112" s="75" t="s">
        <v>20</v>
      </c>
    </row>
    <row r="114" spans="1:6">
      <c r="A114" s="67" t="s">
        <v>205</v>
      </c>
      <c r="B114" t="s">
        <v>206</v>
      </c>
    </row>
    <row r="115" spans="1:6">
      <c r="A115" s="67"/>
      <c r="B115" t="s">
        <v>144</v>
      </c>
    </row>
    <row r="116" spans="1:6">
      <c r="B116" t="s">
        <v>208</v>
      </c>
    </row>
    <row r="117" spans="1:6">
      <c r="C117" t="s">
        <v>229</v>
      </c>
      <c r="F117" t="str">
        <f>IF(D112-F12&gt;=D36,"The Level 1 assessment criteria are satisfied","The Level 1 assessment criteria are not satisfied")</f>
        <v>The Level 1 assessment criteria are not satisfied</v>
      </c>
    </row>
    <row r="118" spans="1:6">
      <c r="C118" t="str">
        <f>IF(F117="The Level 1 assessment criteria are satisfied","The component is acceptable for continued operation","The component is not acceptable for continued operation")</f>
        <v>The component is not acceptable for continued operation</v>
      </c>
    </row>
    <row r="120" spans="1:6">
      <c r="B120" t="s">
        <v>151</v>
      </c>
    </row>
    <row r="121" spans="1:6">
      <c r="B121" t="s">
        <v>208</v>
      </c>
    </row>
    <row r="122" spans="1:6">
      <c r="C122" t="s">
        <v>150</v>
      </c>
      <c r="D122" s="68">
        <v>0.9</v>
      </c>
    </row>
    <row r="123" spans="1:6">
      <c r="C123" t="s">
        <v>209</v>
      </c>
      <c r="F123" t="str">
        <f>IF(D112-F12&gt;=D122*D112,"The Level 2 assessment criteria are satisfied","The Level 2 assessment criteria are not satisfied")</f>
        <v>The Level 2 assessment criteria are not satisfied</v>
      </c>
    </row>
    <row r="124" spans="1:6">
      <c r="C124" t="str">
        <f>IF(F123="The Level 2 assessment criteria are satisfied","The component is acceptable for continued operation","The component is not acceptable for continued operation")</f>
        <v>The component is not acceptable for continued operation</v>
      </c>
    </row>
    <row r="126" spans="1:6">
      <c r="B126" t="s">
        <v>230</v>
      </c>
    </row>
    <row r="127" spans="1:6">
      <c r="F127" t="str">
        <f>IF(MIN(C19:J26)-F12&gt;=MAX(0.5*D36,MAX(0.2*F10,2.5)),"The Level 2 assessment criteria are satisfied","The Level 2 assessment criteria are not satisfied")</f>
        <v>The Level 2 assessment criteria are satisfied</v>
      </c>
    </row>
    <row r="128" spans="1:6">
      <c r="C128" t="str">
        <f>IF(F127="The Level 1 assessment criteria are satisfied","The component is acceptable for continued operation","The component is not acceptable for continued operation")</f>
        <v>The component is not acceptable for continued operation</v>
      </c>
    </row>
  </sheetData>
  <mergeCells count="1">
    <mergeCell ref="C17:J17"/>
  </mergeCells>
  <conditionalFormatting sqref="M63">
    <cfRule type="expression" dxfId="167" priority="104">
      <formula>$M$63="The Level 1 assessment criteria are not satisfied"</formula>
    </cfRule>
    <cfRule type="expression" dxfId="166" priority="105">
      <formula>$M$63="The Level 1 assessment criteria are satisfied"</formula>
    </cfRule>
  </conditionalFormatting>
  <conditionalFormatting sqref="N63">
    <cfRule type="expression" dxfId="165" priority="102">
      <formula>$M$63="The Level 1 assessment criteria are not satisfied"</formula>
    </cfRule>
    <cfRule type="expression" dxfId="164" priority="103">
      <formula>$M$63="The Level 1 assessment criteria are satisfied"</formula>
    </cfRule>
  </conditionalFormatting>
  <conditionalFormatting sqref="O63">
    <cfRule type="expression" dxfId="163" priority="100">
      <formula>$M$63="The Level 1 assessment criteria are not satisfied"</formula>
    </cfRule>
    <cfRule type="expression" dxfId="162" priority="101">
      <formula>$M$63="The Level 1 assessment criteria are satisfied"</formula>
    </cfRule>
  </conditionalFormatting>
  <conditionalFormatting sqref="P63:Q63">
    <cfRule type="expression" dxfId="161" priority="98">
      <formula>$M$63="The Level 1 assessment criteria are not satisfied"</formula>
    </cfRule>
    <cfRule type="expression" dxfId="160" priority="99">
      <formula>$M$63="The Level 1 assessment criteria are satisfied"</formula>
    </cfRule>
  </conditionalFormatting>
  <conditionalFormatting sqref="M90">
    <cfRule type="expression" dxfId="159" priority="96">
      <formula>$M$90="The Level 2 assessment criteria are not satisfied"</formula>
    </cfRule>
    <cfRule type="expression" dxfId="158" priority="97">
      <formula>$M$90="The Level 2 assessment criteria are satisfied"</formula>
    </cfRule>
  </conditionalFormatting>
  <conditionalFormatting sqref="N90">
    <cfRule type="expression" dxfId="157" priority="94">
      <formula>$M$90="The Level 2 assessment criteria are not satisfied"</formula>
    </cfRule>
    <cfRule type="expression" dxfId="156" priority="95">
      <formula>$M$90="The Level 2 assessment criteria are satisfied"</formula>
    </cfRule>
  </conditionalFormatting>
  <conditionalFormatting sqref="O90">
    <cfRule type="expression" dxfId="155" priority="92">
      <formula>$M$90="The Level 2 assessment criteria are not satisfied"</formula>
    </cfRule>
    <cfRule type="expression" dxfId="154" priority="93">
      <formula>$M$90="The Level 2 assessment criteria are satisfied"</formula>
    </cfRule>
  </conditionalFormatting>
  <conditionalFormatting sqref="P90">
    <cfRule type="expression" dxfId="153" priority="90">
      <formula>$M$90="The Level 2 assessment criteria are not satisfied"</formula>
    </cfRule>
    <cfRule type="expression" dxfId="152" priority="91">
      <formula>$M$90="The Level 2 assessment criteria are satisfied"</formula>
    </cfRule>
  </conditionalFormatting>
  <conditionalFormatting sqref="Q90">
    <cfRule type="expression" dxfId="151" priority="88">
      <formula>$M$90="The Level 2 assessment criteria are not satisfied"</formula>
    </cfRule>
    <cfRule type="expression" dxfId="150" priority="89">
      <formula>$M$90="The Level 2 assessment criteria are satisfied"</formula>
    </cfRule>
  </conditionalFormatting>
  <conditionalFormatting sqref="I37:J37 F38:H38">
    <cfRule type="expression" dxfId="149" priority="106">
      <formula>#REF!="The average thickness, t.am can not use in the calculation"</formula>
    </cfRule>
    <cfRule type="expression" dxfId="148" priority="107">
      <formula>#REF!="The average thickness, t.am can use in the calculation"</formula>
    </cfRule>
  </conditionalFormatting>
  <conditionalFormatting sqref="O57:R57 I58:J58 O61:R61">
    <cfRule type="expression" dxfId="147" priority="108">
      <formula>$O$57="The component is not acceptable for continued operation"</formula>
    </cfRule>
    <cfRule type="expression" dxfId="146" priority="109">
      <formula>$O$57="The component is acceptable for continued operation"</formula>
    </cfRule>
  </conditionalFormatting>
  <conditionalFormatting sqref="I65:J65 O81:R81">
    <cfRule type="expression" dxfId="145" priority="110">
      <formula>$O$81="The component is not acceptable for continued operation"</formula>
    </cfRule>
    <cfRule type="expression" dxfId="144" priority="111">
      <formula>$O$81="The component is acceptable for continued operation"</formula>
    </cfRule>
  </conditionalFormatting>
  <conditionalFormatting sqref="I82:J82 O85:R85 O88:R88">
    <cfRule type="expression" dxfId="143" priority="112">
      <formula>$O$85="The component is not acceptable for continued operation"</formula>
    </cfRule>
    <cfRule type="expression" dxfId="142" priority="113">
      <formula>$O$85="The component is acceptable for continued operation"</formula>
    </cfRule>
  </conditionalFormatting>
  <conditionalFormatting sqref="I89:J89">
    <cfRule type="expression" dxfId="141" priority="84">
      <formula>$O$57="The component is not acceptable for continued operation"</formula>
    </cfRule>
    <cfRule type="expression" dxfId="140" priority="85">
      <formula>$O$57="The component is acceptable for continued operation"</formula>
    </cfRule>
  </conditionalFormatting>
  <conditionalFormatting sqref="I96:J96">
    <cfRule type="expression" dxfId="139" priority="86">
      <formula>$O$81="The component is not acceptable for continued operation"</formula>
    </cfRule>
    <cfRule type="expression" dxfId="138" priority="87">
      <formula>$O$81="The component is acceptable for continued operation"</formula>
    </cfRule>
  </conditionalFormatting>
  <conditionalFormatting sqref="L19:L25">
    <cfRule type="expression" dxfId="137" priority="83">
      <formula>MIN($K$19:$K$25)</formula>
    </cfRule>
  </conditionalFormatting>
  <conditionalFormatting sqref="F117:J117 F123:J123">
    <cfRule type="expression" dxfId="136" priority="75">
      <formula>$F$117="The Level 1 assessment criteria are not satisfied"</formula>
    </cfRule>
    <cfRule type="expression" dxfId="135" priority="76">
      <formula>$F$117="The Level 1 assessment criteria are satisfied"</formula>
    </cfRule>
  </conditionalFormatting>
  <conditionalFormatting sqref="C118">
    <cfRule type="expression" dxfId="134" priority="71">
      <formula>$C$118="The component is not acceptable for continued operation"</formula>
    </cfRule>
    <cfRule type="expression" dxfId="133" priority="72">
      <formula>$C$118="The component is  acceptable for continued operation"</formula>
    </cfRule>
  </conditionalFormatting>
  <conditionalFormatting sqref="D118">
    <cfRule type="expression" dxfId="132" priority="69">
      <formula>$C$118="The component is not acceptable for continued operation"</formula>
    </cfRule>
    <cfRule type="expression" dxfId="131" priority="70">
      <formula>$C$118="The component is  acceptable for continued operation"</formula>
    </cfRule>
  </conditionalFormatting>
  <conditionalFormatting sqref="E118">
    <cfRule type="expression" dxfId="130" priority="67">
      <formula>$C$118="The component is not acceptable for continued operation"</formula>
    </cfRule>
    <cfRule type="expression" dxfId="129" priority="68">
      <formula>$C$118="The component is  acceptable for continued operation"</formula>
    </cfRule>
  </conditionalFormatting>
  <conditionalFormatting sqref="F118">
    <cfRule type="expression" dxfId="128" priority="65">
      <formula>$C$118="The component is not acceptable for continued operation"</formula>
    </cfRule>
    <cfRule type="expression" dxfId="127" priority="66">
      <formula>$C$118="The component is  acceptable for continued operation"</formula>
    </cfRule>
  </conditionalFormatting>
  <conditionalFormatting sqref="G118">
    <cfRule type="expression" dxfId="126" priority="63">
      <formula>$C$118="The component is not acceptable for continued operation"</formula>
    </cfRule>
    <cfRule type="expression" dxfId="125" priority="64">
      <formula>$C$118="The component is  acceptable for continued operation"</formula>
    </cfRule>
  </conditionalFormatting>
  <conditionalFormatting sqref="H118">
    <cfRule type="expression" dxfId="124" priority="61">
      <formula>$C$118="The component is not acceptable for continued operation"</formula>
    </cfRule>
    <cfRule type="expression" dxfId="123" priority="62">
      <formula>$C$118="The component is  acceptable for continued operation"</formula>
    </cfRule>
  </conditionalFormatting>
  <conditionalFormatting sqref="C124">
    <cfRule type="expression" dxfId="122" priority="25">
      <formula>$C$118="The component is not acceptable for continued operation"</formula>
    </cfRule>
    <cfRule type="expression" dxfId="121" priority="26">
      <formula>$C$118="The component is  acceptable for continued operation"</formula>
    </cfRule>
  </conditionalFormatting>
  <conditionalFormatting sqref="D124">
    <cfRule type="expression" dxfId="120" priority="23">
      <formula>$C$118="The component is not acceptable for continued operation"</formula>
    </cfRule>
    <cfRule type="expression" dxfId="119" priority="24">
      <formula>$C$118="The component is  acceptable for continued operation"</formula>
    </cfRule>
  </conditionalFormatting>
  <conditionalFormatting sqref="E124">
    <cfRule type="expression" dxfId="118" priority="21">
      <formula>$C$118="The component is not acceptable for continued operation"</formula>
    </cfRule>
    <cfRule type="expression" dxfId="117" priority="22">
      <formula>$C$118="The component is  acceptable for continued operation"</formula>
    </cfRule>
  </conditionalFormatting>
  <conditionalFormatting sqref="F124">
    <cfRule type="expression" dxfId="116" priority="19">
      <formula>$C$118="The component is not acceptable for continued operation"</formula>
    </cfRule>
    <cfRule type="expression" dxfId="115" priority="20">
      <formula>$C$118="The component is  acceptable for continued operation"</formula>
    </cfRule>
  </conditionalFormatting>
  <conditionalFormatting sqref="G124">
    <cfRule type="expression" dxfId="114" priority="17">
      <formula>$C$118="The component is not acceptable for continued operation"</formula>
    </cfRule>
    <cfRule type="expression" dxfId="113" priority="18">
      <formula>$C$118="The component is  acceptable for continued operation"</formula>
    </cfRule>
  </conditionalFormatting>
  <conditionalFormatting sqref="H124">
    <cfRule type="expression" dxfId="112" priority="15">
      <formula>$C$118="The component is not acceptable for continued operation"</formula>
    </cfRule>
    <cfRule type="expression" dxfId="111" priority="16">
      <formula>$C$118="The component is  acceptable for continued operation"</formula>
    </cfRule>
  </conditionalFormatting>
  <conditionalFormatting sqref="F127:J127">
    <cfRule type="expression" dxfId="110" priority="13">
      <formula>$F$117="The Level 1 assessment criteria are not satisfied"</formula>
    </cfRule>
    <cfRule type="expression" dxfId="109" priority="14">
      <formula>$F$117="The Level 1 assessment criteria are satisfied"</formula>
    </cfRule>
  </conditionalFormatting>
  <conditionalFormatting sqref="C128">
    <cfRule type="expression" dxfId="108" priority="11">
      <formula>$C$118="The component is not acceptable for continued operation"</formula>
    </cfRule>
    <cfRule type="expression" dxfId="107" priority="12">
      <formula>$C$118="The component is  acceptable for continued operation"</formula>
    </cfRule>
  </conditionalFormatting>
  <conditionalFormatting sqref="D128">
    <cfRule type="expression" dxfId="106" priority="9">
      <formula>$C$118="The component is not acceptable for continued operation"</formula>
    </cfRule>
    <cfRule type="expression" dxfId="105" priority="10">
      <formula>$C$118="The component is  acceptable for continued operation"</formula>
    </cfRule>
  </conditionalFormatting>
  <conditionalFormatting sqref="E128">
    <cfRule type="expression" dxfId="104" priority="7">
      <formula>$C$118="The component is not acceptable for continued operation"</formula>
    </cfRule>
    <cfRule type="expression" dxfId="103" priority="8">
      <formula>$C$118="The component is  acceptable for continued operation"</formula>
    </cfRule>
  </conditionalFormatting>
  <conditionalFormatting sqref="F128">
    <cfRule type="expression" dxfId="102" priority="5">
      <formula>$C$118="The component is not acceptable for continued operation"</formula>
    </cfRule>
    <cfRule type="expression" dxfId="101" priority="6">
      <formula>$C$118="The component is  acceptable for continued operation"</formula>
    </cfRule>
  </conditionalFormatting>
  <conditionalFormatting sqref="G128">
    <cfRule type="expression" dxfId="100" priority="3">
      <formula>$C$118="The component is not acceptable for continued operation"</formula>
    </cfRule>
    <cfRule type="expression" dxfId="99" priority="4">
      <formula>$C$118="The component is  acceptable for continued operation"</formula>
    </cfRule>
  </conditionalFormatting>
  <conditionalFormatting sqref="H128">
    <cfRule type="expression" dxfId="98" priority="1">
      <formula>$C$118="The component is not acceptable for continued operation"</formula>
    </cfRule>
    <cfRule type="expression" dxfId="97" priority="2">
      <formula>$C$118="The component is  acceptable for continued operation"</formula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tabSelected="1" workbookViewId="0">
      <selection activeCell="L150" sqref="L150"/>
    </sheetView>
  </sheetViews>
  <sheetFormatPr defaultRowHeight="15"/>
  <cols>
    <col min="4" max="4" width="9.140625" customWidth="1"/>
  </cols>
  <sheetData>
    <row r="1" spans="1:7">
      <c r="A1" s="1" t="s">
        <v>98</v>
      </c>
    </row>
    <row r="2" spans="1:7">
      <c r="B2" t="s">
        <v>246</v>
      </c>
    </row>
    <row r="3" spans="1:7">
      <c r="B3" t="s">
        <v>247</v>
      </c>
    </row>
    <row r="4" spans="1:7">
      <c r="A4" s="67" t="s">
        <v>103</v>
      </c>
    </row>
    <row r="5" spans="1:7">
      <c r="B5" t="s">
        <v>104</v>
      </c>
      <c r="F5" s="69" t="s">
        <v>248</v>
      </c>
      <c r="G5" s="122"/>
    </row>
    <row r="6" spans="1:7">
      <c r="B6" t="s">
        <v>251</v>
      </c>
      <c r="F6" s="121">
        <v>19900</v>
      </c>
      <c r="G6" s="75" t="s">
        <v>249</v>
      </c>
    </row>
    <row r="7" spans="1:7">
      <c r="B7" t="s">
        <v>105</v>
      </c>
      <c r="F7" s="69">
        <v>400</v>
      </c>
      <c r="G7" s="75" t="s">
        <v>249</v>
      </c>
    </row>
    <row r="8" spans="1:7">
      <c r="B8" t="s">
        <v>106</v>
      </c>
      <c r="F8" s="69">
        <v>80</v>
      </c>
      <c r="G8" s="75" t="s">
        <v>160</v>
      </c>
    </row>
    <row r="9" spans="1:7">
      <c r="B9" t="s">
        <v>107</v>
      </c>
      <c r="F9" s="69">
        <v>1.25</v>
      </c>
      <c r="G9" s="75" t="s">
        <v>160</v>
      </c>
    </row>
    <row r="10" spans="1:7">
      <c r="B10" t="s">
        <v>161</v>
      </c>
      <c r="F10" s="69">
        <v>0.05</v>
      </c>
      <c r="G10" s="75" t="s">
        <v>160</v>
      </c>
    </row>
    <row r="11" spans="1:7">
      <c r="B11" t="s">
        <v>108</v>
      </c>
      <c r="F11" s="69">
        <v>0.1</v>
      </c>
      <c r="G11" s="75" t="s">
        <v>160</v>
      </c>
    </row>
    <row r="12" spans="1:7">
      <c r="B12" t="s">
        <v>109</v>
      </c>
      <c r="F12" s="69">
        <v>0.85</v>
      </c>
      <c r="G12" s="75"/>
    </row>
    <row r="13" spans="1:7">
      <c r="B13" t="s">
        <v>256</v>
      </c>
      <c r="F13" s="69">
        <v>0.9</v>
      </c>
      <c r="G13" s="75"/>
    </row>
    <row r="14" spans="1:7">
      <c r="A14" s="67" t="s">
        <v>112</v>
      </c>
    </row>
    <row r="15" spans="1:7">
      <c r="A15" s="67"/>
      <c r="B15" t="s">
        <v>253</v>
      </c>
      <c r="F15" s="69">
        <v>2.5</v>
      </c>
      <c r="G15" s="75" t="s">
        <v>160</v>
      </c>
    </row>
    <row r="18" spans="2:11">
      <c r="C18" s="11"/>
      <c r="D18" s="11"/>
      <c r="E18" s="11"/>
      <c r="F18" s="11"/>
    </row>
    <row r="19" spans="2:11">
      <c r="C19" s="11"/>
      <c r="D19" s="11"/>
      <c r="E19" s="11"/>
      <c r="F19" s="11"/>
    </row>
    <row r="20" spans="2:11">
      <c r="C20" s="11"/>
      <c r="D20" s="11"/>
      <c r="E20" s="11"/>
      <c r="F20" s="11"/>
    </row>
    <row r="21" spans="2:11">
      <c r="C21" s="11"/>
      <c r="D21" s="11"/>
      <c r="E21" s="11"/>
      <c r="F21" s="11"/>
    </row>
    <row r="22" spans="2:11">
      <c r="C22" s="11"/>
      <c r="D22" s="11"/>
      <c r="E22" s="11"/>
      <c r="F22" s="11"/>
    </row>
    <row r="23" spans="2:11">
      <c r="C23" s="11"/>
      <c r="D23" s="11"/>
      <c r="E23" s="11"/>
      <c r="F23" s="11"/>
    </row>
    <row r="24" spans="2:11">
      <c r="C24" s="11"/>
      <c r="D24" s="11"/>
      <c r="E24" s="11"/>
      <c r="F24" s="11"/>
    </row>
    <row r="25" spans="2:11">
      <c r="C25" s="11"/>
      <c r="D25" s="11"/>
      <c r="E25" s="11"/>
      <c r="F25" s="11"/>
    </row>
    <row r="26" spans="2:11">
      <c r="C26" s="11"/>
      <c r="D26" s="11"/>
      <c r="E26" s="11"/>
      <c r="F26" s="11"/>
    </row>
    <row r="27" spans="2:11">
      <c r="C27" s="11"/>
      <c r="D27" s="11"/>
      <c r="E27" s="11"/>
      <c r="F27" s="11"/>
    </row>
    <row r="28" spans="2:11">
      <c r="C28" s="11"/>
      <c r="D28" s="11"/>
      <c r="E28" s="11"/>
      <c r="F28" s="11"/>
    </row>
    <row r="29" spans="2:11">
      <c r="C29" s="11"/>
      <c r="D29" s="11"/>
      <c r="E29" s="11"/>
      <c r="F29" s="11"/>
    </row>
    <row r="30" spans="2:11">
      <c r="C30" s="11"/>
      <c r="D30" s="11"/>
      <c r="E30" s="11"/>
      <c r="F30" s="11"/>
    </row>
    <row r="31" spans="2:11">
      <c r="B31" t="s">
        <v>252</v>
      </c>
      <c r="C31" s="11"/>
      <c r="D31" s="11"/>
      <c r="E31" s="11"/>
      <c r="F31" s="11"/>
    </row>
    <row r="32" spans="2:11" ht="23.25">
      <c r="B32" s="119" t="s">
        <v>250</v>
      </c>
      <c r="C32" s="11" t="s">
        <v>171</v>
      </c>
      <c r="D32" s="11" t="s">
        <v>172</v>
      </c>
      <c r="E32" s="11" t="s">
        <v>173</v>
      </c>
      <c r="F32" t="s">
        <v>174</v>
      </c>
      <c r="G32" t="s">
        <v>175</v>
      </c>
      <c r="H32" t="s">
        <v>176</v>
      </c>
      <c r="I32" t="s">
        <v>177</v>
      </c>
      <c r="J32" t="s">
        <v>178</v>
      </c>
      <c r="K32" t="s">
        <v>255</v>
      </c>
    </row>
    <row r="33" spans="1:11">
      <c r="B33" t="s">
        <v>164</v>
      </c>
      <c r="C33" s="123">
        <v>1.2</v>
      </c>
      <c r="D33" s="123">
        <v>1.2</v>
      </c>
      <c r="E33" s="123">
        <v>1.2</v>
      </c>
      <c r="F33" s="123">
        <v>1.2</v>
      </c>
      <c r="G33" s="123">
        <v>1.2</v>
      </c>
      <c r="H33" s="123">
        <v>1.2</v>
      </c>
      <c r="I33" s="123">
        <v>1.2</v>
      </c>
      <c r="J33" s="123">
        <v>1.2</v>
      </c>
      <c r="K33" s="73">
        <f>MIN(C33:J33)</f>
        <v>1.2</v>
      </c>
    </row>
    <row r="34" spans="1:11">
      <c r="B34" t="s">
        <v>165</v>
      </c>
      <c r="C34" s="123">
        <v>1.2</v>
      </c>
      <c r="D34" s="123">
        <v>1.1000000000000001</v>
      </c>
      <c r="E34" s="123">
        <v>1</v>
      </c>
      <c r="F34" s="123">
        <v>1</v>
      </c>
      <c r="G34" s="123">
        <v>0.95</v>
      </c>
      <c r="H34" s="123">
        <v>0.9</v>
      </c>
      <c r="I34" s="123">
        <v>0.95</v>
      </c>
      <c r="J34" s="123">
        <v>1.2</v>
      </c>
      <c r="K34" s="73">
        <f t="shared" ref="K34:K39" si="0">MIN(C34:J34)</f>
        <v>0.9</v>
      </c>
    </row>
    <row r="35" spans="1:11">
      <c r="B35" t="s">
        <v>166</v>
      </c>
      <c r="C35" s="123">
        <v>1.2</v>
      </c>
      <c r="D35" s="123">
        <v>0.9</v>
      </c>
      <c r="E35" s="123">
        <v>0.95</v>
      </c>
      <c r="F35" s="123">
        <v>0.9</v>
      </c>
      <c r="G35" s="123">
        <v>0.8</v>
      </c>
      <c r="H35" s="123">
        <v>0.95</v>
      </c>
      <c r="I35" s="123">
        <v>1</v>
      </c>
      <c r="J35" s="123">
        <v>1.2</v>
      </c>
      <c r="K35" s="73">
        <f t="shared" si="0"/>
        <v>0.8</v>
      </c>
    </row>
    <row r="36" spans="1:11">
      <c r="B36" t="s">
        <v>167</v>
      </c>
      <c r="C36" s="123">
        <v>1.2</v>
      </c>
      <c r="D36" s="123">
        <v>0.85</v>
      </c>
      <c r="E36" s="123">
        <v>0.85</v>
      </c>
      <c r="F36" s="123">
        <v>1</v>
      </c>
      <c r="G36" s="123">
        <v>0.95</v>
      </c>
      <c r="H36" s="123">
        <v>1.1000000000000001</v>
      </c>
      <c r="I36" s="123">
        <v>0.9</v>
      </c>
      <c r="J36" s="123">
        <v>1.2</v>
      </c>
      <c r="K36" s="73">
        <f t="shared" si="0"/>
        <v>0.85</v>
      </c>
    </row>
    <row r="37" spans="1:11">
      <c r="B37" t="s">
        <v>168</v>
      </c>
      <c r="C37" s="123">
        <v>1.2</v>
      </c>
      <c r="D37" s="123">
        <v>0.9</v>
      </c>
      <c r="E37" s="123">
        <v>0.9</v>
      </c>
      <c r="F37" s="123">
        <v>0.85</v>
      </c>
      <c r="G37" s="123">
        <v>1</v>
      </c>
      <c r="H37" s="123">
        <v>1</v>
      </c>
      <c r="I37" s="123">
        <v>1</v>
      </c>
      <c r="J37" s="123">
        <v>1.2</v>
      </c>
      <c r="K37" s="73">
        <f t="shared" si="0"/>
        <v>0.85</v>
      </c>
    </row>
    <row r="38" spans="1:11">
      <c r="B38" t="s">
        <v>169</v>
      </c>
      <c r="C38" s="123">
        <v>1.2</v>
      </c>
      <c r="D38" s="123">
        <v>0.95</v>
      </c>
      <c r="E38" s="123">
        <v>1</v>
      </c>
      <c r="F38" s="123">
        <v>0.9</v>
      </c>
      <c r="G38" s="123">
        <v>1.1000000000000001</v>
      </c>
      <c r="H38" s="123">
        <v>0.9</v>
      </c>
      <c r="I38" s="123">
        <v>0.95</v>
      </c>
      <c r="J38" s="123">
        <v>1.2</v>
      </c>
      <c r="K38" s="73">
        <f t="shared" si="0"/>
        <v>0.9</v>
      </c>
    </row>
    <row r="39" spans="1:11">
      <c r="B39" t="s">
        <v>170</v>
      </c>
      <c r="C39" s="123">
        <v>1.2</v>
      </c>
      <c r="D39" s="123">
        <v>1.2</v>
      </c>
      <c r="E39" s="123">
        <v>1.2</v>
      </c>
      <c r="F39" s="123">
        <v>1.2</v>
      </c>
      <c r="G39" s="123">
        <v>1.2</v>
      </c>
      <c r="H39" s="123">
        <v>1.2</v>
      </c>
      <c r="I39" s="123">
        <v>1.2</v>
      </c>
      <c r="J39" s="123">
        <v>1.2</v>
      </c>
      <c r="K39" s="73">
        <f t="shared" si="0"/>
        <v>1.2</v>
      </c>
    </row>
    <row r="40" spans="1:11">
      <c r="B40" t="s">
        <v>254</v>
      </c>
      <c r="C40" s="120">
        <f>MIN(C33:C39)</f>
        <v>1.2</v>
      </c>
      <c r="D40" s="120">
        <f t="shared" ref="D40:J40" si="1">MIN(D33:D39)</f>
        <v>0.85</v>
      </c>
      <c r="E40" s="120">
        <f t="shared" si="1"/>
        <v>0.85</v>
      </c>
      <c r="F40" s="120">
        <f t="shared" si="1"/>
        <v>0.85</v>
      </c>
      <c r="G40" s="120">
        <f t="shared" si="1"/>
        <v>0.8</v>
      </c>
      <c r="H40" s="120">
        <f t="shared" si="1"/>
        <v>0.9</v>
      </c>
      <c r="I40" s="120">
        <f t="shared" si="1"/>
        <v>0.9</v>
      </c>
      <c r="J40" s="120">
        <f t="shared" si="1"/>
        <v>1.2</v>
      </c>
    </row>
    <row r="41" spans="1:11">
      <c r="C41" s="11"/>
      <c r="D41" s="11"/>
      <c r="E41" s="11"/>
      <c r="F41" s="11"/>
      <c r="G41" s="11"/>
      <c r="H41" s="11"/>
      <c r="I41" s="11"/>
      <c r="J41" s="11"/>
    </row>
    <row r="42" spans="1:11">
      <c r="C42" s="11"/>
      <c r="D42" s="11"/>
      <c r="E42" t="s">
        <v>154</v>
      </c>
      <c r="F42" s="73">
        <f>MIN(C33:J39)</f>
        <v>0.8</v>
      </c>
      <c r="G42" s="75" t="s">
        <v>160</v>
      </c>
    </row>
    <row r="43" spans="1:11">
      <c r="F43" s="11"/>
    </row>
    <row r="44" spans="1:11">
      <c r="A44" s="67" t="s">
        <v>120</v>
      </c>
      <c r="B44" t="s">
        <v>134</v>
      </c>
    </row>
    <row r="45" spans="1:11">
      <c r="C45" t="s">
        <v>29</v>
      </c>
      <c r="D45" s="124">
        <f>F6</f>
        <v>19900</v>
      </c>
      <c r="E45" s="75" t="s">
        <v>185</v>
      </c>
    </row>
    <row r="46" spans="1:11">
      <c r="C46" t="s">
        <v>51</v>
      </c>
      <c r="D46" s="48">
        <f>F8/2+F10+F11</f>
        <v>40.15</v>
      </c>
      <c r="E46" s="75" t="s">
        <v>160</v>
      </c>
    </row>
    <row r="47" spans="1:11">
      <c r="C47" t="s">
        <v>139</v>
      </c>
      <c r="D47" s="4">
        <f>F7*D46/(D45*F12-0.6*F7)</f>
        <v>0.96311844077961017</v>
      </c>
      <c r="E47" s="75" t="s">
        <v>160</v>
      </c>
      <c r="G47" t="s">
        <v>137</v>
      </c>
    </row>
    <row r="48" spans="1:11">
      <c r="C48" t="s">
        <v>138</v>
      </c>
      <c r="D48" s="4">
        <f>F7*D46/(2*D45*F12+0.4*F7)</f>
        <v>0.47249190938511326</v>
      </c>
      <c r="E48" s="75" t="s">
        <v>160</v>
      </c>
      <c r="G48" t="s">
        <v>140</v>
      </c>
    </row>
    <row r="49" spans="1:7">
      <c r="C49" t="s">
        <v>141</v>
      </c>
      <c r="D49" s="4">
        <f>MAX(D47:D48)</f>
        <v>0.96311844077961017</v>
      </c>
      <c r="E49" s="75" t="s">
        <v>160</v>
      </c>
    </row>
    <row r="50" spans="1:7">
      <c r="A50" s="67" t="s">
        <v>125</v>
      </c>
      <c r="B50" t="s">
        <v>186</v>
      </c>
    </row>
    <row r="51" spans="1:7">
      <c r="C51" s="11" t="s">
        <v>154</v>
      </c>
      <c r="D51" s="80">
        <f>F42</f>
        <v>0.8</v>
      </c>
      <c r="E51" s="79" t="s">
        <v>160</v>
      </c>
    </row>
    <row r="52" spans="1:7">
      <c r="A52" s="67" t="s">
        <v>133</v>
      </c>
      <c r="B52" t="s">
        <v>187</v>
      </c>
    </row>
    <row r="53" spans="1:7">
      <c r="C53" t="s">
        <v>128</v>
      </c>
      <c r="D53" s="73">
        <f>F9-F10</f>
        <v>1.2</v>
      </c>
      <c r="E53" s="79" t="s">
        <v>160</v>
      </c>
    </row>
    <row r="54" spans="1:7">
      <c r="C54" t="s">
        <v>188</v>
      </c>
      <c r="D54" s="73">
        <f>D53-F11</f>
        <v>1.0999999999999999</v>
      </c>
      <c r="E54" s="79" t="s">
        <v>160</v>
      </c>
    </row>
    <row r="55" spans="1:7">
      <c r="A55" s="67" t="s">
        <v>142</v>
      </c>
      <c r="B55" t="s">
        <v>189</v>
      </c>
    </row>
    <row r="56" spans="1:7">
      <c r="A56" s="67"/>
      <c r="C56" t="s">
        <v>190</v>
      </c>
      <c r="D56" s="4">
        <f>(D51-F11)/D54</f>
        <v>0.63636363636363646</v>
      </c>
    </row>
    <row r="57" spans="1:7">
      <c r="A57" s="67" t="s">
        <v>191</v>
      </c>
      <c r="B57" t="s">
        <v>192</v>
      </c>
    </row>
    <row r="58" spans="1:7">
      <c r="A58" s="67"/>
      <c r="C58" t="s">
        <v>150</v>
      </c>
      <c r="D58" s="84">
        <f>F13</f>
        <v>0.9</v>
      </c>
    </row>
    <row r="59" spans="1:7">
      <c r="A59" s="67"/>
      <c r="C59" t="s">
        <v>38</v>
      </c>
      <c r="D59" s="4">
        <f>IF(D56&gt;=D58,50,1.123*(((((1-D56)/(1-(D56/D58)))^2)-1)^0.5))</f>
        <v>0.82601409226375289</v>
      </c>
      <c r="G59" t="s">
        <v>193</v>
      </c>
    </row>
    <row r="60" spans="1:7">
      <c r="A60" s="67"/>
      <c r="C60" t="s">
        <v>39</v>
      </c>
      <c r="D60">
        <f>F8+2*(F10+F11)</f>
        <v>80.3</v>
      </c>
      <c r="E60" s="75" t="s">
        <v>160</v>
      </c>
    </row>
    <row r="61" spans="1:7">
      <c r="A61" s="67"/>
      <c r="C61" t="s">
        <v>40</v>
      </c>
      <c r="D61" s="73">
        <f>D59*SQRT(D60*D54)</f>
        <v>7.7632142477852213</v>
      </c>
      <c r="E61" s="75" t="s">
        <v>160</v>
      </c>
      <c r="G61" s="76">
        <v>4.5</v>
      </c>
    </row>
    <row r="62" spans="1:7">
      <c r="A62" s="67"/>
    </row>
    <row r="63" spans="1:7">
      <c r="A63" s="67" t="s">
        <v>194</v>
      </c>
      <c r="B63" t="s">
        <v>195</v>
      </c>
    </row>
    <row r="64" spans="1:7">
      <c r="A64" s="67"/>
      <c r="B64" t="s">
        <v>41</v>
      </c>
    </row>
    <row r="65" spans="1:17">
      <c r="A65" s="67"/>
      <c r="C65" t="s">
        <v>196</v>
      </c>
      <c r="E65" s="84">
        <f>F15</f>
        <v>2.5</v>
      </c>
      <c r="F65" t="s">
        <v>160</v>
      </c>
    </row>
    <row r="66" spans="1:17">
      <c r="A66" s="67"/>
      <c r="C66" t="s">
        <v>197</v>
      </c>
      <c r="E66" s="124">
        <f>COLUMN(J40)-COLUMN(C40)+1</f>
        <v>8</v>
      </c>
      <c r="F66" t="s">
        <v>198</v>
      </c>
    </row>
    <row r="67" spans="1:17">
      <c r="B67" t="s">
        <v>199</v>
      </c>
      <c r="C67" s="48">
        <v>1</v>
      </c>
      <c r="D67" s="48">
        <v>2</v>
      </c>
      <c r="E67" s="48">
        <v>3</v>
      </c>
      <c r="F67" s="48">
        <v>4</v>
      </c>
      <c r="G67" s="48">
        <v>5</v>
      </c>
      <c r="H67" s="48">
        <v>6</v>
      </c>
      <c r="I67" s="48">
        <v>7</v>
      </c>
      <c r="J67" s="48">
        <v>8</v>
      </c>
    </row>
    <row r="68" spans="1:17">
      <c r="B68" t="s">
        <v>200</v>
      </c>
      <c r="C68" s="73">
        <f>C40</f>
        <v>1.2</v>
      </c>
      <c r="D68" s="73">
        <f t="shared" ref="D68:J68" si="2">D40</f>
        <v>0.85</v>
      </c>
      <c r="E68" s="73">
        <f t="shared" si="2"/>
        <v>0.85</v>
      </c>
      <c r="F68" s="73">
        <f t="shared" si="2"/>
        <v>0.85</v>
      </c>
      <c r="G68" s="73">
        <f t="shared" si="2"/>
        <v>0.8</v>
      </c>
      <c r="H68" s="73">
        <f t="shared" si="2"/>
        <v>0.9</v>
      </c>
      <c r="I68" s="73">
        <f t="shared" si="2"/>
        <v>0.9</v>
      </c>
      <c r="J68" s="73">
        <f t="shared" si="2"/>
        <v>1.2</v>
      </c>
      <c r="M68" s="84"/>
      <c r="N68" s="84"/>
      <c r="O68" s="84"/>
      <c r="P68" s="84"/>
      <c r="Q68" s="84"/>
    </row>
    <row r="69" spans="1:17">
      <c r="C69" s="7"/>
      <c r="M69" s="84"/>
      <c r="N69" s="84"/>
      <c r="O69" s="84"/>
      <c r="P69" s="84"/>
      <c r="Q69" s="84"/>
    </row>
    <row r="70" spans="1:17">
      <c r="C70" s="7"/>
      <c r="M70" s="84"/>
      <c r="N70" s="84"/>
      <c r="O70" s="84"/>
      <c r="P70" s="84"/>
      <c r="Q70" s="84"/>
    </row>
    <row r="71" spans="1:17">
      <c r="C71" s="7"/>
      <c r="M71" s="84"/>
      <c r="N71" s="84"/>
      <c r="O71" s="84"/>
      <c r="P71" s="84"/>
      <c r="Q71" s="84"/>
    </row>
    <row r="72" spans="1:17">
      <c r="M72" s="84"/>
      <c r="N72" s="84"/>
      <c r="O72" s="84"/>
      <c r="P72" s="84"/>
      <c r="Q72" s="84"/>
    </row>
    <row r="73" spans="1:17">
      <c r="M73" s="84"/>
      <c r="N73" s="84"/>
      <c r="O73" s="84"/>
      <c r="P73" s="84"/>
      <c r="Q73" s="84"/>
    </row>
    <row r="74" spans="1:17">
      <c r="M74" s="84"/>
      <c r="N74" s="84"/>
      <c r="O74" s="84"/>
      <c r="P74" s="84"/>
      <c r="Q74" s="84"/>
    </row>
    <row r="75" spans="1:17">
      <c r="M75" s="84"/>
      <c r="N75" s="84"/>
      <c r="O75" s="84"/>
      <c r="P75" s="84"/>
      <c r="Q75" s="84"/>
    </row>
    <row r="78" spans="1:17">
      <c r="Q78" s="7"/>
    </row>
    <row r="80" spans="1:17">
      <c r="C80" t="s">
        <v>257</v>
      </c>
      <c r="D80" s="73">
        <f>D61/2</f>
        <v>3.8816071238926106</v>
      </c>
      <c r="E80" s="75" t="s">
        <v>160</v>
      </c>
    </row>
    <row r="81" spans="2:14">
      <c r="C81" t="s">
        <v>141</v>
      </c>
      <c r="D81">
        <f>MIN(C68:J68)</f>
        <v>0.8</v>
      </c>
      <c r="E81" s="75" t="s">
        <v>160</v>
      </c>
    </row>
    <row r="82" spans="2:14">
      <c r="C82" t="s">
        <v>234</v>
      </c>
      <c r="D82">
        <f>D81</f>
        <v>0.8</v>
      </c>
      <c r="E82" s="75" t="s">
        <v>160</v>
      </c>
    </row>
    <row r="83" spans="2:14">
      <c r="C83" t="s">
        <v>233</v>
      </c>
      <c r="D83" s="73">
        <f>F68</f>
        <v>0.85</v>
      </c>
      <c r="E83" s="75" t="s">
        <v>160</v>
      </c>
    </row>
    <row r="84" spans="2:14">
      <c r="C84" t="s">
        <v>232</v>
      </c>
      <c r="D84" s="73">
        <f>E68</f>
        <v>0.85</v>
      </c>
      <c r="E84" s="75" t="s">
        <v>160</v>
      </c>
    </row>
    <row r="85" spans="2:14">
      <c r="C85" t="s">
        <v>239</v>
      </c>
      <c r="D85" s="73">
        <f>H68</f>
        <v>0.9</v>
      </c>
      <c r="E85" s="75" t="s">
        <v>160</v>
      </c>
    </row>
    <row r="86" spans="2:14">
      <c r="C86" t="s">
        <v>238</v>
      </c>
      <c r="D86" s="73">
        <f>I68</f>
        <v>0.9</v>
      </c>
      <c r="E86" s="75" t="s">
        <v>160</v>
      </c>
    </row>
    <row r="87" spans="2:14">
      <c r="C87" t="s">
        <v>231</v>
      </c>
      <c r="D87" s="4">
        <f>(D80-E65)*D83</f>
        <v>1.174366055308719</v>
      </c>
      <c r="E87" s="75" t="s">
        <v>236</v>
      </c>
    </row>
    <row r="88" spans="2:14">
      <c r="C88" t="s">
        <v>235</v>
      </c>
      <c r="D88" s="4">
        <f>0.5*(D83+D82)*E65</f>
        <v>2.0625</v>
      </c>
      <c r="E88" s="75" t="s">
        <v>236</v>
      </c>
    </row>
    <row r="89" spans="2:14">
      <c r="C89" t="s">
        <v>240</v>
      </c>
      <c r="D89" s="4">
        <f>0.5*(D87+D85)*(E65)</f>
        <v>2.5929575691358986</v>
      </c>
      <c r="E89" s="75" t="s">
        <v>236</v>
      </c>
    </row>
    <row r="90" spans="2:14">
      <c r="C90" t="s">
        <v>241</v>
      </c>
      <c r="D90" s="4">
        <f>(D80-E65)*D86</f>
        <v>1.2434464115033497</v>
      </c>
      <c r="E90" s="75" t="s">
        <v>236</v>
      </c>
    </row>
    <row r="91" spans="2:14">
      <c r="C91" t="s">
        <v>203</v>
      </c>
      <c r="D91" s="4">
        <f>SUM(D87:D90)/D61</f>
        <v>0.91112647547578773</v>
      </c>
      <c r="E91" s="75" t="s">
        <v>160</v>
      </c>
    </row>
    <row r="93" spans="2:14">
      <c r="B93" t="s">
        <v>70</v>
      </c>
    </row>
    <row r="94" spans="2:14">
      <c r="C94" t="s">
        <v>196</v>
      </c>
      <c r="E94" s="84">
        <f>F15</f>
        <v>2.5</v>
      </c>
      <c r="F94" t="s">
        <v>160</v>
      </c>
      <c r="N94" s="73"/>
    </row>
    <row r="95" spans="2:14">
      <c r="C95" t="s">
        <v>197</v>
      </c>
      <c r="E95" s="124">
        <f>ROW(J39)-ROW(J33)+1</f>
        <v>7</v>
      </c>
      <c r="F95" t="s">
        <v>198</v>
      </c>
      <c r="N95" s="73"/>
    </row>
    <row r="96" spans="2:14">
      <c r="B96" t="s">
        <v>199</v>
      </c>
      <c r="C96" s="48">
        <v>1</v>
      </c>
      <c r="D96" s="48">
        <v>2</v>
      </c>
      <c r="E96" s="48">
        <v>3</v>
      </c>
      <c r="F96" s="48">
        <v>4</v>
      </c>
      <c r="G96" s="48">
        <v>5</v>
      </c>
      <c r="H96" s="48">
        <v>6</v>
      </c>
      <c r="I96" s="48">
        <v>7</v>
      </c>
      <c r="J96" s="48"/>
    </row>
    <row r="97" spans="2:15">
      <c r="B97" t="s">
        <v>200</v>
      </c>
      <c r="C97" s="73">
        <f>K33</f>
        <v>1.2</v>
      </c>
      <c r="D97" s="73">
        <f>K34</f>
        <v>0.9</v>
      </c>
      <c r="E97" s="73">
        <f>K35</f>
        <v>0.8</v>
      </c>
      <c r="F97" s="73">
        <f>K36</f>
        <v>0.85</v>
      </c>
      <c r="G97" s="73">
        <f>K37</f>
        <v>0.85</v>
      </c>
      <c r="H97" s="73">
        <f>K38</f>
        <v>0.9</v>
      </c>
      <c r="I97" s="73">
        <f>K39</f>
        <v>1.2</v>
      </c>
    </row>
    <row r="98" spans="2:15">
      <c r="C98" s="7"/>
      <c r="O98" s="75"/>
    </row>
    <row r="99" spans="2:15">
      <c r="C99" s="7"/>
    </row>
    <row r="100" spans="2:15">
      <c r="C100" s="7"/>
    </row>
    <row r="106" spans="2:15">
      <c r="M106" s="73"/>
      <c r="N106" s="75"/>
    </row>
    <row r="107" spans="2:15">
      <c r="N107" s="75"/>
    </row>
    <row r="108" spans="2:15">
      <c r="N108" s="75"/>
    </row>
    <row r="109" spans="2:15">
      <c r="E109" s="75"/>
      <c r="M109" s="73"/>
      <c r="N109" s="75"/>
    </row>
    <row r="110" spans="2:15">
      <c r="C110" t="s">
        <v>257</v>
      </c>
      <c r="D110" s="73">
        <f>D61/2</f>
        <v>3.8816071238926106</v>
      </c>
      <c r="E110" s="75" t="s">
        <v>160</v>
      </c>
      <c r="M110" s="73"/>
      <c r="N110" s="75"/>
    </row>
    <row r="111" spans="2:15">
      <c r="C111" t="s">
        <v>141</v>
      </c>
      <c r="D111" s="73">
        <f>MIN(C97:I97)</f>
        <v>0.8</v>
      </c>
      <c r="E111" s="75" t="s">
        <v>160</v>
      </c>
      <c r="M111" s="73"/>
      <c r="N111" s="75"/>
    </row>
    <row r="112" spans="2:15">
      <c r="C112" t="s">
        <v>234</v>
      </c>
      <c r="D112" s="73">
        <f>D111</f>
        <v>0.8</v>
      </c>
      <c r="E112" s="75" t="s">
        <v>160</v>
      </c>
      <c r="M112" s="73"/>
      <c r="N112" s="75"/>
    </row>
    <row r="113" spans="1:14">
      <c r="C113" t="s">
        <v>233</v>
      </c>
      <c r="D113" s="73">
        <f>D97</f>
        <v>0.9</v>
      </c>
      <c r="E113" s="75" t="s">
        <v>160</v>
      </c>
      <c r="M113" s="4"/>
      <c r="N113" s="75"/>
    </row>
    <row r="114" spans="1:14">
      <c r="C114" t="s">
        <v>232</v>
      </c>
      <c r="D114" s="73">
        <f>D113+(C97-D113)*(D110-E94)/(E94)</f>
        <v>1.0657928548671132</v>
      </c>
      <c r="E114" s="75" t="s">
        <v>160</v>
      </c>
      <c r="M114" s="4"/>
      <c r="N114" s="75"/>
    </row>
    <row r="115" spans="1:14">
      <c r="C115" t="s">
        <v>239</v>
      </c>
      <c r="D115" s="73">
        <f>F97</f>
        <v>0.85</v>
      </c>
      <c r="E115" s="75" t="s">
        <v>160</v>
      </c>
      <c r="M115" s="4"/>
      <c r="N115" s="75"/>
    </row>
    <row r="116" spans="1:14">
      <c r="C116" t="s">
        <v>238</v>
      </c>
      <c r="D116" s="73">
        <f>G97</f>
        <v>0.85</v>
      </c>
      <c r="E116" s="75" t="s">
        <v>160</v>
      </c>
      <c r="M116" s="4"/>
      <c r="N116" s="75"/>
    </row>
    <row r="117" spans="1:14">
      <c r="C117" t="s">
        <v>231</v>
      </c>
      <c r="D117" s="4">
        <f>0.5*(D113+D114)*(D110-E94)</f>
        <v>1.3579767061907981</v>
      </c>
      <c r="E117" s="75" t="s">
        <v>236</v>
      </c>
      <c r="M117" s="4"/>
      <c r="N117" s="75"/>
    </row>
    <row r="118" spans="1:14">
      <c r="C118" t="s">
        <v>235</v>
      </c>
      <c r="D118" s="4">
        <f>0.5*(D112+D113)*(E94)</f>
        <v>2.125</v>
      </c>
      <c r="E118" s="75" t="s">
        <v>236</v>
      </c>
      <c r="M118" s="4"/>
      <c r="N118" s="75"/>
    </row>
    <row r="119" spans="1:14">
      <c r="C119" t="s">
        <v>240</v>
      </c>
      <c r="D119" s="4">
        <f>0.5*(D115+D112)*(E94)</f>
        <v>2.0625</v>
      </c>
      <c r="E119" s="75" t="s">
        <v>236</v>
      </c>
      <c r="M119" s="4"/>
      <c r="N119" s="75"/>
    </row>
    <row r="120" spans="1:14">
      <c r="C120" t="s">
        <v>241</v>
      </c>
      <c r="D120" s="4">
        <f>(D110-E94)*D116</f>
        <v>1.174366055308719</v>
      </c>
      <c r="E120" s="75" t="s">
        <v>236</v>
      </c>
      <c r="M120" s="4"/>
      <c r="N120" s="75"/>
    </row>
    <row r="121" spans="1:14">
      <c r="C121" t="s">
        <v>204</v>
      </c>
      <c r="D121" s="4">
        <f>SUM(D117:D120)/D61</f>
        <v>0.86560058076673996</v>
      </c>
      <c r="E121" s="75" t="s">
        <v>160</v>
      </c>
    </row>
    <row r="122" spans="1:14">
      <c r="A122" s="67" t="s">
        <v>205</v>
      </c>
      <c r="B122" t="s">
        <v>206</v>
      </c>
    </row>
    <row r="123" spans="1:14">
      <c r="A123" s="67"/>
      <c r="B123" t="s">
        <v>144</v>
      </c>
    </row>
    <row r="124" spans="1:14">
      <c r="B124" t="s">
        <v>208</v>
      </c>
    </row>
    <row r="125" spans="1:14">
      <c r="C125" t="s">
        <v>209</v>
      </c>
      <c r="F125" t="str">
        <f>IF(D91-F11&gt;=D47,"The Level 1 assessment criteria are satisfied","The Level 1 assessment criteria are not satisfied")</f>
        <v>The Level 1 assessment criteria are not satisfied</v>
      </c>
    </row>
    <row r="126" spans="1:14">
      <c r="C126" t="s">
        <v>210</v>
      </c>
      <c r="F126" t="str">
        <f>IF(D121-F11&gt;=D48,"The Level 1 assessment criteria are satisfied","The Level 1 assessment criteria are not satisfied")</f>
        <v>The Level 1 assessment criteria are satisfied</v>
      </c>
    </row>
    <row r="128" spans="1:14">
      <c r="C128" t="str">
        <f>IF(F125="The Level 1 assessment criteria are satisfied",IF(F126="The Level 1 assessment criteria are satisfied","The component is acceptable for continued operation","The component is notacceptable for continued operation"),"The component is not acceptable for continued operation")</f>
        <v>The component is not acceptable for continued operation</v>
      </c>
    </row>
    <row r="130" spans="2:11">
      <c r="B130" t="s">
        <v>207</v>
      </c>
    </row>
    <row r="131" spans="2:11">
      <c r="C131" t="s">
        <v>153</v>
      </c>
      <c r="D131">
        <f>MAX(0.2*F9,0.1)</f>
        <v>0.25</v>
      </c>
      <c r="E131" s="75" t="s">
        <v>160</v>
      </c>
    </row>
    <row r="132" spans="2:11">
      <c r="C132" t="s">
        <v>211</v>
      </c>
      <c r="G132" t="str">
        <f>IF((D51-F11)&gt;=(MAX(0.5*D49,D131)),"The Level 1 assessment criteria are satisfied","The Level 1 assessment criteria are not satisfied")</f>
        <v>The Level 1 assessment criteria are satisfied</v>
      </c>
    </row>
    <row r="134" spans="2:11">
      <c r="C134" t="str">
        <f>IF(G132="The Level 1 assessment criteria are satisfied","The component is acceptable for continued operation","The component is not acceptable for continued operation")</f>
        <v>The component is acceptable for continued operation</v>
      </c>
      <c r="K134" s="4"/>
    </row>
    <row r="135" spans="2:11">
      <c r="K135" s="4"/>
    </row>
    <row r="136" spans="2:11">
      <c r="B136" t="s">
        <v>151</v>
      </c>
    </row>
    <row r="137" spans="2:11">
      <c r="B137" t="s">
        <v>208</v>
      </c>
    </row>
    <row r="138" spans="2:11">
      <c r="C138" t="s">
        <v>150</v>
      </c>
      <c r="D138" s="68">
        <v>0.9</v>
      </c>
    </row>
    <row r="139" spans="2:11">
      <c r="C139" t="s">
        <v>209</v>
      </c>
      <c r="F139" t="str">
        <f>IF(D91-F12&gt;=D138*D47,"The Level 1 assessment criteria are satisfied","The Level 1 assessment criteria are not satisfied")</f>
        <v>The Level 1 assessment criteria are not satisfied</v>
      </c>
    </row>
    <row r="140" spans="2:11">
      <c r="C140" t="s">
        <v>210</v>
      </c>
      <c r="F140" t="str">
        <f>IF(D121-F25&gt;=D138*D48,"The Level 1 assessment criteria are satisfied","The Level 1 assessment criteria are not satisfied")</f>
        <v>The Level 1 assessment criteria are satisfied</v>
      </c>
    </row>
    <row r="142" spans="2:11">
      <c r="C142" t="str">
        <f>IF(F139="The Level 1 assessment criteria are satisfied",IF(F140="The Level 1 assessment criteria are satisfied","The component is acceptable for continued operation","The component is notacceptable for continued operation"),"The component is not acceptable for continued operation")</f>
        <v>The component is not acceptable for continued operation</v>
      </c>
    </row>
  </sheetData>
  <conditionalFormatting sqref="O76">
    <cfRule type="expression" dxfId="96" priority="88">
      <formula>$M$76="The Level 1 assessment criteria are not satisfied"</formula>
    </cfRule>
    <cfRule type="expression" dxfId="95" priority="89">
      <formula>$M$76="The Level 1 assessment criteria are satisfied"</formula>
    </cfRule>
  </conditionalFormatting>
  <conditionalFormatting sqref="P76:Q76">
    <cfRule type="expression" dxfId="94" priority="86">
      <formula>$M$76="The Level 1 assessment criteria are not satisfied"</formula>
    </cfRule>
    <cfRule type="expression" dxfId="93" priority="87">
      <formula>$M$76="The Level 1 assessment criteria are satisfied"</formula>
    </cfRule>
  </conditionalFormatting>
  <conditionalFormatting sqref="M101">
    <cfRule type="expression" dxfId="92" priority="84">
      <formula>$M$101="The Level 2 assessment criteria are not satisfied"</formula>
    </cfRule>
    <cfRule type="expression" dxfId="91" priority="85">
      <formula>$M$101="The Level 2 assessment criteria are satisfied"</formula>
    </cfRule>
  </conditionalFormatting>
  <conditionalFormatting sqref="N101">
    <cfRule type="expression" dxfId="90" priority="82">
      <formula>$M$101="The Level 2 assessment criteria are not satisfied"</formula>
    </cfRule>
    <cfRule type="expression" dxfId="89" priority="83">
      <formula>$M$101="The Level 2 assessment criteria are satisfied"</formula>
    </cfRule>
  </conditionalFormatting>
  <conditionalFormatting sqref="O101">
    <cfRule type="expression" dxfId="88" priority="80">
      <formula>$M$101="The Level 2 assessment criteria are not satisfied"</formula>
    </cfRule>
    <cfRule type="expression" dxfId="87" priority="81">
      <formula>$M$101="The Level 2 assessment criteria are satisfied"</formula>
    </cfRule>
  </conditionalFormatting>
  <conditionalFormatting sqref="P101">
    <cfRule type="expression" dxfId="86" priority="78">
      <formula>$M$101="The Level 2 assessment criteria are not satisfied"</formula>
    </cfRule>
    <cfRule type="expression" dxfId="85" priority="79">
      <formula>$M$101="The Level 2 assessment criteria are satisfied"</formula>
    </cfRule>
  </conditionalFormatting>
  <conditionalFormatting sqref="Q101">
    <cfRule type="expression" dxfId="84" priority="76">
      <formula>$M$101="The Level 2 assessment criteria are not satisfied"</formula>
    </cfRule>
    <cfRule type="expression" dxfId="83" priority="77">
      <formula>$M$101="The Level 2 assessment criteria are satisfied"</formula>
    </cfRule>
  </conditionalFormatting>
  <conditionalFormatting sqref="F51:J51">
    <cfRule type="expression" dxfId="82" priority="90">
      <formula>#REF!="The average thickness, t.am can not use in the calculation"</formula>
    </cfRule>
    <cfRule type="expression" dxfId="81" priority="91">
      <formula>#REF!="The average thickness, t.am can use in the calculation"</formula>
    </cfRule>
  </conditionalFormatting>
  <conditionalFormatting sqref="O70:R70 I71:J71 O74:R74">
    <cfRule type="expression" dxfId="80" priority="92">
      <formula>$O$70="The component is not acceptable for continued operation"</formula>
    </cfRule>
    <cfRule type="expression" dxfId="79" priority="93">
      <formula>$O$70="The component is acceptable for continued operation"</formula>
    </cfRule>
  </conditionalFormatting>
  <conditionalFormatting sqref="I78:J78 O92:R92">
    <cfRule type="expression" dxfId="78" priority="94">
      <formula>$O$92="The component is not acceptable for continued operation"</formula>
    </cfRule>
    <cfRule type="expression" dxfId="77" priority="95">
      <formula>$O$92="The component is acceptable for continued operation"</formula>
    </cfRule>
  </conditionalFormatting>
  <conditionalFormatting sqref="I93:J93 O96:R96 O99:R99">
    <cfRule type="expression" dxfId="76" priority="96">
      <formula>$O$96="The component is not acceptable for continued operation"</formula>
    </cfRule>
    <cfRule type="expression" dxfId="75" priority="97">
      <formula>$O$96="The component is acceptable for continued operation"</formula>
    </cfRule>
  </conditionalFormatting>
  <conditionalFormatting sqref="I100:J100">
    <cfRule type="expression" dxfId="74" priority="72">
      <formula>$O$70="The component is not acceptable for continued operation"</formula>
    </cfRule>
    <cfRule type="expression" dxfId="73" priority="73">
      <formula>$O$70="The component is acceptable for continued operation"</formula>
    </cfRule>
  </conditionalFormatting>
  <conditionalFormatting sqref="I107:J107">
    <cfRule type="expression" dxfId="72" priority="74">
      <formula>$O$92="The component is not acceptable for continued operation"</formula>
    </cfRule>
    <cfRule type="expression" dxfId="71" priority="75">
      <formula>$O$92="The component is acceptable for continued operation"</formula>
    </cfRule>
  </conditionalFormatting>
  <conditionalFormatting sqref="L34:L40">
    <cfRule type="expression" dxfId="70" priority="71">
      <formula>MIN($K$34:$K$40)</formula>
    </cfRule>
  </conditionalFormatting>
  <conditionalFormatting sqref="F125:J125">
    <cfRule type="expression" dxfId="69" priority="69">
      <formula>$F$125="The Level 1 assessment criteria are not satisfied"</formula>
    </cfRule>
    <cfRule type="expression" dxfId="68" priority="70">
      <formula>$F$125="The Level 1 assessment criteria are satisfied"</formula>
    </cfRule>
  </conditionalFormatting>
  <conditionalFormatting sqref="F126">
    <cfRule type="expression" dxfId="67" priority="67">
      <formula>$F$126="The Level 1 assessment criteria are not satisfied"</formula>
    </cfRule>
    <cfRule type="expression" dxfId="66" priority="68">
      <formula>$F$126="The Level 1 assessment criteria are satisfied"</formula>
    </cfRule>
  </conditionalFormatting>
  <conditionalFormatting sqref="G126">
    <cfRule type="expression" dxfId="65" priority="65">
      <formula>$F$126="The Level 1 assessment criteria are not satisfied"</formula>
    </cfRule>
    <cfRule type="expression" dxfId="64" priority="66">
      <formula>$F$126="The Level 1 assessment criteria are satisfied"</formula>
    </cfRule>
  </conditionalFormatting>
  <conditionalFormatting sqref="H126:I126">
    <cfRule type="expression" dxfId="63" priority="63">
      <formula>$F$126="The Level 1 assessment criteria are not satisfied"</formula>
    </cfRule>
    <cfRule type="expression" dxfId="62" priority="64">
      <formula>$F$126="The Level 1 assessment criteria are satisfied"</formula>
    </cfRule>
  </conditionalFormatting>
  <conditionalFormatting sqref="J126">
    <cfRule type="expression" dxfId="61" priority="61">
      <formula>$F$126="The Level 1 assessment criteria are not satisfied"</formula>
    </cfRule>
    <cfRule type="expression" dxfId="60" priority="62">
      <formula>$F$126="The Level 1 assessment criteria are satisfied"</formula>
    </cfRule>
  </conditionalFormatting>
  <conditionalFormatting sqref="C128">
    <cfRule type="expression" dxfId="59" priority="59">
      <formula>$C$128="The component is not acceptable for continued operation"</formula>
    </cfRule>
    <cfRule type="expression" dxfId="58" priority="60">
      <formula>$C$128="The component is  acceptable for continued operation"</formula>
    </cfRule>
  </conditionalFormatting>
  <conditionalFormatting sqref="D128">
    <cfRule type="expression" dxfId="57" priority="57">
      <formula>$C$128="The component is not acceptable for continued operation"</formula>
    </cfRule>
    <cfRule type="expression" dxfId="56" priority="58">
      <formula>$C$128="The component is  acceptable for continued operation"</formula>
    </cfRule>
  </conditionalFormatting>
  <conditionalFormatting sqref="E128">
    <cfRule type="expression" dxfId="55" priority="55">
      <formula>$C$128="The component is not acceptable for continued operation"</formula>
    </cfRule>
    <cfRule type="expression" dxfId="54" priority="56">
      <formula>$C$128="The component is  acceptable for continued operation"</formula>
    </cfRule>
  </conditionalFormatting>
  <conditionalFormatting sqref="F128">
    <cfRule type="expression" dxfId="53" priority="53">
      <formula>$C$128="The component is not acceptable for continued operation"</formula>
    </cfRule>
    <cfRule type="expression" dxfId="52" priority="54">
      <formula>$C$128="The component is  acceptable for continued operation"</formula>
    </cfRule>
  </conditionalFormatting>
  <conditionalFormatting sqref="G128">
    <cfRule type="expression" dxfId="51" priority="51">
      <formula>$C$128="The component is not acceptable for continued operation"</formula>
    </cfRule>
    <cfRule type="expression" dxfId="50" priority="52">
      <formula>$C$128="The component is  acceptable for continued operation"</formula>
    </cfRule>
  </conditionalFormatting>
  <conditionalFormatting sqref="H128">
    <cfRule type="expression" dxfId="49" priority="49">
      <formula>$C$128="The component is not acceptable for continued operation"</formula>
    </cfRule>
    <cfRule type="expression" dxfId="48" priority="50">
      <formula>$C$128="The component is  acceptable for continued operation"</formula>
    </cfRule>
  </conditionalFormatting>
  <conditionalFormatting sqref="G132">
    <cfRule type="expression" dxfId="47" priority="47">
      <formula>$G$132="The Level 1 assessment criteria are satisfied"</formula>
    </cfRule>
    <cfRule type="expression" dxfId="46" priority="48">
      <formula>$G$132="The Level 1 assessment criteria are not satisfied"</formula>
    </cfRule>
  </conditionalFormatting>
  <conditionalFormatting sqref="H132">
    <cfRule type="expression" dxfId="45" priority="45">
      <formula>$G$132="The Level 1 assessment criteria are satisfied"</formula>
    </cfRule>
    <cfRule type="expression" dxfId="44" priority="46">
      <formula>$G$132="The Level 1 assessment criteria are not satisfied"</formula>
    </cfRule>
  </conditionalFormatting>
  <conditionalFormatting sqref="I132">
    <cfRule type="expression" dxfId="43" priority="43">
      <formula>$G$132="The Level 1 assessment criteria are satisfied"</formula>
    </cfRule>
    <cfRule type="expression" dxfId="42" priority="44">
      <formula>$G$132="The Level 1 assessment criteria are not satisfied"</formula>
    </cfRule>
  </conditionalFormatting>
  <conditionalFormatting sqref="J132">
    <cfRule type="expression" dxfId="41" priority="41">
      <formula>$G$132="The Level 1 assessment criteria are satisfied"</formula>
    </cfRule>
    <cfRule type="expression" dxfId="40" priority="42">
      <formula>$G$132="The Level 1 assessment criteria are not satisfied"</formula>
    </cfRule>
  </conditionalFormatting>
  <conditionalFormatting sqref="K132">
    <cfRule type="expression" dxfId="39" priority="39">
      <formula>$G$132="The Level 1 assessment criteria are satisfied"</formula>
    </cfRule>
    <cfRule type="expression" dxfId="38" priority="40">
      <formula>$G$132="The Level 1 assessment criteria are not satisfied"</formula>
    </cfRule>
  </conditionalFormatting>
  <conditionalFormatting sqref="B134">
    <cfRule type="expression" dxfId="37" priority="37">
      <formula>$C$134="The component is not acceptable for continued operation"</formula>
    </cfRule>
    <cfRule type="expression" dxfId="36" priority="38">
      <formula>$C$134="The component is  acceptable for continued operation"</formula>
    </cfRule>
  </conditionalFormatting>
  <conditionalFormatting sqref="C134">
    <cfRule type="expression" dxfId="35" priority="35">
      <formula>$C$134="The component is acceptable for continued operation"</formula>
    </cfRule>
    <cfRule type="expression" dxfId="34" priority="36">
      <formula>$C$134="The component is not acceptable for continued operation"</formula>
    </cfRule>
  </conditionalFormatting>
  <conditionalFormatting sqref="D134">
    <cfRule type="expression" dxfId="33" priority="33">
      <formula>$C$134="The component is acceptable for continued operation"</formula>
    </cfRule>
    <cfRule type="expression" dxfId="32" priority="34">
      <formula>$C$134="The component is not acceptable for continued operation"</formula>
    </cfRule>
  </conditionalFormatting>
  <conditionalFormatting sqref="E134">
    <cfRule type="expression" dxfId="31" priority="31">
      <formula>$C$134="The component is acceptable for continued operation"</formula>
    </cfRule>
    <cfRule type="expression" dxfId="30" priority="32">
      <formula>$C$134="The component is not acceptable for continued operation"</formula>
    </cfRule>
  </conditionalFormatting>
  <conditionalFormatting sqref="F134">
    <cfRule type="expression" dxfId="29" priority="29">
      <formula>$C$134="The component is acceptable for continued operation"</formula>
    </cfRule>
    <cfRule type="expression" dxfId="28" priority="30">
      <formula>$C$134="The component is not acceptable for continued operation"</formula>
    </cfRule>
  </conditionalFormatting>
  <conditionalFormatting sqref="G134">
    <cfRule type="expression" dxfId="27" priority="27">
      <formula>$C$134="The component is acceptable for continued operation"</formula>
    </cfRule>
    <cfRule type="expression" dxfId="26" priority="28">
      <formula>$C$134="The component is not acceptable for continued operation"</formula>
    </cfRule>
  </conditionalFormatting>
  <conditionalFormatting sqref="H134">
    <cfRule type="expression" dxfId="25" priority="25">
      <formula>$C$134="The component is acceptable for continued operation"</formula>
    </cfRule>
    <cfRule type="expression" dxfId="24" priority="26">
      <formula>$C$134="The component is not acceptable for continued operation"</formula>
    </cfRule>
  </conditionalFormatting>
  <conditionalFormatting sqref="F139:J139">
    <cfRule type="expression" dxfId="23" priority="23">
      <formula>$F$125="The Level 1 assessment criteria are not satisfied"</formula>
    </cfRule>
    <cfRule type="expression" dxfId="22" priority="24">
      <formula>$F$125="The Level 1 assessment criteria are satisfied"</formula>
    </cfRule>
  </conditionalFormatting>
  <conditionalFormatting sqref="F140">
    <cfRule type="expression" dxfId="21" priority="21">
      <formula>$F$126="The Level 1 assessment criteria are not satisfied"</formula>
    </cfRule>
    <cfRule type="expression" dxfId="20" priority="22">
      <formula>$F$126="The Level 1 assessment criteria are satisfied"</formula>
    </cfRule>
  </conditionalFormatting>
  <conditionalFormatting sqref="G140">
    <cfRule type="expression" dxfId="19" priority="19">
      <formula>$F$126="The Level 1 assessment criteria are not satisfied"</formula>
    </cfRule>
    <cfRule type="expression" dxfId="18" priority="20">
      <formula>$F$126="The Level 1 assessment criteria are satisfied"</formula>
    </cfRule>
  </conditionalFormatting>
  <conditionalFormatting sqref="H140:I140">
    <cfRule type="expression" dxfId="17" priority="17">
      <formula>$F$126="The Level 1 assessment criteria are not satisfied"</formula>
    </cfRule>
    <cfRule type="expression" dxfId="16" priority="18">
      <formula>$F$126="The Level 1 assessment criteria are satisfied"</formula>
    </cfRule>
  </conditionalFormatting>
  <conditionalFormatting sqref="J140">
    <cfRule type="expression" dxfId="15" priority="15">
      <formula>$F$126="The Level 1 assessment criteria are not satisfied"</formula>
    </cfRule>
    <cfRule type="expression" dxfId="14" priority="16">
      <formula>$F$126="The Level 1 assessment criteria are satisfied"</formula>
    </cfRule>
  </conditionalFormatting>
  <conditionalFormatting sqref="C142">
    <cfRule type="expression" dxfId="13" priority="13">
      <formula>$C$128="The component is not acceptable for continued operation"</formula>
    </cfRule>
    <cfRule type="expression" dxfId="12" priority="14">
      <formula>$C$128="The component is  acceptable for continued operation"</formula>
    </cfRule>
  </conditionalFormatting>
  <conditionalFormatting sqref="D142">
    <cfRule type="expression" dxfId="11" priority="11">
      <formula>$C$128="The component is not acceptable for continued operation"</formula>
    </cfRule>
    <cfRule type="expression" dxfId="10" priority="12">
      <formula>$C$128="The component is  acceptable for continued operation"</formula>
    </cfRule>
  </conditionalFormatting>
  <conditionalFormatting sqref="E142">
    <cfRule type="expression" dxfId="9" priority="9">
      <formula>$C$128="The component is not acceptable for continued operation"</formula>
    </cfRule>
    <cfRule type="expression" dxfId="8" priority="10">
      <formula>$C$128="The component is  acceptable for continued operation"</formula>
    </cfRule>
  </conditionalFormatting>
  <conditionalFormatting sqref="F142">
    <cfRule type="expression" dxfId="7" priority="7">
      <formula>$C$128="The component is not acceptable for continued operation"</formula>
    </cfRule>
    <cfRule type="expression" dxfId="6" priority="8">
      <formula>$C$128="The component is  acceptable for continued operation"</formula>
    </cfRule>
  </conditionalFormatting>
  <conditionalFormatting sqref="G142">
    <cfRule type="expression" dxfId="5" priority="5">
      <formula>$C$128="The component is not acceptable for continued operation"</formula>
    </cfRule>
    <cfRule type="expression" dxfId="4" priority="6">
      <formula>$C$128="The component is  acceptable for continued operation"</formula>
    </cfRule>
  </conditionalFormatting>
  <conditionalFormatting sqref="H142">
    <cfRule type="expression" dxfId="3" priority="3">
      <formula>$C$128="The component is not acceptable for continued operation"</formula>
    </cfRule>
    <cfRule type="expression" dxfId="2" priority="4">
      <formula>$C$128="The component is  acceptable for continued operation"</formula>
    </cfRule>
  </conditionalFormatting>
  <conditionalFormatting sqref="C68:J68">
    <cfRule type="expression" dxfId="1" priority="2">
      <formula>C68=MIN($C$68:$J$68)</formula>
    </cfRule>
  </conditionalFormatting>
  <conditionalFormatting sqref="C97:I97">
    <cfRule type="expression" dxfId="0" priority="1">
      <formula>C97=MIN($C$97:$I$97)</formula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Flow chart Level 1</vt:lpstr>
      <vt:lpstr>ANNEX A</vt:lpstr>
      <vt:lpstr>Ex 4.1</vt:lpstr>
      <vt:lpstr>Ex 4.2 </vt:lpstr>
      <vt:lpstr>Ex 4.3</vt:lpstr>
      <vt:lpstr>Practical_2011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Jatuporn Kaew-on (จตุพร แก้วอ่อน)</cp:lastModifiedBy>
  <dcterms:created xsi:type="dcterms:W3CDTF">2013-10-14T04:33:19Z</dcterms:created>
  <dcterms:modified xsi:type="dcterms:W3CDTF">2014-07-28T04:39:21Z</dcterms:modified>
</cp:coreProperties>
</file>