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-sql\"/>
    </mc:Choice>
  </mc:AlternateContent>
  <xr:revisionPtr revIDLastSave="0" documentId="13_ncr:1_{C46244B8-772C-4ACA-AC68-339D707D41D1}" xr6:coauthVersionLast="47" xr6:coauthVersionMax="47" xr10:uidLastSave="{00000000-0000-0000-0000-000000000000}"/>
  <bookViews>
    <workbookView xWindow="-120" yWindow="-120" windowWidth="29040" windowHeight="15840" tabRatio="612" firstSheet="2" activeTab="2" xr2:uid="{00000000-000D-0000-FFFF-FFFF00000000}"/>
  </bookViews>
  <sheets>
    <sheet name="Sheet2" sheetId="7" state="hidden" r:id="rId1"/>
    <sheet name="BANKNIFTY" sheetId="3" state="hidden" r:id="rId2"/>
    <sheet name="NIFTY" sheetId="5" r:id="rId3"/>
    <sheet name="NIFTY_1_DEC" sheetId="9" state="hidden" r:id="rId4"/>
    <sheet name="CE" sheetId="10" state="hidden" r:id="rId5"/>
    <sheet name="PE" sheetId="11" state="hidden" r:id="rId6"/>
    <sheet name="Index_Nifty_banknifty" sheetId="6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xlnm.Print_Area" localSheetId="2">NIFTY!$D$1:$O$21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" i="5" l="1"/>
  <c r="U35" i="5"/>
  <c r="J4" i="5" a="1"/>
  <c r="J4" i="5"/>
  <c r="G4" i="5" a="1"/>
  <c r="G4" i="5"/>
  <c r="F4" i="5" a="1"/>
  <c r="F4" i="5"/>
  <c r="F3" i="5" a="1"/>
  <c r="F3" i="5"/>
  <c r="E3" i="5" a="1"/>
  <c r="E3" i="5"/>
  <c r="E4" i="5" a="1"/>
  <c r="E4" i="5"/>
  <c r="D4" i="5" a="1"/>
  <c r="D4" i="5"/>
  <c r="D3" i="5" a="1"/>
  <c r="D3" i="5"/>
  <c r="J35" i="5" a="1"/>
  <c r="J35" i="5" s="1"/>
  <c r="I35" i="5" a="1"/>
  <c r="I35" i="5" s="1"/>
  <c r="H35" i="5" a="1"/>
  <c r="H35" i="5" s="1"/>
  <c r="G35" i="5" a="1"/>
  <c r="G35" i="5" s="1"/>
  <c r="E35" i="5" a="1"/>
  <c r="E35" i="5" s="1"/>
  <c r="D35" i="5" a="1"/>
  <c r="D35" i="5" s="1"/>
  <c r="C35" i="5" a="1"/>
  <c r="C35" i="5" s="1"/>
  <c r="B35" i="5" a="1"/>
  <c r="B35" i="5" s="1"/>
  <c r="J34" i="5" a="1"/>
  <c r="J34" i="5" s="1"/>
  <c r="I34" i="5" a="1"/>
  <c r="I34" i="5" s="1"/>
  <c r="H34" i="5" a="1"/>
  <c r="H34" i="5" s="1"/>
  <c r="G34" i="5" a="1"/>
  <c r="G34" i="5" s="1"/>
  <c r="E34" i="5" a="1"/>
  <c r="E34" i="5" s="1"/>
  <c r="D34" i="5" a="1"/>
  <c r="D34" i="5" s="1"/>
  <c r="C34" i="5" a="1"/>
  <c r="C34" i="5" s="1"/>
  <c r="B34" i="5" a="1"/>
  <c r="B34" i="5" s="1"/>
  <c r="J33" i="5" a="1"/>
  <c r="J33" i="5" s="1"/>
  <c r="I33" i="5" a="1"/>
  <c r="I33" i="5" s="1"/>
  <c r="H33" i="5" a="1"/>
  <c r="H33" i="5" s="1"/>
  <c r="G33" i="5" a="1"/>
  <c r="G33" i="5" s="1"/>
  <c r="E33" i="5" a="1"/>
  <c r="E33" i="5" s="1"/>
  <c r="D33" i="5" a="1"/>
  <c r="D33" i="5" s="1"/>
  <c r="C33" i="5" a="1"/>
  <c r="C33" i="5" s="1"/>
  <c r="B33" i="5" a="1"/>
  <c r="B33" i="5" s="1"/>
  <c r="J32" i="5" a="1"/>
  <c r="J32" i="5" s="1"/>
  <c r="I32" i="5" a="1"/>
  <c r="I32" i="5" s="1"/>
  <c r="H32" i="5" a="1"/>
  <c r="H32" i="5" s="1"/>
  <c r="G32" i="5" a="1"/>
  <c r="G32" i="5" s="1"/>
  <c r="E32" i="5" a="1"/>
  <c r="E32" i="5" s="1"/>
  <c r="D32" i="5" a="1"/>
  <c r="D32" i="5" s="1"/>
  <c r="C32" i="5" a="1"/>
  <c r="C32" i="5" s="1"/>
  <c r="B32" i="5" a="1"/>
  <c r="B32" i="5" s="1"/>
  <c r="J31" i="5" a="1"/>
  <c r="J31" i="5" s="1"/>
  <c r="I31" i="5" a="1"/>
  <c r="I31" i="5" s="1"/>
  <c r="H31" i="5" a="1"/>
  <c r="H31" i="5" s="1"/>
  <c r="G31" i="5" a="1"/>
  <c r="G31" i="5" s="1"/>
  <c r="E31" i="5" a="1"/>
  <c r="E31" i="5" s="1"/>
  <c r="D31" i="5" a="1"/>
  <c r="D31" i="5" s="1"/>
  <c r="C31" i="5" a="1"/>
  <c r="C31" i="5" s="1"/>
  <c r="B31" i="5" a="1"/>
  <c r="B31" i="5" s="1"/>
  <c r="J30" i="5" a="1"/>
  <c r="J30" i="5" s="1"/>
  <c r="I30" i="5" a="1"/>
  <c r="I30" i="5" s="1"/>
  <c r="H30" i="5" a="1"/>
  <c r="H30" i="5" s="1"/>
  <c r="G30" i="5" a="1"/>
  <c r="G30" i="5" s="1"/>
  <c r="E30" i="5" a="1"/>
  <c r="E30" i="5" s="1"/>
  <c r="D30" i="5" a="1"/>
  <c r="D30" i="5" s="1"/>
  <c r="C30" i="5" a="1"/>
  <c r="C30" i="5" s="1"/>
  <c r="B30" i="5" a="1"/>
  <c r="B30" i="5" s="1"/>
  <c r="J29" i="5" a="1"/>
  <c r="J29" i="5" s="1"/>
  <c r="I29" i="5" a="1"/>
  <c r="I29" i="5" s="1"/>
  <c r="H29" i="5" a="1"/>
  <c r="H29" i="5" s="1"/>
  <c r="G29" i="5" a="1"/>
  <c r="G29" i="5" s="1"/>
  <c r="E29" i="5" a="1"/>
  <c r="E29" i="5" s="1"/>
  <c r="D29" i="5" a="1"/>
  <c r="D29" i="5" s="1"/>
  <c r="C29" i="5" a="1"/>
  <c r="C29" i="5" s="1"/>
  <c r="B29" i="5" a="1"/>
  <c r="B29" i="5" s="1"/>
  <c r="J28" i="5" a="1"/>
  <c r="J28" i="5" s="1"/>
  <c r="I28" i="5" a="1"/>
  <c r="I28" i="5" s="1"/>
  <c r="H28" i="5" a="1"/>
  <c r="H28" i="5" s="1"/>
  <c r="G28" i="5" a="1"/>
  <c r="G28" i="5" s="1"/>
  <c r="E28" i="5" a="1"/>
  <c r="E28" i="5" s="1"/>
  <c r="D28" i="5" a="1"/>
  <c r="D28" i="5" s="1"/>
  <c r="C28" i="5" a="1"/>
  <c r="C28" i="5" s="1"/>
  <c r="B28" i="5" a="1"/>
  <c r="B28" i="5" s="1"/>
  <c r="J27" i="5" a="1"/>
  <c r="J27" i="5" s="1"/>
  <c r="I27" i="5" a="1"/>
  <c r="I27" i="5" s="1"/>
  <c r="H27" i="5" a="1"/>
  <c r="H27" i="5" s="1"/>
  <c r="G27" i="5" a="1"/>
  <c r="G27" i="5" s="1"/>
  <c r="E27" i="5" a="1"/>
  <c r="E27" i="5" s="1"/>
  <c r="D27" i="5" a="1"/>
  <c r="D27" i="5" s="1"/>
  <c r="C27" i="5" a="1"/>
  <c r="C27" i="5" s="1"/>
  <c r="B27" i="5" a="1"/>
  <c r="B27" i="5" s="1"/>
  <c r="J26" i="5" a="1"/>
  <c r="J26" i="5" s="1"/>
  <c r="I26" i="5" a="1"/>
  <c r="I26" i="5" s="1"/>
  <c r="H26" i="5" a="1"/>
  <c r="H26" i="5" s="1"/>
  <c r="G26" i="5" a="1"/>
  <c r="G26" i="5" s="1"/>
  <c r="E26" i="5" a="1"/>
  <c r="E26" i="5" s="1"/>
  <c r="D26" i="5" a="1"/>
  <c r="D26" i="5" s="1"/>
  <c r="C26" i="5" a="1"/>
  <c r="C26" i="5" s="1"/>
  <c r="B26" i="5" a="1"/>
  <c r="B26" i="5" s="1"/>
  <c r="J25" i="5" a="1"/>
  <c r="J25" i="5" s="1"/>
  <c r="I25" i="5" a="1"/>
  <c r="I25" i="5" s="1"/>
  <c r="H25" i="5" a="1"/>
  <c r="H25" i="5" s="1"/>
  <c r="G25" i="5" a="1"/>
  <c r="G25" i="5" s="1"/>
  <c r="E25" i="5" a="1"/>
  <c r="E25" i="5" s="1"/>
  <c r="D25" i="5" a="1"/>
  <c r="D25" i="5" s="1"/>
  <c r="C25" i="5" a="1"/>
  <c r="C25" i="5" s="1"/>
  <c r="B25" i="5" a="1"/>
  <c r="B25" i="5" s="1"/>
  <c r="J24" i="5" a="1"/>
  <c r="J24" i="5" s="1"/>
  <c r="I24" i="5" a="1"/>
  <c r="I24" i="5" s="1"/>
  <c r="H24" i="5" a="1"/>
  <c r="H24" i="5" s="1"/>
  <c r="G24" i="5" a="1"/>
  <c r="G24" i="5" s="1"/>
  <c r="E24" i="5" a="1"/>
  <c r="E24" i="5" s="1"/>
  <c r="D24" i="5" a="1"/>
  <c r="D24" i="5" s="1"/>
  <c r="C24" i="5" a="1"/>
  <c r="C24" i="5" s="1"/>
  <c r="B24" i="5" a="1"/>
  <c r="B24" i="5" s="1"/>
  <c r="J23" i="5" a="1"/>
  <c r="J23" i="5" s="1"/>
  <c r="I23" i="5" a="1"/>
  <c r="I23" i="5" s="1"/>
  <c r="H23" i="5" a="1"/>
  <c r="H23" i="5" s="1"/>
  <c r="G23" i="5" a="1"/>
  <c r="G23" i="5" s="1"/>
  <c r="E23" i="5" a="1"/>
  <c r="E23" i="5" s="1"/>
  <c r="D23" i="5" a="1"/>
  <c r="D23" i="5" s="1"/>
  <c r="C23" i="5" a="1"/>
  <c r="C23" i="5" s="1"/>
  <c r="B23" i="5" a="1"/>
  <c r="B23" i="5" s="1"/>
  <c r="J22" i="5" a="1"/>
  <c r="J22" i="5" s="1"/>
  <c r="I22" i="5" a="1"/>
  <c r="I22" i="5" s="1"/>
  <c r="H22" i="5" a="1"/>
  <c r="H22" i="5" s="1"/>
  <c r="G22" i="5" a="1"/>
  <c r="G22" i="5" s="1"/>
  <c r="E22" i="5" a="1"/>
  <c r="E22" i="5" s="1"/>
  <c r="D22" i="5" a="1"/>
  <c r="D22" i="5" s="1"/>
  <c r="C22" i="5" a="1"/>
  <c r="C22" i="5" s="1"/>
  <c r="B22" i="5" a="1"/>
  <c r="B22" i="5" s="1"/>
  <c r="J21" i="5" a="1"/>
  <c r="J21" i="5" s="1"/>
  <c r="I21" i="5" a="1"/>
  <c r="I21" i="5" s="1"/>
  <c r="H21" i="5" a="1"/>
  <c r="H21" i="5" s="1"/>
  <c r="G21" i="5" a="1"/>
  <c r="G21" i="5" s="1"/>
  <c r="E21" i="5" a="1"/>
  <c r="E21" i="5" s="1"/>
  <c r="D21" i="5" a="1"/>
  <c r="D21" i="5" s="1"/>
  <c r="C21" i="5" a="1"/>
  <c r="C21" i="5" s="1"/>
  <c r="B21" i="5" a="1"/>
  <c r="B21" i="5" s="1"/>
  <c r="J20" i="5" a="1"/>
  <c r="J20" i="5" s="1"/>
  <c r="I20" i="5" a="1"/>
  <c r="I20" i="5" s="1"/>
  <c r="H20" i="5" a="1"/>
  <c r="H20" i="5" s="1"/>
  <c r="G20" i="5" a="1"/>
  <c r="G20" i="5" s="1"/>
  <c r="E20" i="5" a="1"/>
  <c r="E20" i="5" s="1"/>
  <c r="D20" i="5" a="1"/>
  <c r="D20" i="5" s="1"/>
  <c r="C20" i="5" a="1"/>
  <c r="C20" i="5" s="1"/>
  <c r="B20" i="5" a="1"/>
  <c r="B20" i="5" s="1"/>
  <c r="J19" i="5" a="1"/>
  <c r="J19" i="5" s="1"/>
  <c r="I19" i="5" a="1"/>
  <c r="I19" i="5" s="1"/>
  <c r="H19" i="5" a="1"/>
  <c r="H19" i="5" s="1"/>
  <c r="G19" i="5" a="1"/>
  <c r="G19" i="5" s="1"/>
  <c r="E19" i="5" a="1"/>
  <c r="E19" i="5" s="1"/>
  <c r="D19" i="5" a="1"/>
  <c r="D19" i="5" s="1"/>
  <c r="C19" i="5" a="1"/>
  <c r="C19" i="5" s="1"/>
  <c r="B19" i="5" a="1"/>
  <c r="B19" i="5" s="1"/>
  <c r="J18" i="5" a="1"/>
  <c r="J18" i="5" s="1"/>
  <c r="I18" i="5" a="1"/>
  <c r="I18" i="5" s="1"/>
  <c r="H18" i="5" a="1"/>
  <c r="H18" i="5" s="1"/>
  <c r="G18" i="5" a="1"/>
  <c r="G18" i="5" s="1"/>
  <c r="E18" i="5" a="1"/>
  <c r="E18" i="5" s="1"/>
  <c r="D18" i="5" a="1"/>
  <c r="D18" i="5" s="1"/>
  <c r="C18" i="5" a="1"/>
  <c r="C18" i="5" s="1"/>
  <c r="B18" i="5" a="1"/>
  <c r="B18" i="5" s="1"/>
  <c r="J17" i="5" a="1"/>
  <c r="J17" i="5" s="1"/>
  <c r="I17" i="5" a="1"/>
  <c r="I17" i="5" s="1"/>
  <c r="H17" i="5" a="1"/>
  <c r="H17" i="5" s="1"/>
  <c r="G17" i="5" a="1"/>
  <c r="G17" i="5" s="1"/>
  <c r="E17" i="5" a="1"/>
  <c r="E17" i="5" s="1"/>
  <c r="D17" i="5" a="1"/>
  <c r="D17" i="5" s="1"/>
  <c r="C17" i="5" a="1"/>
  <c r="C17" i="5" s="1"/>
  <c r="B17" i="5" a="1"/>
  <c r="B17" i="5" s="1"/>
  <c r="J16" i="5" a="1"/>
  <c r="J16" i="5" s="1"/>
  <c r="I16" i="5" a="1"/>
  <c r="I16" i="5" s="1"/>
  <c r="H16" i="5" a="1"/>
  <c r="H16" i="5" s="1"/>
  <c r="G16" i="5" a="1"/>
  <c r="G16" i="5" s="1"/>
  <c r="E16" i="5" a="1"/>
  <c r="E16" i="5" s="1"/>
  <c r="D16" i="5" a="1"/>
  <c r="D16" i="5" s="1"/>
  <c r="C16" i="5" a="1"/>
  <c r="C16" i="5" s="1"/>
  <c r="B16" i="5" a="1"/>
  <c r="B16" i="5" s="1"/>
  <c r="J15" i="5" a="1"/>
  <c r="J15" i="5" s="1"/>
  <c r="I15" i="5" a="1"/>
  <c r="I15" i="5" s="1"/>
  <c r="H15" i="5" a="1"/>
  <c r="H15" i="5" s="1"/>
  <c r="G15" i="5" a="1"/>
  <c r="G15" i="5" s="1"/>
  <c r="E15" i="5" a="1"/>
  <c r="E15" i="5" s="1"/>
  <c r="D15" i="5" a="1"/>
  <c r="D15" i="5" s="1"/>
  <c r="C15" i="5" a="1"/>
  <c r="C15" i="5" s="1"/>
  <c r="B15" i="5" a="1"/>
  <c r="B15" i="5" s="1"/>
  <c r="J14" i="5" a="1"/>
  <c r="J14" i="5" s="1"/>
  <c r="I14" i="5" a="1"/>
  <c r="I14" i="5" s="1"/>
  <c r="H14" i="5" a="1"/>
  <c r="H14" i="5" s="1"/>
  <c r="G14" i="5" a="1"/>
  <c r="G14" i="5" s="1"/>
  <c r="E14" i="5" a="1"/>
  <c r="E14" i="5" s="1"/>
  <c r="D14" i="5" a="1"/>
  <c r="D14" i="5" s="1"/>
  <c r="C14" i="5" a="1"/>
  <c r="C14" i="5" s="1"/>
  <c r="B14" i="5" a="1"/>
  <c r="B14" i="5" s="1"/>
  <c r="J13" i="5" a="1"/>
  <c r="J13" i="5" s="1"/>
  <c r="I13" i="5" a="1"/>
  <c r="I13" i="5" s="1"/>
  <c r="H13" i="5" a="1"/>
  <c r="H13" i="5" s="1"/>
  <c r="G13" i="5" a="1"/>
  <c r="G13" i="5" s="1"/>
  <c r="E13" i="5" a="1"/>
  <c r="E13" i="5" s="1"/>
  <c r="D13" i="5" a="1"/>
  <c r="D13" i="5" s="1"/>
  <c r="C13" i="5" a="1"/>
  <c r="C13" i="5" s="1"/>
  <c r="B13" i="5" a="1"/>
  <c r="B13" i="5" s="1"/>
  <c r="J12" i="5" a="1"/>
  <c r="J12" i="5" s="1"/>
  <c r="I12" i="5" a="1"/>
  <c r="I12" i="5" s="1"/>
  <c r="H12" i="5" a="1"/>
  <c r="H12" i="5" s="1"/>
  <c r="G12" i="5" a="1"/>
  <c r="G12" i="5" s="1"/>
  <c r="E12" i="5" a="1"/>
  <c r="E12" i="5" s="1"/>
  <c r="D12" i="5" a="1"/>
  <c r="D12" i="5" s="1"/>
  <c r="C12" i="5" a="1"/>
  <c r="C12" i="5" s="1"/>
  <c r="B12" i="5" a="1"/>
  <c r="B12" i="5" s="1"/>
  <c r="J11" i="5" a="1"/>
  <c r="J11" i="5" s="1"/>
  <c r="I11" i="5" a="1"/>
  <c r="I11" i="5" s="1"/>
  <c r="H11" i="5" a="1"/>
  <c r="H11" i="5" s="1"/>
  <c r="G11" i="5" a="1"/>
  <c r="G11" i="5" s="1"/>
  <c r="E11" i="5" a="1"/>
  <c r="E11" i="5" s="1"/>
  <c r="D11" i="5" a="1"/>
  <c r="D11" i="5" s="1"/>
  <c r="C11" i="5" a="1"/>
  <c r="C11" i="5" s="1"/>
  <c r="B11" i="5" a="1"/>
  <c r="B11" i="5" s="1"/>
  <c r="J10" i="5" a="1"/>
  <c r="J10" i="5" s="1"/>
  <c r="I10" i="5" a="1"/>
  <c r="I10" i="5" s="1"/>
  <c r="H10" i="5" a="1"/>
  <c r="H10" i="5" s="1"/>
  <c r="G10" i="5" a="1"/>
  <c r="G10" i="5" s="1"/>
  <c r="E10" i="5" a="1"/>
  <c r="E10" i="5" s="1"/>
  <c r="D10" i="5" a="1"/>
  <c r="D10" i="5" s="1"/>
  <c r="C10" i="5" a="1"/>
  <c r="C10" i="5" s="1"/>
  <c r="B10" i="5" a="1"/>
  <c r="B10" i="5" s="1"/>
  <c r="J9" i="5" a="1"/>
  <c r="J9" i="5" s="1"/>
  <c r="I9" i="5" a="1"/>
  <c r="I9" i="5" s="1"/>
  <c r="H9" i="5" a="1"/>
  <c r="H9" i="5" s="1"/>
  <c r="G9" i="5" a="1"/>
  <c r="G9" i="5" s="1"/>
  <c r="E9" i="5" a="1"/>
  <c r="E9" i="5" s="1"/>
  <c r="D9" i="5" a="1"/>
  <c r="D9" i="5" s="1"/>
  <c r="C9" i="5" a="1"/>
  <c r="C9" i="5" s="1"/>
  <c r="B9" i="5" a="1"/>
  <c r="B9" i="5" s="1"/>
  <c r="J8" i="5" a="1"/>
  <c r="J8" i="5" s="1"/>
  <c r="I8" i="5" a="1"/>
  <c r="I8" i="5" s="1"/>
  <c r="H8" i="5" a="1"/>
  <c r="H8" i="5" s="1"/>
  <c r="G8" i="5" a="1"/>
  <c r="G8" i="5" s="1"/>
  <c r="E8" i="5" a="1"/>
  <c r="E8" i="5" s="1"/>
  <c r="D8" i="5" a="1"/>
  <c r="D8" i="5" s="1"/>
  <c r="C8" i="5" a="1"/>
  <c r="C8" i="5" s="1"/>
  <c r="B8" i="5" a="1"/>
  <c r="B8" i="5" s="1"/>
  <c r="J7" i="5" a="1"/>
  <c r="J7" i="5" s="1"/>
  <c r="I7" i="5" a="1"/>
  <c r="I7" i="5" s="1"/>
  <c r="H7" i="5" a="1"/>
  <c r="H7" i="5" s="1"/>
  <c r="G7" i="5" a="1"/>
  <c r="G7" i="5" s="1"/>
  <c r="E7" i="5" a="1"/>
  <c r="E7" i="5" s="1"/>
  <c r="D7" i="5" a="1"/>
  <c r="D7" i="5" s="1"/>
  <c r="C7" i="5" a="1"/>
  <c r="C7" i="5" s="1"/>
  <c r="B7" i="5" a="1"/>
  <c r="B7" i="5" s="1"/>
  <c r="U7" i="5" l="1"/>
  <c r="U8" i="5"/>
  <c r="U9" i="5"/>
  <c r="U10" i="5"/>
  <c r="U11" i="5"/>
  <c r="T9" i="5"/>
  <c r="B9" i="6" a="1"/>
  <c r="B9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L9" i="5" l="1"/>
  <c r="L17" i="5"/>
  <c r="L26" i="5"/>
  <c r="L25" i="5"/>
  <c r="L33" i="5"/>
  <c r="L10" i="5"/>
  <c r="L14" i="5"/>
  <c r="L18" i="5"/>
  <c r="L22" i="5"/>
  <c r="L30" i="5"/>
  <c r="L34" i="5"/>
  <c r="L11" i="5"/>
  <c r="L15" i="5"/>
  <c r="L19" i="5"/>
  <c r="L23" i="5"/>
  <c r="L27" i="5"/>
  <c r="L31" i="5"/>
  <c r="L35" i="5"/>
  <c r="L8" i="5"/>
  <c r="L12" i="5"/>
  <c r="L16" i="5"/>
  <c r="L20" i="5"/>
  <c r="L24" i="5"/>
  <c r="L28" i="5"/>
  <c r="L32" i="5"/>
  <c r="L13" i="5"/>
  <c r="L21" i="5"/>
  <c r="L29" i="5"/>
  <c r="K31" i="5"/>
  <c r="K8" i="5"/>
  <c r="K12" i="5"/>
  <c r="K16" i="5"/>
  <c r="L7" i="5"/>
  <c r="K34" i="5"/>
  <c r="K10" i="5"/>
  <c r="K30" i="5"/>
  <c r="K26" i="5"/>
  <c r="K14" i="5"/>
  <c r="K20" i="5"/>
  <c r="K24" i="5"/>
  <c r="K28" i="5"/>
  <c r="K32" i="5"/>
  <c r="K18" i="5"/>
  <c r="K9" i="5"/>
  <c r="K13" i="5"/>
  <c r="K17" i="5"/>
  <c r="K21" i="5"/>
  <c r="K25" i="5"/>
  <c r="K29" i="5"/>
  <c r="K33" i="5"/>
  <c r="K22" i="5"/>
  <c r="K11" i="5"/>
  <c r="K15" i="5"/>
  <c r="K19" i="5"/>
  <c r="K23" i="5"/>
  <c r="K27" i="5"/>
  <c r="K35" i="5"/>
  <c r="K7" i="5"/>
  <c r="M7" i="5"/>
  <c r="M27" i="5"/>
  <c r="C5" i="6" a="1"/>
  <c r="C5" i="6" s="1"/>
  <c r="G2" i="10" a="1"/>
  <c r="G2" i="10" s="1"/>
  <c r="C2" i="10" a="1"/>
  <c r="C2" i="10" s="1"/>
  <c r="F2" i="10" a="1"/>
  <c r="F2" i="10" s="1"/>
  <c r="D2" i="10" a="1"/>
  <c r="D2" i="10" s="1"/>
  <c r="B2" i="10" a="1"/>
  <c r="B2" i="10" s="1"/>
  <c r="E2" i="10" a="1"/>
  <c r="E2" i="10" s="1"/>
  <c r="G3" i="10" a="1"/>
  <c r="G3" i="10" s="1"/>
  <c r="C3" i="10" a="1"/>
  <c r="C3" i="10" s="1"/>
  <c r="F3" i="10" a="1"/>
  <c r="F3" i="10" s="1"/>
  <c r="D3" i="10" a="1"/>
  <c r="D3" i="10" s="1"/>
  <c r="B3" i="10" a="1"/>
  <c r="B3" i="10" s="1"/>
  <c r="E3" i="10" a="1"/>
  <c r="E3" i="10" s="1"/>
  <c r="G4" i="10" a="1"/>
  <c r="G4" i="10" s="1"/>
  <c r="C4" i="10" a="1"/>
  <c r="C4" i="10" s="1"/>
  <c r="F4" i="10" a="1"/>
  <c r="F4" i="10" s="1"/>
  <c r="D4" i="10" a="1"/>
  <c r="D4" i="10" s="1"/>
  <c r="B4" i="10" a="1"/>
  <c r="B4" i="10" s="1"/>
  <c r="E4" i="10" a="1"/>
  <c r="E4" i="10" s="1"/>
  <c r="G5" i="10" a="1"/>
  <c r="G5" i="10" s="1"/>
  <c r="C5" i="10" a="1"/>
  <c r="C5" i="10" s="1"/>
  <c r="F5" i="10" a="1"/>
  <c r="F5" i="10" s="1"/>
  <c r="D5" i="10" a="1"/>
  <c r="D5" i="10" s="1"/>
  <c r="B5" i="10" a="1"/>
  <c r="B5" i="10" s="1"/>
  <c r="E5" i="10" a="1"/>
  <c r="E5" i="10" s="1"/>
  <c r="G6" i="10" a="1"/>
  <c r="G6" i="10" s="1"/>
  <c r="C6" i="10" a="1"/>
  <c r="C6" i="10" s="1"/>
  <c r="F6" i="10" a="1"/>
  <c r="F6" i="10" s="1"/>
  <c r="D6" i="10" a="1"/>
  <c r="D6" i="10" s="1"/>
  <c r="B6" i="10" a="1"/>
  <c r="B6" i="10" s="1"/>
  <c r="E6" i="10" a="1"/>
  <c r="E6" i="10" s="1"/>
  <c r="G7" i="10" a="1"/>
  <c r="G7" i="10" s="1"/>
  <c r="C7" i="10" a="1"/>
  <c r="C7" i="10" s="1"/>
  <c r="F7" i="10" a="1"/>
  <c r="F7" i="10" s="1"/>
  <c r="D7" i="10" a="1"/>
  <c r="D7" i="10" s="1"/>
  <c r="B7" i="10" a="1"/>
  <c r="B7" i="10" s="1"/>
  <c r="E7" i="10" a="1"/>
  <c r="E7" i="10" s="1"/>
  <c r="G8" i="10" a="1"/>
  <c r="G8" i="10" s="1"/>
  <c r="C8" i="10" a="1"/>
  <c r="C8" i="10" s="1"/>
  <c r="F8" i="10" a="1"/>
  <c r="F8" i="10" s="1"/>
  <c r="D8" i="10" a="1"/>
  <c r="D8" i="10" s="1"/>
  <c r="B8" i="10" a="1"/>
  <c r="B8" i="10" s="1"/>
  <c r="E8" i="10" a="1"/>
  <c r="E8" i="10" s="1"/>
  <c r="G9" i="10" a="1"/>
  <c r="G9" i="10" s="1"/>
  <c r="C9" i="10" a="1"/>
  <c r="C9" i="10" s="1"/>
  <c r="F9" i="10" a="1"/>
  <c r="F9" i="10" s="1"/>
  <c r="D9" i="10" a="1"/>
  <c r="D9" i="10" s="1"/>
  <c r="B9" i="10" a="1"/>
  <c r="B9" i="10" s="1"/>
  <c r="E9" i="10" a="1"/>
  <c r="E9" i="10" s="1"/>
  <c r="G10" i="10" a="1"/>
  <c r="G10" i="10" s="1"/>
  <c r="C10" i="10" a="1"/>
  <c r="C10" i="10" s="1"/>
  <c r="F10" i="10" a="1"/>
  <c r="F10" i="10" s="1"/>
  <c r="D10" i="10" a="1"/>
  <c r="D10" i="10" s="1"/>
  <c r="B10" i="10" a="1"/>
  <c r="B10" i="10" s="1"/>
  <c r="E10" i="10" a="1"/>
  <c r="E10" i="10" s="1"/>
  <c r="G11" i="10" a="1"/>
  <c r="G11" i="10" s="1"/>
  <c r="C11" i="10" a="1"/>
  <c r="C11" i="10" s="1"/>
  <c r="F11" i="10" a="1"/>
  <c r="F11" i="10" s="1"/>
  <c r="D11" i="10" a="1"/>
  <c r="D11" i="10" s="1"/>
  <c r="B11" i="10" a="1"/>
  <c r="B11" i="10" s="1"/>
  <c r="E11" i="10" a="1"/>
  <c r="E11" i="10" s="1"/>
  <c r="G12" i="10" a="1"/>
  <c r="G12" i="10" s="1"/>
  <c r="C12" i="10" a="1"/>
  <c r="C12" i="10" s="1"/>
  <c r="F12" i="10" a="1"/>
  <c r="F12" i="10" s="1"/>
  <c r="D12" i="10" a="1"/>
  <c r="D12" i="10" s="1"/>
  <c r="B12" i="10" a="1"/>
  <c r="B12" i="10" s="1"/>
  <c r="E12" i="10" a="1"/>
  <c r="E12" i="10" s="1"/>
  <c r="G13" i="10" a="1"/>
  <c r="G13" i="10" s="1"/>
  <c r="C13" i="10" a="1"/>
  <c r="C13" i="10" s="1"/>
  <c r="F13" i="10" a="1"/>
  <c r="F13" i="10" s="1"/>
  <c r="D13" i="10" a="1"/>
  <c r="D13" i="10" s="1"/>
  <c r="B13" i="10" a="1"/>
  <c r="B13" i="10" s="1"/>
  <c r="E13" i="10" a="1"/>
  <c r="E13" i="10" s="1"/>
  <c r="G14" i="10" a="1"/>
  <c r="G14" i="10" s="1"/>
  <c r="C14" i="10" a="1"/>
  <c r="C14" i="10" s="1"/>
  <c r="F14" i="10" a="1"/>
  <c r="F14" i="10" s="1"/>
  <c r="D14" i="10" a="1"/>
  <c r="D14" i="10" s="1"/>
  <c r="B14" i="10" a="1"/>
  <c r="B14" i="10" s="1"/>
  <c r="E14" i="10" a="1"/>
  <c r="E14" i="10" s="1"/>
  <c r="G15" i="10" a="1"/>
  <c r="G15" i="10" s="1"/>
  <c r="C15" i="10" a="1"/>
  <c r="C15" i="10" s="1"/>
  <c r="F15" i="10" a="1"/>
  <c r="F15" i="10" s="1"/>
  <c r="D15" i="10" a="1"/>
  <c r="D15" i="10" s="1"/>
  <c r="B15" i="10" a="1"/>
  <c r="B15" i="10" s="1"/>
  <c r="E15" i="10" a="1"/>
  <c r="E15" i="10" s="1"/>
  <c r="G16" i="10" a="1"/>
  <c r="G16" i="10" s="1"/>
  <c r="C16" i="10" a="1"/>
  <c r="C16" i="10" s="1"/>
  <c r="F16" i="10" a="1"/>
  <c r="F16" i="10" s="1"/>
  <c r="D16" i="10" a="1"/>
  <c r="D16" i="10" s="1"/>
  <c r="B16" i="10" a="1"/>
  <c r="B16" i="10" s="1"/>
  <c r="E16" i="10" a="1"/>
  <c r="E16" i="10" s="1"/>
  <c r="G17" i="10" a="1"/>
  <c r="G17" i="10" s="1"/>
  <c r="C17" i="10" a="1"/>
  <c r="C17" i="10" s="1"/>
  <c r="F17" i="10" a="1"/>
  <c r="F17" i="10" s="1"/>
  <c r="D17" i="10" a="1"/>
  <c r="D17" i="10" s="1"/>
  <c r="B17" i="10" a="1"/>
  <c r="B17" i="10" s="1"/>
  <c r="E17" i="10" a="1"/>
  <c r="E17" i="10" s="1"/>
  <c r="G18" i="10" a="1"/>
  <c r="G18" i="10" s="1"/>
  <c r="C18" i="10" a="1"/>
  <c r="C18" i="10" s="1"/>
  <c r="F18" i="10" a="1"/>
  <c r="F18" i="10" s="1"/>
  <c r="D18" i="10" a="1"/>
  <c r="D18" i="10" s="1"/>
  <c r="B18" i="10" a="1"/>
  <c r="B18" i="10" s="1"/>
  <c r="E18" i="10" a="1"/>
  <c r="E18" i="10" s="1"/>
  <c r="G19" i="10" a="1"/>
  <c r="G19" i="10" s="1"/>
  <c r="C19" i="10" a="1"/>
  <c r="C19" i="10" s="1"/>
  <c r="F19" i="10" a="1"/>
  <c r="F19" i="10" s="1"/>
  <c r="D19" i="10" a="1"/>
  <c r="D19" i="10" s="1"/>
  <c r="B19" i="10" a="1"/>
  <c r="B19" i="10" s="1"/>
  <c r="E19" i="10" a="1"/>
  <c r="E19" i="10" s="1"/>
  <c r="G20" i="10" a="1"/>
  <c r="G20" i="10" s="1"/>
  <c r="C20" i="10" a="1"/>
  <c r="C20" i="10" s="1"/>
  <c r="F20" i="10" a="1"/>
  <c r="F20" i="10" s="1"/>
  <c r="D20" i="10" a="1"/>
  <c r="D20" i="10" s="1"/>
  <c r="B20" i="10" a="1"/>
  <c r="B20" i="10" s="1"/>
  <c r="E20" i="10" a="1"/>
  <c r="E20" i="10" s="1"/>
  <c r="G21" i="10" a="1"/>
  <c r="G21" i="10" s="1"/>
  <c r="C21" i="10" a="1"/>
  <c r="C21" i="10" s="1"/>
  <c r="F21" i="10" a="1"/>
  <c r="F21" i="10" s="1"/>
  <c r="D21" i="10" a="1"/>
  <c r="D21" i="10" s="1"/>
  <c r="B21" i="10" a="1"/>
  <c r="B21" i="10" s="1"/>
  <c r="E21" i="10" a="1"/>
  <c r="E21" i="10" s="1"/>
  <c r="G22" i="10" a="1"/>
  <c r="G22" i="10" s="1"/>
  <c r="C22" i="10" a="1"/>
  <c r="C22" i="10" s="1"/>
  <c r="F22" i="10" a="1"/>
  <c r="F22" i="10" s="1"/>
  <c r="D22" i="10" a="1"/>
  <c r="D22" i="10" s="1"/>
  <c r="B22" i="10" a="1"/>
  <c r="B22" i="10" s="1"/>
  <c r="E22" i="10" a="1"/>
  <c r="E22" i="10" s="1"/>
  <c r="G23" i="10" a="1"/>
  <c r="G23" i="10" s="1"/>
  <c r="C23" i="10" a="1"/>
  <c r="C23" i="10" s="1"/>
  <c r="F23" i="10" a="1"/>
  <c r="F23" i="10" s="1"/>
  <c r="D23" i="10" a="1"/>
  <c r="D23" i="10" s="1"/>
  <c r="B23" i="10" a="1"/>
  <c r="B23" i="10" s="1"/>
  <c r="E23" i="10" a="1"/>
  <c r="E23" i="10" s="1"/>
  <c r="G24" i="10" a="1"/>
  <c r="G24" i="10" s="1"/>
  <c r="C24" i="10" a="1"/>
  <c r="C24" i="10" s="1"/>
  <c r="F24" i="10" a="1"/>
  <c r="F24" i="10" s="1"/>
  <c r="D24" i="10" a="1"/>
  <c r="D24" i="10" s="1"/>
  <c r="B24" i="10" a="1"/>
  <c r="B24" i="10" s="1"/>
  <c r="E24" i="10" a="1"/>
  <c r="E24" i="10" s="1"/>
  <c r="G25" i="10" a="1"/>
  <c r="G25" i="10" s="1"/>
  <c r="C25" i="10" a="1"/>
  <c r="C25" i="10" s="1"/>
  <c r="F25" i="10" a="1"/>
  <c r="F25" i="10" s="1"/>
  <c r="D25" i="10" a="1"/>
  <c r="D25" i="10" s="1"/>
  <c r="B25" i="10" a="1"/>
  <c r="B25" i="10" s="1"/>
  <c r="E25" i="10" a="1"/>
  <c r="E25" i="10" s="1"/>
  <c r="G26" i="10" a="1"/>
  <c r="G26" i="10" s="1"/>
  <c r="C26" i="10" a="1"/>
  <c r="C26" i="10" s="1"/>
  <c r="F26" i="10" a="1"/>
  <c r="F26" i="10" s="1"/>
  <c r="D26" i="10" a="1"/>
  <c r="D26" i="10" s="1"/>
  <c r="B26" i="10" a="1"/>
  <c r="B26" i="10" s="1"/>
  <c r="E26" i="10" a="1"/>
  <c r="E26" i="10" s="1"/>
  <c r="G27" i="10" a="1"/>
  <c r="G27" i="10" s="1"/>
  <c r="C27" i="10" a="1"/>
  <c r="C27" i="10" s="1"/>
  <c r="F27" i="10" a="1"/>
  <c r="F27" i="10" s="1"/>
  <c r="D27" i="10" a="1"/>
  <c r="D27" i="10" s="1"/>
  <c r="B27" i="10" a="1"/>
  <c r="B27" i="10" s="1"/>
  <c r="E27" i="10" a="1"/>
  <c r="E27" i="10" s="1"/>
  <c r="G28" i="10" a="1"/>
  <c r="G28" i="10" s="1"/>
  <c r="C28" i="10" a="1"/>
  <c r="C28" i="10" s="1"/>
  <c r="F28" i="10" a="1"/>
  <c r="F28" i="10" s="1"/>
  <c r="D28" i="10" a="1"/>
  <c r="D28" i="10" s="1"/>
  <c r="B28" i="10" a="1"/>
  <c r="B28" i="10" s="1"/>
  <c r="E28" i="10" a="1"/>
  <c r="E28" i="10" s="1"/>
  <c r="G29" i="10" a="1"/>
  <c r="G29" i="10" s="1"/>
  <c r="C29" i="10" a="1"/>
  <c r="C29" i="10" s="1"/>
  <c r="F29" i="10" a="1"/>
  <c r="F29" i="10" s="1"/>
  <c r="D29" i="10" a="1"/>
  <c r="D29" i="10" s="1"/>
  <c r="B29" i="10" a="1"/>
  <c r="B29" i="10" s="1"/>
  <c r="E29" i="10" a="1"/>
  <c r="E29" i="10" s="1"/>
  <c r="G30" i="10" a="1"/>
  <c r="G30" i="10" s="1"/>
  <c r="C30" i="10" a="1"/>
  <c r="C30" i="10" s="1"/>
  <c r="F30" i="10" a="1"/>
  <c r="F30" i="10" s="1"/>
  <c r="D30" i="10" a="1"/>
  <c r="D30" i="10" s="1"/>
  <c r="B30" i="10" a="1"/>
  <c r="B30" i="10" s="1"/>
  <c r="E30" i="10" a="1"/>
  <c r="E30" i="10" s="1"/>
  <c r="G31" i="10" a="1"/>
  <c r="G31" i="10" s="1"/>
  <c r="C31" i="10" a="1"/>
  <c r="C31" i="10" s="1"/>
  <c r="F31" i="10" a="1"/>
  <c r="F31" i="10" s="1"/>
  <c r="D31" i="10" a="1"/>
  <c r="D31" i="10" s="1"/>
  <c r="B31" i="10" a="1"/>
  <c r="B31" i="10" s="1"/>
  <c r="E31" i="10" a="1"/>
  <c r="E31" i="10" s="1"/>
  <c r="G32" i="10" a="1"/>
  <c r="G32" i="10" s="1"/>
  <c r="C32" i="10" a="1"/>
  <c r="C32" i="10" s="1"/>
  <c r="F32" i="10" a="1"/>
  <c r="F32" i="10" s="1"/>
  <c r="D32" i="10" a="1"/>
  <c r="D32" i="10" s="1"/>
  <c r="B32" i="10" a="1"/>
  <c r="B32" i="10" s="1"/>
  <c r="E32" i="10" a="1"/>
  <c r="E32" i="10" s="1"/>
  <c r="G33" i="10" a="1"/>
  <c r="G33" i="10" s="1"/>
  <c r="C33" i="10" a="1"/>
  <c r="C33" i="10" s="1"/>
  <c r="F33" i="10" a="1"/>
  <c r="F33" i="10" s="1"/>
  <c r="D33" i="10" a="1"/>
  <c r="D33" i="10" s="1"/>
  <c r="B33" i="10" a="1"/>
  <c r="B33" i="10" s="1"/>
  <c r="E33" i="10" a="1"/>
  <c r="E33" i="10" s="1"/>
  <c r="G34" i="10" a="1"/>
  <c r="G34" i="10" s="1"/>
  <c r="C34" i="10" a="1"/>
  <c r="C34" i="10" s="1"/>
  <c r="F34" i="10" a="1"/>
  <c r="F34" i="10" s="1"/>
  <c r="D34" i="10" a="1"/>
  <c r="D34" i="10" s="1"/>
  <c r="B34" i="10" a="1"/>
  <c r="B34" i="10" s="1"/>
  <c r="E34" i="10" a="1"/>
  <c r="E34" i="10" s="1"/>
  <c r="G35" i="10" a="1"/>
  <c r="G35" i="10" s="1"/>
  <c r="C35" i="10" a="1"/>
  <c r="C35" i="10" s="1"/>
  <c r="F35" i="10" a="1"/>
  <c r="F35" i="10" s="1"/>
  <c r="D35" i="10" a="1"/>
  <c r="D35" i="10" s="1"/>
  <c r="B35" i="10" a="1"/>
  <c r="B35" i="10" s="1"/>
  <c r="E35" i="10" a="1"/>
  <c r="E35" i="10" s="1"/>
  <c r="G36" i="10" a="1"/>
  <c r="G36" i="10" s="1"/>
  <c r="C36" i="10" a="1"/>
  <c r="C36" i="10" s="1"/>
  <c r="F36" i="10" a="1"/>
  <c r="F36" i="10" s="1"/>
  <c r="D36" i="10" a="1"/>
  <c r="D36" i="10" s="1"/>
  <c r="B36" i="10" a="1"/>
  <c r="B36" i="10" s="1"/>
  <c r="E36" i="10" a="1"/>
  <c r="E36" i="10" s="1"/>
  <c r="G37" i="10" a="1"/>
  <c r="G37" i="10" s="1"/>
  <c r="C37" i="10" a="1"/>
  <c r="C37" i="10" s="1"/>
  <c r="F37" i="10" a="1"/>
  <c r="F37" i="10" s="1"/>
  <c r="D37" i="10" a="1"/>
  <c r="D37" i="10" s="1"/>
  <c r="B37" i="10" a="1"/>
  <c r="B37" i="10" s="1"/>
  <c r="E37" i="10" a="1"/>
  <c r="E37" i="10" s="1"/>
  <c r="G38" i="10" a="1"/>
  <c r="G38" i="10" s="1"/>
  <c r="C38" i="10" a="1"/>
  <c r="C38" i="10" s="1"/>
  <c r="F38" i="10" a="1"/>
  <c r="F38" i="10" s="1"/>
  <c r="D38" i="10" a="1"/>
  <c r="D38" i="10" s="1"/>
  <c r="B38" i="10" a="1"/>
  <c r="B38" i="10" s="1"/>
  <c r="E38" i="10" a="1"/>
  <c r="E38" i="10" s="1"/>
  <c r="G39" i="10" a="1"/>
  <c r="G39" i="10" s="1"/>
  <c r="C39" i="10" a="1"/>
  <c r="C39" i="10" s="1"/>
  <c r="F39" i="10" a="1"/>
  <c r="F39" i="10" s="1"/>
  <c r="D39" i="10" a="1"/>
  <c r="D39" i="10" s="1"/>
  <c r="B39" i="10" a="1"/>
  <c r="B39" i="10" s="1"/>
  <c r="E39" i="10" a="1"/>
  <c r="E39" i="10" s="1"/>
  <c r="G40" i="10" a="1"/>
  <c r="G40" i="10" s="1"/>
  <c r="C40" i="10" a="1"/>
  <c r="C40" i="10" s="1"/>
  <c r="F40" i="10" a="1"/>
  <c r="F40" i="10" s="1"/>
  <c r="D40" i="10" a="1"/>
  <c r="D40" i="10" s="1"/>
  <c r="B40" i="10" a="1"/>
  <c r="B40" i="10" s="1"/>
  <c r="E40" i="10" a="1"/>
  <c r="E40" i="10" s="1"/>
  <c r="G41" i="10" a="1"/>
  <c r="G41" i="10" s="1"/>
  <c r="C41" i="10" a="1"/>
  <c r="C41" i="10" s="1"/>
  <c r="F41" i="10" a="1"/>
  <c r="F41" i="10" s="1"/>
  <c r="D41" i="10" a="1"/>
  <c r="D41" i="10" s="1"/>
  <c r="B41" i="10" a="1"/>
  <c r="B41" i="10" s="1"/>
  <c r="E41" i="10" a="1"/>
  <c r="E41" i="10" s="1"/>
  <c r="G42" i="10" a="1"/>
  <c r="G42" i="10" s="1"/>
  <c r="C42" i="10" a="1"/>
  <c r="C42" i="10" s="1"/>
  <c r="F42" i="10" a="1"/>
  <c r="F42" i="10" s="1"/>
  <c r="D42" i="10" a="1"/>
  <c r="D42" i="10" s="1"/>
  <c r="B42" i="10" a="1"/>
  <c r="B42" i="10" s="1"/>
  <c r="E42" i="10" a="1"/>
  <c r="E42" i="10" s="1"/>
  <c r="B42" i="11" a="1"/>
  <c r="B42" i="11" s="1"/>
  <c r="E42" i="11" a="1"/>
  <c r="E42" i="11" s="1"/>
  <c r="C42" i="11" a="1"/>
  <c r="C42" i="11" s="1"/>
  <c r="F42" i="11" a="1"/>
  <c r="F42" i="11" s="1"/>
  <c r="D42" i="11" a="1"/>
  <c r="D42" i="11" s="1"/>
  <c r="G42" i="11" a="1"/>
  <c r="G42" i="11" s="1"/>
  <c r="B41" i="11" a="1"/>
  <c r="B41" i="11" s="1"/>
  <c r="E41" i="11" a="1"/>
  <c r="E41" i="11" s="1"/>
  <c r="C41" i="11" a="1"/>
  <c r="C41" i="11" s="1"/>
  <c r="F41" i="11" a="1"/>
  <c r="F41" i="11" s="1"/>
  <c r="D41" i="11" a="1"/>
  <c r="D41" i="11" s="1"/>
  <c r="G41" i="11" a="1"/>
  <c r="G41" i="11" s="1"/>
  <c r="B40" i="11" a="1"/>
  <c r="B40" i="11" s="1"/>
  <c r="E40" i="11" a="1"/>
  <c r="E40" i="11" s="1"/>
  <c r="C40" i="11" a="1"/>
  <c r="C40" i="11" s="1"/>
  <c r="F40" i="11" a="1"/>
  <c r="F40" i="11" s="1"/>
  <c r="D40" i="11" a="1"/>
  <c r="D40" i="11" s="1"/>
  <c r="G40" i="11" a="1"/>
  <c r="G40" i="11" s="1"/>
  <c r="B39" i="11" a="1"/>
  <c r="B39" i="11" s="1"/>
  <c r="E39" i="11" a="1"/>
  <c r="E39" i="11" s="1"/>
  <c r="C39" i="11" a="1"/>
  <c r="C39" i="11" s="1"/>
  <c r="F39" i="11" a="1"/>
  <c r="F39" i="11" s="1"/>
  <c r="D39" i="11" a="1"/>
  <c r="D39" i="11" s="1"/>
  <c r="G39" i="11" a="1"/>
  <c r="G39" i="11" s="1"/>
  <c r="B38" i="11" a="1"/>
  <c r="B38" i="11" s="1"/>
  <c r="E38" i="11" a="1"/>
  <c r="E38" i="11" s="1"/>
  <c r="C38" i="11" a="1"/>
  <c r="C38" i="11" s="1"/>
  <c r="F38" i="11" a="1"/>
  <c r="F38" i="11" s="1"/>
  <c r="D38" i="11" a="1"/>
  <c r="D38" i="11" s="1"/>
  <c r="G38" i="11" a="1"/>
  <c r="G38" i="11" s="1"/>
  <c r="B37" i="11" a="1"/>
  <c r="B37" i="11" s="1"/>
  <c r="E37" i="11" a="1"/>
  <c r="E37" i="11" s="1"/>
  <c r="C37" i="11" a="1"/>
  <c r="C37" i="11" s="1"/>
  <c r="F37" i="11" a="1"/>
  <c r="F37" i="11" s="1"/>
  <c r="D37" i="11" a="1"/>
  <c r="D37" i="11" s="1"/>
  <c r="G37" i="11" a="1"/>
  <c r="G37" i="11" s="1"/>
  <c r="B36" i="11" a="1"/>
  <c r="B36" i="11" s="1"/>
  <c r="E36" i="11" a="1"/>
  <c r="E36" i="11" s="1"/>
  <c r="C36" i="11" a="1"/>
  <c r="C36" i="11" s="1"/>
  <c r="F36" i="11" a="1"/>
  <c r="F36" i="11" s="1"/>
  <c r="D36" i="11" a="1"/>
  <c r="D36" i="11" s="1"/>
  <c r="G36" i="11" a="1"/>
  <c r="G36" i="11" s="1"/>
  <c r="B35" i="11" a="1"/>
  <c r="B35" i="11" s="1"/>
  <c r="E35" i="11" a="1"/>
  <c r="E35" i="11" s="1"/>
  <c r="C35" i="11" a="1"/>
  <c r="C35" i="11" s="1"/>
  <c r="F35" i="11" a="1"/>
  <c r="F35" i="11" s="1"/>
  <c r="D35" i="11" a="1"/>
  <c r="D35" i="11" s="1"/>
  <c r="G35" i="11" a="1"/>
  <c r="G35" i="11" s="1"/>
  <c r="B34" i="11" a="1"/>
  <c r="B34" i="11" s="1"/>
  <c r="E34" i="11" a="1"/>
  <c r="E34" i="11" s="1"/>
  <c r="C34" i="11" a="1"/>
  <c r="C34" i="11" s="1"/>
  <c r="F34" i="11" a="1"/>
  <c r="F34" i="11" s="1"/>
  <c r="D34" i="11" a="1"/>
  <c r="D34" i="11" s="1"/>
  <c r="G34" i="11" a="1"/>
  <c r="G34" i="11" s="1"/>
  <c r="B33" i="11" a="1"/>
  <c r="B33" i="11" s="1"/>
  <c r="E33" i="11" a="1"/>
  <c r="E33" i="11" s="1"/>
  <c r="C33" i="11" a="1"/>
  <c r="C33" i="11" s="1"/>
  <c r="F33" i="11" a="1"/>
  <c r="F33" i="11" s="1"/>
  <c r="D33" i="11" a="1"/>
  <c r="D33" i="11" s="1"/>
  <c r="G33" i="11" a="1"/>
  <c r="G33" i="11" s="1"/>
  <c r="B32" i="11" a="1"/>
  <c r="B32" i="11" s="1"/>
  <c r="E32" i="11" a="1"/>
  <c r="E32" i="11" s="1"/>
  <c r="C32" i="11" a="1"/>
  <c r="C32" i="11" s="1"/>
  <c r="F32" i="11" a="1"/>
  <c r="F32" i="11" s="1"/>
  <c r="D32" i="11" a="1"/>
  <c r="D32" i="11" s="1"/>
  <c r="G32" i="11" a="1"/>
  <c r="G32" i="11" s="1"/>
  <c r="B31" i="11" a="1"/>
  <c r="B31" i="11" s="1"/>
  <c r="E31" i="11" a="1"/>
  <c r="E31" i="11" s="1"/>
  <c r="C31" i="11" a="1"/>
  <c r="C31" i="11" s="1"/>
  <c r="F31" i="11" a="1"/>
  <c r="F31" i="11" s="1"/>
  <c r="D31" i="11" a="1"/>
  <c r="D31" i="11" s="1"/>
  <c r="G31" i="11" a="1"/>
  <c r="G31" i="11" s="1"/>
  <c r="B30" i="11" a="1"/>
  <c r="B30" i="11" s="1"/>
  <c r="E30" i="11" a="1"/>
  <c r="E30" i="11" s="1"/>
  <c r="C30" i="11" a="1"/>
  <c r="C30" i="11" s="1"/>
  <c r="F30" i="11" a="1"/>
  <c r="F30" i="11" s="1"/>
  <c r="D30" i="11" a="1"/>
  <c r="D30" i="11" s="1"/>
  <c r="G30" i="11" a="1"/>
  <c r="G30" i="11" s="1"/>
  <c r="B29" i="11" a="1"/>
  <c r="B29" i="11" s="1"/>
  <c r="E29" i="11" a="1"/>
  <c r="E29" i="11" s="1"/>
  <c r="C29" i="11" a="1"/>
  <c r="C29" i="11" s="1"/>
  <c r="F29" i="11" a="1"/>
  <c r="F29" i="11" s="1"/>
  <c r="D29" i="11" a="1"/>
  <c r="D29" i="11" s="1"/>
  <c r="G29" i="11" a="1"/>
  <c r="G29" i="11" s="1"/>
  <c r="B28" i="11" a="1"/>
  <c r="B28" i="11" s="1"/>
  <c r="E28" i="11" a="1"/>
  <c r="E28" i="11" s="1"/>
  <c r="C28" i="11" a="1"/>
  <c r="C28" i="11" s="1"/>
  <c r="F28" i="11" a="1"/>
  <c r="F28" i="11" s="1"/>
  <c r="D28" i="11" a="1"/>
  <c r="D28" i="11" s="1"/>
  <c r="G28" i="11" a="1"/>
  <c r="G28" i="11" s="1"/>
  <c r="B27" i="11" a="1"/>
  <c r="B27" i="11" s="1"/>
  <c r="E27" i="11" a="1"/>
  <c r="E27" i="11" s="1"/>
  <c r="C27" i="11" a="1"/>
  <c r="C27" i="11" s="1"/>
  <c r="F27" i="11" a="1"/>
  <c r="F27" i="11" s="1"/>
  <c r="D27" i="11" a="1"/>
  <c r="D27" i="11" s="1"/>
  <c r="G27" i="11" a="1"/>
  <c r="G27" i="11" s="1"/>
  <c r="B26" i="11" a="1"/>
  <c r="B26" i="11" s="1"/>
  <c r="E26" i="11" a="1"/>
  <c r="E26" i="11" s="1"/>
  <c r="C26" i="11" a="1"/>
  <c r="C26" i="11" s="1"/>
  <c r="F26" i="11" a="1"/>
  <c r="F26" i="11" s="1"/>
  <c r="D26" i="11" a="1"/>
  <c r="D26" i="11" s="1"/>
  <c r="G26" i="11" a="1"/>
  <c r="G26" i="11" s="1"/>
  <c r="B25" i="11" a="1"/>
  <c r="B25" i="11" s="1"/>
  <c r="E25" i="11" a="1"/>
  <c r="E25" i="11" s="1"/>
  <c r="C25" i="11" a="1"/>
  <c r="C25" i="11" s="1"/>
  <c r="F25" i="11" a="1"/>
  <c r="F25" i="11" s="1"/>
  <c r="D25" i="11" a="1"/>
  <c r="D25" i="11" s="1"/>
  <c r="G25" i="11" a="1"/>
  <c r="G25" i="11" s="1"/>
  <c r="B24" i="11" a="1"/>
  <c r="B24" i="11" s="1"/>
  <c r="E24" i="11" a="1"/>
  <c r="E24" i="11" s="1"/>
  <c r="C24" i="11" a="1"/>
  <c r="C24" i="11" s="1"/>
  <c r="F24" i="11" a="1"/>
  <c r="F24" i="11" s="1"/>
  <c r="D24" i="11" a="1"/>
  <c r="D24" i="11" s="1"/>
  <c r="G24" i="11" a="1"/>
  <c r="G24" i="11" s="1"/>
  <c r="B23" i="11" a="1"/>
  <c r="B23" i="11" s="1"/>
  <c r="E23" i="11" a="1"/>
  <c r="E23" i="11" s="1"/>
  <c r="C23" i="11" a="1"/>
  <c r="C23" i="11" s="1"/>
  <c r="F23" i="11" a="1"/>
  <c r="F23" i="11" s="1"/>
  <c r="D23" i="11" a="1"/>
  <c r="D23" i="11" s="1"/>
  <c r="G23" i="11" a="1"/>
  <c r="G23" i="11" s="1"/>
  <c r="B22" i="11" a="1"/>
  <c r="B22" i="11" s="1"/>
  <c r="E22" i="11" a="1"/>
  <c r="E22" i="11" s="1"/>
  <c r="C22" i="11" a="1"/>
  <c r="C22" i="11" s="1"/>
  <c r="F22" i="11" a="1"/>
  <c r="F22" i="11" s="1"/>
  <c r="D22" i="11" a="1"/>
  <c r="D22" i="11" s="1"/>
  <c r="G22" i="11" a="1"/>
  <c r="G22" i="11" s="1"/>
  <c r="B21" i="11" a="1"/>
  <c r="B21" i="11" s="1"/>
  <c r="E21" i="11" a="1"/>
  <c r="E21" i="11" s="1"/>
  <c r="C21" i="11" a="1"/>
  <c r="C21" i="11" s="1"/>
  <c r="F21" i="11" a="1"/>
  <c r="F21" i="11" s="1"/>
  <c r="D21" i="11" a="1"/>
  <c r="D21" i="11" s="1"/>
  <c r="G21" i="11" a="1"/>
  <c r="G21" i="11" s="1"/>
  <c r="B20" i="11" a="1"/>
  <c r="B20" i="11" s="1"/>
  <c r="E20" i="11" a="1"/>
  <c r="E20" i="11" s="1"/>
  <c r="C20" i="11" a="1"/>
  <c r="C20" i="11" s="1"/>
  <c r="F20" i="11" a="1"/>
  <c r="F20" i="11" s="1"/>
  <c r="D20" i="11" a="1"/>
  <c r="D20" i="11" s="1"/>
  <c r="G20" i="11" a="1"/>
  <c r="G20" i="11" s="1"/>
  <c r="B19" i="11" a="1"/>
  <c r="B19" i="11" s="1"/>
  <c r="E19" i="11" a="1"/>
  <c r="E19" i="11" s="1"/>
  <c r="C19" i="11" a="1"/>
  <c r="C19" i="11" s="1"/>
  <c r="F19" i="11" a="1"/>
  <c r="F19" i="11" s="1"/>
  <c r="D19" i="11" a="1"/>
  <c r="D19" i="11" s="1"/>
  <c r="G19" i="11" a="1"/>
  <c r="G19" i="11" s="1"/>
  <c r="B18" i="11" a="1"/>
  <c r="B18" i="11" s="1"/>
  <c r="E18" i="11" a="1"/>
  <c r="E18" i="11" s="1"/>
  <c r="C18" i="11" a="1"/>
  <c r="C18" i="11" s="1"/>
  <c r="F18" i="11" a="1"/>
  <c r="F18" i="11" s="1"/>
  <c r="D18" i="11" a="1"/>
  <c r="D18" i="11" s="1"/>
  <c r="G18" i="11" a="1"/>
  <c r="G18" i="11" s="1"/>
  <c r="B17" i="11" a="1"/>
  <c r="B17" i="11" s="1"/>
  <c r="E17" i="11" a="1"/>
  <c r="E17" i="11" s="1"/>
  <c r="C17" i="11" a="1"/>
  <c r="C17" i="11" s="1"/>
  <c r="F17" i="11" a="1"/>
  <c r="F17" i="11" s="1"/>
  <c r="D17" i="11" a="1"/>
  <c r="D17" i="11" s="1"/>
  <c r="G17" i="11" a="1"/>
  <c r="G17" i="11" s="1"/>
  <c r="B16" i="11" a="1"/>
  <c r="B16" i="11" s="1"/>
  <c r="E16" i="11" a="1"/>
  <c r="E16" i="11" s="1"/>
  <c r="C16" i="11" a="1"/>
  <c r="C16" i="11" s="1"/>
  <c r="F16" i="11" a="1"/>
  <c r="F16" i="11" s="1"/>
  <c r="D16" i="11" a="1"/>
  <c r="D16" i="11" s="1"/>
  <c r="G16" i="11" a="1"/>
  <c r="G16" i="11" s="1"/>
  <c r="B15" i="11" a="1"/>
  <c r="B15" i="11" s="1"/>
  <c r="E15" i="11" a="1"/>
  <c r="E15" i="11" s="1"/>
  <c r="C15" i="11" a="1"/>
  <c r="C15" i="11" s="1"/>
  <c r="F15" i="11" a="1"/>
  <c r="F15" i="11" s="1"/>
  <c r="D15" i="11" a="1"/>
  <c r="D15" i="11" s="1"/>
  <c r="G15" i="11" a="1"/>
  <c r="G15" i="11" s="1"/>
  <c r="B14" i="11" a="1"/>
  <c r="B14" i="11" s="1"/>
  <c r="E14" i="11" a="1"/>
  <c r="E14" i="11" s="1"/>
  <c r="C14" i="11" a="1"/>
  <c r="C14" i="11" s="1"/>
  <c r="F14" i="11" a="1"/>
  <c r="F14" i="11" s="1"/>
  <c r="D14" i="11" a="1"/>
  <c r="D14" i="11" s="1"/>
  <c r="G14" i="11" a="1"/>
  <c r="G14" i="11" s="1"/>
  <c r="B13" i="11" a="1"/>
  <c r="B13" i="11" s="1"/>
  <c r="E13" i="11" a="1"/>
  <c r="E13" i="11" s="1"/>
  <c r="C13" i="11" a="1"/>
  <c r="C13" i="11" s="1"/>
  <c r="F13" i="11" a="1"/>
  <c r="F13" i="11" s="1"/>
  <c r="D13" i="11" a="1"/>
  <c r="D13" i="11" s="1"/>
  <c r="G13" i="11" a="1"/>
  <c r="G13" i="11" s="1"/>
  <c r="B12" i="11" a="1"/>
  <c r="B12" i="11" s="1"/>
  <c r="E12" i="11" a="1"/>
  <c r="E12" i="11" s="1"/>
  <c r="C12" i="11" a="1"/>
  <c r="C12" i="11" s="1"/>
  <c r="F12" i="11" a="1"/>
  <c r="F12" i="11" s="1"/>
  <c r="D12" i="11" a="1"/>
  <c r="D12" i="11" s="1"/>
  <c r="G12" i="11" a="1"/>
  <c r="G12" i="11" s="1"/>
  <c r="B11" i="11" a="1"/>
  <c r="B11" i="11" s="1"/>
  <c r="E11" i="11" a="1"/>
  <c r="E11" i="11" s="1"/>
  <c r="C11" i="11" a="1"/>
  <c r="C11" i="11" s="1"/>
  <c r="F11" i="11" a="1"/>
  <c r="F11" i="11" s="1"/>
  <c r="D11" i="11" a="1"/>
  <c r="D11" i="11" s="1"/>
  <c r="G11" i="11" a="1"/>
  <c r="G11" i="11" s="1"/>
  <c r="B10" i="11" a="1"/>
  <c r="B10" i="11" s="1"/>
  <c r="E10" i="11" a="1"/>
  <c r="E10" i="11" s="1"/>
  <c r="C10" i="11" a="1"/>
  <c r="C10" i="11" s="1"/>
  <c r="F10" i="11" a="1"/>
  <c r="F10" i="11" s="1"/>
  <c r="D10" i="11" a="1"/>
  <c r="D10" i="11" s="1"/>
  <c r="G10" i="11" a="1"/>
  <c r="G10" i="11" s="1"/>
  <c r="B9" i="11" a="1"/>
  <c r="B9" i="11" s="1"/>
  <c r="E9" i="11" a="1"/>
  <c r="E9" i="11" s="1"/>
  <c r="C9" i="11" a="1"/>
  <c r="C9" i="11" s="1"/>
  <c r="F9" i="11" a="1"/>
  <c r="F9" i="11" s="1"/>
  <c r="D9" i="11" a="1"/>
  <c r="D9" i="11" s="1"/>
  <c r="G9" i="11" a="1"/>
  <c r="G9" i="11" s="1"/>
  <c r="B8" i="11" a="1"/>
  <c r="B8" i="11" s="1"/>
  <c r="E8" i="11" a="1"/>
  <c r="E8" i="11" s="1"/>
  <c r="C8" i="11" a="1"/>
  <c r="C8" i="11" s="1"/>
  <c r="F8" i="11" a="1"/>
  <c r="F8" i="11" s="1"/>
  <c r="D8" i="11" a="1"/>
  <c r="D8" i="11" s="1"/>
  <c r="G8" i="11" a="1"/>
  <c r="G8" i="11" s="1"/>
  <c r="B7" i="11" a="1"/>
  <c r="B7" i="11" s="1"/>
  <c r="E7" i="11" a="1"/>
  <c r="E7" i="11" s="1"/>
  <c r="C7" i="11" a="1"/>
  <c r="C7" i="11" s="1"/>
  <c r="F7" i="11" a="1"/>
  <c r="F7" i="11" s="1"/>
  <c r="D7" i="11" a="1"/>
  <c r="D7" i="11" s="1"/>
  <c r="G7" i="11" a="1"/>
  <c r="G7" i="11" s="1"/>
  <c r="B6" i="11" a="1"/>
  <c r="B6" i="11" s="1"/>
  <c r="E6" i="11" a="1"/>
  <c r="E6" i="11" s="1"/>
  <c r="C6" i="11" a="1"/>
  <c r="C6" i="11" s="1"/>
  <c r="F6" i="11" a="1"/>
  <c r="F6" i="11" s="1"/>
  <c r="D6" i="11" a="1"/>
  <c r="D6" i="11" s="1"/>
  <c r="G6" i="11" a="1"/>
  <c r="G6" i="11" s="1"/>
  <c r="B5" i="11" a="1"/>
  <c r="B5" i="11" s="1"/>
  <c r="E5" i="11" a="1"/>
  <c r="E5" i="11" s="1"/>
  <c r="C5" i="11" a="1"/>
  <c r="C5" i="11" s="1"/>
  <c r="F5" i="11" a="1"/>
  <c r="F5" i="11" s="1"/>
  <c r="D5" i="11" a="1"/>
  <c r="D5" i="11" s="1"/>
  <c r="G5" i="11" a="1"/>
  <c r="G5" i="11" s="1"/>
  <c r="B4" i="11" a="1"/>
  <c r="B4" i="11" s="1"/>
  <c r="E4" i="11" a="1"/>
  <c r="E4" i="11" s="1"/>
  <c r="C4" i="11" a="1"/>
  <c r="C4" i="11" s="1"/>
  <c r="F4" i="11" a="1"/>
  <c r="F4" i="11" s="1"/>
  <c r="D4" i="11" a="1"/>
  <c r="D4" i="11" s="1"/>
  <c r="G4" i="11" a="1"/>
  <c r="G4" i="11" s="1"/>
  <c r="B3" i="11" a="1"/>
  <c r="B3" i="11" s="1"/>
  <c r="E3" i="11" a="1"/>
  <c r="E3" i="11" s="1"/>
  <c r="C3" i="11" a="1"/>
  <c r="C3" i="11" s="1"/>
  <c r="F3" i="11" a="1"/>
  <c r="F3" i="11" s="1"/>
  <c r="D3" i="11" a="1"/>
  <c r="D3" i="11" s="1"/>
  <c r="G3" i="11" a="1"/>
  <c r="G3" i="11" s="1"/>
  <c r="B2" i="11" a="1"/>
  <c r="B2" i="11" s="1"/>
  <c r="E2" i="11" a="1"/>
  <c r="E2" i="11" s="1"/>
  <c r="C2" i="11" a="1"/>
  <c r="C2" i="11" s="1"/>
  <c r="F2" i="11" a="1"/>
  <c r="F2" i="11" s="1"/>
  <c r="D2" i="11" a="1"/>
  <c r="D2" i="11" s="1"/>
  <c r="G2" i="11" a="1"/>
  <c r="G2" i="11" s="1"/>
  <c r="G2" i="5" l="1"/>
  <c r="M20" i="5" l="1"/>
  <c r="D36" i="5"/>
  <c r="H36" i="5"/>
  <c r="I4" i="5" l="1"/>
  <c r="M26" i="5"/>
  <c r="M30" i="5"/>
  <c r="M34" i="5"/>
  <c r="M25" i="5"/>
  <c r="U27" i="5" s="1"/>
  <c r="M28" i="5"/>
  <c r="M32" i="5"/>
  <c r="M29" i="5"/>
  <c r="M33" i="5"/>
  <c r="M31" i="5"/>
  <c r="U33" i="5" s="1"/>
  <c r="M35" i="5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K25" i="3" a="1"/>
  <c r="K25" i="3" s="1"/>
  <c r="K24" i="3" a="1"/>
  <c r="K24" i="3" s="1"/>
  <c r="K23" i="3" a="1"/>
  <c r="K23" i="3" s="1"/>
  <c r="K22" i="3" a="1"/>
  <c r="K22" i="3" s="1"/>
  <c r="K21" i="3" a="1"/>
  <c r="K21" i="3" s="1"/>
  <c r="K20" i="3" a="1"/>
  <c r="K20" i="3" s="1"/>
  <c r="K19" i="3" a="1"/>
  <c r="K19" i="3" s="1"/>
  <c r="K18" i="3" a="1"/>
  <c r="K18" i="3" s="1"/>
  <c r="K17" i="3" a="1"/>
  <c r="K17" i="3" s="1"/>
  <c r="K16" i="3" a="1"/>
  <c r="K16" i="3" s="1"/>
  <c r="K15" i="3" a="1"/>
  <c r="K15" i="3" s="1"/>
  <c r="K14" i="3" a="1"/>
  <c r="K14" i="3" s="1"/>
  <c r="K13" i="3" a="1"/>
  <c r="K13" i="3" s="1"/>
  <c r="K12" i="3" a="1"/>
  <c r="K12" i="3" s="1"/>
  <c r="K11" i="3" a="1"/>
  <c r="K11" i="3" s="1"/>
  <c r="K10" i="3" a="1"/>
  <c r="K10" i="3" s="1"/>
  <c r="K9" i="3" a="1"/>
  <c r="K9" i="3" s="1"/>
  <c r="K8" i="3" a="1"/>
  <c r="K8" i="3" s="1"/>
  <c r="K7" i="3" a="1"/>
  <c r="K7" i="3" s="1"/>
  <c r="K6" i="3" a="1"/>
  <c r="K6" i="3" s="1"/>
  <c r="K5" i="3" a="1"/>
  <c r="K5" i="3" s="1"/>
  <c r="J25" i="3" a="1"/>
  <c r="J25" i="3" s="1"/>
  <c r="I25" i="3" a="1"/>
  <c r="I25" i="3" s="1"/>
  <c r="J24" i="3" a="1"/>
  <c r="J24" i="3" s="1"/>
  <c r="I24" i="3" a="1"/>
  <c r="I24" i="3" s="1"/>
  <c r="J23" i="3" a="1"/>
  <c r="J23" i="3" s="1"/>
  <c r="I23" i="3" a="1"/>
  <c r="I23" i="3" s="1"/>
  <c r="J22" i="3" a="1"/>
  <c r="J22" i="3" s="1"/>
  <c r="I22" i="3" a="1"/>
  <c r="I22" i="3" s="1"/>
  <c r="J21" i="3" a="1"/>
  <c r="J21" i="3" s="1"/>
  <c r="I21" i="3" a="1"/>
  <c r="I21" i="3" s="1"/>
  <c r="J20" i="3" a="1"/>
  <c r="J20" i="3" s="1"/>
  <c r="I20" i="3" a="1"/>
  <c r="I20" i="3" s="1"/>
  <c r="J19" i="3" a="1"/>
  <c r="J19" i="3" s="1"/>
  <c r="I19" i="3" a="1"/>
  <c r="I19" i="3" s="1"/>
  <c r="J18" i="3" a="1"/>
  <c r="J18" i="3" s="1"/>
  <c r="I18" i="3" a="1"/>
  <c r="I18" i="3" s="1"/>
  <c r="J17" i="3" a="1"/>
  <c r="J17" i="3" s="1"/>
  <c r="I17" i="3" a="1"/>
  <c r="I17" i="3" s="1"/>
  <c r="J16" i="3" a="1"/>
  <c r="J16" i="3" s="1"/>
  <c r="I16" i="3" a="1"/>
  <c r="I16" i="3" s="1"/>
  <c r="J15" i="3" a="1"/>
  <c r="J15" i="3" s="1"/>
  <c r="I15" i="3" a="1"/>
  <c r="I15" i="3" s="1"/>
  <c r="J14" i="3" a="1"/>
  <c r="J14" i="3" s="1"/>
  <c r="I14" i="3" a="1"/>
  <c r="I14" i="3" s="1"/>
  <c r="J13" i="3" a="1"/>
  <c r="J13" i="3" s="1"/>
  <c r="I13" i="3" a="1"/>
  <c r="I13" i="3" s="1"/>
  <c r="J12" i="3" a="1"/>
  <c r="J12" i="3" s="1"/>
  <c r="I12" i="3" a="1"/>
  <c r="I12" i="3" s="1"/>
  <c r="J11" i="3" a="1"/>
  <c r="J11" i="3" s="1"/>
  <c r="I11" i="3" a="1"/>
  <c r="I11" i="3" s="1"/>
  <c r="J10" i="3" a="1"/>
  <c r="J10" i="3" s="1"/>
  <c r="I10" i="3" a="1"/>
  <c r="I10" i="3" s="1"/>
  <c r="J9" i="3" a="1"/>
  <c r="J9" i="3" s="1"/>
  <c r="I9" i="3" a="1"/>
  <c r="I9" i="3" s="1"/>
  <c r="J8" i="3" a="1"/>
  <c r="J8" i="3" s="1"/>
  <c r="I8" i="3" a="1"/>
  <c r="I8" i="3" s="1"/>
  <c r="J7" i="3" a="1"/>
  <c r="J7" i="3" s="1"/>
  <c r="I7" i="3" a="1"/>
  <c r="I7" i="3" s="1"/>
  <c r="J6" i="3" a="1"/>
  <c r="J6" i="3" s="1"/>
  <c r="I6" i="3" a="1"/>
  <c r="I6" i="3" s="1"/>
  <c r="J5" i="3" a="1"/>
  <c r="J5" i="3" s="1"/>
  <c r="I5" i="3" a="1"/>
  <c r="I5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H19" i="3" a="1"/>
  <c r="H19" i="3" s="1"/>
  <c r="H18" i="3" a="1"/>
  <c r="H18" i="3" s="1"/>
  <c r="H17" i="3" a="1"/>
  <c r="H17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E22" i="7" a="1"/>
  <c r="E22" i="7" s="1"/>
  <c r="D22" i="7" a="1"/>
  <c r="D22" i="7" s="1"/>
  <c r="C22" i="7" a="1"/>
  <c r="C22" i="7" s="1"/>
  <c r="B22" i="7" a="1"/>
  <c r="B22" i="7" s="1"/>
  <c r="E21" i="7" a="1"/>
  <c r="E21" i="7" s="1"/>
  <c r="D21" i="7" a="1"/>
  <c r="D21" i="7" s="1"/>
  <c r="C21" i="7" a="1"/>
  <c r="C21" i="7" s="1"/>
  <c r="B21" i="7" a="1"/>
  <c r="B21" i="7" s="1"/>
  <c r="E20" i="7" a="1"/>
  <c r="E20" i="7" s="1"/>
  <c r="D20" i="7" a="1"/>
  <c r="D20" i="7" s="1"/>
  <c r="C20" i="7" a="1"/>
  <c r="C20" i="7" s="1"/>
  <c r="B20" i="7" a="1"/>
  <c r="B20" i="7" s="1"/>
  <c r="E19" i="7" a="1"/>
  <c r="E19" i="7" s="1"/>
  <c r="D19" i="7" a="1"/>
  <c r="D19" i="7" s="1"/>
  <c r="C19" i="7" a="1"/>
  <c r="C19" i="7" s="1"/>
  <c r="B19" i="7" a="1"/>
  <c r="B19" i="7" s="1"/>
  <c r="E18" i="7" a="1"/>
  <c r="E18" i="7" s="1"/>
  <c r="D18" i="7" a="1"/>
  <c r="D18" i="7" s="1"/>
  <c r="C18" i="7" a="1"/>
  <c r="C18" i="7" s="1"/>
  <c r="B18" i="7" a="1"/>
  <c r="B18" i="7" s="1"/>
  <c r="E17" i="7" a="1"/>
  <c r="E17" i="7" s="1"/>
  <c r="D17" i="7" a="1"/>
  <c r="D17" i="7" s="1"/>
  <c r="C17" i="7" a="1"/>
  <c r="C17" i="7" s="1"/>
  <c r="B17" i="7" a="1"/>
  <c r="B17" i="7" s="1"/>
  <c r="E16" i="7" a="1"/>
  <c r="E16" i="7" s="1"/>
  <c r="D16" i="7" a="1"/>
  <c r="D16" i="7" s="1"/>
  <c r="C16" i="7" a="1"/>
  <c r="C16" i="7" s="1"/>
  <c r="B16" i="7" a="1"/>
  <c r="B16" i="7" s="1"/>
  <c r="E15" i="7" a="1"/>
  <c r="E15" i="7" s="1"/>
  <c r="D15" i="7" a="1"/>
  <c r="D15" i="7" s="1"/>
  <c r="C15" i="7" a="1"/>
  <c r="C15" i="7" s="1"/>
  <c r="B15" i="7" a="1"/>
  <c r="B15" i="7" s="1"/>
  <c r="E14" i="7" a="1"/>
  <c r="E14" i="7" s="1"/>
  <c r="D14" i="7" a="1"/>
  <c r="D14" i="7" s="1"/>
  <c r="C14" i="7" a="1"/>
  <c r="C14" i="7" s="1"/>
  <c r="B14" i="7" a="1"/>
  <c r="B14" i="7" s="1"/>
  <c r="E13" i="7" a="1"/>
  <c r="E13" i="7" s="1"/>
  <c r="D13" i="7" a="1"/>
  <c r="D13" i="7" s="1"/>
  <c r="C13" i="7" a="1"/>
  <c r="C13" i="7" s="1"/>
  <c r="B13" i="7" a="1"/>
  <c r="B13" i="7" s="1"/>
  <c r="E12" i="7" a="1"/>
  <c r="E12" i="7" s="1"/>
  <c r="D12" i="7" a="1"/>
  <c r="D12" i="7" s="1"/>
  <c r="C12" i="7" a="1"/>
  <c r="C12" i="7" s="1"/>
  <c r="B12" i="7" a="1"/>
  <c r="B12" i="7" s="1"/>
  <c r="E11" i="7" a="1"/>
  <c r="E11" i="7" s="1"/>
  <c r="D11" i="7" a="1"/>
  <c r="D11" i="7" s="1"/>
  <c r="C11" i="7" a="1"/>
  <c r="C11" i="7" s="1"/>
  <c r="B11" i="7" a="1"/>
  <c r="B11" i="7" s="1"/>
  <c r="E10" i="7" a="1"/>
  <c r="E10" i="7" s="1"/>
  <c r="D10" i="7" a="1"/>
  <c r="D10" i="7" s="1"/>
  <c r="C10" i="7" a="1"/>
  <c r="C10" i="7" s="1"/>
  <c r="B10" i="7" a="1"/>
  <c r="B10" i="7" s="1"/>
  <c r="E9" i="7" a="1"/>
  <c r="E9" i="7" s="1"/>
  <c r="D9" i="7" a="1"/>
  <c r="D9" i="7" s="1"/>
  <c r="C9" i="7" a="1"/>
  <c r="C9" i="7" s="1"/>
  <c r="B9" i="7" a="1"/>
  <c r="B9" i="7" s="1"/>
  <c r="E8" i="7" a="1"/>
  <c r="E8" i="7" s="1"/>
  <c r="D8" i="7" a="1"/>
  <c r="D8" i="7" s="1"/>
  <c r="C8" i="7" a="1"/>
  <c r="C8" i="7" s="1"/>
  <c r="B8" i="7" a="1"/>
  <c r="B8" i="7" s="1"/>
  <c r="E7" i="7" a="1"/>
  <c r="E7" i="7" s="1"/>
  <c r="D7" i="7" a="1"/>
  <c r="D7" i="7" s="1"/>
  <c r="C7" i="7" a="1"/>
  <c r="C7" i="7" s="1"/>
  <c r="B7" i="7" a="1"/>
  <c r="B7" i="7" s="1"/>
  <c r="E6" i="7" a="1"/>
  <c r="E6" i="7" s="1"/>
  <c r="D6" i="7" a="1"/>
  <c r="D6" i="7" s="1"/>
  <c r="C6" i="7" a="1"/>
  <c r="C6" i="7" s="1"/>
  <c r="B6" i="7" a="1"/>
  <c r="B6" i="7" s="1"/>
  <c r="E5" i="7" a="1"/>
  <c r="E5" i="7" s="1"/>
  <c r="D5" i="7" a="1"/>
  <c r="D5" i="7" s="1"/>
  <c r="C5" i="7" a="1"/>
  <c r="C5" i="7" s="1"/>
  <c r="B5" i="7" a="1"/>
  <c r="B5" i="7" s="1"/>
  <c r="E4" i="7" a="1"/>
  <c r="E4" i="7" s="1"/>
  <c r="D4" i="7" a="1"/>
  <c r="D4" i="7" s="1"/>
  <c r="C4" i="7" a="1"/>
  <c r="C4" i="7" s="1"/>
  <c r="B4" i="7" a="1"/>
  <c r="B4" i="7" s="1"/>
  <c r="E3" i="7" a="1"/>
  <c r="E3" i="7" s="1"/>
  <c r="D3" i="7" a="1"/>
  <c r="D3" i="7" s="1"/>
  <c r="C3" i="7" a="1"/>
  <c r="C3" i="7" s="1"/>
  <c r="B3" i="7" a="1"/>
  <c r="B3" i="7" s="1"/>
  <c r="E2" i="7" a="1"/>
  <c r="E2" i="7" s="1"/>
  <c r="D2" i="7" a="1"/>
  <c r="D2" i="7" s="1"/>
  <c r="C2" i="7" a="1"/>
  <c r="C2" i="7" s="1"/>
  <c r="B2" i="7" a="1"/>
  <c r="B2" i="7" s="1"/>
  <c r="B2" i="6" a="1"/>
  <c r="B2" i="6" s="1"/>
  <c r="C2" i="6" a="1"/>
  <c r="C2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B3" i="6" a="1"/>
  <c r="B3" i="6" s="1"/>
  <c r="C3" i="6" a="1"/>
  <c r="C3" i="6" s="1"/>
  <c r="D3" i="6" a="1"/>
  <c r="D3" i="6" s="1"/>
  <c r="E3" i="6" a="1"/>
  <c r="E3" i="6" s="1"/>
  <c r="F3" i="6" a="1"/>
  <c r="F3" i="6" s="1"/>
  <c r="G3" i="6" a="1"/>
  <c r="G3" i="6" s="1"/>
  <c r="H3" i="6" a="1"/>
  <c r="H3" i="6" s="1"/>
  <c r="I3" i="6" a="1"/>
  <c r="I3" i="6" s="1"/>
  <c r="B4" i="6" a="1"/>
  <c r="B4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U31" i="5" l="1"/>
  <c r="U30" i="5"/>
  <c r="U29" i="5"/>
  <c r="U32" i="5"/>
  <c r="U28" i="5"/>
  <c r="S29" i="5"/>
  <c r="T31" i="5"/>
  <c r="T21" i="5"/>
  <c r="S12" i="5"/>
  <c r="S28" i="5"/>
  <c r="S11" i="5"/>
  <c r="S27" i="5"/>
  <c r="T20" i="5"/>
  <c r="T23" i="5"/>
  <c r="S20" i="5"/>
  <c r="S9" i="5"/>
  <c r="T33" i="5"/>
  <c r="S26" i="5"/>
  <c r="T29" i="5"/>
  <c r="S25" i="5"/>
  <c r="T11" i="5"/>
  <c r="T34" i="5"/>
  <c r="T15" i="5"/>
  <c r="S24" i="5"/>
  <c r="T17" i="5"/>
  <c r="S16" i="5"/>
  <c r="T27" i="5"/>
  <c r="S14" i="5"/>
  <c r="T18" i="5"/>
  <c r="T14" i="5"/>
  <c r="S19" i="5"/>
  <c r="T13" i="5"/>
  <c r="T7" i="5"/>
  <c r="S30" i="5"/>
  <c r="S21" i="5"/>
  <c r="S31" i="5"/>
  <c r="T25" i="5"/>
  <c r="T35" i="5"/>
  <c r="S13" i="5"/>
  <c r="T24" i="5"/>
  <c r="S32" i="5"/>
  <c r="S35" i="5"/>
  <c r="S17" i="5"/>
  <c r="S8" i="5"/>
  <c r="T30" i="5"/>
  <c r="T22" i="5"/>
  <c r="S7" i="5"/>
  <c r="S23" i="5"/>
  <c r="T10" i="5"/>
  <c r="S34" i="5"/>
  <c r="S18" i="5"/>
  <c r="S15" i="5"/>
  <c r="T8" i="5"/>
  <c r="T16" i="5"/>
  <c r="T12" i="5"/>
  <c r="T26" i="5"/>
  <c r="S33" i="5"/>
  <c r="T28" i="5"/>
  <c r="S10" i="5"/>
  <c r="T19" i="5"/>
  <c r="S22" i="5"/>
  <c r="T32" i="5"/>
  <c r="N25" i="5"/>
  <c r="F1" i="3"/>
  <c r="M22" i="5"/>
  <c r="M23" i="5"/>
  <c r="M24" i="5"/>
  <c r="U26" i="5" s="1"/>
  <c r="M9" i="5"/>
  <c r="M12" i="5"/>
  <c r="M10" i="5"/>
  <c r="M8" i="5"/>
  <c r="M11" i="5"/>
  <c r="L24" i="3"/>
  <c r="M24" i="3" s="1"/>
  <c r="L23" i="3"/>
  <c r="M23" i="3" s="1"/>
  <c r="L25" i="3"/>
  <c r="M25" i="3" s="1"/>
  <c r="L21" i="3"/>
  <c r="M21" i="3" s="1"/>
  <c r="L22" i="3"/>
  <c r="M22" i="3" s="1"/>
  <c r="L20" i="3"/>
  <c r="M20" i="3" s="1"/>
  <c r="L17" i="3"/>
  <c r="M17" i="3" s="1"/>
  <c r="L18" i="3"/>
  <c r="M18" i="3" s="1"/>
  <c r="L19" i="3"/>
  <c r="M19" i="3" s="1"/>
  <c r="L15" i="3"/>
  <c r="M15" i="3" s="1"/>
  <c r="L16" i="3"/>
  <c r="M16" i="3" s="1"/>
  <c r="M21" i="5"/>
  <c r="M16" i="5"/>
  <c r="M13" i="5"/>
  <c r="M15" i="5"/>
  <c r="M18" i="5"/>
  <c r="M17" i="5"/>
  <c r="M14" i="5"/>
  <c r="U16" i="5" s="1"/>
  <c r="M19" i="5"/>
  <c r="U21" i="5" s="1"/>
  <c r="L12" i="3"/>
  <c r="M12" i="3" s="1"/>
  <c r="L14" i="3"/>
  <c r="L10" i="3"/>
  <c r="M10" i="3" s="1"/>
  <c r="L13" i="3"/>
  <c r="L11" i="3"/>
  <c r="M11" i="3" s="1"/>
  <c r="L9" i="3"/>
  <c r="M9" i="3" s="1"/>
  <c r="L7" i="3"/>
  <c r="L8" i="3"/>
  <c r="M8" i="3" s="1"/>
  <c r="L6" i="3"/>
  <c r="M6" i="3" s="1"/>
  <c r="L5" i="3"/>
  <c r="U19" i="5" l="1"/>
  <c r="U20" i="5"/>
  <c r="U17" i="5"/>
  <c r="U15" i="5"/>
  <c r="U18" i="5"/>
  <c r="U23" i="5"/>
  <c r="U22" i="5"/>
  <c r="U12" i="5"/>
  <c r="U13" i="5"/>
  <c r="U14" i="5"/>
  <c r="U25" i="5"/>
  <c r="U24" i="5"/>
  <c r="O7" i="5"/>
  <c r="P23" i="5"/>
  <c r="O8" i="5"/>
  <c r="O10" i="5"/>
  <c r="O9" i="5"/>
  <c r="T3" i="5"/>
  <c r="T4" i="5"/>
  <c r="R3" i="5"/>
  <c r="R4" i="5"/>
  <c r="P3" i="5"/>
  <c r="O11" i="5"/>
  <c r="O12" i="5"/>
  <c r="N33" i="5"/>
  <c r="V33" i="5" s="1"/>
  <c r="N35" i="5"/>
  <c r="N32" i="5"/>
  <c r="V32" i="5" s="1"/>
  <c r="N34" i="5"/>
  <c r="N9" i="5"/>
  <c r="N31" i="5"/>
  <c r="V31" i="5" s="1"/>
  <c r="N12" i="5"/>
  <c r="N30" i="5"/>
  <c r="V30" i="5" s="1"/>
  <c r="N29" i="5"/>
  <c r="V29" i="5" s="1"/>
  <c r="N24" i="5"/>
  <c r="N27" i="5"/>
  <c r="V27" i="5" s="1"/>
  <c r="N23" i="5"/>
  <c r="N26" i="5"/>
  <c r="N22" i="5"/>
  <c r="O25" i="5"/>
  <c r="N28" i="5"/>
  <c r="V28" i="5" s="1"/>
  <c r="N10" i="5"/>
  <c r="N7" i="5"/>
  <c r="N11" i="5"/>
  <c r="N8" i="5"/>
  <c r="L1" i="3"/>
  <c r="N15" i="5"/>
  <c r="N13" i="5"/>
  <c r="N16" i="5"/>
  <c r="N21" i="5"/>
  <c r="N20" i="5"/>
  <c r="N14" i="5"/>
  <c r="N17" i="5"/>
  <c r="M14" i="3"/>
  <c r="I1" i="3"/>
  <c r="M13" i="3"/>
  <c r="N18" i="5"/>
  <c r="N19" i="5"/>
  <c r="M7" i="3"/>
  <c r="M5" i="3"/>
  <c r="V34" i="5" l="1"/>
  <c r="P34" i="5"/>
  <c r="V35" i="5"/>
  <c r="P35" i="5"/>
  <c r="P25" i="5"/>
  <c r="P26" i="5"/>
  <c r="P30" i="5"/>
  <c r="P27" i="5"/>
  <c r="P28" i="5"/>
  <c r="P29" i="5"/>
  <c r="P31" i="5"/>
  <c r="P12" i="5"/>
  <c r="P9" i="5"/>
  <c r="P8" i="5"/>
  <c r="P19" i="5"/>
  <c r="P10" i="5"/>
  <c r="P16" i="5"/>
  <c r="P20" i="5"/>
  <c r="P13" i="5"/>
  <c r="P17" i="5"/>
  <c r="P24" i="5"/>
  <c r="P11" i="5"/>
  <c r="P15" i="5"/>
  <c r="P21" i="5"/>
  <c r="P14" i="5"/>
  <c r="P18" i="5"/>
  <c r="P22" i="5"/>
  <c r="P7" i="5"/>
  <c r="P32" i="5"/>
  <c r="P33" i="5"/>
  <c r="O15" i="5"/>
  <c r="O29" i="5"/>
  <c r="O24" i="5"/>
  <c r="O30" i="5"/>
  <c r="O19" i="5"/>
  <c r="O18" i="5"/>
  <c r="O27" i="5"/>
  <c r="O31" i="5"/>
  <c r="O17" i="5"/>
  <c r="O28" i="5"/>
  <c r="O33" i="5"/>
  <c r="O20" i="5"/>
  <c r="O22" i="5"/>
  <c r="O21" i="5"/>
  <c r="O26" i="5"/>
  <c r="O16" i="5"/>
  <c r="O23" i="5"/>
  <c r="O14" i="5"/>
  <c r="O13" i="5"/>
  <c r="N4" i="5"/>
  <c r="N3" i="5"/>
  <c r="P4" i="5"/>
  <c r="O34" i="5"/>
  <c r="O32" i="5"/>
  <c r="O35" i="5"/>
  <c r="M1" i="5"/>
  <c r="O1" i="5" l="1"/>
  <c r="Q7" i="5" a="1"/>
  <c r="Q7" i="5" s="1"/>
  <c r="R7" i="5" a="1"/>
  <c r="R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<sst xmlns="http://schemas.openxmlformats.org/spreadsheetml/2006/main" count="207" uniqueCount="170">
  <si>
    <t>LTP</t>
  </si>
  <si>
    <t>Open</t>
  </si>
  <si>
    <t>Low</t>
  </si>
  <si>
    <t>High</t>
  </si>
  <si>
    <t>OI</t>
  </si>
  <si>
    <t>No.of contracts</t>
  </si>
  <si>
    <t>Strike Price</t>
  </si>
  <si>
    <t>OI Change</t>
  </si>
  <si>
    <t>OI-Combined Fut</t>
  </si>
  <si>
    <t>NA</t>
  </si>
  <si>
    <t>PCR</t>
  </si>
  <si>
    <t>CPR</t>
  </si>
  <si>
    <t>Symbol Name</t>
  </si>
  <si>
    <t>CALL</t>
  </si>
  <si>
    <t>PUT</t>
  </si>
  <si>
    <t>Weightage Bull</t>
  </si>
  <si>
    <t>Weightage Bearish</t>
  </si>
  <si>
    <t>Index</t>
  </si>
  <si>
    <t>Index Value</t>
  </si>
  <si>
    <t>Chg</t>
  </si>
  <si>
    <t>Chg %</t>
  </si>
  <si>
    <t>Close</t>
  </si>
  <si>
    <t>CombinedFut OIChgPer</t>
  </si>
  <si>
    <t>T.Volume</t>
  </si>
  <si>
    <t>Call</t>
  </si>
  <si>
    <t>BANKNIFTY22O1340000CE</t>
  </si>
  <si>
    <t>BANKNIFTY22O1339900CE</t>
  </si>
  <si>
    <t>BANKNIFTY22O1339800CE</t>
  </si>
  <si>
    <t>BANKNIFTY22O1339700CE</t>
  </si>
  <si>
    <t>BANKNIFTY22O1339600CE</t>
  </si>
  <si>
    <t>BANKNIFTY22O1339500CE</t>
  </si>
  <si>
    <t>BANKNIFTY22O1339400CE</t>
  </si>
  <si>
    <t>BANKNIFTY22O1339300CE</t>
  </si>
  <si>
    <t>BANKNIFTY22O1339200CE</t>
  </si>
  <si>
    <t>BANKNIFTY22O1339100CE</t>
  </si>
  <si>
    <t>BANKNIFTY22O1339000CE</t>
  </si>
  <si>
    <t>BANKNIFTY22O1338900CE</t>
  </si>
  <si>
    <t>BANKNIFTY22O1338800CE</t>
  </si>
  <si>
    <t>BANKNIFTY22O1338700CE</t>
  </si>
  <si>
    <t>BANKNIFTY22O1338600CE</t>
  </si>
  <si>
    <t>BANKNIFTY22O1338500CE</t>
  </si>
  <si>
    <t>BANKNIFTY22O1338400CE</t>
  </si>
  <si>
    <t>BANKNIFTY22O1338300CE</t>
  </si>
  <si>
    <t>BANKNIFTY22O1338200CE</t>
  </si>
  <si>
    <t>BANKNIFTY22O1338100CE</t>
  </si>
  <si>
    <t>BANKNIFTY22O1338000CE</t>
  </si>
  <si>
    <t>Banknifty</t>
  </si>
  <si>
    <t>PCR (Bullish)</t>
  </si>
  <si>
    <t>CPR (Bearish)</t>
  </si>
  <si>
    <t>INDIA VIX</t>
  </si>
  <si>
    <t>Strong Support</t>
  </si>
  <si>
    <t>SRONGNESS OF SUPPORT</t>
  </si>
  <si>
    <t>NIFTY SPOT</t>
  </si>
  <si>
    <t>NIFTY FUT</t>
  </si>
  <si>
    <t>Strong Resistance</t>
  </si>
  <si>
    <t>Immidiate Resistance</t>
  </si>
  <si>
    <t>Immidiate Support</t>
  </si>
  <si>
    <t>PCR Weightage</t>
  </si>
  <si>
    <t>CPR Weightage</t>
  </si>
  <si>
    <t>Buy/Sell</t>
  </si>
  <si>
    <t xml:space="preserve">NIFTY MOVEMENT </t>
  </si>
  <si>
    <t>Current Strike</t>
  </si>
  <si>
    <t xml:space="preserve">IR Level@0.04 </t>
  </si>
  <si>
    <t>IS Level@0.04</t>
  </si>
  <si>
    <t>IR Level@0.02</t>
  </si>
  <si>
    <t>IS Level@0.02</t>
  </si>
  <si>
    <t>IV</t>
  </si>
  <si>
    <t>%CNG</t>
  </si>
  <si>
    <t>OI %CNG FUT</t>
  </si>
  <si>
    <t>STRIKE LEVEL</t>
  </si>
  <si>
    <t>SPOT LEVEL</t>
  </si>
  <si>
    <t>Change from previous Day</t>
  </si>
  <si>
    <t>Overall PCR</t>
  </si>
  <si>
    <t>Reverse Weightage</t>
  </si>
  <si>
    <t>NIFTY22D0119500PE</t>
  </si>
  <si>
    <t>NIFTY22D0119450PE</t>
  </si>
  <si>
    <t>NIFTY22D0119400PE</t>
  </si>
  <si>
    <t>NIFTY22D0119350PE</t>
  </si>
  <si>
    <t>NIFTY22D0119300PE</t>
  </si>
  <si>
    <t>NIFTY22D0119250PE</t>
  </si>
  <si>
    <t>NIFTY22D0119200PE</t>
  </si>
  <si>
    <t>NIFTY22D0119150PE</t>
  </si>
  <si>
    <t>NIFTY22D0119100PE</t>
  </si>
  <si>
    <t>NIFTY22D0119050PE</t>
  </si>
  <si>
    <t>NIFTY22D0119000PE</t>
  </si>
  <si>
    <t>NIFTY22D0118950PE</t>
  </si>
  <si>
    <t>NIFTY22D0118900PE</t>
  </si>
  <si>
    <t>NIFTY22D0118850PE</t>
  </si>
  <si>
    <t>NIFTY22D0118800PE</t>
  </si>
  <si>
    <t>NIFTY22D0118750PE</t>
  </si>
  <si>
    <t>NIFTY22D0118700PE</t>
  </si>
  <si>
    <t>NIFTY22D0118650PE</t>
  </si>
  <si>
    <t>NIFTY22D0118600PE</t>
  </si>
  <si>
    <t>NIFTY22D0118550PE</t>
  </si>
  <si>
    <t>NIFTY22D0118500PE</t>
  </si>
  <si>
    <t>NIFTY22D0118450PE</t>
  </si>
  <si>
    <t>NIFTY22D0118400PE</t>
  </si>
  <si>
    <t>NIFTY22D0118350PE</t>
  </si>
  <si>
    <t>NIFTY22D0118300PE</t>
  </si>
  <si>
    <t>NIFTY22D0118250PE</t>
  </si>
  <si>
    <t>NIFTY22D0118200PE</t>
  </si>
  <si>
    <t>NIFTY22D0118150PE</t>
  </si>
  <si>
    <t>NIFTY22D0118100PE</t>
  </si>
  <si>
    <t>NIFTY22D0118050PE</t>
  </si>
  <si>
    <t>NIFTY22D0118000PE</t>
  </si>
  <si>
    <t>NIFTY22D0117950PE</t>
  </si>
  <si>
    <t>NIFTY22D0117900PE</t>
  </si>
  <si>
    <t>NIFTY22D0117850PE</t>
  </si>
  <si>
    <t>NIFTY22D0117800PE</t>
  </si>
  <si>
    <t>NIFTY22D0117750PE</t>
  </si>
  <si>
    <t>NIFTY22D0117700PE</t>
  </si>
  <si>
    <t>NIFTY22D0117650PE</t>
  </si>
  <si>
    <t>NIFTY22D0117600PE</t>
  </si>
  <si>
    <t>NIFTY22D0117550PE</t>
  </si>
  <si>
    <t>NIFTY22D0117500PE</t>
  </si>
  <si>
    <t>NIFTY22D0119500CE</t>
  </si>
  <si>
    <t>NIFTY22D0119450CE</t>
  </si>
  <si>
    <t>NIFTY22D0119400CE</t>
  </si>
  <si>
    <t>NIFTY22D0119350CE</t>
  </si>
  <si>
    <t>NIFTY22D0119300CE</t>
  </si>
  <si>
    <t>NIFTY22D0119250CE</t>
  </si>
  <si>
    <t>NIFTY22D0119200CE</t>
  </si>
  <si>
    <t>NIFTY22D0119150CE</t>
  </si>
  <si>
    <t>NIFTY22D0119100CE</t>
  </si>
  <si>
    <t>NIFTY22D0119050CE</t>
  </si>
  <si>
    <t>NIFTY22D0119000CE</t>
  </si>
  <si>
    <t>NIFTY22D0118950CE</t>
  </si>
  <si>
    <t>NIFTY22D0118900CE</t>
  </si>
  <si>
    <t>NIFTY22D0118850CE</t>
  </si>
  <si>
    <t>NIFTY22D0118800CE</t>
  </si>
  <si>
    <t>NIFTY22D0118750CE</t>
  </si>
  <si>
    <t>NIFTY22D0118700CE</t>
  </si>
  <si>
    <t>NIFTY22D0118650CE</t>
  </si>
  <si>
    <t>NIFTY22D0118600CE</t>
  </si>
  <si>
    <t>NIFTY22D0118550CE</t>
  </si>
  <si>
    <t>NIFTY22D0118500CE</t>
  </si>
  <si>
    <t>NIFTY22D0118450CE</t>
  </si>
  <si>
    <t>NIFTY22D0118400CE</t>
  </si>
  <si>
    <t>NIFTY22D0118350CE</t>
  </si>
  <si>
    <t>NIFTY22D0118300CE</t>
  </si>
  <si>
    <t>NIFTY22D0118250CE</t>
  </si>
  <si>
    <t>NIFTY22D0118200CE</t>
  </si>
  <si>
    <t>NIFTY22D0118150CE</t>
  </si>
  <si>
    <t>NIFTY22D0118100CE</t>
  </si>
  <si>
    <t>NIFTY22D0118050CE</t>
  </si>
  <si>
    <t>NIFTY22D0118000CE</t>
  </si>
  <si>
    <t>NIFTY22D0117950CE</t>
  </si>
  <si>
    <t>NIFTY22D0117900CE</t>
  </si>
  <si>
    <t>NIFTY22D0117850CE</t>
  </si>
  <si>
    <t>NIFTY22D0117800CE</t>
  </si>
  <si>
    <t>NIFTY22D0117750CE</t>
  </si>
  <si>
    <t>NIFTY22D0117700CE</t>
  </si>
  <si>
    <t>NIFTY22D0117650CE</t>
  </si>
  <si>
    <t>NIFTY22D0117600CE</t>
  </si>
  <si>
    <t>NIFTY22D0117550CE</t>
  </si>
  <si>
    <t>NIFTY22D0117500CE</t>
  </si>
  <si>
    <t>NIFTY22DECFUT</t>
  </si>
  <si>
    <t>PUT-CALL OI CHN</t>
  </si>
  <si>
    <t>PUT-CALL OI</t>
  </si>
  <si>
    <t>% Chg</t>
  </si>
  <si>
    <t>%OI Change</t>
  </si>
  <si>
    <t>Stongness Level</t>
  </si>
  <si>
    <t>Volume_C</t>
  </si>
  <si>
    <t>OI_C</t>
  </si>
  <si>
    <t>LTP_C</t>
  </si>
  <si>
    <t>LTP_P</t>
  </si>
  <si>
    <t>OI_P</t>
  </si>
  <si>
    <t>OI_Change_C</t>
  </si>
  <si>
    <t>OI_Change_P</t>
  </si>
  <si>
    <t>Volume_P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</si>
</sst>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3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Elephant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Times New Roman"/>
      <family val="1"/>
    </font>
    <font>
      <b/>
      <sz val="24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rgb="FFFFFF00"/>
      <name val="Calibri"/>
      <family val="2"/>
      <scheme val="minor"/>
    </font>
    <font>
      <b/>
      <sz val="20"/>
      <color theme="1"/>
      <name val="Times New Roman"/>
      <family val="1"/>
    </font>
    <font>
      <sz val="36"/>
      <color rgb="FFFFFF00"/>
      <name val="Calibri"/>
      <family val="2"/>
      <scheme val="minor"/>
    </font>
    <font>
      <sz val="24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8"/>
      <name val="Calibri"/>
      <family val="2"/>
      <scheme val="minor"/>
    </font>
    <font>
      <sz val="22"/>
      <color theme="1"/>
      <name val="Arial Black"/>
      <family val="2"/>
    </font>
    <font>
      <sz val="24"/>
      <color theme="1"/>
      <name val="Arial Black"/>
      <family val="2"/>
    </font>
    <font>
      <sz val="24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wrapText="1"/>
    </xf>
    <xf numFmtId="0" fontId="0" fillId="12" borderId="0" xfId="0" applyFill="1"/>
    <xf numFmtId="0" fontId="0" fillId="12" borderId="1" xfId="0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/>
    <xf numFmtId="0" fontId="1" fillId="12" borderId="0" xfId="0" applyFont="1" applyFill="1" applyAlignment="1">
      <alignment horizontal="center" vertical="center"/>
    </xf>
    <xf numFmtId="0" fontId="1" fillId="3" borderId="5" xfId="0" applyFont="1" applyFill="1" applyBorder="1"/>
    <xf numFmtId="0" fontId="1" fillId="12" borderId="0" xfId="0" applyFont="1" applyFill="1"/>
    <xf numFmtId="0" fontId="8" fillId="12" borderId="0" xfId="0" applyFont="1" applyFill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0" xfId="0" applyFont="1" applyFill="1"/>
    <xf numFmtId="0" fontId="7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1" fillId="0" borderId="1" xfId="0" applyFont="1" applyBorder="1"/>
    <xf numFmtId="2" fontId="6" fillId="12" borderId="9" xfId="0" applyNumberFormat="1" applyFont="1" applyFill="1" applyBorder="1" applyAlignment="1">
      <alignment horizontal="center"/>
    </xf>
    <xf numFmtId="2" fontId="6" fillId="12" borderId="0" xfId="0" applyNumberFormat="1" applyFont="1" applyFill="1" applyAlignment="1">
      <alignment horizontal="center"/>
    </xf>
    <xf numFmtId="0" fontId="5" fillId="12" borderId="0" xfId="0" applyFont="1" applyFill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1" fontId="18" fillId="12" borderId="1" xfId="0" applyNumberFormat="1" applyFont="1" applyFill="1" applyBorder="1" applyAlignment="1">
      <alignment horizontal="center" vertical="center"/>
    </xf>
    <xf numFmtId="1" fontId="18" fillId="12" borderId="1" xfId="0" applyNumberFormat="1" applyFont="1" applyFill="1" applyBorder="1" applyAlignment="1" applyProtection="1">
      <alignment horizontal="center" vertical="center"/>
      <protection hidden="1"/>
    </xf>
    <xf numFmtId="1" fontId="15" fillId="9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17" fillId="10" borderId="0" xfId="0" applyFont="1" applyFill="1" applyAlignment="1">
      <alignment horizontal="center" vertical="center" wrapText="1"/>
    </xf>
    <xf numFmtId="1" fontId="12" fillId="15" borderId="1" xfId="0" applyNumberFormat="1" applyFont="1" applyFill="1" applyBorder="1" applyAlignment="1" applyProtection="1">
      <alignment horizontal="center" vertical="center"/>
      <protection hidden="1"/>
    </xf>
    <xf numFmtId="2" fontId="14" fillId="14" borderId="1" xfId="0" applyNumberFormat="1" applyFont="1" applyFill="1" applyBorder="1" applyAlignment="1" applyProtection="1">
      <alignment horizontal="center" vertical="center"/>
      <protection hidden="1"/>
    </xf>
    <xf numFmtId="2" fontId="14" fillId="17" borderId="1" xfId="0" applyNumberFormat="1" applyFont="1" applyFill="1" applyBorder="1" applyAlignment="1" applyProtection="1">
      <alignment horizontal="center" vertical="center"/>
      <protection hidden="1"/>
    </xf>
    <xf numFmtId="1" fontId="14" fillId="14" borderId="1" xfId="0" applyNumberFormat="1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/>
    <xf numFmtId="0" fontId="16" fillId="6" borderId="1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1" fontId="20" fillId="12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0" fontId="0" fillId="18" borderId="0" xfId="0" applyFill="1"/>
    <xf numFmtId="1" fontId="15" fillId="18" borderId="1" xfId="0" applyNumberFormat="1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vertical="center" wrapText="1"/>
    </xf>
    <xf numFmtId="0" fontId="17" fillId="10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15" fillId="9" borderId="1" xfId="0" applyNumberFormat="1" applyFont="1" applyFill="1" applyBorder="1" applyAlignment="1">
      <alignment vertical="center"/>
    </xf>
    <xf numFmtId="0" fontId="15" fillId="9" borderId="11" xfId="0" applyFont="1" applyFill="1" applyBorder="1"/>
    <xf numFmtId="0" fontId="15" fillId="9" borderId="1" xfId="0" applyFont="1" applyFill="1" applyBorder="1"/>
    <xf numFmtId="0" fontId="12" fillId="9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4" fontId="20" fillId="18" borderId="11" xfId="0" applyNumberFormat="1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1" fontId="20" fillId="12" borderId="1" xfId="0" applyNumberFormat="1" applyFont="1" applyFill="1" applyBorder="1" applyAlignment="1">
      <alignment vertical="center"/>
    </xf>
    <xf numFmtId="1" fontId="26" fillId="6" borderId="1" xfId="0" applyNumberFormat="1" applyFont="1" applyFill="1" applyBorder="1" applyAlignment="1" applyProtection="1">
      <alignment horizontal="center" vertical="center"/>
      <protection hidden="1"/>
    </xf>
    <xf numFmtId="1" fontId="26" fillId="11" borderId="1" xfId="0" applyNumberFormat="1" applyFont="1" applyFill="1" applyBorder="1" applyAlignment="1" applyProtection="1">
      <alignment horizontal="center" vertical="center"/>
      <protection hidden="1"/>
    </xf>
    <xf numFmtId="2" fontId="20" fillId="17" borderId="1" xfId="0" applyNumberFormat="1" applyFont="1" applyFill="1" applyBorder="1" applyAlignment="1" applyProtection="1">
      <alignment horizontal="center" vertical="center"/>
      <protection hidden="1"/>
    </xf>
    <xf numFmtId="2" fontId="27" fillId="17" borderId="1" xfId="0" applyNumberFormat="1" applyFont="1" applyFill="1" applyBorder="1" applyAlignment="1" applyProtection="1">
      <alignment horizontal="center" vertical="center"/>
      <protection hidden="1"/>
    </xf>
    <xf numFmtId="2" fontId="15" fillId="9" borderId="5" xfId="0" applyNumberFormat="1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2" fontId="29" fillId="19" borderId="6" xfId="0" applyNumberFormat="1" applyFont="1" applyFill="1" applyBorder="1" applyAlignment="1" applyProtection="1">
      <alignment horizontal="center" vertical="center"/>
      <protection hidden="1"/>
    </xf>
    <xf numFmtId="2" fontId="29" fillId="19" borderId="1" xfId="0" applyNumberFormat="1" applyFont="1" applyFill="1" applyBorder="1" applyAlignment="1" applyProtection="1">
      <alignment horizontal="center" vertical="center"/>
      <protection hidden="1"/>
    </xf>
    <xf numFmtId="2" fontId="29" fillId="17" borderId="1" xfId="0" applyNumberFormat="1" applyFont="1" applyFill="1" applyBorder="1" applyAlignment="1" applyProtection="1">
      <alignment horizontal="center" vertical="center"/>
      <protection hidden="1"/>
    </xf>
    <xf numFmtId="2" fontId="30" fillId="17" borderId="1" xfId="0" applyNumberFormat="1" applyFont="1" applyFill="1" applyBorder="1" applyAlignment="1" applyProtection="1">
      <alignment horizontal="center" vertical="center"/>
      <protection hidden="1"/>
    </xf>
    <xf numFmtId="0" fontId="16" fillId="6" borderId="1" xfId="0" applyFont="1" applyFill="1" applyBorder="1" applyAlignment="1">
      <alignment vertical="center" wrapText="1"/>
    </xf>
    <xf numFmtId="1" fontId="15" fillId="9" borderId="6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4" fillId="5" borderId="5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2" fontId="15" fillId="9" borderId="5" xfId="0" applyNumberFormat="1" applyFont="1" applyFill="1" applyBorder="1" applyAlignment="1">
      <alignment horizontal="center" vertical="center"/>
    </xf>
    <xf numFmtId="2" fontId="15" fillId="9" borderId="6" xfId="0" applyNumberFormat="1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/>
    </xf>
    <xf numFmtId="1" fontId="15" fillId="18" borderId="1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 wrapText="1"/>
    </xf>
    <xf numFmtId="164" fontId="20" fillId="18" borderId="4" xfId="0" applyNumberFormat="1" applyFont="1" applyFill="1" applyBorder="1" applyAlignment="1">
      <alignment horizontal="center" vertical="center"/>
    </xf>
    <xf numFmtId="164" fontId="20" fillId="18" borderId="11" xfId="0" applyNumberFormat="1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4.9989318521683403E-2"/>
      </font>
      <fill>
        <patternFill>
          <bgColor theme="7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ont>
        <b/>
        <i val="0"/>
        <color rgb="FF00206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1905000</xdr:colOff>
      <xdr:row>2</xdr:row>
      <xdr:rowOff>31558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B98F5-278C-4E31-4D99-7570BFD35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85" y="0"/>
          <a:ext cx="6022879" cy="993679"/>
        </a:xfrm>
        <a:prstGeom prst="rect">
          <a:avLst/>
        </a:prstGeom>
      </xdr:spPr>
    </xdr:pic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TPRICE">
    <ddeItems>
      <ddeItem name="2040035_0" advise="1">
        <values>
          <value>
            <val>0</val>
          </value>
        </values>
      </ddeItem>
      <ddeItem name="2040039_0" advise="1">
        <values>
          <value>
            <val>0</val>
          </value>
        </values>
      </ddeItem>
      <ddeItem name="2040040_0" advise="1">
        <values>
          <value>
            <val>0</val>
          </value>
        </values>
      </ddeItem>
      <ddeItem name="2040046_0" advise="1">
        <values>
          <value>
            <val>0</val>
          </value>
        </values>
      </ddeItem>
      <ddeItem name="2040047_0" advise="1">
        <values>
          <value>
            <val>0</val>
          </value>
        </values>
      </ddeItem>
      <ddeItem name="2040048_0" advise="1">
        <values>
          <value>
            <val>0</val>
          </value>
        </values>
      </ddeItem>
      <ddeItem name="2040049_0" advise="1">
        <values>
          <value>
            <val>0</val>
          </value>
        </values>
      </ddeItem>
      <ddeItem name="2040050_0" advise="1">
        <values>
          <value>
            <val>0</val>
          </value>
        </values>
      </ddeItem>
      <ddeItem name="2040051_0" advise="1">
        <values>
          <value>
            <val>0</val>
          </value>
        </values>
      </ddeItem>
      <ddeItem name="2040052_0" advise="1">
        <values>
          <value>
            <val>0</val>
          </value>
        </values>
      </ddeItem>
      <ddeItem name="2040053_0" advise="1">
        <values>
          <value>
            <val>0</val>
          </value>
        </values>
      </ddeItem>
      <ddeItem name="2040054_0" advise="1">
        <values>
          <value>
            <val>0</val>
          </value>
        </values>
      </ddeItem>
      <ddeItem name="2040055_0" advise="1">
        <values>
          <value>
            <val>0</val>
          </value>
        </values>
      </ddeItem>
      <ddeItem name="2040056_0" advise="1">
        <values>
          <value>
            <val>0</val>
          </value>
        </values>
      </ddeItem>
      <ddeItem name="2040057_0" advise="1">
        <values>
          <value>
            <val>0</val>
          </value>
        </values>
      </ddeItem>
      <ddeItem name="2040058_0" advise="1">
        <values>
          <value>
            <val>0</val>
          </value>
        </values>
      </ddeItem>
      <ddeItem name="2040059_0" advise="1">
        <values>
          <value>
            <val>0</val>
          </value>
        </values>
      </ddeItem>
      <ddeItem name="2040060_0" advise="1">
        <values>
          <value>
            <val>0</val>
          </value>
        </values>
      </ddeItem>
      <ddeItem name="2040061_0" advise="1">
        <values>
          <value>
            <val>0</val>
          </value>
        </values>
      </ddeItem>
      <ddeItem name="2040064_0" advise="1">
        <values>
          <value>
            <val>0</val>
          </value>
        </values>
      </ddeItem>
      <ddeItem name="2040068_0" advise="1">
        <values>
          <value>
            <val>0</val>
          </value>
        </values>
      </ddeItem>
      <ddeItem name="2040069_0" advise="1">
        <values>
          <value>
            <val>0</val>
          </value>
        </values>
      </ddeItem>
      <ddeItem name="2040070_0" advise="1">
        <values>
          <value>
            <val>0</val>
          </value>
        </values>
      </ddeItem>
      <ddeItem name="2040071_0" advise="1">
        <values>
          <value>
            <val>0</val>
          </value>
        </values>
      </ddeItem>
      <ddeItem name="2040074_0" advise="1">
        <values>
          <value>
            <val>0</val>
          </value>
        </values>
      </ddeItem>
      <ddeItem name="2040075_0" advise="1">
        <values>
          <value>
            <val>0</val>
          </value>
        </values>
      </ddeItem>
      <ddeItem name="2040076_0" advise="1">
        <values>
          <value>
            <val>0</val>
          </value>
        </values>
      </ddeItem>
      <ddeItem name="2040077_0" advise="1">
        <values>
          <value>
            <val>0</val>
          </value>
        </values>
      </ddeItem>
      <ddeItem name="2040078_0" advise="1">
        <values>
          <value>
            <val>0</val>
          </value>
        </values>
      </ddeItem>
      <ddeItem name="2040079_0" advise="1">
        <values>
          <value>
            <val>0</val>
          </value>
        </values>
      </ddeItem>
      <ddeItem name="2040102_0" advise="1">
        <values>
          <value>
            <val>0</val>
          </value>
        </values>
      </ddeItem>
      <ddeItem name="2040103_0" advise="1">
        <values>
          <value>
            <val>0</val>
          </value>
        </values>
      </ddeItem>
      <ddeItem name="2040104_0" advise="1">
        <values>
          <value>
            <val>0</val>
          </value>
        </values>
      </ddeItem>
      <ddeItem name="2040105_0" advise="1">
        <values>
          <value>
            <val>0</val>
          </value>
        </values>
      </ddeItem>
      <ddeItem name="2040114_0" advise="1">
        <values>
          <value>
            <val>0</val>
          </value>
        </values>
      </ddeItem>
      <ddeItem name="2040115_0" advise="1">
        <values>
          <value>
            <val>0</val>
          </value>
        </values>
      </ddeItem>
      <ddeItem name="2040122_0" advise="1">
        <values>
          <value>
            <val>0</val>
          </value>
        </values>
      </ddeItem>
      <ddeItem name="2040144_0" advise="1">
        <values>
          <value>
            <val>0</val>
          </value>
        </values>
      </ddeItem>
      <ddeItem name="2040145_0" advise="1">
        <values>
          <value>
            <val>0</val>
          </value>
        </values>
      </ddeItem>
      <ddeItem name="2040154_0" advise="1">
        <values>
          <value>
            <val>0</val>
          </value>
        </values>
      </ddeItem>
      <ddeItem name="2040157_0" advise="1">
        <values>
          <value>
            <val>0</val>
          </value>
        </values>
      </ddeItem>
      <ddeItem name="2040158_0" advise="1">
        <values>
          <value>
            <val>0</val>
          </value>
        </values>
      </ddeItem>
      <ddeItem name="2047269_0">
        <values>
          <value>
            <val>616</val>
          </value>
        </values>
      </ddeItem>
      <ddeItem name="2047270_0">
        <values>
          <value>
            <val>3.55</val>
          </value>
        </values>
      </ddeItem>
      <ddeItem name="2047271_0">
        <values>
          <value>
            <val>563.4</val>
          </value>
        </values>
      </ddeItem>
      <ddeItem name="2047272_0">
        <values>
          <value>
            <val>3.8</val>
          </value>
        </values>
      </ddeItem>
      <ddeItem name="2047273_0">
        <values>
          <value>
            <val>516.65</val>
          </value>
        </values>
      </ddeItem>
      <ddeItem name="2047274_0">
        <values>
          <value>
            <val>4.6500000000000004</val>
          </value>
        </values>
      </ddeItem>
      <ddeItem name="2047277_0">
        <values>
          <value>
            <val>470.45</val>
          </value>
        </values>
      </ddeItem>
      <ddeItem name="2047278_0">
        <values>
          <value>
            <val>5.5</val>
          </value>
        </values>
      </ddeItem>
      <ddeItem name="2047279_0">
        <values>
          <value>
            <val>420</val>
          </value>
        </values>
      </ddeItem>
      <ddeItem name="2047280_0">
        <values>
          <value>
            <val>6.7</val>
          </value>
        </values>
      </ddeItem>
      <ddeItem name="2047283_0" advise="1">
        <values>
          <value>
            <val>382.6</val>
          </value>
        </values>
      </ddeItem>
      <ddeItem name="2047284_0" advise="1">
        <values>
          <value>
            <val>8.4499999999999993</val>
          </value>
        </values>
      </ddeItem>
      <ddeItem name="2047285_0" advise="1">
        <values>
          <value>
            <val>336.25</val>
          </value>
        </values>
      </ddeItem>
      <ddeItem name="2047289_0" advise="1">
        <values>
          <value>
            <val>11.35</val>
          </value>
        </values>
      </ddeItem>
      <ddeItem name="2047290_0" advise="1">
        <values>
          <value>
            <val>288.45</val>
          </value>
        </values>
      </ddeItem>
      <ddeItem name="2047291_0" advise="1">
        <values>
          <value>
            <val>14.8</val>
          </value>
        </values>
      </ddeItem>
      <ddeItem name="2047292_0" advise="1">
        <values>
          <value>
            <val>244.2</val>
          </value>
        </values>
      </ddeItem>
      <ddeItem name="2047293_0" advise="1">
        <values>
          <value>
            <val>19.850000000000001</val>
          </value>
        </values>
      </ddeItem>
      <ddeItem name="2047294_0" advise="1">
        <values>
          <value>
            <val>200.5</val>
          </value>
        </values>
      </ddeItem>
      <ddeItem name="2047295_0" advise="1">
        <values>
          <value>
            <val>26.65</val>
          </value>
        </values>
      </ddeItem>
      <ddeItem name="2047296_0" advise="1">
        <values>
          <value>
            <val>160.35</val>
          </value>
        </values>
      </ddeItem>
      <ddeItem name="2047297_0" advise="1">
        <values>
          <value>
            <val>36</val>
          </value>
        </values>
      </ddeItem>
      <ddeItem name="2047299_0" advise="1">
        <values>
          <value>
            <val>124.05</val>
          </value>
        </values>
      </ddeItem>
      <ddeItem name="2047300_0" advise="1">
        <values>
          <value>
            <val>49.7</val>
          </value>
        </values>
      </ddeItem>
      <ddeItem name="2047301_0" advise="1">
        <values>
          <value>
            <val>91.8</val>
          </value>
        </values>
      </ddeItem>
      <ddeItem name="2047302_0" advise="1">
        <values>
          <value>
            <val>67.7</val>
          </value>
        </values>
      </ddeItem>
      <ddeItem name="2047303_0" advise="1">
        <values>
          <value>
            <val>66.150000000000006</val>
          </value>
        </values>
      </ddeItem>
      <ddeItem name="2047304_0" advise="1">
        <values>
          <value>
            <val>91.35</val>
          </value>
        </values>
      </ddeItem>
      <ddeItem name="2047305_0" advise="1">
        <values>
          <value>
            <val>45.1</val>
          </value>
        </values>
      </ddeItem>
      <ddeItem name="2047307_0" advise="1">
        <values>
          <value>
            <val>120.75</val>
          </value>
        </values>
      </ddeItem>
      <ddeItem name="2047308_0" advise="1">
        <values>
          <value>
            <val>29.1</val>
          </value>
        </values>
      </ddeItem>
      <ddeItem name="2047309_0" advise="1">
        <values>
          <value>
            <val>154.80000000000001</val>
          </value>
        </values>
      </ddeItem>
      <ddeItem name="2047310_0" advise="1">
        <values>
          <value>
            <val>17.899999999999999</val>
          </value>
        </values>
      </ddeItem>
      <ddeItem name="2047311_0" advise="1">
        <values>
          <value>
            <val>193.55</val>
          </value>
        </values>
      </ddeItem>
      <ddeItem name="2047312_0" advise="1">
        <values>
          <value>
            <val>10.6</val>
          </value>
        </values>
      </ddeItem>
      <ddeItem name="2047315_0" advise="1">
        <values>
          <value>
            <val>236.45</val>
          </value>
        </values>
      </ddeItem>
      <ddeItem name="2047316_0" advise="1">
        <values>
          <value>
            <val>6.35</val>
          </value>
        </values>
      </ddeItem>
      <ddeItem name="2047317_0" advise="1">
        <values>
          <value>
            <val>281.7</val>
          </value>
        </values>
      </ddeItem>
      <ddeItem name="2047318_0" advise="1">
        <values>
          <value>
            <val>3.95</val>
          </value>
        </values>
      </ddeItem>
      <ddeItem name="2047319_0" advise="1">
        <values>
          <value>
            <val>327.8</val>
          </value>
        </values>
      </ddeItem>
      <ddeItem name="2047320_0" advise="1">
        <values>
          <value>
            <val>2.9</val>
          </value>
        </values>
      </ddeItem>
      <ddeItem name="2047321_0" advise="1">
        <values>
          <value>
            <val>378</val>
          </value>
        </values>
      </ddeItem>
      <ddeItem name="2047325_0" advise="1">
        <values>
          <value>
            <val>1.9</val>
          </value>
        </values>
      </ddeItem>
      <ddeItem name="2047326_0" advise="1">
        <values>
          <value>
            <val>426.75</val>
          </value>
        </values>
      </ddeItem>
      <ddeItem name="2047327_0" advise="1">
        <values>
          <value>
            <val>1.45</val>
          </value>
        </values>
      </ddeItem>
      <ddeItem name="2047328_0" advise="1">
        <values>
          <value>
            <val>475.3</val>
          </value>
        </values>
      </ddeItem>
      <ddeItem name="2047331_0" advise="1">
        <values>
          <value>
            <val>1.2</val>
          </value>
        </values>
      </ddeItem>
      <ddeItem name="2047332_0" advise="1">
        <values>
          <value>
            <val>525.5</val>
          </value>
        </values>
      </ddeItem>
      <ddeItem name="2047333_0" advise="1">
        <values>
          <value>
            <val>1</val>
          </value>
        </values>
      </ddeItem>
      <ddeItem name="2047334_0" advise="1">
        <values>
          <value>
            <val>573.79999999999995</val>
          </value>
        </values>
      </ddeItem>
      <ddeItem name="2047338_0">
        <values>
          <value>
            <val>1.1499999999999999</val>
          </value>
        </values>
      </ddeItem>
      <ddeItem name="2047339_0">
        <values>
          <value>
            <val>631.29999999999995</val>
          </value>
        </values>
      </ddeItem>
      <ddeItem name="2047340_0">
        <values>
          <value>
            <val>1.1499999999999999</val>
          </value>
        </values>
      </ddeItem>
      <ddeItem name="2047341_0">
        <values>
          <value>
            <val>682</val>
          </value>
        </values>
      </ddeItem>
      <ddeItem name="2047349_0">
        <values>
          <value>
            <val>1.1000000000000001</val>
          </value>
        </values>
      </ddeItem>
      <ddeItem name="2047350_0">
        <values>
          <value>
            <val>729.5</val>
          </value>
        </values>
      </ddeItem>
      <ddeItem name="2047353_0">
        <values>
          <value>
            <val>1.05</val>
          </value>
        </values>
      </ddeItem>
      <ddeItem name="2047354_0">
        <values>
          <value>
            <val>781</val>
          </value>
        </values>
      </ddeItem>
      <ddeItem name="2049983_0" advise="1">
        <values>
          <value>
            <val>0</val>
          </value>
        </values>
      </ddeItem>
      <ddeItem name="2049984_0" advise="1">
        <values>
          <value>
            <val>0</val>
          </value>
        </values>
      </ddeItem>
      <ddeItem name="2049985_0" advise="1">
        <values>
          <value>
            <val>0</val>
          </value>
        </values>
      </ddeItem>
      <ddeItem name="2049988_0" advise="1">
        <values>
          <value>
            <val>0</val>
          </value>
        </values>
      </ddeItem>
      <ddeItem name="2049989_0" advise="1">
        <values>
          <value>
            <val>0</val>
          </value>
        </values>
      </ddeItem>
      <ddeItem name="2049990_0" advise="1">
        <values>
          <value>
            <val>0</val>
          </value>
        </values>
      </ddeItem>
      <ddeItem name="2049991_0" advise="1">
        <values>
          <value>
            <val>0</val>
          </value>
        </values>
      </ddeItem>
      <ddeItem name="2049992_0" advise="1">
        <values>
          <value>
            <val>0</val>
          </value>
        </values>
      </ddeItem>
      <ddeItem name="2049993_0" advise="1">
        <values>
          <value>
            <val>0</val>
          </value>
        </values>
      </ddeItem>
      <ddeItem name="2049994_0" advise="1">
        <values>
          <value>
            <val>0</val>
          </value>
        </values>
      </ddeItem>
      <ddeItem name="2049995_0" advise="1">
        <values>
          <value>
            <val>0</val>
          </value>
        </values>
      </ddeItem>
      <ddeItem name="2049998_0" advise="1">
        <values>
          <value>
            <val>0</val>
          </value>
        </values>
      </ddeItem>
      <ddeItem name="2050003_0" advise="1">
        <values>
          <value>
            <val>0</val>
          </value>
        </values>
      </ddeItem>
      <ddeItem name="2050004_0" advise="1">
        <values>
          <value>
            <val>0</val>
          </value>
        </values>
      </ddeItem>
      <ddeItem name="2050007_0" advise="1">
        <values>
          <value>
            <val>0</val>
          </value>
        </values>
      </ddeItem>
      <ddeItem name="2050008_0" advise="1">
        <values>
          <value>
            <val>0</val>
          </value>
        </values>
      </ddeItem>
      <ddeItem name="2050011_0" advise="1">
        <values>
          <value>
            <val>0</val>
          </value>
        </values>
      </ddeItem>
      <ddeItem name="2050012_0" advise="1">
        <values>
          <value>
            <val>0</val>
          </value>
        </values>
      </ddeItem>
      <ddeItem name="2050013_0" advise="1">
        <values>
          <value>
            <val>0</val>
          </value>
        </values>
      </ddeItem>
      <ddeItem name="2050016_0" advise="1">
        <values>
          <value>
            <val>0</val>
          </value>
        </values>
      </ddeItem>
      <ddeItem name="2050017_0" advise="1">
        <values>
          <value>
            <val>0</val>
          </value>
        </values>
      </ddeItem>
      <ddeItem name="2050022_0" advise="1">
        <values>
          <value>
            <val>0</val>
          </value>
        </values>
      </ddeItem>
      <ddeItem name="2050023_0" advise="1">
        <values>
          <value>
            <val>0</val>
          </value>
        </values>
      </ddeItem>
      <ddeItem name="2050026_0" advise="1">
        <values>
          <value>
            <val>0</val>
          </value>
        </values>
      </ddeItem>
      <ddeItem name="2050027_0" advise="1">
        <values>
          <value>
            <val>0</val>
          </value>
        </values>
      </ddeItem>
      <ddeItem name="2050030_0" advise="1">
        <values>
          <value>
            <val>0</val>
          </value>
        </values>
      </ddeItem>
      <ddeItem name="2050035_0" advise="1">
        <values>
          <value>
            <val>0</val>
          </value>
        </values>
      </ddeItem>
      <ddeItem name="2050036_0" advise="1">
        <values>
          <value>
            <val>0</val>
          </value>
        </values>
      </ddeItem>
      <ddeItem name="2050037_0" advise="1">
        <values>
          <value>
            <val>0</val>
          </value>
        </values>
      </ddeItem>
      <ddeItem name="2050038_0" advise="1">
        <values>
          <value>
            <val>0</val>
          </value>
        </values>
      </ddeItem>
      <ddeItem name="2050039_0" advise="1">
        <values>
          <value>
            <val>0</val>
          </value>
        </values>
      </ddeItem>
      <ddeItem name="2050040_0" advise="1">
        <values>
          <value>
            <val>0</val>
          </value>
        </values>
      </ddeItem>
      <ddeItem name="2050041_0" advise="1">
        <values>
          <value>
            <val>0</val>
          </value>
        </values>
      </ddeItem>
      <ddeItem name="2050042_0" advise="1">
        <values>
          <value>
            <val>0</val>
          </value>
        </values>
      </ddeItem>
      <ddeItem name="2050043_0" advise="1">
        <values>
          <value>
            <val>0</val>
          </value>
        </values>
      </ddeItem>
      <ddeItem name="2050044_0" advise="1">
        <values>
          <value>
            <val>0</val>
          </value>
        </values>
      </ddeItem>
      <ddeItem name="2050046_0" advise="1">
        <values>
          <value>
            <val>0</val>
          </value>
        </values>
      </ddeItem>
      <ddeItem name="2050047_0" advise="1">
        <values>
          <value>
            <val>0</val>
          </value>
        </values>
      </ddeItem>
      <ddeItem name="2050048_0" advise="1">
        <values>
          <value>
            <val>0</val>
          </value>
        </values>
      </ddeItem>
      <ddeItem name="2050049_0" advise="1">
        <values>
          <value>
            <val>0</val>
          </value>
        </values>
      </ddeItem>
      <ddeItem name="2050054_0" advise="1">
        <values>
          <value>
            <val>0</val>
          </value>
        </values>
      </ddeItem>
      <ddeItem name="2050055_0" advise="1">
        <values>
          <value>
            <val>0</val>
          </value>
        </values>
      </ddeItem>
      <ddeItem name="2050056_0" advise="1">
        <values>
          <value>
            <val>0</val>
          </value>
        </values>
      </ddeItem>
      <ddeItem name="2050057_0" advise="1">
        <values>
          <value>
            <val>0</val>
          </value>
        </values>
      </ddeItem>
      <ddeItem name="2050058_0" advise="1">
        <values>
          <value>
            <val>0</val>
          </value>
        </values>
      </ddeItem>
      <ddeItem name="2050059_0" advise="1">
        <values>
          <value>
            <val>0</val>
          </value>
        </values>
      </ddeItem>
      <ddeItem name="2050062_0" advise="1">
        <values>
          <value>
            <val>0</val>
          </value>
        </values>
      </ddeItem>
      <ddeItem name="2050070_0" advise="1">
        <values>
          <value>
            <val>0</val>
          </value>
        </values>
      </ddeItem>
      <ddeItem name="2050071_0" advise="1">
        <values>
          <value>
            <val>0</val>
          </value>
        </values>
      </ddeItem>
      <ddeItem name="2050072_0" advise="1">
        <values>
          <value>
            <val>0</val>
          </value>
        </values>
      </ddeItem>
      <ddeItem name="2050074_0" advise="1">
        <values>
          <value>
            <val>0</val>
          </value>
        </values>
      </ddeItem>
      <ddeItem name="2050077_0" advise="1">
        <values>
          <value>
            <val>0</val>
          </value>
        </values>
      </ddeItem>
      <ddeItem name="2050078_0" advise="1">
        <values>
          <value>
            <val>0</val>
          </value>
        </values>
      </ddeItem>
      <ddeItem name="2050079_0" advise="1">
        <values>
          <value>
            <val>0</val>
          </value>
        </values>
      </ddeItem>
      <ddeItem name="2050083_0" advise="1">
        <values>
          <value>
            <val>0</val>
          </value>
        </values>
      </ddeItem>
      <ddeItem name="2050084_0" advise="1">
        <values>
          <value>
            <val>0</val>
          </value>
        </values>
      </ddeItem>
      <ddeItem name="2050085_0" advise="1">
        <values>
          <value>
            <val>0</val>
          </value>
        </values>
      </ddeItem>
      <ddeItem name="2050086_0" advise="1">
        <values>
          <value>
            <val>0</val>
          </value>
        </values>
      </ddeItem>
      <ddeItem name="2050087_0" advise="1">
        <values>
          <value>
            <val>0</val>
          </value>
        </values>
      </ddeItem>
      <ddeItem name="2050088_0" advise="1">
        <values>
          <value>
            <val>0</val>
          </value>
        </values>
      </ddeItem>
      <ddeItem name="2050089_0" advise="1">
        <values>
          <value>
            <val>0</val>
          </value>
        </values>
      </ddeItem>
      <ddeItem name="2050090_0" advise="1">
        <values>
          <value>
            <val>0</val>
          </value>
        </values>
      </ddeItem>
      <ddeItem name="2050092_0" advise="1">
        <values>
          <value>
            <val>0</val>
          </value>
        </values>
      </ddeItem>
      <ddeItem name="2050093_0" advise="1">
        <values>
          <value>
            <val>0</val>
          </value>
        </values>
      </ddeItem>
      <ddeItem name="2050094_0" advise="1">
        <values>
          <value>
            <val>0</val>
          </value>
        </values>
      </ddeItem>
      <ddeItem name="2050095_0" advise="1">
        <values>
          <value>
            <val>0</val>
          </value>
        </values>
      </ddeItem>
      <ddeItem name="2050096_0" advise="1">
        <values>
          <value>
            <val>0</val>
          </value>
        </values>
      </ddeItem>
      <ddeItem name="2050097_0" advise="1">
        <values>
          <value>
            <val>0</val>
          </value>
        </values>
      </ddeItem>
      <ddeItem name="2050098_0" advise="1">
        <values>
          <value>
            <val>0</val>
          </value>
        </values>
      </ddeItem>
      <ddeItem name="2050099_0" advise="1">
        <values>
          <value>
            <val>0</val>
          </value>
        </values>
      </ddeItem>
      <ddeItem name="2050100_0" advise="1">
        <values>
          <value>
            <val>0</val>
          </value>
        </values>
      </ddeItem>
      <ddeItem name="2050101_0" advise="1">
        <values>
          <value>
            <val>0</val>
          </value>
        </values>
      </ddeItem>
      <ddeItem name="2050102_0" advise="1">
        <values>
          <value>
            <val>0</val>
          </value>
        </values>
      </ddeItem>
      <ddeItem name="2050103_0" advise="1">
        <values>
          <value>
            <val>0</val>
          </value>
        </values>
      </ddeItem>
      <ddeItem name="2050104_0" advise="1">
        <values>
          <value>
            <val>0</val>
          </value>
        </values>
      </ddeItem>
      <ddeItem name="2050105_0" advise="1">
        <values>
          <value>
            <val>0</val>
          </value>
        </values>
      </ddeItem>
      <ddeItem name="2050106_0" advise="1">
        <values>
          <value>
            <val>0</val>
          </value>
        </values>
      </ddeItem>
      <ddeItem name="2050110_0" advise="1">
        <values>
          <value>
            <val>0</val>
          </value>
        </values>
      </ddeItem>
      <ddeItem name="2050111_0" advise="1">
        <values>
          <value>
            <val>0</val>
          </value>
        </values>
      </ddeItem>
      <ddeItem name="2050113_0" advise="1">
        <values>
          <value>
            <val>0</val>
          </value>
        </values>
      </ddeItem>
      <ddeItem name="2050114_0" advise="1">
        <values>
          <value>
            <val>0</val>
          </value>
        </values>
      </ddeItem>
      <ddeItem name="2050115_0" advise="1">
        <values>
          <value>
            <val>0</val>
          </value>
        </values>
      </ddeItem>
      <ddeItem name="2062809_0" advise="1">
        <values>
          <value>
            <val>18701.95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OI">
    <ddeItems>
      <ddeItem name="2040035_0" advise="1">
        <values>
          <value>
            <val>0</val>
          </value>
        </values>
      </ddeItem>
      <ddeItem name="2040039_0" advise="1">
        <values>
          <value>
            <val>0</val>
          </value>
        </values>
      </ddeItem>
      <ddeItem name="2040040_0" advise="1">
        <values>
          <value>
            <val>0</val>
          </value>
        </values>
      </ddeItem>
      <ddeItem name="2040046_0" advise="1">
        <values>
          <value>
            <val>0</val>
          </value>
        </values>
      </ddeItem>
      <ddeItem name="2040047_0" advise="1">
        <values>
          <value>
            <val>0</val>
          </value>
        </values>
      </ddeItem>
      <ddeItem name="2040048_0" advise="1">
        <values>
          <value>
            <val>0</val>
          </value>
        </values>
      </ddeItem>
      <ddeItem name="2040049_0" advise="1">
        <values>
          <value>
            <val>0</val>
          </value>
        </values>
      </ddeItem>
      <ddeItem name="2040050_0" advise="1">
        <values>
          <value>
            <val>0</val>
          </value>
        </values>
      </ddeItem>
      <ddeItem name="2040051_0" advise="1">
        <values>
          <value>
            <val>0</val>
          </value>
        </values>
      </ddeItem>
      <ddeItem name="2040052_0" advise="1">
        <values>
          <value>
            <val>0</val>
          </value>
        </values>
      </ddeItem>
      <ddeItem name="2040053_0" advise="1">
        <values>
          <value>
            <val>0</val>
          </value>
        </values>
      </ddeItem>
      <ddeItem name="2040054_0" advise="1">
        <values>
          <value>
            <val>0</val>
          </value>
        </values>
      </ddeItem>
      <ddeItem name="2040055_0" advise="1">
        <values>
          <value>
            <val>0</val>
          </value>
        </values>
      </ddeItem>
      <ddeItem name="2040056_0" advise="1">
        <values>
          <value>
            <val>0</val>
          </value>
        </values>
      </ddeItem>
      <ddeItem name="2040057_0" advise="1">
        <values>
          <value>
            <val>0</val>
          </value>
        </values>
      </ddeItem>
      <ddeItem name="2040058_0" advise="1">
        <values>
          <value>
            <val>0</val>
          </value>
        </values>
      </ddeItem>
      <ddeItem name="2040059_0" advise="1">
        <values>
          <value>
            <val>0</val>
          </value>
        </values>
      </ddeItem>
      <ddeItem name="2040060_0" advise="1">
        <values>
          <value>
            <val>0</val>
          </value>
        </values>
      </ddeItem>
      <ddeItem name="2040061_0" advise="1">
        <values>
          <value>
            <val>0</val>
          </value>
        </values>
      </ddeItem>
      <ddeItem name="2040064_0" advise="1">
        <values>
          <value>
            <val>0</val>
          </value>
        </values>
      </ddeItem>
      <ddeItem name="2040068_0" advise="1">
        <values>
          <value>
            <val>0</val>
          </value>
        </values>
      </ddeItem>
      <ddeItem name="2040069_0" advise="1">
        <values>
          <value>
            <val>0</val>
          </value>
        </values>
      </ddeItem>
      <ddeItem name="2040070_0" advise="1">
        <values>
          <value>
            <val>0</val>
          </value>
        </values>
      </ddeItem>
      <ddeItem name="2040071_0" advise="1">
        <values>
          <value>
            <val>0</val>
          </value>
        </values>
      </ddeItem>
      <ddeItem name="2040074_0" advise="1">
        <values>
          <value>
            <val>0</val>
          </value>
        </values>
      </ddeItem>
      <ddeItem name="2040075_0" advise="1">
        <values>
          <value>
            <val>0</val>
          </value>
        </values>
      </ddeItem>
      <ddeItem name="2040076_0" advise="1">
        <values>
          <value>
            <val>0</val>
          </value>
        </values>
      </ddeItem>
      <ddeItem name="2040077_0" advise="1">
        <values>
          <value>
            <val>0</val>
          </value>
        </values>
      </ddeItem>
      <ddeItem name="2040078_0" advise="1">
        <values>
          <value>
            <val>0</val>
          </value>
        </values>
      </ddeItem>
      <ddeItem name="2040079_0" advise="1">
        <values>
          <value>
            <val>0</val>
          </value>
        </values>
      </ddeItem>
      <ddeItem name="2040102_0" advise="1">
        <values>
          <value>
            <val>0</val>
          </value>
        </values>
      </ddeItem>
      <ddeItem name="2040103_0" advise="1">
        <values>
          <value>
            <val>0</val>
          </value>
        </values>
      </ddeItem>
      <ddeItem name="2040104_0" advise="1">
        <values>
          <value>
            <val>0</val>
          </value>
        </values>
      </ddeItem>
      <ddeItem name="2040105_0" advise="1">
        <values>
          <value>
            <val>0</val>
          </value>
        </values>
      </ddeItem>
      <ddeItem name="2040114_0" advise="1">
        <values>
          <value>
            <val>0</val>
          </value>
        </values>
      </ddeItem>
      <ddeItem name="2040115_0" advise="1">
        <values>
          <value>
            <val>0</val>
          </value>
        </values>
      </ddeItem>
      <ddeItem name="2040122_0" advise="1">
        <values>
          <value>
            <val>0</val>
          </value>
        </values>
      </ddeItem>
      <ddeItem name="2040144_0" advise="1">
        <values>
          <value>
            <val>0</val>
          </value>
        </values>
      </ddeItem>
      <ddeItem name="2040145_0" advise="1">
        <values>
          <value>
            <val>0</val>
          </value>
        </values>
      </ddeItem>
      <ddeItem name="2040154_0" advise="1">
        <values>
          <value>
            <val>0</val>
          </value>
        </values>
      </ddeItem>
      <ddeItem name="2040157_0" advise="1">
        <values>
          <value>
            <val>0</val>
          </value>
        </values>
      </ddeItem>
      <ddeItem name="2040158_0" advise="1">
        <values>
          <value>
            <val>0</val>
          </value>
        </values>
      </ddeItem>
      <ddeItem name="2047269_0">
        <values>
          <value>
            <val>100000</val>
          </value>
        </values>
      </ddeItem>
      <ddeItem name="2047270_0">
        <values>
          <value>
            <val>7066250</val>
          </value>
        </values>
      </ddeItem>
      <ddeItem name="2047271_0">
        <values>
          <value>
            <val>19000</val>
          </value>
        </values>
      </ddeItem>
      <ddeItem name="2047272_0">
        <values>
          <value>
            <val>1850500</val>
          </value>
        </values>
      </ddeItem>
      <ddeItem name="2047273_0">
        <values>
          <value>
            <val>44800</val>
          </value>
        </values>
      </ddeItem>
      <ddeItem name="2047274_0">
        <values>
          <value>
            <val>3449500</val>
          </value>
        </values>
      </ddeItem>
      <ddeItem name="2047277_0">
        <values>
          <value>
            <val>20700</val>
          </value>
        </values>
      </ddeItem>
      <ddeItem name="2047278_0">
        <values>
          <value>
            <val>1880800</val>
          </value>
        </values>
      </ddeItem>
      <ddeItem name="2047279_0">
        <values>
          <value>
            <val>102050</val>
          </value>
        </values>
      </ddeItem>
      <ddeItem name="2047280_0">
        <values>
          <value>
            <val>4335350</val>
          </value>
        </values>
      </ddeItem>
      <ddeItem name="2047283_0" advise="1">
        <values>
          <value>
            <val>49200</val>
          </value>
        </values>
      </ddeItem>
      <ddeItem name="2047284_0" advise="1">
        <values>
          <value>
            <val>3103600</val>
          </value>
        </values>
      </ddeItem>
      <ddeItem name="2047285_0" advise="1">
        <values>
          <value>
            <val>921000</val>
          </value>
        </values>
      </ddeItem>
      <ddeItem name="2047289_0" advise="1">
        <values>
          <value>
            <val>6551200</val>
          </value>
        </values>
      </ddeItem>
      <ddeItem name="2047290_0" advise="1">
        <values>
          <value>
            <val>164350</val>
          </value>
        </values>
      </ddeItem>
      <ddeItem name="2047291_0" advise="1">
        <values>
          <value>
            <val>2621600</val>
          </value>
        </values>
      </ddeItem>
      <ddeItem name="2047292_0" advise="1">
        <values>
          <value>
            <val>995200</val>
          </value>
        </values>
      </ddeItem>
      <ddeItem name="2047293_0" advise="1">
        <values>
          <value>
            <val>6459250</val>
          </value>
        </values>
      </ddeItem>
      <ddeItem name="2047294_0" advise="1">
        <values>
          <value>
            <val>515850</val>
          </value>
        </values>
      </ddeItem>
      <ddeItem name="2047295_0" advise="1">
        <values>
          <value>
            <val>2858850</val>
          </value>
        </values>
      </ddeItem>
      <ddeItem name="2047296_0" advise="1">
        <values>
          <value>
            <val>3815900</val>
          </value>
        </values>
      </ddeItem>
      <ddeItem name="2047297_0" advise="1">
        <values>
          <value>
            <val>8700800</val>
          </value>
        </values>
      </ddeItem>
      <ddeItem name="2047299_0" advise="1">
        <values>
          <value>
            <val>1529750</val>
          </value>
        </values>
      </ddeItem>
      <ddeItem name="2047300_0" advise="1">
        <values>
          <value>
            <val>3867750</val>
          </value>
        </values>
      </ddeItem>
      <ddeItem name="2047301_0" advise="1">
        <values>
          <value>
            <val>10246850</val>
          </value>
        </values>
      </ddeItem>
      <ddeItem name="2047302_0" advise="1">
        <values>
          <value>
            <val>8227800</val>
          </value>
        </values>
      </ddeItem>
      <ddeItem name="2047303_0" advise="1">
        <values>
          <value>
            <val>3378350</val>
          </value>
        </values>
      </ddeItem>
      <ddeItem name="2047304_0" advise="1">
        <values>
          <value>
            <val>1050600</val>
          </value>
        </values>
      </ddeItem>
      <ddeItem name="2047305_0" advise="1">
        <values>
          <value>
            <val>9212900</val>
          </value>
        </values>
      </ddeItem>
      <ddeItem name="2047307_0" advise="1">
        <values>
          <value>
            <val>1625750</val>
          </value>
        </values>
      </ddeItem>
      <ddeItem name="2047308_0" advise="1">
        <values>
          <value>
            <val>3494350</val>
          </value>
        </values>
      </ddeItem>
      <ddeItem name="2047309_0" advise="1">
        <values>
          <value>
            <val>347350</val>
          </value>
        </values>
      </ddeItem>
      <ddeItem name="2047310_0" advise="1">
        <values>
          <value>
            <val>7465100</val>
          </value>
        </values>
      </ddeItem>
      <ddeItem name="2047311_0" advise="1">
        <values>
          <value>
            <val>561950</val>
          </value>
        </values>
      </ddeItem>
      <ddeItem name="2047312_0" advise="1">
        <values>
          <value>
            <val>3906500</val>
          </value>
        </values>
      </ddeItem>
      <ddeItem name="2047315_0" advise="1">
        <values>
          <value>
            <val>147350</val>
          </value>
        </values>
      </ddeItem>
      <ddeItem name="2047316_0" advise="1">
        <values>
          <value>
            <val>5063650</val>
          </value>
        </values>
      </ddeItem>
      <ddeItem name="2047317_0" advise="1">
        <values>
          <value>
            <val>118300</val>
          </value>
        </values>
      </ddeItem>
      <ddeItem name="2047318_0" advise="1">
        <values>
          <value>
            <val>2444200</val>
          </value>
        </values>
      </ddeItem>
      <ddeItem name="2047319_0" advise="1">
        <values>
          <value>
            <val>28300</val>
          </value>
        </values>
      </ddeItem>
      <ddeItem name="2047320_0" advise="1">
        <values>
          <value>
            <val>9640850</val>
          </value>
        </values>
      </ddeItem>
      <ddeItem name="2047321_0" advise="1">
        <values>
          <value>
            <val>218650</val>
          </value>
        </values>
      </ddeItem>
      <ddeItem name="2047325_0" advise="1">
        <values>
          <value>
            <val>2561600</val>
          </value>
        </values>
      </ddeItem>
      <ddeItem name="2047326_0" advise="1">
        <values>
          <value>
            <val>20550</val>
          </value>
        </values>
      </ddeItem>
      <ddeItem name="2047327_0" advise="1">
        <values>
          <value>
            <val>3559900</val>
          </value>
        </values>
      </ddeItem>
      <ddeItem name="2047328_0" advise="1">
        <values>
          <value>
            <val>29700</val>
          </value>
        </values>
      </ddeItem>
      <ddeItem name="2047331_0" advise="1">
        <values>
          <value>
            <val>735800</val>
          </value>
        </values>
      </ddeItem>
      <ddeItem name="2047332_0" advise="1">
        <values>
          <value>
            <val>5150</val>
          </value>
        </values>
      </ddeItem>
      <ddeItem name="2047333_0" advise="1">
        <values>
          <value>
            <val>2824950</val>
          </value>
        </values>
      </ddeItem>
      <ddeItem name="2047334_0" advise="1">
        <values>
          <value>
            <val>25900</val>
          </value>
        </values>
      </ddeItem>
      <ddeItem name="2047338_0">
        <values>
          <value>
            <val>630950</val>
          </value>
        </values>
      </ddeItem>
      <ddeItem name="2047339_0">
        <values>
          <value>
            <val>2500</val>
          </value>
        </values>
      </ddeItem>
      <ddeItem name="2047340_0">
        <values>
          <value>
            <val>2328950</val>
          </value>
        </values>
      </ddeItem>
      <ddeItem name="2047341_0">
        <values>
          <value>
            <val>2900</val>
          </value>
        </values>
      </ddeItem>
      <ddeItem name="2047349_0">
        <values>
          <value>
            <val>329650</val>
          </value>
        </values>
      </ddeItem>
      <ddeItem name="2047350_0">
        <values>
          <value>
            <val>600</val>
          </value>
        </values>
      </ddeItem>
      <ddeItem name="2047353_0">
        <values>
          <value>
            <val>1624200</val>
          </value>
        </values>
      </ddeItem>
      <ddeItem name="2047354_0">
        <values>
          <value>
            <val>1000</val>
          </value>
        </values>
      </ddeItem>
      <ddeItem name="2049983_0" advise="1">
        <values>
          <value>
            <val>0</val>
          </value>
        </values>
      </ddeItem>
      <ddeItem name="2049984_0" advise="1">
        <values>
          <value>
            <val>0</val>
          </value>
        </values>
      </ddeItem>
      <ddeItem name="2049985_0" advise="1">
        <values>
          <value>
            <val>0</val>
          </value>
        </values>
      </ddeItem>
      <ddeItem name="2049988_0" advise="1">
        <values>
          <value>
            <val>0</val>
          </value>
        </values>
      </ddeItem>
      <ddeItem name="2049989_0" advise="1">
        <values>
          <value>
            <val>0</val>
          </value>
        </values>
      </ddeItem>
      <ddeItem name="2049990_0" advise="1">
        <values>
          <value>
            <val>0</val>
          </value>
        </values>
      </ddeItem>
      <ddeItem name="2049991_0" advise="1">
        <values>
          <value>
            <val>0</val>
          </value>
        </values>
      </ddeItem>
      <ddeItem name="2049992_0" advise="1">
        <values>
          <value>
            <val>0</val>
          </value>
        </values>
      </ddeItem>
      <ddeItem name="2049993_0" advise="1">
        <values>
          <value>
            <val>0</val>
          </value>
        </values>
      </ddeItem>
      <ddeItem name="2049994_0" advise="1">
        <values>
          <value>
            <val>0</val>
          </value>
        </values>
      </ddeItem>
      <ddeItem name="2049995_0" advise="1">
        <values>
          <value>
            <val>0</val>
          </value>
        </values>
      </ddeItem>
      <ddeItem name="2049998_0" advise="1">
        <values>
          <value>
            <val>0</val>
          </value>
        </values>
      </ddeItem>
      <ddeItem name="2050003_0" advise="1">
        <values>
          <value>
            <val>0</val>
          </value>
        </values>
      </ddeItem>
      <ddeItem name="2050004_0" advise="1">
        <values>
          <value>
            <val>0</val>
          </value>
        </values>
      </ddeItem>
      <ddeItem name="2050007_0" advise="1">
        <values>
          <value>
            <val>0</val>
          </value>
        </values>
      </ddeItem>
      <ddeItem name="2050008_0" advise="1">
        <values>
          <value>
            <val>0</val>
          </value>
        </values>
      </ddeItem>
      <ddeItem name="2050011_0" advise="1">
        <values>
          <value>
            <val>0</val>
          </value>
        </values>
      </ddeItem>
      <ddeItem name="2050012_0" advise="1">
        <values>
          <value>
            <val>0</val>
          </value>
        </values>
      </ddeItem>
      <ddeItem name="2050013_0" advise="1">
        <values>
          <value>
            <val>0</val>
          </value>
        </values>
      </ddeItem>
      <ddeItem name="2050016_0" advise="1">
        <values>
          <value>
            <val>0</val>
          </value>
        </values>
      </ddeItem>
      <ddeItem name="2050017_0" advise="1">
        <values>
          <value>
            <val>0</val>
          </value>
        </values>
      </ddeItem>
      <ddeItem name="2050022_0" advise="1">
        <values>
          <value>
            <val>0</val>
          </value>
        </values>
      </ddeItem>
      <ddeItem name="2050023_0" advise="1">
        <values>
          <value>
            <val>0</val>
          </value>
        </values>
      </ddeItem>
      <ddeItem name="2050026_0" advise="1">
        <values>
          <value>
            <val>0</val>
          </value>
        </values>
      </ddeItem>
      <ddeItem name="2050027_0" advise="1">
        <values>
          <value>
            <val>0</val>
          </value>
        </values>
      </ddeItem>
      <ddeItem name="2050030_0" advise="1">
        <values>
          <value>
            <val>0</val>
          </value>
        </values>
      </ddeItem>
      <ddeItem name="2050035_0" advise="1">
        <values>
          <value>
            <val>0</val>
          </value>
        </values>
      </ddeItem>
      <ddeItem name="2050036_0" advise="1">
        <values>
          <value>
            <val>0</val>
          </value>
        </values>
      </ddeItem>
      <ddeItem name="2050037_0" advise="1">
        <values>
          <value>
            <val>0</val>
          </value>
        </values>
      </ddeItem>
      <ddeItem name="2050038_0" advise="1">
        <values>
          <value>
            <val>0</val>
          </value>
        </values>
      </ddeItem>
      <ddeItem name="2050039_0" advise="1">
        <values>
          <value>
            <val>0</val>
          </value>
        </values>
      </ddeItem>
      <ddeItem name="2050040_0" advise="1">
        <values>
          <value>
            <val>0</val>
          </value>
        </values>
      </ddeItem>
      <ddeItem name="2050041_0" advise="1">
        <values>
          <value>
            <val>0</val>
          </value>
        </values>
      </ddeItem>
      <ddeItem name="2050042_0" advise="1">
        <values>
          <value>
            <val>0</val>
          </value>
        </values>
      </ddeItem>
      <ddeItem name="2050043_0" advise="1">
        <values>
          <value>
            <val>0</val>
          </value>
        </values>
      </ddeItem>
      <ddeItem name="2050044_0" advise="1">
        <values>
          <value>
            <val>0</val>
          </value>
        </values>
      </ddeItem>
      <ddeItem name="2050046_0" advise="1">
        <values>
          <value>
            <val>0</val>
          </value>
        </values>
      </ddeItem>
      <ddeItem name="2050047_0" advise="1">
        <values>
          <value>
            <val>0</val>
          </value>
        </values>
      </ddeItem>
      <ddeItem name="2050048_0" advise="1">
        <values>
          <value>
            <val>0</val>
          </value>
        </values>
      </ddeItem>
      <ddeItem name="2050049_0" advise="1">
        <values>
          <value>
            <val>0</val>
          </value>
        </values>
      </ddeItem>
      <ddeItem name="2050054_0" advise="1">
        <values>
          <value>
            <val>0</val>
          </value>
        </values>
      </ddeItem>
      <ddeItem name="2050055_0" advise="1">
        <values>
          <value>
            <val>0</val>
          </value>
        </values>
      </ddeItem>
      <ddeItem name="2050056_0" advise="1">
        <values>
          <value>
            <val>0</val>
          </value>
        </values>
      </ddeItem>
      <ddeItem name="2050057_0" advise="1">
        <values>
          <value>
            <val>0</val>
          </value>
        </values>
      </ddeItem>
      <ddeItem name="2050058_0" advise="1">
        <values>
          <value>
            <val>0</val>
          </value>
        </values>
      </ddeItem>
      <ddeItem name="2050059_0" advise="1">
        <values>
          <value>
            <val>0</val>
          </value>
        </values>
      </ddeItem>
      <ddeItem name="2050062_0" advise="1">
        <values>
          <value>
            <val>0</val>
          </value>
        </values>
      </ddeItem>
      <ddeItem name="2050070_0" advise="1">
        <values>
          <value>
            <val>0</val>
          </value>
        </values>
      </ddeItem>
      <ddeItem name="2050071_0" advise="1">
        <values>
          <value>
            <val>0</val>
          </value>
        </values>
      </ddeItem>
      <ddeItem name="2050072_0" advise="1">
        <values>
          <value>
            <val>0</val>
          </value>
        </values>
      </ddeItem>
      <ddeItem name="2050074_0" advise="1">
        <values>
          <value>
            <val>0</val>
          </value>
        </values>
      </ddeItem>
      <ddeItem name="2050077_0" advise="1">
        <values>
          <value>
            <val>0</val>
          </value>
        </values>
      </ddeItem>
      <ddeItem name="2050078_0" advise="1">
        <values>
          <value>
            <val>0</val>
          </value>
        </values>
      </ddeItem>
      <ddeItem name="2050079_0" advise="1">
        <values>
          <value>
            <val>0</val>
          </value>
        </values>
      </ddeItem>
      <ddeItem name="2050083_0" advise="1">
        <values>
          <value>
            <val>0</val>
          </value>
        </values>
      </ddeItem>
      <ddeItem name="2050084_0" advise="1">
        <values>
          <value>
            <val>0</val>
          </value>
        </values>
      </ddeItem>
      <ddeItem name="2050085_0" advise="1">
        <values>
          <value>
            <val>0</val>
          </value>
        </values>
      </ddeItem>
      <ddeItem name="2050086_0" advise="1">
        <values>
          <value>
            <val>0</val>
          </value>
        </values>
      </ddeItem>
      <ddeItem name="2050087_0" advise="1">
        <values>
          <value>
            <val>0</val>
          </value>
        </values>
      </ddeItem>
      <ddeItem name="2050088_0" advise="1">
        <values>
          <value>
            <val>0</val>
          </value>
        </values>
      </ddeItem>
      <ddeItem name="2050089_0" advise="1">
        <values>
          <value>
            <val>0</val>
          </value>
        </values>
      </ddeItem>
      <ddeItem name="2050090_0" advise="1">
        <values>
          <value>
            <val>0</val>
          </value>
        </values>
      </ddeItem>
      <ddeItem name="2050092_0" advise="1">
        <values>
          <value>
            <val>0</val>
          </value>
        </values>
      </ddeItem>
      <ddeItem name="2050093_0" advise="1">
        <values>
          <value>
            <val>0</val>
          </value>
        </values>
      </ddeItem>
      <ddeItem name="2050094_0" advise="1">
        <values>
          <value>
            <val>0</val>
          </value>
        </values>
      </ddeItem>
      <ddeItem name="2050095_0" advise="1">
        <values>
          <value>
            <val>0</val>
          </value>
        </values>
      </ddeItem>
      <ddeItem name="2050096_0" advise="1">
        <values>
          <value>
            <val>0</val>
          </value>
        </values>
      </ddeItem>
      <ddeItem name="2050097_0" advise="1">
        <values>
          <value>
            <val>0</val>
          </value>
        </values>
      </ddeItem>
      <ddeItem name="2050098_0" advise="1">
        <values>
          <value>
            <val>0</val>
          </value>
        </values>
      </ddeItem>
      <ddeItem name="2050099_0" advise="1">
        <values>
          <value>
            <val>0</val>
          </value>
        </values>
      </ddeItem>
      <ddeItem name="2050100_0" advise="1">
        <values>
          <value>
            <val>0</val>
          </value>
        </values>
      </ddeItem>
      <ddeItem name="2050101_0" advise="1">
        <values>
          <value>
            <val>0</val>
          </value>
        </values>
      </ddeItem>
      <ddeItem name="2050102_0" advise="1">
        <values>
          <value>
            <val>0</val>
          </value>
        </values>
      </ddeItem>
      <ddeItem name="2050103_0" advise="1">
        <values>
          <value>
            <val>0</val>
          </value>
        </values>
      </ddeItem>
      <ddeItem name="2050104_0" advise="1">
        <values>
          <value>
            <val>0</val>
          </value>
        </values>
      </ddeItem>
      <ddeItem name="2050105_0" advise="1">
        <values>
          <value>
            <val>0</val>
          </value>
        </values>
      </ddeItem>
      <ddeItem name="2050106_0" advise="1">
        <values>
          <value>
            <val>0</val>
          </value>
        </values>
      </ddeItem>
      <ddeItem name="2050110_0" advise="1">
        <values>
          <value>
            <val>0</val>
          </value>
        </values>
      </ddeItem>
      <ddeItem name="2050111_0" advise="1">
        <values>
          <value>
            <val>0</val>
          </value>
        </values>
      </ddeItem>
      <ddeItem name="2050113_0" advise="1">
        <values>
          <value>
            <val>0</val>
          </value>
        </values>
      </ddeItem>
      <ddeItem name="2050114_0" advise="1">
        <values>
          <value>
            <val>0</val>
          </value>
        </values>
      </ddeItem>
      <ddeItem name="2050115_0" advise="1">
        <values>
          <value>
            <val>0</val>
          </value>
        </values>
      </ddeItem>
      <ddeItem name="2062809_0" advise="1">
        <values>
          <value>
            <val>10668150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trikePrice">
    <ddeItems>
      <ddeItem name="2040035_0" advise="1">
        <values>
          <value>
            <val>2060</val>
          </value>
        </values>
      </ddeItem>
      <ddeItem name="2040039_0" advise="1">
        <values>
          <value>
            <val>2060</val>
          </value>
        </values>
      </ddeItem>
      <ddeItem name="2040040_0" advise="1">
        <values>
          <value>
            <val>2620</val>
          </value>
        </values>
      </ddeItem>
      <ddeItem name="2040046_0" advise="1">
        <values>
          <value>
            <val>2620</val>
          </value>
        </values>
      </ddeItem>
      <ddeItem name="2040047_0" advise="1">
        <values>
          <value>
            <val>6450</val>
          </value>
        </values>
      </ddeItem>
      <ddeItem name="2040048_0" advise="1">
        <values>
          <value>
            <val>6500</val>
          </value>
        </values>
      </ddeItem>
      <ddeItem name="2040049_0" advise="1">
        <values>
          <value>
            <val>230</val>
          </value>
        </values>
      </ddeItem>
      <ddeItem name="2040050_0" advise="1">
        <values>
          <value>
            <val>230</val>
          </value>
        </values>
      </ddeItem>
      <ddeItem name="2040051_0" advise="1">
        <values>
          <value>
            <val>305</val>
          </value>
        </values>
      </ddeItem>
      <ddeItem name="2040052_0" advise="1">
        <values>
          <value>
            <val>305</val>
          </value>
        </values>
      </ddeItem>
      <ddeItem name="2040053_0" advise="1">
        <values>
          <value>
            <val>6500</val>
          </value>
        </values>
      </ddeItem>
      <ddeItem name="2040054_0" advise="1">
        <values>
          <value>
            <val>6550</val>
          </value>
        </values>
      </ddeItem>
      <ddeItem name="2040055_0" advise="1">
        <values>
          <value>
            <val>6550</val>
          </value>
        </values>
      </ddeItem>
      <ddeItem name="2040056_0" advise="1">
        <values>
          <value>
            <val>6600</val>
          </value>
        </values>
      </ddeItem>
      <ddeItem name="2040057_0" advise="1">
        <values>
          <value>
            <val>6600</val>
          </value>
        </values>
      </ddeItem>
      <ddeItem name="2040058_0" advise="1">
        <values>
          <value>
            <val>6650</val>
          </value>
        </values>
      </ddeItem>
      <ddeItem name="2040059_0" advise="1">
        <values>
          <value>
            <val>235</val>
          </value>
        </values>
      </ddeItem>
      <ddeItem name="2040060_0" advise="1">
        <values>
          <value>
            <val>235</val>
          </value>
        </values>
      </ddeItem>
      <ddeItem name="2040061_0" advise="1">
        <values>
          <value>
            <val>240</val>
          </value>
        </values>
      </ddeItem>
      <ddeItem name="2040064_0" advise="1">
        <values>
          <value>
            <val>240</val>
          </value>
        </values>
      </ddeItem>
      <ddeItem name="2040068_0" advise="1">
        <values>
          <value>
            <val>245</val>
          </value>
        </values>
      </ddeItem>
      <ddeItem name="2040069_0" advise="1">
        <values>
          <value>
            <val>245</val>
          </value>
        </values>
      </ddeItem>
      <ddeItem name="2040070_0" advise="1">
        <values>
          <value>
            <val>380</val>
          </value>
        </values>
      </ddeItem>
      <ddeItem name="2040071_0" advise="1">
        <values>
          <value>
            <val>380</val>
          </value>
        </values>
      </ddeItem>
      <ddeItem name="2040074_0" advise="1">
        <values>
          <value>
            <val>390</val>
          </value>
        </values>
      </ddeItem>
      <ddeItem name="2040075_0" advise="1">
        <values>
          <value>
            <val>390</val>
          </value>
        </values>
      </ddeItem>
      <ddeItem name="2040076_0" advise="1">
        <values>
          <value>
            <val>400</val>
          </value>
        </values>
      </ddeItem>
      <ddeItem name="2040077_0" advise="1">
        <values>
          <value>
            <val>400</val>
          </value>
        </values>
      </ddeItem>
      <ddeItem name="2040078_0" advise="1">
        <values>
          <value>
            <val>46700</val>
          </value>
        </values>
      </ddeItem>
      <ddeItem name="2040079_0" advise="1">
        <values>
          <value>
            <val>46700</val>
          </value>
        </values>
      </ddeItem>
      <ddeItem name="2040102_0" advise="1">
        <values>
          <value>
            <val>46600</val>
          </value>
        </values>
      </ddeItem>
      <ddeItem name="2040103_0" advise="1">
        <values>
          <value>
            <val>46600</val>
          </value>
        </values>
      </ddeItem>
      <ddeItem name="2040104_0" advise="1">
        <values>
          <value>
            <val>6900</val>
          </value>
        </values>
      </ddeItem>
      <ddeItem name="2040105_0" advise="1">
        <values>
          <value>
            <val>6950</val>
          </value>
        </values>
      </ddeItem>
      <ddeItem name="2040114_0" advise="1">
        <values>
          <value>
            <val>250</val>
          </value>
        </values>
      </ddeItem>
      <ddeItem name="2040115_0" advise="1">
        <values>
          <value>
            <val>250</val>
          </value>
        </values>
      </ddeItem>
      <ddeItem name="2040122_0" advise="1">
        <values>
          <value>
            <val>49</val>
          </value>
        </values>
      </ddeItem>
      <ddeItem name="2040144_0" advise="1">
        <values>
          <value>
            <val>49</val>
          </value>
        </values>
      </ddeItem>
      <ddeItem name="2040145_0" advise="1">
        <values>
          <value>
            <val>4950</val>
          </value>
        </values>
      </ddeItem>
      <ddeItem name="2040154_0" advise="1">
        <values>
          <value>
            <val>4950</val>
          </value>
        </values>
      </ddeItem>
      <ddeItem name="2040157_0" advise="1">
        <values>
          <value>
            <val>7150</val>
          </value>
        </values>
      </ddeItem>
      <ddeItem name="2040158_0" advise="1">
        <values>
          <value>
            <val>7200</val>
          </value>
        </values>
      </ddeItem>
      <ddeItem name="2049983_0" advise="1">
        <values>
          <value t="nil">
            <val>1</val>
          </value>
        </values>
      </ddeItem>
      <ddeItem name="2049984_0" advise="1">
        <values>
          <value t="nil">
            <val>1</val>
          </value>
        </values>
      </ddeItem>
      <ddeItem name="2049985_0" advise="1">
        <values>
          <value t="nil">
            <val>1</val>
          </value>
        </values>
      </ddeItem>
      <ddeItem name="2049988_0" advise="1">
        <values>
          <value t="nil">
            <val>1</val>
          </value>
        </values>
      </ddeItem>
      <ddeItem name="2049989_0" advise="1">
        <values>
          <value t="nil">
            <val>1</val>
          </value>
        </values>
      </ddeItem>
      <ddeItem name="2049990_0" advise="1">
        <values>
          <value t="nil">
            <val>1</val>
          </value>
        </values>
      </ddeItem>
      <ddeItem name="2049991_0" advise="1">
        <values>
          <value t="nil">
            <val>1</val>
          </value>
        </values>
      </ddeItem>
      <ddeItem name="2049992_0" advise="1">
        <values>
          <value t="nil">
            <val>1</val>
          </value>
        </values>
      </ddeItem>
      <ddeItem name="2049993_0" advise="1">
        <values>
          <value t="nil">
            <val>1</val>
          </value>
        </values>
      </ddeItem>
      <ddeItem name="2049994_0" advise="1">
        <values>
          <value t="nil">
            <val>1</val>
          </value>
        </values>
      </ddeItem>
      <ddeItem name="2049995_0" advise="1">
        <values>
          <value t="nil">
            <val>1</val>
          </value>
        </values>
      </ddeItem>
      <ddeItem name="2049998_0" advise="1">
        <values>
          <value t="nil">
            <val>1</val>
          </value>
        </values>
      </ddeItem>
      <ddeItem name="2050003_0" advise="1">
        <values>
          <value t="nil">
            <val>1</val>
          </value>
        </values>
      </ddeItem>
      <ddeItem name="2050004_0" advise="1">
        <values>
          <value t="nil">
            <val>1</val>
          </value>
        </values>
      </ddeItem>
      <ddeItem name="2050007_0" advise="1">
        <values>
          <value t="nil">
            <val>1</val>
          </value>
        </values>
      </ddeItem>
      <ddeItem name="2050008_0" advise="1">
        <values>
          <value t="nil">
            <val>1</val>
          </value>
        </values>
      </ddeItem>
      <ddeItem name="2050011_0" advise="1">
        <values>
          <value t="nil">
            <val>1</val>
          </value>
        </values>
      </ddeItem>
      <ddeItem name="2050012_0" advise="1">
        <values>
          <value t="nil">
            <val>1</val>
          </value>
        </values>
      </ddeItem>
      <ddeItem name="2050013_0" advise="1">
        <values>
          <value t="nil">
            <val>1</val>
          </value>
        </values>
      </ddeItem>
      <ddeItem name="2050016_0" advise="1">
        <values>
          <value t="nil">
            <val>1</val>
          </value>
        </values>
      </ddeItem>
      <ddeItem name="2050017_0" advise="1">
        <values>
          <value t="nil">
            <val>1</val>
          </value>
        </values>
      </ddeItem>
      <ddeItem name="2050022_0" advise="1">
        <values>
          <value t="nil">
            <val>1</val>
          </value>
        </values>
      </ddeItem>
      <ddeItem name="2050023_0" advise="1">
        <values>
          <value t="nil">
            <val>1</val>
          </value>
        </values>
      </ddeItem>
      <ddeItem name="2050026_0" advise="1">
        <values>
          <value t="nil">
            <val>1</val>
          </value>
        </values>
      </ddeItem>
      <ddeItem name="2050027_0" advise="1">
        <values>
          <value t="nil">
            <val>1</val>
          </value>
        </values>
      </ddeItem>
      <ddeItem name="2050030_0" advise="1">
        <values>
          <value t="nil">
            <val>1</val>
          </value>
        </values>
      </ddeItem>
      <ddeItem name="2050035_0" advise="1">
        <values>
          <value t="nil">
            <val>1</val>
          </value>
        </values>
      </ddeItem>
      <ddeItem name="2050036_0" advise="1">
        <values>
          <value t="nil">
            <val>1</val>
          </value>
        </values>
      </ddeItem>
      <ddeItem name="2050037_0" advise="1">
        <values>
          <value t="nil">
            <val>1</val>
          </value>
        </values>
      </ddeItem>
      <ddeItem name="2050038_0" advise="1">
        <values>
          <value t="nil">
            <val>1</val>
          </value>
        </values>
      </ddeItem>
      <ddeItem name="2050039_0" advise="1">
        <values>
          <value t="nil">
            <val>1</val>
          </value>
        </values>
      </ddeItem>
      <ddeItem name="2050040_0" advise="1">
        <values>
          <value t="nil">
            <val>1</val>
          </value>
        </values>
      </ddeItem>
      <ddeItem name="2050041_0" advise="1">
        <values>
          <value t="nil">
            <val>1</val>
          </value>
        </values>
      </ddeItem>
      <ddeItem name="2050042_0" advise="1">
        <values>
          <value t="nil">
            <val>1</val>
          </value>
        </values>
      </ddeItem>
      <ddeItem name="2050043_0" advise="1">
        <values>
          <value t="nil">
            <val>1</val>
          </value>
        </values>
      </ddeItem>
      <ddeItem name="2050044_0" advise="1">
        <values>
          <value t="nil">
            <val>1</val>
          </value>
        </values>
      </ddeItem>
      <ddeItem name="2050046_0" advise="1">
        <values>
          <value t="nil">
            <val>1</val>
          </value>
        </values>
      </ddeItem>
      <ddeItem name="2050047_0" advise="1">
        <values>
          <value t="nil">
            <val>1</val>
          </value>
        </values>
      </ddeItem>
      <ddeItem name="2050048_0" advise="1">
        <values>
          <value t="nil">
            <val>1</val>
          </value>
        </values>
      </ddeItem>
      <ddeItem name="2050049_0" advise="1">
        <values>
          <value t="nil">
            <val>1</val>
          </value>
        </values>
      </ddeItem>
      <ddeItem name="2050054_0" advise="1">
        <values>
          <value t="nil">
            <val>1</val>
          </value>
        </values>
      </ddeItem>
      <ddeItem name="2050055_0" advise="1">
        <values>
          <value t="nil">
            <val>1</val>
          </value>
        </values>
      </ddeItem>
      <ddeItem name="2050056_0" advise="1">
        <values>
          <value t="nil">
            <val>1</val>
          </value>
        </values>
      </ddeItem>
      <ddeItem name="2050057_0" advise="1">
        <values>
          <value t="nil">
            <val>1</val>
          </value>
        </values>
      </ddeItem>
      <ddeItem name="2050058_0" advise="1">
        <values>
          <value t="nil">
            <val>1</val>
          </value>
        </values>
      </ddeItem>
      <ddeItem name="2050059_0" advise="1">
        <values>
          <value t="nil">
            <val>1</val>
          </value>
        </values>
      </ddeItem>
      <ddeItem name="2050062_0" advise="1">
        <values>
          <value t="nil">
            <val>1</val>
          </value>
        </values>
      </ddeItem>
      <ddeItem name="2050070_0" advise="1">
        <values>
          <value t="nil">
            <val>1</val>
          </value>
        </values>
      </ddeItem>
      <ddeItem name="2050071_0" advise="1">
        <values>
          <value t="nil">
            <val>1</val>
          </value>
        </values>
      </ddeItem>
      <ddeItem name="2050072_0" advise="1">
        <values>
          <value t="nil">
            <val>1</val>
          </value>
        </values>
      </ddeItem>
      <ddeItem name="2050074_0" advise="1">
        <values>
          <value t="nil">
            <val>1</val>
          </value>
        </values>
      </ddeItem>
      <ddeItem name="2050077_0" advise="1">
        <values>
          <value t="nil">
            <val>1</val>
          </value>
        </values>
      </ddeItem>
      <ddeItem name="2050078_0" advise="1">
        <values>
          <value t="nil">
            <val>1</val>
          </value>
        </values>
      </ddeItem>
      <ddeItem name="2050079_0" advise="1">
        <values>
          <value t="nil">
            <val>1</val>
          </value>
        </values>
      </ddeItem>
      <ddeItem name="2050083_0" advise="1">
        <values>
          <value t="nil">
            <val>1</val>
          </value>
        </values>
      </ddeItem>
      <ddeItem name="2050084_0" advise="1">
        <values>
          <value t="nil">
            <val>1</val>
          </value>
        </values>
      </ddeItem>
      <ddeItem name="2050085_0" advise="1">
        <values>
          <value t="nil">
            <val>1</val>
          </value>
        </values>
      </ddeItem>
      <ddeItem name="2050086_0" advise="1">
        <values>
          <value t="nil">
            <val>1</val>
          </value>
        </values>
      </ddeItem>
      <ddeItem name="2050087_0" advise="1">
        <values>
          <value t="nil">
            <val>1</val>
          </value>
        </values>
      </ddeItem>
      <ddeItem name="2050088_0" advise="1">
        <values>
          <value t="nil">
            <val>1</val>
          </value>
        </values>
      </ddeItem>
      <ddeItem name="2050089_0" advise="1">
        <values>
          <value t="nil">
            <val>1</val>
          </value>
        </values>
      </ddeItem>
      <ddeItem name="2050090_0" advise="1">
        <values>
          <value t="nil">
            <val>1</val>
          </value>
        </values>
      </ddeItem>
      <ddeItem name="2050092_0" advise="1">
        <values>
          <value t="nil">
            <val>1</val>
          </value>
        </values>
      </ddeItem>
      <ddeItem name="2050093_0" advise="1">
        <values>
          <value t="nil">
            <val>1</val>
          </value>
        </values>
      </ddeItem>
      <ddeItem name="2050094_0" advise="1">
        <values>
          <value t="nil">
            <val>1</val>
          </value>
        </values>
      </ddeItem>
      <ddeItem name="2050095_0" advise="1">
        <values>
          <value t="nil">
            <val>1</val>
          </value>
        </values>
      </ddeItem>
      <ddeItem name="2050096_0" advise="1">
        <values>
          <value t="nil">
            <val>1</val>
          </value>
        </values>
      </ddeItem>
      <ddeItem name="2050097_0" advise="1">
        <values>
          <value t="nil">
            <val>1</val>
          </value>
        </values>
      </ddeItem>
      <ddeItem name="2050098_0" advise="1">
        <values>
          <value t="nil">
            <val>1</val>
          </value>
        </values>
      </ddeItem>
      <ddeItem name="2050099_0" advise="1">
        <values>
          <value t="nil">
            <val>1</val>
          </value>
        </values>
      </ddeItem>
      <ddeItem name="2050100_0" advise="1">
        <values>
          <value t="nil">
            <val>1</val>
          </value>
        </values>
      </ddeItem>
      <ddeItem name="2050101_0" advise="1">
        <values>
          <value t="nil">
            <val>1</val>
          </value>
        </values>
      </ddeItem>
      <ddeItem name="2050102_0" advise="1">
        <values>
          <value t="nil">
            <val>1</val>
          </value>
        </values>
      </ddeItem>
      <ddeItem name="2050103_0" advise="1">
        <values>
          <value t="nil">
            <val>1</val>
          </value>
        </values>
      </ddeItem>
      <ddeItem name="2050104_0" advise="1">
        <values>
          <value t="nil">
            <val>1</val>
          </value>
        </values>
      </ddeItem>
      <ddeItem name="2050105_0" advise="1">
        <values>
          <value t="nil">
            <val>1</val>
          </value>
        </values>
      </ddeItem>
      <ddeItem name="2050106_0" advise="1">
        <values>
          <value t="nil">
            <val>1</val>
          </value>
        </values>
      </ddeItem>
      <ddeItem name="2050110_0" advise="1">
        <values>
          <value t="nil">
            <val>1</val>
          </value>
        </values>
      </ddeItem>
      <ddeItem name="2050111_0" advise="1">
        <values>
          <value t="nil">
            <val>1</val>
          </value>
        </values>
      </ddeItem>
      <ddeItem name="2050113_0" advise="1">
        <values>
          <value t="nil">
            <val>1</val>
          </value>
        </values>
      </ddeItem>
      <ddeItem name="2050114_0" advise="1">
        <values>
          <value t="nil">
            <val>1</val>
          </value>
        </values>
      </ddeItem>
      <ddeItem name="2050115_0" advise="1">
        <values>
          <value t="nil">
            <val>1</val>
          </value>
        </values>
      </ddeItem>
      <ddeItem name="2062809_0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CHANGEOI">
    <ddeItems>
      <ddeItem name="2040035_0" advise="1">
        <values>
          <value>
            <val>0</val>
          </value>
        </values>
      </ddeItem>
      <ddeItem name="2040039_0" advise="1">
        <values>
          <value>
            <val>0</val>
          </value>
        </values>
      </ddeItem>
      <ddeItem name="2040040_0" advise="1">
        <values>
          <value>
            <val>0</val>
          </value>
        </values>
      </ddeItem>
      <ddeItem name="2040046_0" advise="1">
        <values>
          <value>
            <val>0</val>
          </value>
        </values>
      </ddeItem>
      <ddeItem name="2040047_0" advise="1">
        <values>
          <value>
            <val>0</val>
          </value>
        </values>
      </ddeItem>
      <ddeItem name="2040048_0" advise="1">
        <values>
          <value>
            <val>0</val>
          </value>
        </values>
      </ddeItem>
      <ddeItem name="2040049_0" advise="1">
        <values>
          <value>
            <val>0</val>
          </value>
        </values>
      </ddeItem>
      <ddeItem name="2040050_0" advise="1">
        <values>
          <value>
            <val>0</val>
          </value>
        </values>
      </ddeItem>
      <ddeItem name="2040051_0" advise="1">
        <values>
          <value>
            <val>0</val>
          </value>
        </values>
      </ddeItem>
      <ddeItem name="2040052_0" advise="1">
        <values>
          <value>
            <val>0</val>
          </value>
        </values>
      </ddeItem>
      <ddeItem name="2040053_0" advise="1">
        <values>
          <value>
            <val>0</val>
          </value>
        </values>
      </ddeItem>
      <ddeItem name="2040054_0" advise="1">
        <values>
          <value>
            <val>0</val>
          </value>
        </values>
      </ddeItem>
      <ddeItem name="2040055_0" advise="1">
        <values>
          <value>
            <val>0</val>
          </value>
        </values>
      </ddeItem>
      <ddeItem name="2040056_0" advise="1">
        <values>
          <value>
            <val>0</val>
          </value>
        </values>
      </ddeItem>
      <ddeItem name="2040057_0" advise="1">
        <values>
          <value>
            <val>0</val>
          </value>
        </values>
      </ddeItem>
      <ddeItem name="2040058_0" advise="1">
        <values>
          <value>
            <val>0</val>
          </value>
        </values>
      </ddeItem>
      <ddeItem name="2040059_0" advise="1">
        <values>
          <value>
            <val>0</val>
          </value>
        </values>
      </ddeItem>
      <ddeItem name="2040060_0" advise="1">
        <values>
          <value>
            <val>0</val>
          </value>
        </values>
      </ddeItem>
      <ddeItem name="2040061_0" advise="1">
        <values>
          <value>
            <val>0</val>
          </value>
        </values>
      </ddeItem>
      <ddeItem name="2040064_0" advise="1">
        <values>
          <value>
            <val>0</val>
          </value>
        </values>
      </ddeItem>
      <ddeItem name="2040068_0" advise="1">
        <values>
          <value>
            <val>0</val>
          </value>
        </values>
      </ddeItem>
      <ddeItem name="2040069_0" advise="1">
        <values>
          <value>
            <val>0</val>
          </value>
        </values>
      </ddeItem>
      <ddeItem name="2040070_0" advise="1">
        <values>
          <value>
            <val>0</val>
          </value>
        </values>
      </ddeItem>
      <ddeItem name="2040071_0" advise="1">
        <values>
          <value>
            <val>0</val>
          </value>
        </values>
      </ddeItem>
      <ddeItem name="2040074_0" advise="1">
        <values>
          <value>
            <val>0</val>
          </value>
        </values>
      </ddeItem>
      <ddeItem name="2040075_0" advise="1">
        <values>
          <value>
            <val>0</val>
          </value>
        </values>
      </ddeItem>
      <ddeItem name="2040076_0" advise="1">
        <values>
          <value>
            <val>0</val>
          </value>
        </values>
      </ddeItem>
      <ddeItem name="2040077_0" advise="1">
        <values>
          <value>
            <val>0</val>
          </value>
        </values>
      </ddeItem>
      <ddeItem name="2040078_0" advise="1">
        <values>
          <value>
            <val>0</val>
          </value>
        </values>
      </ddeItem>
      <ddeItem name="2040079_0" advise="1">
        <values>
          <value>
            <val>0</val>
          </value>
        </values>
      </ddeItem>
      <ddeItem name="2040102_0" advise="1">
        <values>
          <value>
            <val>0</val>
          </value>
        </values>
      </ddeItem>
      <ddeItem name="2040103_0" advise="1">
        <values>
          <value>
            <val>0</val>
          </value>
        </values>
      </ddeItem>
      <ddeItem name="2040104_0" advise="1">
        <values>
          <value>
            <val>0</val>
          </value>
        </values>
      </ddeItem>
      <ddeItem name="2040105_0" advise="1">
        <values>
          <value>
            <val>0</val>
          </value>
        </values>
      </ddeItem>
      <ddeItem name="2040114_0" advise="1">
        <values>
          <value>
            <val>0</val>
          </value>
        </values>
      </ddeItem>
      <ddeItem name="2040115_0" advise="1">
        <values>
          <value>
            <val>0</val>
          </value>
        </values>
      </ddeItem>
      <ddeItem name="2040122_0" advise="1">
        <values>
          <value>
            <val>0</val>
          </value>
        </values>
      </ddeItem>
      <ddeItem name="2040144_0" advise="1">
        <values>
          <value>
            <val>0</val>
          </value>
        </values>
      </ddeItem>
      <ddeItem name="2040145_0" advise="1">
        <values>
          <value>
            <val>0</val>
          </value>
        </values>
      </ddeItem>
      <ddeItem name="2040154_0" advise="1">
        <values>
          <value>
            <val>0</val>
          </value>
        </values>
      </ddeItem>
      <ddeItem name="2040157_0" advise="1">
        <values>
          <value>
            <val>0</val>
          </value>
        </values>
      </ddeItem>
      <ddeItem name="2040158_0" advise="1">
        <values>
          <value>
            <val>0</val>
          </value>
        </values>
      </ddeItem>
      <ddeItem name="2047269_0">
        <values>
          <value>
            <val>-16100</val>
          </value>
        </values>
      </ddeItem>
      <ddeItem name="2047270_0">
        <values>
          <value>
            <val>2006650</val>
          </value>
        </values>
      </ddeItem>
      <ddeItem name="2047271_0">
        <values>
          <value>
            <val>7550</val>
          </value>
        </values>
      </ddeItem>
      <ddeItem name="2047272_0">
        <values>
          <value>
            <val>85500</val>
          </value>
        </values>
      </ddeItem>
      <ddeItem name="2047273_0">
        <values>
          <value>
            <val>9850</val>
          </value>
        </values>
      </ddeItem>
      <ddeItem name="2047274_0">
        <values>
          <value>
            <val>-77650</val>
          </value>
        </values>
      </ddeItem>
      <ddeItem name="2047277_0">
        <values>
          <value>
            <val>-50</val>
          </value>
        </values>
      </ddeItem>
      <ddeItem name="2047278_0">
        <values>
          <value>
            <val>62350</val>
          </value>
        </values>
      </ddeItem>
      <ddeItem name="2047279_0">
        <values>
          <value>
            <val>-62750</val>
          </value>
        </values>
      </ddeItem>
      <ddeItem name="2047280_0">
        <values>
          <value>
            <val>437200</val>
          </value>
        </values>
      </ddeItem>
      <ddeItem name="2047283_0" advise="1">
        <values>
          <value>
            <val>4150</val>
          </value>
        </values>
      </ddeItem>
      <ddeItem name="2047284_0" advise="1">
        <values>
          <value>
            <val>545300</val>
          </value>
        </values>
      </ddeItem>
      <ddeItem name="2047285_0" advise="1">
        <values>
          <value>
            <val>-94500</val>
          </value>
        </values>
      </ddeItem>
      <ddeItem name="2047289_0" advise="1">
        <values>
          <value>
            <val>856750</val>
          </value>
        </values>
      </ddeItem>
      <ddeItem name="2047290_0" advise="1">
        <values>
          <value>
            <val>-41000</val>
          </value>
        </values>
      </ddeItem>
      <ddeItem name="2047291_0" advise="1">
        <values>
          <value>
            <val>-264500</val>
          </value>
        </values>
      </ddeItem>
      <ddeItem name="2047292_0" advise="1">
        <values>
          <value>
            <val>-799650</val>
          </value>
        </values>
      </ddeItem>
      <ddeItem name="2047293_0" advise="1">
        <values>
          <value>
            <val>17950</val>
          </value>
        </values>
      </ddeItem>
      <ddeItem name="2047294_0" advise="1">
        <values>
          <value>
            <val>-482950</val>
          </value>
        </values>
      </ddeItem>
      <ddeItem name="2047295_0" advise="1">
        <values>
          <value>
            <val>633950</val>
          </value>
        </values>
      </ddeItem>
      <ddeItem name="2047296_0" advise="1">
        <values>
          <value>
            <val>-2507200</val>
          </value>
        </values>
      </ddeItem>
      <ddeItem name="2047297_0" advise="1">
        <values>
          <value>
            <val>2405300</val>
          </value>
        </values>
      </ddeItem>
      <ddeItem name="2047299_0" advise="1">
        <values>
          <value>
            <val>-899650</val>
          </value>
        </values>
      </ddeItem>
      <ddeItem name="2047300_0" advise="1">
        <values>
          <value>
            <val>3015550</val>
          </value>
        </values>
      </ddeItem>
      <ddeItem name="2047301_0" advise="1">
        <values>
          <value>
            <val>-457700</val>
          </value>
        </values>
      </ddeItem>
      <ddeItem name="2047302_0" advise="1">
        <values>
          <value>
            <val>2784200</val>
          </value>
        </values>
      </ddeItem>
      <ddeItem name="2047303_0" advise="1">
        <values>
          <value>
            <val>-431350</val>
          </value>
        </values>
      </ddeItem>
      <ddeItem name="2047304_0" advise="1">
        <values>
          <value>
            <val>583350</val>
          </value>
        </values>
      </ddeItem>
      <ddeItem name="2047305_0" advise="1">
        <values>
          <value>
            <val>234100</val>
          </value>
        </values>
      </ddeItem>
      <ddeItem name="2047307_0" advise="1">
        <values>
          <value>
            <val>815550</val>
          </value>
        </values>
      </ddeItem>
      <ddeItem name="2047308_0" advise="1">
        <values>
          <value>
            <val>265350</val>
          </value>
        </values>
      </ddeItem>
      <ddeItem name="2047309_0" advise="1">
        <values>
          <value>
            <val>243900</val>
          </value>
        </values>
      </ddeItem>
      <ddeItem name="2047310_0" advise="1">
        <values>
          <value>
            <val>754050</val>
          </value>
        </values>
      </ddeItem>
      <ddeItem name="2047311_0" advise="1">
        <values>
          <value>
            <val>182100</val>
          </value>
        </values>
      </ddeItem>
      <ddeItem name="2047312_0" advise="1">
        <values>
          <value>
            <val>257100</val>
          </value>
        </values>
      </ddeItem>
      <ddeItem name="2047315_0" advise="1">
        <values>
          <value>
            <val>63200</val>
          </value>
        </values>
      </ddeItem>
      <ddeItem name="2047316_0" advise="1">
        <values>
          <value>
            <val>93750</val>
          </value>
        </values>
      </ddeItem>
      <ddeItem name="2047317_0" advise="1">
        <values>
          <value>
            <val>-10900</val>
          </value>
        </values>
      </ddeItem>
      <ddeItem name="2047318_0" advise="1">
        <values>
          <value>
            <val>203750</val>
          </value>
        </values>
      </ddeItem>
      <ddeItem name="2047319_0" advise="1">
        <values>
          <value>
            <val>3900</val>
          </value>
        </values>
      </ddeItem>
      <ddeItem name="2047320_0" advise="1">
        <values>
          <value>
            <val>-490450</val>
          </value>
        </values>
      </ddeItem>
      <ddeItem name="2047321_0" advise="1">
        <values>
          <value>
            <val>23900</val>
          </value>
        </values>
      </ddeItem>
      <ddeItem name="2047325_0" advise="1">
        <values>
          <value>
            <val>430700</val>
          </value>
        </values>
      </ddeItem>
      <ddeItem name="2047326_0" advise="1">
        <values>
          <value>
            <val>3450</val>
          </value>
        </values>
      </ddeItem>
      <ddeItem name="2047327_0" advise="1">
        <values>
          <value>
            <val>182450</val>
          </value>
        </values>
      </ddeItem>
      <ddeItem name="2047328_0" advise="1">
        <values>
          <value>
            <val>-5850</val>
          </value>
        </values>
      </ddeItem>
      <ddeItem name="2047331_0" advise="1">
        <values>
          <value>
            <val>58300</val>
          </value>
        </values>
      </ddeItem>
      <ddeItem name="2047332_0" advise="1">
        <values>
          <value>
            <val>600</val>
          </value>
        </values>
      </ddeItem>
      <ddeItem name="2047333_0" advise="1">
        <values>
          <value>
            <val>-280250</val>
          </value>
        </values>
      </ddeItem>
      <ddeItem name="2047334_0" advise="1">
        <values>
          <value>
            <val>-600</val>
          </value>
        </values>
      </ddeItem>
      <ddeItem name="2047338_0">
        <values>
          <value>
            <val>-15450</val>
          </value>
        </values>
      </ddeItem>
      <ddeItem name="2047339_0">
        <values>
          <value>
            <val>0</val>
          </value>
        </values>
      </ddeItem>
      <ddeItem name="2047340_0">
        <values>
          <value>
            <val>3950</val>
          </value>
        </values>
      </ddeItem>
      <ddeItem name="2047341_0">
        <values>
          <value>
            <val>0</val>
          </value>
        </values>
      </ddeItem>
      <ddeItem name="2047349_0">
        <values>
          <value>
            <val>25150</val>
          </value>
        </values>
      </ddeItem>
      <ddeItem name="2047350_0">
        <values>
          <value>
            <val>0</val>
          </value>
        </values>
      </ddeItem>
      <ddeItem name="2047353_0">
        <values>
          <value>
            <val>4950</val>
          </value>
        </values>
      </ddeItem>
      <ddeItem name="2047354_0">
        <values>
          <value>
            <val>-50</val>
          </value>
        </values>
      </ddeItem>
      <ddeItem name="2049983_0" advise="1">
        <values>
          <value>
            <val>0</val>
          </value>
        </values>
      </ddeItem>
      <ddeItem name="2049984_0" advise="1">
        <values>
          <value>
            <val>0</val>
          </value>
        </values>
      </ddeItem>
      <ddeItem name="2049985_0" advise="1">
        <values>
          <value>
            <val>0</val>
          </value>
        </values>
      </ddeItem>
      <ddeItem name="2049988_0" advise="1">
        <values>
          <value>
            <val>0</val>
          </value>
        </values>
      </ddeItem>
      <ddeItem name="2049989_0" advise="1">
        <values>
          <value>
            <val>0</val>
          </value>
        </values>
      </ddeItem>
      <ddeItem name="2049990_0" advise="1">
        <values>
          <value>
            <val>0</val>
          </value>
        </values>
      </ddeItem>
      <ddeItem name="2049991_0" advise="1">
        <values>
          <value>
            <val>0</val>
          </value>
        </values>
      </ddeItem>
      <ddeItem name="2049992_0" advise="1">
        <values>
          <value>
            <val>0</val>
          </value>
        </values>
      </ddeItem>
      <ddeItem name="2049993_0" advise="1">
        <values>
          <value>
            <val>0</val>
          </value>
        </values>
      </ddeItem>
      <ddeItem name="2049994_0" advise="1">
        <values>
          <value>
            <val>0</val>
          </value>
        </values>
      </ddeItem>
      <ddeItem name="2049995_0" advise="1">
        <values>
          <value>
            <val>0</val>
          </value>
        </values>
      </ddeItem>
      <ddeItem name="2049998_0" advise="1">
        <values>
          <value>
            <val>0</val>
          </value>
        </values>
      </ddeItem>
      <ddeItem name="2050003_0" advise="1">
        <values>
          <value>
            <val>0</val>
          </value>
        </values>
      </ddeItem>
      <ddeItem name="2050004_0" advise="1">
        <values>
          <value>
            <val>0</val>
          </value>
        </values>
      </ddeItem>
      <ddeItem name="2050007_0" advise="1">
        <values>
          <value>
            <val>0</val>
          </value>
        </values>
      </ddeItem>
      <ddeItem name="2050008_0" advise="1">
        <values>
          <value>
            <val>0</val>
          </value>
        </values>
      </ddeItem>
      <ddeItem name="2050011_0" advise="1">
        <values>
          <value>
            <val>0</val>
          </value>
        </values>
      </ddeItem>
      <ddeItem name="2050012_0" advise="1">
        <values>
          <value>
            <val>0</val>
          </value>
        </values>
      </ddeItem>
      <ddeItem name="2050013_0" advise="1">
        <values>
          <value>
            <val>0</val>
          </value>
        </values>
      </ddeItem>
      <ddeItem name="2050016_0" advise="1">
        <values>
          <value>
            <val>0</val>
          </value>
        </values>
      </ddeItem>
      <ddeItem name="2050017_0" advise="1">
        <values>
          <value>
            <val>0</val>
          </value>
        </values>
      </ddeItem>
      <ddeItem name="2050022_0" advise="1">
        <values>
          <value>
            <val>0</val>
          </value>
        </values>
      </ddeItem>
      <ddeItem name="2050023_0" advise="1">
        <values>
          <value>
            <val>0</val>
          </value>
        </values>
      </ddeItem>
      <ddeItem name="2050026_0" advise="1">
        <values>
          <value>
            <val>0</val>
          </value>
        </values>
      </ddeItem>
      <ddeItem name="2050027_0" advise="1">
        <values>
          <value>
            <val>0</val>
          </value>
        </values>
      </ddeItem>
      <ddeItem name="2050030_0" advise="1">
        <values>
          <value>
            <val>0</val>
          </value>
        </values>
      </ddeItem>
      <ddeItem name="2050035_0" advise="1">
        <values>
          <value>
            <val>0</val>
          </value>
        </values>
      </ddeItem>
      <ddeItem name="2050036_0" advise="1">
        <values>
          <value>
            <val>0</val>
          </value>
        </values>
      </ddeItem>
      <ddeItem name="2050037_0" advise="1">
        <values>
          <value>
            <val>0</val>
          </value>
        </values>
      </ddeItem>
      <ddeItem name="2050038_0" advise="1">
        <values>
          <value>
            <val>0</val>
          </value>
        </values>
      </ddeItem>
      <ddeItem name="2050039_0" advise="1">
        <values>
          <value>
            <val>0</val>
          </value>
        </values>
      </ddeItem>
      <ddeItem name="2050040_0" advise="1">
        <values>
          <value>
            <val>0</val>
          </value>
        </values>
      </ddeItem>
      <ddeItem name="2050041_0" advise="1">
        <values>
          <value>
            <val>0</val>
          </value>
        </values>
      </ddeItem>
      <ddeItem name="2050042_0" advise="1">
        <values>
          <value>
            <val>0</val>
          </value>
        </values>
      </ddeItem>
      <ddeItem name="2050043_0" advise="1">
        <values>
          <value>
            <val>0</val>
          </value>
        </values>
      </ddeItem>
      <ddeItem name="2050044_0" advise="1">
        <values>
          <value>
            <val>0</val>
          </value>
        </values>
      </ddeItem>
      <ddeItem name="2050046_0" advise="1">
        <values>
          <value>
            <val>0</val>
          </value>
        </values>
      </ddeItem>
      <ddeItem name="2050047_0" advise="1">
        <values>
          <value>
            <val>0</val>
          </value>
        </values>
      </ddeItem>
      <ddeItem name="2050048_0" advise="1">
        <values>
          <value>
            <val>0</val>
          </value>
        </values>
      </ddeItem>
      <ddeItem name="2050049_0" advise="1">
        <values>
          <value>
            <val>0</val>
          </value>
        </values>
      </ddeItem>
      <ddeItem name="2050054_0" advise="1">
        <values>
          <value>
            <val>0</val>
          </value>
        </values>
      </ddeItem>
      <ddeItem name="2050055_0" advise="1">
        <values>
          <value>
            <val>0</val>
          </value>
        </values>
      </ddeItem>
      <ddeItem name="2050056_0" advise="1">
        <values>
          <value>
            <val>0</val>
          </value>
        </values>
      </ddeItem>
      <ddeItem name="2050057_0" advise="1">
        <values>
          <value>
            <val>0</val>
          </value>
        </values>
      </ddeItem>
      <ddeItem name="2050058_0" advise="1">
        <values>
          <value>
            <val>0</val>
          </value>
        </values>
      </ddeItem>
      <ddeItem name="2050059_0" advise="1">
        <values>
          <value>
            <val>0</val>
          </value>
        </values>
      </ddeItem>
      <ddeItem name="2050062_0" advise="1">
        <values>
          <value>
            <val>0</val>
          </value>
        </values>
      </ddeItem>
      <ddeItem name="2050070_0" advise="1">
        <values>
          <value>
            <val>0</val>
          </value>
        </values>
      </ddeItem>
      <ddeItem name="2050071_0" advise="1">
        <values>
          <value>
            <val>0</val>
          </value>
        </values>
      </ddeItem>
      <ddeItem name="2050072_0" advise="1">
        <values>
          <value>
            <val>0</val>
          </value>
        </values>
      </ddeItem>
      <ddeItem name="2050074_0" advise="1">
        <values>
          <value>
            <val>0</val>
          </value>
        </values>
      </ddeItem>
      <ddeItem name="2050077_0" advise="1">
        <values>
          <value>
            <val>0</val>
          </value>
        </values>
      </ddeItem>
      <ddeItem name="2050078_0" advise="1">
        <values>
          <value>
            <val>0</val>
          </value>
        </values>
      </ddeItem>
      <ddeItem name="2050079_0" advise="1">
        <values>
          <value>
            <val>0</val>
          </value>
        </values>
      </ddeItem>
      <ddeItem name="2050083_0" advise="1">
        <values>
          <value>
            <val>0</val>
          </value>
        </values>
      </ddeItem>
      <ddeItem name="2050084_0" advise="1">
        <values>
          <value>
            <val>0</val>
          </value>
        </values>
      </ddeItem>
      <ddeItem name="2050085_0" advise="1">
        <values>
          <value>
            <val>0</val>
          </value>
        </values>
      </ddeItem>
      <ddeItem name="2050086_0" advise="1">
        <values>
          <value>
            <val>0</val>
          </value>
        </values>
      </ddeItem>
      <ddeItem name="2050087_0" advise="1">
        <values>
          <value>
            <val>0</val>
          </value>
        </values>
      </ddeItem>
      <ddeItem name="2050088_0" advise="1">
        <values>
          <value>
            <val>0</val>
          </value>
        </values>
      </ddeItem>
      <ddeItem name="2050089_0" advise="1">
        <values>
          <value>
            <val>0</val>
          </value>
        </values>
      </ddeItem>
      <ddeItem name="2050090_0" advise="1">
        <values>
          <value>
            <val>0</val>
          </value>
        </values>
      </ddeItem>
      <ddeItem name="2050092_0" advise="1">
        <values>
          <value>
            <val>0</val>
          </value>
        </values>
      </ddeItem>
      <ddeItem name="2050093_0" advise="1">
        <values>
          <value>
            <val>0</val>
          </value>
        </values>
      </ddeItem>
      <ddeItem name="2050094_0" advise="1">
        <values>
          <value>
            <val>0</val>
          </value>
        </values>
      </ddeItem>
      <ddeItem name="2050095_0" advise="1">
        <values>
          <value>
            <val>0</val>
          </value>
        </values>
      </ddeItem>
      <ddeItem name="2050096_0" advise="1">
        <values>
          <value>
            <val>0</val>
          </value>
        </values>
      </ddeItem>
      <ddeItem name="2050097_0" advise="1">
        <values>
          <value>
            <val>0</val>
          </value>
        </values>
      </ddeItem>
      <ddeItem name="2050098_0" advise="1">
        <values>
          <value>
            <val>0</val>
          </value>
        </values>
      </ddeItem>
      <ddeItem name="2050099_0" advise="1">
        <values>
          <value>
            <val>0</val>
          </value>
        </values>
      </ddeItem>
      <ddeItem name="2050100_0" advise="1">
        <values>
          <value>
            <val>0</val>
          </value>
        </values>
      </ddeItem>
      <ddeItem name="2050101_0" advise="1">
        <values>
          <value>
            <val>0</val>
          </value>
        </values>
      </ddeItem>
      <ddeItem name="2050102_0" advise="1">
        <values>
          <value>
            <val>0</val>
          </value>
        </values>
      </ddeItem>
      <ddeItem name="2050103_0" advise="1">
        <values>
          <value>
            <val>0</val>
          </value>
        </values>
      </ddeItem>
      <ddeItem name="2050104_0" advise="1">
        <values>
          <value>
            <val>0</val>
          </value>
        </values>
      </ddeItem>
      <ddeItem name="2050105_0" advise="1">
        <values>
          <value>
            <val>0</val>
          </value>
        </values>
      </ddeItem>
      <ddeItem name="2050106_0" advise="1">
        <values>
          <value>
            <val>0</val>
          </value>
        </values>
      </ddeItem>
      <ddeItem name="2050110_0" advise="1">
        <values>
          <value>
            <val>0</val>
          </value>
        </values>
      </ddeItem>
      <ddeItem name="2050111_0" advise="1">
        <values>
          <value>
            <val>0</val>
          </value>
        </values>
      </ddeItem>
      <ddeItem name="2050113_0" advise="1">
        <values>
          <value>
            <val>0</val>
          </value>
        </values>
      </ddeItem>
      <ddeItem name="2050114_0" advise="1">
        <values>
          <value>
            <val>0</val>
          </value>
        </values>
      </ddeItem>
      <ddeItem name="2050115_0" advise="1">
        <values>
          <value>
            <val>0</val>
          </value>
        </values>
      </ddeItem>
      <ddeItem name="2062809_0" advise="1">
        <values>
          <value>
            <val>-22500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NO_CONTRACT">
    <ddeItems>
      <ddeItem name="2037300_0" advise="1">
        <values>
          <value>
            <val>0</val>
          </value>
        </values>
      </ddeItem>
      <ddeItem name="2037303_0" advise="1">
        <values>
          <value>
            <val>0</val>
          </value>
        </values>
      </ddeItem>
      <ddeItem name="2037305_0" advise="1">
        <values>
          <value>
            <val>0</val>
          </value>
        </values>
      </ddeItem>
      <ddeItem name="2037307_0" advise="1">
        <values>
          <value>
            <val>0</val>
          </value>
        </values>
      </ddeItem>
      <ddeItem name="2037309_0" advise="1">
        <values>
          <value>
            <val>0</val>
          </value>
        </values>
      </ddeItem>
      <ddeItem name="2037311_0" advise="1">
        <values>
          <value>
            <val>0</val>
          </value>
        </values>
      </ddeItem>
      <ddeItem name="2037313_0" advise="1">
        <values>
          <value>
            <val>0</val>
          </value>
        </values>
      </ddeItem>
      <ddeItem name="2037315_0" advise="1">
        <values>
          <value>
            <val>0</val>
          </value>
        </values>
      </ddeItem>
      <ddeItem name="2037317_0" advise="1">
        <values>
          <value>
            <val>0</val>
          </value>
        </values>
      </ddeItem>
      <ddeItem name="2037319_0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CURRENTVALUE">
    <ddeItems>
      <ddeItem name="INDIA VIX_1" advise="1">
        <values>
          <value>
            <val>13.05</val>
          </value>
        </values>
      </ddeItem>
      <ddeItem name="NIFTY 50_1" advise="1">
        <values>
          <value>
            <val>18608.3</val>
          </value>
        </values>
      </ddeItem>
      <ddeItem name="NIFTY BANK_1" advise="1">
        <values>
          <value>
            <val>43954.5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CHANGE">
    <ddeItems>
      <ddeItem name="INDIA VIX_1" advise="1">
        <values>
          <value>
            <val>-0.27</val>
          </value>
        </values>
      </ddeItem>
      <ddeItem name="NIFTY 50_1" advise="1">
        <values>
          <value>
            <val>111.15</val>
          </value>
        </values>
      </ddeItem>
      <ddeItem name="NIFTY BANK_1" advise="1">
        <values>
          <value>
            <val>245.75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CHANGE_PERCENT">
    <ddeItems>
      <ddeItem name="INDIA VIX_1" advise="1">
        <values>
          <value>
            <val>-2.0299999999999998</val>
          </value>
        </values>
      </ddeItem>
      <ddeItem name="NIFTY 50_1" advise="1">
        <values>
          <value>
            <val>0.6</val>
          </value>
        </values>
      </ddeItem>
      <ddeItem name="NIFTY BANK_1" advise="1">
        <values>
          <value>
            <val>0.56000000000000005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CHANGE">
    <ddeItems>
      <ddeItem name="2062809_0" advise="1">
        <values>
          <value>
            <val>96.75</val>
          </value>
        </values>
      </ddeItem>
      <ddeItem name="StdDocumentName" ole="1" advise="1"/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CHANGEPC">
    <ddeItems>
      <ddeItem name="2062809_0" advise="1">
        <values>
          <value>
            <val>0.52</val>
          </value>
        </values>
      </ddeItem>
      <ddeItem name="StdDocumentName" ole="1" advise="1"/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CHANGEPCOI">
    <ddeItems>
      <ddeItem name="2062809_0" advise="1">
        <values>
          <value>
            <val>-0.21</val>
          </value>
        </values>
      </ddeItem>
      <ddeItem name="StdDocumentName" ole="1" advise="1"/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TOTVOL">
    <ddeItems>
      <ddeItem name="2047269_0">
        <values>
          <value>
            <val>216150</val>
          </value>
        </values>
      </ddeItem>
      <ddeItem name="2047270_0">
        <values>
          <value>
            <val>15819550</val>
          </value>
        </values>
      </ddeItem>
      <ddeItem name="2047271_0">
        <values>
          <value>
            <val>19800</val>
          </value>
        </values>
      </ddeItem>
      <ddeItem name="2047272_0">
        <values>
          <value>
            <val>7244500</val>
          </value>
        </values>
      </ddeItem>
      <ddeItem name="2047273_0">
        <values>
          <value>
            <val>172550</val>
          </value>
        </values>
      </ddeItem>
      <ddeItem name="2047274_0">
        <values>
          <value>
            <val>18575550</val>
          </value>
        </values>
      </ddeItem>
      <ddeItem name="2047277_0">
        <values>
          <value>
            <val>31150</val>
          </value>
        </values>
      </ddeItem>
      <ddeItem name="2047278_0">
        <values>
          <value>
            <val>14013650</val>
          </value>
        </values>
      </ddeItem>
      <ddeItem name="2047279_0">
        <values>
          <value>
            <val>601650</val>
          </value>
        </values>
      </ddeItem>
      <ddeItem name="2047280_0">
        <values>
          <value>
            <val>29148100</val>
          </value>
        </values>
      </ddeItem>
      <ddeItem name="2047283_0" advise="1">
        <values>
          <value>
            <val>321550</val>
          </value>
        </values>
      </ddeItem>
      <ddeItem name="2047284_0" advise="1">
        <values>
          <value>
            <val>27050100</val>
          </value>
        </values>
      </ddeItem>
      <ddeItem name="2047285_0" advise="1">
        <values>
          <value>
            <val>4207700</val>
          </value>
        </values>
      </ddeItem>
      <ddeItem name="2047289_0" advise="1">
        <values>
          <value>
            <val>58488400</val>
          </value>
        </values>
      </ddeItem>
      <ddeItem name="2047290_0" advise="1">
        <values>
          <value>
            <val>3134300</val>
          </value>
        </values>
      </ddeItem>
      <ddeItem name="2047291_0" advise="1">
        <values>
          <value>
            <val>37526800</val>
          </value>
        </values>
      </ddeItem>
      <ddeItem name="2047292_0" advise="1">
        <values>
          <value>
            <val>23234750</val>
          </value>
        </values>
      </ddeItem>
      <ddeItem name="2047293_0" advise="1">
        <values>
          <value>
            <val>85272950</val>
          </value>
        </values>
      </ddeItem>
      <ddeItem name="2047294_0" advise="1">
        <values>
          <value>
            <val>17413050</val>
          </value>
        </values>
      </ddeItem>
      <ddeItem name="2047295_0" advise="1">
        <values>
          <value>
            <val>54028550</val>
          </value>
        </values>
      </ddeItem>
      <ddeItem name="2047296_0" advise="1">
        <values>
          <value>
            <val>109098750</val>
          </value>
        </values>
      </ddeItem>
      <ddeItem name="2047297_0" advise="1">
        <values>
          <value>
            <val>151743050</val>
          </value>
        </values>
      </ddeItem>
      <ddeItem name="2047299_0" advise="1">
        <values>
          <value>
            <val>81048500</val>
          </value>
        </values>
      </ddeItem>
      <ddeItem name="2047300_0" advise="1">
        <values>
          <value>
            <val>85541550</val>
          </value>
        </values>
      </ddeItem>
      <ddeItem name="2047301_0" advise="1">
        <values>
          <value>
            <val>184749200</val>
          </value>
        </values>
      </ddeItem>
      <ddeItem name="2047302_0" advise="1">
        <values>
          <value>
            <val>123975650</val>
          </value>
        </values>
      </ddeItem>
      <ddeItem name="2047303_0" advise="1">
        <values>
          <value>
            <val>73225250</val>
          </value>
        </values>
      </ddeItem>
      <ddeItem name="2047304_0" advise="1">
        <values>
          <value>
            <val>31459150</val>
          </value>
        </values>
      </ddeItem>
      <ddeItem name="2047305_0" advise="1">
        <values>
          <value>
            <val>111060200</val>
          </value>
        </values>
      </ddeItem>
      <ddeItem name="2047307_0" advise="1">
        <values>
          <value>
            <val>35500700</val>
          </value>
        </values>
      </ddeItem>
      <ddeItem name="2047308_0" advise="1">
        <values>
          <value>
            <val>49918550</val>
          </value>
        </values>
      </ddeItem>
      <ddeItem name="2047309_0" advise="1">
        <values>
          <value>
            <val>6707250</val>
          </value>
        </values>
      </ddeItem>
      <ddeItem name="2047310_0" advise="1">
        <values>
          <value>
            <val>75298350</val>
          </value>
        </values>
      </ddeItem>
      <ddeItem name="2047311_0" advise="1">
        <values>
          <value>
            <val>7073750</val>
          </value>
        </values>
      </ddeItem>
      <ddeItem name="2047312_0" advise="1">
        <values>
          <value>
            <val>33633050</val>
          </value>
        </values>
      </ddeItem>
      <ddeItem name="2047315_0" advise="1">
        <values>
          <value>
            <val>786650</val>
          </value>
        </values>
      </ddeItem>
      <ddeItem name="2047316_0" advise="1">
        <values>
          <value>
            <val>43324000</val>
          </value>
        </values>
      </ddeItem>
      <ddeItem name="2047317_0" advise="1">
        <values>
          <value>
            <val>1103550</val>
          </value>
        </values>
      </ddeItem>
      <ddeItem name="2047318_0" advise="1">
        <values>
          <value>
            <val>19446300</val>
          </value>
        </values>
      </ddeItem>
      <ddeItem name="2047319_0" advise="1">
        <values>
          <value>
            <val>173950</val>
          </value>
        </values>
      </ddeItem>
      <ddeItem name="2047320_0" advise="1">
        <values>
          <value>
            <val>43060050</val>
          </value>
        </values>
      </ddeItem>
      <ddeItem name="2047321_0" advise="1">
        <values>
          <value>
            <val>759150</val>
          </value>
        </values>
      </ddeItem>
      <ddeItem name="2047325_0" advise="1">
        <values>
          <value>
            <val>10406650</val>
          </value>
        </values>
      </ddeItem>
      <ddeItem name="2047326_0" advise="1">
        <values>
          <value>
            <val>57000</val>
          </value>
        </values>
      </ddeItem>
      <ddeItem name="2047327_0" advise="1">
        <values>
          <value>
            <val>19965000</val>
          </value>
        </values>
      </ddeItem>
      <ddeItem name="2047328_0" advise="1">
        <values>
          <value>
            <val>62500</val>
          </value>
        </values>
      </ddeItem>
      <ddeItem name="2047331_0" advise="1">
        <values>
          <value>
            <val>4849500</val>
          </value>
        </values>
      </ddeItem>
      <ddeItem name="2047332_0" advise="1">
        <values>
          <value>
            <val>4450</val>
          </value>
        </values>
      </ddeItem>
      <ddeItem name="2047333_0" advise="1">
        <values>
          <value>
            <val>11636750</val>
          </value>
        </values>
      </ddeItem>
      <ddeItem name="2047334_0" advise="1">
        <values>
          <value>
            <val>12750</val>
          </value>
        </values>
      </ddeItem>
      <ddeItem name="2047338_0">
        <values>
          <value>
            <val>1490700</val>
          </value>
        </values>
      </ddeItem>
      <ddeItem name="2047339_0">
        <values>
          <value>
            <val>300</val>
          </value>
        </values>
      </ddeItem>
      <ddeItem name="2047340_0">
        <values>
          <value>
            <val>3342650</val>
          </value>
        </values>
      </ddeItem>
      <ddeItem name="2047341_0">
        <values>
          <value>
            <val>1800</val>
          </value>
        </values>
      </ddeItem>
      <ddeItem name="2047349_0">
        <values>
          <value>
            <val>836350</val>
          </value>
        </values>
      </ddeItem>
      <ddeItem name="2047350_0">
        <values>
          <value>
            <val>1350</val>
          </value>
        </values>
      </ddeItem>
      <ddeItem name="2047353_0">
        <values>
          <value>
            <val>2944000</val>
          </value>
        </values>
      </ddeItem>
      <ddeItem name="2047354_0">
        <values>
          <value>
            <val>1650</val>
          </value>
        </values>
      </ddeItem>
      <ddeItem name="2049983_0" advise="1">
        <values>
          <value>
            <val>0</val>
          </value>
        </values>
      </ddeItem>
      <ddeItem name="2049984_0" advise="1">
        <values>
          <value>
            <val>0</val>
          </value>
        </values>
      </ddeItem>
      <ddeItem name="2049985_0" advise="1">
        <values>
          <value>
            <val>0</val>
          </value>
        </values>
      </ddeItem>
      <ddeItem name="2049988_0" advise="1">
        <values>
          <value>
            <val>0</val>
          </value>
        </values>
      </ddeItem>
      <ddeItem name="2049989_0" advise="1">
        <values>
          <value>
            <val>0</val>
          </value>
        </values>
      </ddeItem>
      <ddeItem name="2049990_0" advise="1">
        <values>
          <value>
            <val>0</val>
          </value>
        </values>
      </ddeItem>
      <ddeItem name="2049991_0" advise="1">
        <values>
          <value>
            <val>0</val>
          </value>
        </values>
      </ddeItem>
      <ddeItem name="2049992_0" advise="1">
        <values>
          <value>
            <val>0</val>
          </value>
        </values>
      </ddeItem>
      <ddeItem name="2049993_0" advise="1">
        <values>
          <value>
            <val>0</val>
          </value>
        </values>
      </ddeItem>
      <ddeItem name="2049994_0" advise="1">
        <values>
          <value>
            <val>0</val>
          </value>
        </values>
      </ddeItem>
      <ddeItem name="2049995_0" advise="1">
        <values>
          <value>
            <val>0</val>
          </value>
        </values>
      </ddeItem>
      <ddeItem name="2049998_0" advise="1">
        <values>
          <value>
            <val>0</val>
          </value>
        </values>
      </ddeItem>
      <ddeItem name="2050003_0" advise="1">
        <values>
          <value>
            <val>0</val>
          </value>
        </values>
      </ddeItem>
      <ddeItem name="2050004_0" advise="1">
        <values>
          <value>
            <val>0</val>
          </value>
        </values>
      </ddeItem>
      <ddeItem name="2050007_0" advise="1">
        <values>
          <value>
            <val>0</val>
          </value>
        </values>
      </ddeItem>
      <ddeItem name="2050008_0" advise="1">
        <values>
          <value>
            <val>0</val>
          </value>
        </values>
      </ddeItem>
      <ddeItem name="2050011_0" advise="1">
        <values>
          <value>
            <val>0</val>
          </value>
        </values>
      </ddeItem>
      <ddeItem name="2050012_0" advise="1">
        <values>
          <value>
            <val>0</val>
          </value>
        </values>
      </ddeItem>
      <ddeItem name="2050013_0" advise="1">
        <values>
          <value>
            <val>0</val>
          </value>
        </values>
      </ddeItem>
      <ddeItem name="2050016_0" advise="1">
        <values>
          <value>
            <val>0</val>
          </value>
        </values>
      </ddeItem>
      <ddeItem name="2050017_0" advise="1">
        <values>
          <value>
            <val>0</val>
          </value>
        </values>
      </ddeItem>
      <ddeItem name="2050022_0" advise="1">
        <values>
          <value>
            <val>0</val>
          </value>
        </values>
      </ddeItem>
      <ddeItem name="2050023_0" advise="1">
        <values>
          <value>
            <val>0</val>
          </value>
        </values>
      </ddeItem>
      <ddeItem name="2050026_0" advise="1">
        <values>
          <value>
            <val>0</val>
          </value>
        </values>
      </ddeItem>
      <ddeItem name="2050027_0" advise="1">
        <values>
          <value>
            <val>0</val>
          </value>
        </values>
      </ddeItem>
      <ddeItem name="2050030_0" advise="1">
        <values>
          <value>
            <val>0</val>
          </value>
        </values>
      </ddeItem>
      <ddeItem name="2050035_0" advise="1">
        <values>
          <value>
            <val>0</val>
          </value>
        </values>
      </ddeItem>
      <ddeItem name="2050036_0" advise="1">
        <values>
          <value>
            <val>0</val>
          </value>
        </values>
      </ddeItem>
      <ddeItem name="2050037_0" advise="1">
        <values>
          <value>
            <val>0</val>
          </value>
        </values>
      </ddeItem>
      <ddeItem name="2050038_0" advise="1">
        <values>
          <value>
            <val>0</val>
          </value>
        </values>
      </ddeItem>
      <ddeItem name="2050039_0" advise="1">
        <values>
          <value>
            <val>0</val>
          </value>
        </values>
      </ddeItem>
      <ddeItem name="2050040_0" advise="1">
        <values>
          <value>
            <val>0</val>
          </value>
        </values>
      </ddeItem>
      <ddeItem name="2050041_0" advise="1">
        <values>
          <value>
            <val>0</val>
          </value>
        </values>
      </ddeItem>
      <ddeItem name="2050042_0" advise="1">
        <values>
          <value>
            <val>0</val>
          </value>
        </values>
      </ddeItem>
      <ddeItem name="2050043_0" advise="1">
        <values>
          <value>
            <val>0</val>
          </value>
        </values>
      </ddeItem>
      <ddeItem name="2050044_0" advise="1">
        <values>
          <value>
            <val>0</val>
          </value>
        </values>
      </ddeItem>
      <ddeItem name="2050046_0" advise="1">
        <values>
          <value>
            <val>0</val>
          </value>
        </values>
      </ddeItem>
      <ddeItem name="2050047_0" advise="1">
        <values>
          <value>
            <val>0</val>
          </value>
        </values>
      </ddeItem>
      <ddeItem name="2050048_0" advise="1">
        <values>
          <value>
            <val>0</val>
          </value>
        </values>
      </ddeItem>
      <ddeItem name="2050049_0" advise="1">
        <values>
          <value>
            <val>0</val>
          </value>
        </values>
      </ddeItem>
      <ddeItem name="2050054_0" advise="1">
        <values>
          <value>
            <val>0</val>
          </value>
        </values>
      </ddeItem>
      <ddeItem name="2050055_0" advise="1">
        <values>
          <value>
            <val>0</val>
          </value>
        </values>
      </ddeItem>
      <ddeItem name="2050056_0" advise="1">
        <values>
          <value>
            <val>0</val>
          </value>
        </values>
      </ddeItem>
      <ddeItem name="2050057_0" advise="1">
        <values>
          <value>
            <val>0</val>
          </value>
        </values>
      </ddeItem>
      <ddeItem name="2050058_0" advise="1">
        <values>
          <value>
            <val>0</val>
          </value>
        </values>
      </ddeItem>
      <ddeItem name="2050059_0" advise="1">
        <values>
          <value>
            <val>0</val>
          </value>
        </values>
      </ddeItem>
      <ddeItem name="2050062_0" advise="1">
        <values>
          <value>
            <val>0</val>
          </value>
        </values>
      </ddeItem>
      <ddeItem name="2050070_0" advise="1">
        <values>
          <value>
            <val>0</val>
          </value>
        </values>
      </ddeItem>
      <ddeItem name="2050071_0" advise="1">
        <values>
          <value>
            <val>0</val>
          </value>
        </values>
      </ddeItem>
      <ddeItem name="2050072_0" advise="1">
        <values>
          <value>
            <val>0</val>
          </value>
        </values>
      </ddeItem>
      <ddeItem name="2050074_0" advise="1">
        <values>
          <value>
            <val>0</val>
          </value>
        </values>
      </ddeItem>
      <ddeItem name="2050077_0" advise="1">
        <values>
          <value>
            <val>0</val>
          </value>
        </values>
      </ddeItem>
      <ddeItem name="2050078_0" advise="1">
        <values>
          <value>
            <val>0</val>
          </value>
        </values>
      </ddeItem>
      <ddeItem name="2050079_0" advise="1">
        <values>
          <value>
            <val>0</val>
          </value>
        </values>
      </ddeItem>
      <ddeItem name="2050083_0" advise="1">
        <values>
          <value>
            <val>0</val>
          </value>
        </values>
      </ddeItem>
      <ddeItem name="2050084_0" advise="1">
        <values>
          <value>
            <val>0</val>
          </value>
        </values>
      </ddeItem>
      <ddeItem name="2050085_0" advise="1">
        <values>
          <value>
            <val>0</val>
          </value>
        </values>
      </ddeItem>
      <ddeItem name="2050086_0" advise="1">
        <values>
          <value>
            <val>0</val>
          </value>
        </values>
      </ddeItem>
      <ddeItem name="2050087_0" advise="1">
        <values>
          <value>
            <val>0</val>
          </value>
        </values>
      </ddeItem>
      <ddeItem name="2050088_0" advise="1">
        <values>
          <value>
            <val>0</val>
          </value>
        </values>
      </ddeItem>
      <ddeItem name="2050089_0" advise="1">
        <values>
          <value>
            <val>0</val>
          </value>
        </values>
      </ddeItem>
      <ddeItem name="2050090_0" advise="1">
        <values>
          <value>
            <val>0</val>
          </value>
        </values>
      </ddeItem>
      <ddeItem name="2050092_0" advise="1">
        <values>
          <value>
            <val>0</val>
          </value>
        </values>
      </ddeItem>
      <ddeItem name="2050093_0" advise="1">
        <values>
          <value>
            <val>0</val>
          </value>
        </values>
      </ddeItem>
      <ddeItem name="2050094_0" advise="1">
        <values>
          <value>
            <val>0</val>
          </value>
        </values>
      </ddeItem>
      <ddeItem name="2050095_0" advise="1">
        <values>
          <value>
            <val>0</val>
          </value>
        </values>
      </ddeItem>
      <ddeItem name="2050096_0" advise="1">
        <values>
          <value>
            <val>0</val>
          </value>
        </values>
      </ddeItem>
      <ddeItem name="2050097_0" advise="1">
        <values>
          <value>
            <val>0</val>
          </value>
        </values>
      </ddeItem>
      <ddeItem name="2050098_0" advise="1">
        <values>
          <value>
            <val>0</val>
          </value>
        </values>
      </ddeItem>
      <ddeItem name="2050099_0" advise="1">
        <values>
          <value>
            <val>0</val>
          </value>
        </values>
      </ddeItem>
      <ddeItem name="2050100_0" advise="1">
        <values>
          <value>
            <val>0</val>
          </value>
        </values>
      </ddeItem>
      <ddeItem name="2050101_0" advise="1">
        <values>
          <value>
            <val>0</val>
          </value>
        </values>
      </ddeItem>
      <ddeItem name="2050102_0" advise="1">
        <values>
          <value>
            <val>0</val>
          </value>
        </values>
      </ddeItem>
      <ddeItem name="2050103_0" advise="1">
        <values>
          <value>
            <val>0</val>
          </value>
        </values>
      </ddeItem>
      <ddeItem name="2050104_0" advise="1">
        <values>
          <value>
            <val>0</val>
          </value>
        </values>
      </ddeItem>
      <ddeItem name="2050105_0" advise="1">
        <values>
          <value>
            <val>0</val>
          </value>
        </values>
      </ddeItem>
      <ddeItem name="2050106_0" advise="1">
        <values>
          <value>
            <val>0</val>
          </value>
        </values>
      </ddeItem>
      <ddeItem name="2050110_0" advise="1">
        <values>
          <value>
            <val>0</val>
          </value>
        </values>
      </ddeItem>
      <ddeItem name="2050111_0" advise="1">
        <values>
          <value>
            <val>0</val>
          </value>
        </values>
      </ddeItem>
      <ddeItem name="2050113_0" advise="1">
        <values>
          <value>
            <val>0</val>
          </value>
        </values>
      </ddeItem>
      <ddeItem name="2050114_0" advise="1">
        <values>
          <value>
            <val>0</val>
          </value>
        </values>
      </ddeItem>
      <ddeItem name="2050115_0" advise="1">
        <values>
          <value>
            <val>0</val>
          </value>
        </values>
      </ddeItem>
      <ddeItem name="2062809_0" advise="1">
        <values>
          <value>
            <val>6049200</val>
          </value>
        </values>
      </ddeItem>
      <ddeItem name="StdDocumentName" ole="1" advise="1"/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MPVOL">
    <ddeItems>
      <ddeItem name="2049983_0" advise="1">
        <values>
          <value>
            <val>0</val>
          </value>
        </values>
      </ddeItem>
      <ddeItem name="2049984_0" advise="1">
        <values>
          <value>
            <val>0</val>
          </value>
        </values>
      </ddeItem>
      <ddeItem name="2049985_0" advise="1">
        <values>
          <value>
            <val>0</val>
          </value>
        </values>
      </ddeItem>
      <ddeItem name="2049988_0" advise="1">
        <values>
          <value>
            <val>0</val>
          </value>
        </values>
      </ddeItem>
      <ddeItem name="2049989_0" advise="1">
        <values>
          <value>
            <val>0</val>
          </value>
        </values>
      </ddeItem>
      <ddeItem name="2049990_0" advise="1">
        <values>
          <value>
            <val>0</val>
          </value>
        </values>
      </ddeItem>
      <ddeItem name="2049991_0" advise="1">
        <values>
          <value>
            <val>0</val>
          </value>
        </values>
      </ddeItem>
      <ddeItem name="2049992_0" advise="1">
        <values>
          <value>
            <val>0</val>
          </value>
        </values>
      </ddeItem>
      <ddeItem name="2049993_0" advise="1">
        <values>
          <value>
            <val>0</val>
          </value>
        </values>
      </ddeItem>
      <ddeItem name="2049994_0" advise="1">
        <values>
          <value>
            <val>0</val>
          </value>
        </values>
      </ddeItem>
      <ddeItem name="2049995_0" advise="1">
        <values>
          <value>
            <val>0</val>
          </value>
        </values>
      </ddeItem>
      <ddeItem name="2049998_0" advise="1">
        <values>
          <value>
            <val>0</val>
          </value>
        </values>
      </ddeItem>
      <ddeItem name="2050003_0" advise="1">
        <values>
          <value>
            <val>0</val>
          </value>
        </values>
      </ddeItem>
      <ddeItem name="2050004_0" advise="1">
        <values>
          <value>
            <val>0</val>
          </value>
        </values>
      </ddeItem>
      <ddeItem name="2050007_0" advise="1">
        <values>
          <value>
            <val>0</val>
          </value>
        </values>
      </ddeItem>
      <ddeItem name="2050008_0" advise="1">
        <values>
          <value>
            <val>0</val>
          </value>
        </values>
      </ddeItem>
      <ddeItem name="2050011_0" advise="1">
        <values>
          <value>
            <val>0</val>
          </value>
        </values>
      </ddeItem>
      <ddeItem name="2050012_0" advise="1">
        <values>
          <value>
            <val>0</val>
          </value>
        </values>
      </ddeItem>
      <ddeItem name="2050013_0" advise="1">
        <values>
          <value>
            <val>0</val>
          </value>
        </values>
      </ddeItem>
      <ddeItem name="2050016_0" advise="1">
        <values>
          <value>
            <val>0</val>
          </value>
        </values>
      </ddeItem>
      <ddeItem name="2050017_0" advise="1">
        <values>
          <value>
            <val>0</val>
          </value>
        </values>
      </ddeItem>
      <ddeItem name="2050022_0" advise="1">
        <values>
          <value>
            <val>0</val>
          </value>
        </values>
      </ddeItem>
      <ddeItem name="2050023_0" advise="1">
        <values>
          <value>
            <val>0</val>
          </value>
        </values>
      </ddeItem>
      <ddeItem name="2050026_0" advise="1">
        <values>
          <value>
            <val>0</val>
          </value>
        </values>
      </ddeItem>
      <ddeItem name="2050027_0" advise="1">
        <values>
          <value>
            <val>0</val>
          </value>
        </values>
      </ddeItem>
      <ddeItem name="2050030_0" advise="1">
        <values>
          <value>
            <val>0</val>
          </value>
        </values>
      </ddeItem>
      <ddeItem name="2050035_0" advise="1">
        <values>
          <value>
            <val>0</val>
          </value>
        </values>
      </ddeItem>
      <ddeItem name="2050036_0" advise="1">
        <values>
          <value>
            <val>0</val>
          </value>
        </values>
      </ddeItem>
      <ddeItem name="2050037_0" advise="1">
        <values>
          <value>
            <val>0</val>
          </value>
        </values>
      </ddeItem>
      <ddeItem name="2050038_0" advise="1">
        <values>
          <value>
            <val>0</val>
          </value>
        </values>
      </ddeItem>
      <ddeItem name="2050039_0" advise="1">
        <values>
          <value>
            <val>0</val>
          </value>
        </values>
      </ddeItem>
      <ddeItem name="2050040_0" advise="1">
        <values>
          <value>
            <val>0</val>
          </value>
        </values>
      </ddeItem>
      <ddeItem name="2050041_0" advise="1">
        <values>
          <value>
            <val>0</val>
          </value>
        </values>
      </ddeItem>
      <ddeItem name="2050042_0" advise="1">
        <values>
          <value>
            <val>0</val>
          </value>
        </values>
      </ddeItem>
      <ddeItem name="2050043_0" advise="1">
        <values>
          <value>
            <val>0</val>
          </value>
        </values>
      </ddeItem>
      <ddeItem name="2050044_0" advise="1">
        <values>
          <value>
            <val>0</val>
          </value>
        </values>
      </ddeItem>
      <ddeItem name="2050046_0" advise="1">
        <values>
          <value>
            <val>0</val>
          </value>
        </values>
      </ddeItem>
      <ddeItem name="2050047_0" advise="1">
        <values>
          <value>
            <val>0</val>
          </value>
        </values>
      </ddeItem>
      <ddeItem name="2050048_0" advise="1">
        <values>
          <value>
            <val>0</val>
          </value>
        </values>
      </ddeItem>
      <ddeItem name="2050049_0" advise="1">
        <values>
          <value>
            <val>0</val>
          </value>
        </values>
      </ddeItem>
      <ddeItem name="2050054_0" advise="1">
        <values>
          <value>
            <val>0</val>
          </value>
        </values>
      </ddeItem>
      <ddeItem name="2050055_0" advise="1">
        <values>
          <value>
            <val>0</val>
          </value>
        </values>
      </ddeItem>
      <ddeItem name="2050056_0" advise="1">
        <values>
          <value>
            <val>0</val>
          </value>
        </values>
      </ddeItem>
      <ddeItem name="2050057_0" advise="1">
        <values>
          <value>
            <val>0</val>
          </value>
        </values>
      </ddeItem>
      <ddeItem name="2050058_0" advise="1">
        <values>
          <value>
            <val>0</val>
          </value>
        </values>
      </ddeItem>
      <ddeItem name="2050059_0" advise="1">
        <values>
          <value>
            <val>0</val>
          </value>
        </values>
      </ddeItem>
      <ddeItem name="2050062_0" advise="1">
        <values>
          <value>
            <val>0</val>
          </value>
        </values>
      </ddeItem>
      <ddeItem name="2050070_0" advise="1">
        <values>
          <value>
            <val>0</val>
          </value>
        </values>
      </ddeItem>
      <ddeItem name="2050071_0" advise="1">
        <values>
          <value>
            <val>0</val>
          </value>
        </values>
      </ddeItem>
      <ddeItem name="2050072_0" advise="1">
        <values>
          <value>
            <val>0</val>
          </value>
        </values>
      </ddeItem>
      <ddeItem name="2050074_0" advise="1">
        <values>
          <value>
            <val>0</val>
          </value>
        </values>
      </ddeItem>
      <ddeItem name="2050077_0" advise="1">
        <values>
          <value>
            <val>0</val>
          </value>
        </values>
      </ddeItem>
      <ddeItem name="2050078_0" advise="1">
        <values>
          <value>
            <val>0</val>
          </value>
        </values>
      </ddeItem>
      <ddeItem name="2050079_0" advise="1">
        <values>
          <value>
            <val>0</val>
          </value>
        </values>
      </ddeItem>
      <ddeItem name="2050083_0" advise="1">
        <values>
          <value>
            <val>0</val>
          </value>
        </values>
      </ddeItem>
      <ddeItem name="2050084_0" advise="1">
        <values>
          <value>
            <val>0</val>
          </value>
        </values>
      </ddeItem>
      <ddeItem name="2050085_0" advise="1">
        <values>
          <value>
            <val>0</val>
          </value>
        </values>
      </ddeItem>
      <ddeItem name="2050086_0" advise="1">
        <values>
          <value>
            <val>0</val>
          </value>
        </values>
      </ddeItem>
      <ddeItem name="2050087_0" advise="1">
        <values>
          <value>
            <val>0</val>
          </value>
        </values>
      </ddeItem>
      <ddeItem name="2050088_0" advise="1">
        <values>
          <value>
            <val>0</val>
          </value>
        </values>
      </ddeItem>
      <ddeItem name="2050089_0" advise="1">
        <values>
          <value>
            <val>0</val>
          </value>
        </values>
      </ddeItem>
      <ddeItem name="2050090_0" advise="1">
        <values>
          <value>
            <val>0</val>
          </value>
        </values>
      </ddeItem>
      <ddeItem name="2050092_0" advise="1">
        <values>
          <value>
            <val>0</val>
          </value>
        </values>
      </ddeItem>
      <ddeItem name="2050093_0" advise="1">
        <values>
          <value>
            <val>0</val>
          </value>
        </values>
      </ddeItem>
      <ddeItem name="2050094_0" advise="1">
        <values>
          <value>
            <val>0</val>
          </value>
        </values>
      </ddeItem>
      <ddeItem name="2050095_0" advise="1">
        <values>
          <value>
            <val>0</val>
          </value>
        </values>
      </ddeItem>
      <ddeItem name="2050096_0" advise="1">
        <values>
          <value>
            <val>0</val>
          </value>
        </values>
      </ddeItem>
      <ddeItem name="2050097_0" advise="1">
        <values>
          <value>
            <val>0</val>
          </value>
        </values>
      </ddeItem>
      <ddeItem name="2050098_0" advise="1">
        <values>
          <value>
            <val>0</val>
          </value>
        </values>
      </ddeItem>
      <ddeItem name="2050099_0" advise="1">
        <values>
          <value>
            <val>0</val>
          </value>
        </values>
      </ddeItem>
      <ddeItem name="2050100_0" advise="1">
        <values>
          <value>
            <val>0</val>
          </value>
        </values>
      </ddeItem>
      <ddeItem name="2050101_0" advise="1">
        <values>
          <value>
            <val>0</val>
          </value>
        </values>
      </ddeItem>
      <ddeItem name="2050102_0" advise="1">
        <values>
          <value>
            <val>0</val>
          </value>
        </values>
      </ddeItem>
      <ddeItem name="2050103_0" advise="1">
        <values>
          <value>
            <val>0</val>
          </value>
        </values>
      </ddeItem>
      <ddeItem name="2050104_0" advise="1">
        <values>
          <value>
            <val>0</val>
          </value>
        </values>
      </ddeItem>
      <ddeItem name="2050105_0" advise="1">
        <values>
          <value>
            <val>0</val>
          </value>
        </values>
      </ddeItem>
      <ddeItem name="2050106_0" advise="1">
        <values>
          <value>
            <val>0</val>
          </value>
        </values>
      </ddeItem>
      <ddeItem name="2050110_0" advise="1">
        <values>
          <value>
            <val>0</val>
          </value>
        </values>
      </ddeItem>
      <ddeItem name="2050111_0" advise="1">
        <values>
          <value>
            <val>0</val>
          </value>
        </values>
      </ddeItem>
      <ddeItem name="2050113_0" advise="1">
        <values>
          <value>
            <val>0</val>
          </value>
        </values>
      </ddeItem>
      <ddeItem name="2050114_0" advise="1">
        <values>
          <value>
            <val>0</val>
          </value>
        </values>
      </ddeItem>
      <ddeItem name="2050115_0" advise="1">
        <values>
          <value>
            <val>0</val>
          </value>
        </values>
      </ddeItem>
      <ddeItem name="2062809_0" advise="1">
        <values>
          <value t="str">
            <val>?</val>
          </value>
        </values>
      </ddeItem>
      <ddeItem name="StdDocumentName" ole="1" advise="1"/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NAME">
    <ddeItems>
      <ddeItem name="INDIA VIX_1" advise="1">
        <values>
          <value t="str">
            <val>INDIA VIX</val>
          </value>
        </values>
      </ddeItem>
      <ddeItem name="NIFTY 50_1" advise="1">
        <values>
          <value t="str">
            <val>NIFTY 50</val>
          </value>
        </values>
      </ddeItem>
      <ddeItem name="NIFTY BANK_1" advise="1">
        <values>
          <value t="str">
            <val>NIFTY BANK</val>
          </value>
        </values>
      </ddeItem>
      <ddeItem name="StdDocumentName" ole="1" advise="1"/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INITIALVALUE">
    <ddeItems>
      <ddeItem name="INDIA VIX_1" advise="1">
        <values>
          <value>
            <val>13.32</val>
          </value>
        </values>
      </ddeItem>
      <ddeItem name="NIFTY 50_1" advise="1">
        <values>
          <value>
            <val>18524.400000000001</val>
          </value>
        </values>
      </ddeItem>
      <ddeItem name="NIFTY BANK_1" advise="1">
        <values>
          <value>
            <val>43793.7</val>
          </value>
        </values>
      </ddeItem>
      <ddeItem name="StdDocumentName" ole="1" advise="1"/>
    </ddeItems>
  </dd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HIGH">
    <ddeItems>
      <ddeItem name="INDIA VIX_1" advise="1">
        <values>
          <value>
            <val>13.58</val>
          </value>
        </values>
      </ddeItem>
      <ddeItem name="NIFTY 50_1" advise="1">
        <values>
          <value>
            <val>18617.25</val>
          </value>
        </values>
      </ddeItem>
      <ddeItem name="NIFTY BANK_1" advise="1">
        <values>
          <value>
            <val>43983.8</val>
          </value>
        </values>
      </ddeItem>
      <ddeItem name="StdDocumentName" ole="1" advise="1"/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LOW">
    <ddeItems>
      <ddeItem name="INDIA VIX_1" advise="1">
        <values>
          <value>
            <val>11.43</val>
          </value>
        </values>
      </ddeItem>
      <ddeItem name="NIFTY 50_1" advise="1">
        <values>
          <value>
            <val>18490.2</val>
          </value>
        </values>
      </ddeItem>
      <ddeItem name="NIFTY BANK_1" advise="1">
        <values>
          <value>
            <val>43767.75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LASTCLOSE">
    <ddeItems>
      <ddeItem name="INDIA VIX_1" advise="1">
        <values>
          <value>
            <val>13.32</val>
          </value>
        </values>
      </ddeItem>
      <ddeItem name="NIFTY 50_1" advise="1">
        <values>
          <value>
            <val>18497.150000000001</val>
          </value>
        </values>
      </ddeItem>
      <ddeItem name="NIFTY BANK_1" advise="1">
        <values>
          <value>
            <val>43708.75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2"/>
  <sheetViews>
    <sheetView topLeftCell="A16" workbookViewId="0">
      <selection activeCell="F32" sqref="F32"/>
    </sheetView>
  </sheetViews>
  <sheetFormatPr defaultColWidth="8.85546875" defaultRowHeight="15" x14ac:dyDescent="0.25"/>
  <cols>
    <col min="2" max="2" width="8" bestFit="1" customWidth="1"/>
  </cols>
  <sheetData>
    <row r="1" spans="1:5" x14ac:dyDescent="0.25">
      <c r="A1" s="10" t="s">
        <v>12</v>
      </c>
      <c r="B1" s="10" t="s">
        <v>0</v>
      </c>
      <c r="C1" s="10" t="s">
        <v>4</v>
      </c>
      <c r="D1" s="10" t="s">
        <v>6</v>
      </c>
      <c r="E1" s="10" t="s">
        <v>7</v>
      </c>
    </row>
    <row r="2" spans="1:5" x14ac:dyDescent="0.25">
      <c r="A2" s="6" t="s">
        <v>25</v>
      </c>
      <c r="B2" s="6" cm="1">
        <f t="array" ref="B2">[1]!'2040157_0'</f>
        <v>0</v>
      </c>
      <c r="C2" s="6" cm="1">
        <f t="array" ref="C2">[2]!'2040157_0'</f>
        <v>0</v>
      </c>
      <c r="D2" s="6" cm="1">
        <f t="array" ref="D2">[3]!'2040157_0'</f>
        <v>7150</v>
      </c>
      <c r="E2" s="6" cm="1">
        <f t="array" ref="E2">[4]!'2040157_0'</f>
        <v>0</v>
      </c>
    </row>
    <row r="3" spans="1:5" x14ac:dyDescent="0.25">
      <c r="A3" s="6" t="s">
        <v>26</v>
      </c>
      <c r="B3" s="6" cm="1">
        <f t="array" ref="B3">[1]!'2040145_0'</f>
        <v>0</v>
      </c>
      <c r="C3" s="6" cm="1">
        <f t="array" ref="C3">[2]!'2040145_0'</f>
        <v>0</v>
      </c>
      <c r="D3" s="6" cm="1">
        <f t="array" ref="D3">[3]!'2040145_0'</f>
        <v>4950</v>
      </c>
      <c r="E3" s="6" cm="1">
        <f t="array" ref="E3">[4]!'2040145_0'</f>
        <v>0</v>
      </c>
    </row>
    <row r="4" spans="1:5" x14ac:dyDescent="0.25">
      <c r="A4" s="6" t="s">
        <v>27</v>
      </c>
      <c r="B4" s="6" cm="1">
        <f t="array" ref="B4">[1]!'2040122_0'</f>
        <v>0</v>
      </c>
      <c r="C4" s="6" cm="1">
        <f t="array" ref="C4">[2]!'2040122_0'</f>
        <v>0</v>
      </c>
      <c r="D4" s="6" cm="1">
        <f t="array" ref="D4">[3]!'2040122_0'</f>
        <v>49</v>
      </c>
      <c r="E4" s="6" cm="1">
        <f t="array" ref="E4">[4]!'2040122_0'</f>
        <v>0</v>
      </c>
    </row>
    <row r="5" spans="1:5" x14ac:dyDescent="0.25">
      <c r="A5" s="6" t="s">
        <v>28</v>
      </c>
      <c r="B5" s="6" cm="1">
        <f t="array" ref="B5">[1]!'2040114_0'</f>
        <v>0</v>
      </c>
      <c r="C5" s="6" cm="1">
        <f t="array" ref="C5">[2]!'2040114_0'</f>
        <v>0</v>
      </c>
      <c r="D5" s="6" cm="1">
        <f t="array" ref="D5">[3]!'2040114_0'</f>
        <v>250</v>
      </c>
      <c r="E5" s="6" cm="1">
        <f t="array" ref="E5">[4]!'2040114_0'</f>
        <v>0</v>
      </c>
    </row>
    <row r="6" spans="1:5" x14ac:dyDescent="0.25">
      <c r="A6" s="6" t="s">
        <v>29</v>
      </c>
      <c r="B6" s="6" cm="1">
        <f t="array" ref="B6">[1]!'2040104_0'</f>
        <v>0</v>
      </c>
      <c r="C6" s="6" cm="1">
        <f t="array" ref="C6">[2]!'2040104_0'</f>
        <v>0</v>
      </c>
      <c r="D6" s="6" cm="1">
        <f t="array" ref="D6">[3]!'2040104_0'</f>
        <v>6900</v>
      </c>
      <c r="E6" s="6" cm="1">
        <f t="array" ref="E6">[4]!'2040104_0'</f>
        <v>0</v>
      </c>
    </row>
    <row r="7" spans="1:5" x14ac:dyDescent="0.25">
      <c r="A7" s="6" t="s">
        <v>30</v>
      </c>
      <c r="B7" s="6" cm="1">
        <f t="array" ref="B7">[1]!'2040102_0'</f>
        <v>0</v>
      </c>
      <c r="C7" s="6" cm="1">
        <f t="array" ref="C7">[2]!'2040102_0'</f>
        <v>0</v>
      </c>
      <c r="D7" s="6" cm="1">
        <f t="array" ref="D7">[3]!'2040102_0'</f>
        <v>46600</v>
      </c>
      <c r="E7" s="6" cm="1">
        <f t="array" ref="E7">[4]!'2040102_0'</f>
        <v>0</v>
      </c>
    </row>
    <row r="8" spans="1:5" x14ac:dyDescent="0.25">
      <c r="A8" s="6" t="s">
        <v>31</v>
      </c>
      <c r="B8" s="6" cm="1">
        <f t="array" ref="B8">[1]!'2040078_0'</f>
        <v>0</v>
      </c>
      <c r="C8" s="6" cm="1">
        <f t="array" ref="C8">[2]!'2040078_0'</f>
        <v>0</v>
      </c>
      <c r="D8" s="6" cm="1">
        <f t="array" ref="D8">[3]!'2040078_0'</f>
        <v>46700</v>
      </c>
      <c r="E8" s="6" cm="1">
        <f t="array" ref="E8">[4]!'2040078_0'</f>
        <v>0</v>
      </c>
    </row>
    <row r="9" spans="1:5" x14ac:dyDescent="0.25">
      <c r="A9" s="6" t="s">
        <v>32</v>
      </c>
      <c r="B9" s="6" cm="1">
        <f t="array" ref="B9">[1]!'2040076_0'</f>
        <v>0</v>
      </c>
      <c r="C9" s="6" cm="1">
        <f t="array" ref="C9">[2]!'2040076_0'</f>
        <v>0</v>
      </c>
      <c r="D9" s="6" cm="1">
        <f t="array" ref="D9">[3]!'2040076_0'</f>
        <v>400</v>
      </c>
      <c r="E9" s="6" cm="1">
        <f t="array" ref="E9">[4]!'2040076_0'</f>
        <v>0</v>
      </c>
    </row>
    <row r="10" spans="1:5" x14ac:dyDescent="0.25">
      <c r="A10" s="6" t="s">
        <v>33</v>
      </c>
      <c r="B10" s="6" cm="1">
        <f t="array" ref="B10">[1]!'2040074_0'</f>
        <v>0</v>
      </c>
      <c r="C10" s="6" cm="1">
        <f t="array" ref="C10">[2]!'2040074_0'</f>
        <v>0</v>
      </c>
      <c r="D10" s="6" cm="1">
        <f t="array" ref="D10">[3]!'2040074_0'</f>
        <v>390</v>
      </c>
      <c r="E10" s="6" cm="1">
        <f t="array" ref="E10">[4]!'2040074_0'</f>
        <v>0</v>
      </c>
    </row>
    <row r="11" spans="1:5" x14ac:dyDescent="0.25">
      <c r="A11" s="6" t="s">
        <v>34</v>
      </c>
      <c r="B11" s="6" cm="1">
        <f t="array" ref="B11">[1]!'2040070_0'</f>
        <v>0</v>
      </c>
      <c r="C11" s="6" cm="1">
        <f t="array" ref="C11">[2]!'2040070_0'</f>
        <v>0</v>
      </c>
      <c r="D11" s="6" cm="1">
        <f t="array" ref="D11">[3]!'2040070_0'</f>
        <v>380</v>
      </c>
      <c r="E11" s="6" cm="1">
        <f t="array" ref="E11">[4]!'2040070_0'</f>
        <v>0</v>
      </c>
    </row>
    <row r="12" spans="1:5" x14ac:dyDescent="0.25">
      <c r="A12" s="6" t="s">
        <v>35</v>
      </c>
      <c r="B12" s="6" cm="1">
        <f t="array" ref="B12">[1]!'2040068_0'</f>
        <v>0</v>
      </c>
      <c r="C12" s="6" cm="1">
        <f t="array" ref="C12">[2]!'2040068_0'</f>
        <v>0</v>
      </c>
      <c r="D12" s="6" cm="1">
        <f t="array" ref="D12">[3]!'2040068_0'</f>
        <v>245</v>
      </c>
      <c r="E12" s="6" cm="1">
        <f t="array" ref="E12">[4]!'2040068_0'</f>
        <v>0</v>
      </c>
    </row>
    <row r="13" spans="1:5" x14ac:dyDescent="0.25">
      <c r="A13" t="s">
        <v>36</v>
      </c>
      <c r="B13" cm="1">
        <f t="array" ref="B13">[1]!'2040061_0'</f>
        <v>0</v>
      </c>
      <c r="C13" cm="1">
        <f t="array" ref="C13">[2]!'2040061_0'</f>
        <v>0</v>
      </c>
      <c r="D13" cm="1">
        <f t="array" ref="D13">[3]!'2040061_0'</f>
        <v>240</v>
      </c>
      <c r="E13" cm="1">
        <f t="array" ref="E13">[4]!'2040061_0'</f>
        <v>0</v>
      </c>
    </row>
    <row r="14" spans="1:5" x14ac:dyDescent="0.25">
      <c r="A14" t="s">
        <v>37</v>
      </c>
      <c r="B14" cm="1">
        <f t="array" ref="B14">[1]!'2040059_0'</f>
        <v>0</v>
      </c>
      <c r="C14" cm="1">
        <f t="array" ref="C14">[2]!'2040059_0'</f>
        <v>0</v>
      </c>
      <c r="D14" cm="1">
        <f t="array" ref="D14">[3]!'2040059_0'</f>
        <v>235</v>
      </c>
      <c r="E14" cm="1">
        <f t="array" ref="E14">[4]!'2040059_0'</f>
        <v>0</v>
      </c>
    </row>
    <row r="15" spans="1:5" x14ac:dyDescent="0.25">
      <c r="A15" t="s">
        <v>38</v>
      </c>
      <c r="B15" cm="1">
        <f t="array" ref="B15">[1]!'2040057_0'</f>
        <v>0</v>
      </c>
      <c r="C15" cm="1">
        <f t="array" ref="C15">[2]!'2040057_0'</f>
        <v>0</v>
      </c>
      <c r="D15" cm="1">
        <f t="array" ref="D15">[3]!'2040057_0'</f>
        <v>6600</v>
      </c>
      <c r="E15" cm="1">
        <f t="array" ref="E15">[4]!'2040057_0'</f>
        <v>0</v>
      </c>
    </row>
    <row r="16" spans="1:5" x14ac:dyDescent="0.25">
      <c r="A16" t="s">
        <v>39</v>
      </c>
      <c r="B16" cm="1">
        <f t="array" ref="B16">[1]!'2040055_0'</f>
        <v>0</v>
      </c>
      <c r="C16" cm="1">
        <f t="array" ref="C16">[2]!'2040055_0'</f>
        <v>0</v>
      </c>
      <c r="D16" cm="1">
        <f t="array" ref="D16">[3]!'2040055_0'</f>
        <v>6550</v>
      </c>
      <c r="E16" cm="1">
        <f t="array" ref="E16">[4]!'2040055_0'</f>
        <v>0</v>
      </c>
    </row>
    <row r="17" spans="1:5" x14ac:dyDescent="0.25">
      <c r="A17" t="s">
        <v>40</v>
      </c>
      <c r="B17" cm="1">
        <f t="array" ref="B17">[1]!'2040053_0'</f>
        <v>0</v>
      </c>
      <c r="C17" cm="1">
        <f t="array" ref="C17">[2]!'2040053_0'</f>
        <v>0</v>
      </c>
      <c r="D17" cm="1">
        <f t="array" ref="D17">[3]!'2040053_0'</f>
        <v>6500</v>
      </c>
      <c r="E17" cm="1">
        <f t="array" ref="E17">[4]!'2040053_0'</f>
        <v>0</v>
      </c>
    </row>
    <row r="18" spans="1:5" x14ac:dyDescent="0.25">
      <c r="A18" t="s">
        <v>41</v>
      </c>
      <c r="B18" cm="1">
        <f t="array" ref="B18">[1]!'2040051_0'</f>
        <v>0</v>
      </c>
      <c r="C18" cm="1">
        <f t="array" ref="C18">[2]!'2040051_0'</f>
        <v>0</v>
      </c>
      <c r="D18" cm="1">
        <f t="array" ref="D18">[3]!'2040051_0'</f>
        <v>305</v>
      </c>
      <c r="E18" cm="1">
        <f t="array" ref="E18">[4]!'2040051_0'</f>
        <v>0</v>
      </c>
    </row>
    <row r="19" spans="1:5" x14ac:dyDescent="0.25">
      <c r="A19" t="s">
        <v>42</v>
      </c>
      <c r="B19" cm="1">
        <f t="array" ref="B19">[1]!'2040049_0'</f>
        <v>0</v>
      </c>
      <c r="C19" cm="1">
        <f t="array" ref="C19">[2]!'2040049_0'</f>
        <v>0</v>
      </c>
      <c r="D19" cm="1">
        <f t="array" ref="D19">[3]!'2040049_0'</f>
        <v>230</v>
      </c>
      <c r="E19" cm="1">
        <f t="array" ref="E19">[4]!'2040049_0'</f>
        <v>0</v>
      </c>
    </row>
    <row r="20" spans="1:5" x14ac:dyDescent="0.25">
      <c r="A20" t="s">
        <v>43</v>
      </c>
      <c r="B20" cm="1">
        <f t="array" ref="B20">[1]!'2040047_0'</f>
        <v>0</v>
      </c>
      <c r="C20" cm="1">
        <f t="array" ref="C20">[2]!'2040047_0'</f>
        <v>0</v>
      </c>
      <c r="D20" cm="1">
        <f t="array" ref="D20">[3]!'2040047_0'</f>
        <v>6450</v>
      </c>
      <c r="E20" cm="1">
        <f t="array" ref="E20">[4]!'2040047_0'</f>
        <v>0</v>
      </c>
    </row>
    <row r="21" spans="1:5" x14ac:dyDescent="0.25">
      <c r="A21" t="s">
        <v>44</v>
      </c>
      <c r="B21" cm="1">
        <f t="array" ref="B21">[1]!'2040040_0'</f>
        <v>0</v>
      </c>
      <c r="C21" cm="1">
        <f t="array" ref="C21">[2]!'2040040_0'</f>
        <v>0</v>
      </c>
      <c r="D21" cm="1">
        <f t="array" ref="D21">[3]!'2040040_0'</f>
        <v>2620</v>
      </c>
      <c r="E21" cm="1">
        <f t="array" ref="E21">[4]!'2040040_0'</f>
        <v>0</v>
      </c>
    </row>
    <row r="22" spans="1:5" x14ac:dyDescent="0.25">
      <c r="A22" t="s">
        <v>45</v>
      </c>
      <c r="B22" cm="1">
        <f t="array" ref="B22">[1]!'2040035_0'</f>
        <v>0</v>
      </c>
      <c r="C22" cm="1">
        <f t="array" ref="C22">[2]!'2040035_0'</f>
        <v>0</v>
      </c>
      <c r="D22" cm="1">
        <f t="array" ref="D22">[3]!'2040035_0'</f>
        <v>2060</v>
      </c>
      <c r="E22" cm="1">
        <f t="array" ref="E22">[4]!'2040035_0'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5"/>
  <sheetViews>
    <sheetView topLeftCell="C1" zoomScale="80" zoomScaleNormal="80" workbookViewId="0">
      <selection activeCell="L17" sqref="L17"/>
    </sheetView>
  </sheetViews>
  <sheetFormatPr defaultColWidth="8.85546875" defaultRowHeight="15" x14ac:dyDescent="0.25"/>
  <cols>
    <col min="1" max="1" width="0" hidden="1" customWidth="1"/>
    <col min="2" max="2" width="17.140625" hidden="1" customWidth="1"/>
    <col min="3" max="4" width="17.140625" customWidth="1"/>
    <col min="5" max="5" width="17.85546875" bestFit="1" customWidth="1"/>
    <col min="6" max="6" width="17.28515625" bestFit="1" customWidth="1"/>
    <col min="7" max="7" width="13.7109375" bestFit="1" customWidth="1"/>
    <col min="8" max="8" width="18.28515625" style="1" customWidth="1"/>
    <col min="9" max="9" width="13.7109375" bestFit="1" customWidth="1"/>
    <col min="10" max="11" width="15.7109375" bestFit="1" customWidth="1"/>
    <col min="12" max="12" width="12.28515625" bestFit="1" customWidth="1"/>
    <col min="13" max="13" width="20.28515625" customWidth="1"/>
  </cols>
  <sheetData>
    <row r="1" spans="1:13" ht="34.5" x14ac:dyDescent="0.5">
      <c r="E1" s="27" t="s">
        <v>46</v>
      </c>
      <c r="F1" s="90">
        <f>Index_Nifty_banknifty!C3</f>
        <v>43954.5</v>
      </c>
      <c r="G1" s="90"/>
      <c r="H1" s="7" t="s">
        <v>15</v>
      </c>
      <c r="I1" s="91" t="e">
        <f>(L14+L13+L12+L11+L10)/5</f>
        <v>#DIV/0!</v>
      </c>
      <c r="J1" s="92"/>
      <c r="K1" s="8" t="s">
        <v>16</v>
      </c>
      <c r="L1" s="93" t="e">
        <f>(M16+M17+M18+M19+M20)/5</f>
        <v>#DIV/0!</v>
      </c>
      <c r="M1" s="94"/>
    </row>
    <row r="3" spans="1:13" ht="18.75" x14ac:dyDescent="0.3">
      <c r="A3" s="15" t="s">
        <v>13</v>
      </c>
      <c r="B3" s="17"/>
      <c r="C3" s="18"/>
      <c r="D3" s="18"/>
      <c r="E3" s="89" t="s">
        <v>13</v>
      </c>
      <c r="F3" s="89"/>
      <c r="G3" s="89"/>
      <c r="H3" s="2"/>
      <c r="I3" s="85" t="s">
        <v>14</v>
      </c>
      <c r="J3" s="85"/>
      <c r="K3" s="85"/>
      <c r="L3" s="85"/>
      <c r="M3" s="85"/>
    </row>
    <row r="4" spans="1:13" ht="18.75" x14ac:dyDescent="0.25">
      <c r="A4" s="86"/>
      <c r="B4" s="11" t="s">
        <v>5</v>
      </c>
      <c r="C4" s="16"/>
      <c r="D4" s="16"/>
      <c r="E4" s="4" t="s">
        <v>7</v>
      </c>
      <c r="F4" s="4" t="s">
        <v>4</v>
      </c>
      <c r="G4" s="4" t="s">
        <v>0</v>
      </c>
      <c r="H4" s="5" t="s">
        <v>6</v>
      </c>
      <c r="I4" s="3" t="s">
        <v>0</v>
      </c>
      <c r="J4" s="3" t="s">
        <v>4</v>
      </c>
      <c r="K4" s="3" t="s">
        <v>7</v>
      </c>
      <c r="L4" s="3" t="s">
        <v>10</v>
      </c>
      <c r="M4" s="3" t="s">
        <v>11</v>
      </c>
    </row>
    <row r="5" spans="1:13" ht="26.25" x14ac:dyDescent="0.25">
      <c r="A5" s="87"/>
      <c r="B5" s="12" cm="1">
        <f t="array" ref="B5">[5]!'2037300_0'</f>
        <v>0</v>
      </c>
      <c r="C5" s="14"/>
      <c r="D5" s="14"/>
      <c r="E5" s="22" cm="1">
        <f t="array" ref="E5">[4]!'2040157_0'</f>
        <v>0</v>
      </c>
      <c r="F5" s="22" cm="1">
        <f t="array" ref="F5">[2]!'2040157_0'</f>
        <v>0</v>
      </c>
      <c r="G5" s="22" cm="1">
        <f t="array" ref="G5">[1]!'2040157_0'</f>
        <v>0</v>
      </c>
      <c r="H5" s="24" cm="1">
        <f t="array" ref="H5">[3]!'2040039_0'</f>
        <v>2060</v>
      </c>
      <c r="I5" s="22" cm="1">
        <f t="array" ref="I5">[1]!'2040039_0'</f>
        <v>0</v>
      </c>
      <c r="J5" s="22" cm="1">
        <f t="array" ref="J5">[2]!'2040039_0'</f>
        <v>0</v>
      </c>
      <c r="K5" s="22" cm="1">
        <f t="array" ref="K5">[4]!'2040039_0'</f>
        <v>0</v>
      </c>
      <c r="L5" s="25" t="e">
        <f t="shared" ref="L5:L19" si="0">J5/F5</f>
        <v>#DIV/0!</v>
      </c>
      <c r="M5" s="26" t="e">
        <f>1/L5</f>
        <v>#DIV/0!</v>
      </c>
    </row>
    <row r="6" spans="1:13" ht="26.25" x14ac:dyDescent="0.25">
      <c r="A6" s="87"/>
      <c r="B6" s="12" cm="1">
        <f t="array" ref="B6">[5]!'2037303_0'</f>
        <v>0</v>
      </c>
      <c r="C6" s="14"/>
      <c r="D6" s="14"/>
      <c r="E6" s="22" cm="1">
        <f t="array" ref="E6">[4]!'2040145_0'</f>
        <v>0</v>
      </c>
      <c r="F6" s="22" cm="1">
        <f t="array" ref="F6">[2]!'2040145_0'</f>
        <v>0</v>
      </c>
      <c r="G6" s="22" cm="1">
        <f t="array" ref="G6">[1]!'2040145_0'</f>
        <v>0</v>
      </c>
      <c r="H6" s="24" cm="1">
        <f t="array" ref="H6">[3]!'2040046_0'</f>
        <v>2620</v>
      </c>
      <c r="I6" s="22" cm="1">
        <f t="array" ref="I6">[1]!'2040046_0'</f>
        <v>0</v>
      </c>
      <c r="J6" s="22" cm="1">
        <f t="array" ref="J6">[2]!'2040046_0'</f>
        <v>0</v>
      </c>
      <c r="K6" s="22" cm="1">
        <f t="array" ref="K6">[4]!'2040046_0'</f>
        <v>0</v>
      </c>
      <c r="L6" s="25" t="e">
        <f t="shared" si="0"/>
        <v>#DIV/0!</v>
      </c>
      <c r="M6" s="26" t="e">
        <f t="shared" ref="M6:M25" si="1">1/L6</f>
        <v>#DIV/0!</v>
      </c>
    </row>
    <row r="7" spans="1:13" ht="26.25" x14ac:dyDescent="0.25">
      <c r="A7" s="87"/>
      <c r="B7" s="12" cm="1">
        <f t="array" ref="B7">[5]!'2037305_0'</f>
        <v>0</v>
      </c>
      <c r="C7" s="14"/>
      <c r="D7" s="14"/>
      <c r="E7" s="22" cm="1">
        <f t="array" ref="E7">[4]!'2040122_0'</f>
        <v>0</v>
      </c>
      <c r="F7" s="22" cm="1">
        <f t="array" ref="F7">[2]!'2040122_0'</f>
        <v>0</v>
      </c>
      <c r="G7" s="22" cm="1">
        <f t="array" ref="G7">[1]!'2040122_0'</f>
        <v>0</v>
      </c>
      <c r="H7" s="24" cm="1">
        <f t="array" ref="H7">[3]!'2040048_0'</f>
        <v>6500</v>
      </c>
      <c r="I7" s="22" cm="1">
        <f t="array" ref="I7">[1]!'2040048_0'</f>
        <v>0</v>
      </c>
      <c r="J7" s="22" cm="1">
        <f t="array" ref="J7">[2]!'2040048_0'</f>
        <v>0</v>
      </c>
      <c r="K7" s="22" cm="1">
        <f t="array" ref="K7">[4]!'2040048_0'</f>
        <v>0</v>
      </c>
      <c r="L7" s="25" t="e">
        <f t="shared" si="0"/>
        <v>#DIV/0!</v>
      </c>
      <c r="M7" s="26" t="e">
        <f t="shared" si="1"/>
        <v>#DIV/0!</v>
      </c>
    </row>
    <row r="8" spans="1:13" ht="26.25" x14ac:dyDescent="0.25">
      <c r="A8" s="87"/>
      <c r="B8" s="12" cm="1">
        <f t="array" ref="B8">[5]!'2037307_0'</f>
        <v>0</v>
      </c>
      <c r="C8" s="14"/>
      <c r="D8" s="14"/>
      <c r="E8" s="22" cm="1">
        <f t="array" ref="E8">[4]!'2040114_0'</f>
        <v>0</v>
      </c>
      <c r="F8" s="22" cm="1">
        <f t="array" ref="F8">[2]!'2040114_0'</f>
        <v>0</v>
      </c>
      <c r="G8" s="22" cm="1">
        <f t="array" ref="G8">[1]!'2040114_0'</f>
        <v>0</v>
      </c>
      <c r="H8" s="24" cm="1">
        <f t="array" ref="H8">[3]!'2040050_0'</f>
        <v>230</v>
      </c>
      <c r="I8" s="22" cm="1">
        <f t="array" ref="I8">[1]!'2040050_0'</f>
        <v>0</v>
      </c>
      <c r="J8" s="22" cm="1">
        <f t="array" ref="J8">[2]!'2040050_0'</f>
        <v>0</v>
      </c>
      <c r="K8" s="22" cm="1">
        <f t="array" ref="K8">[4]!'2040050_0'</f>
        <v>0</v>
      </c>
      <c r="L8" s="25" t="e">
        <f t="shared" si="0"/>
        <v>#DIV/0!</v>
      </c>
      <c r="M8" s="26" t="e">
        <f t="shared" si="1"/>
        <v>#DIV/0!</v>
      </c>
    </row>
    <row r="9" spans="1:13" ht="26.25" x14ac:dyDescent="0.25">
      <c r="A9" s="87"/>
      <c r="B9" s="12" cm="1">
        <f t="array" ref="B9">[5]!'2037309_0'</f>
        <v>0</v>
      </c>
      <c r="C9" s="14"/>
      <c r="D9" s="14"/>
      <c r="E9" s="22" cm="1">
        <f t="array" ref="E9">[4]!'2040104_0'</f>
        <v>0</v>
      </c>
      <c r="F9" s="22" cm="1">
        <f t="array" ref="F9">[2]!'2040104_0'</f>
        <v>0</v>
      </c>
      <c r="G9" s="22" cm="1">
        <f t="array" ref="G9">[1]!'2040104_0'</f>
        <v>0</v>
      </c>
      <c r="H9" s="24" cm="1">
        <f t="array" ref="H9">[3]!'2040052_0'</f>
        <v>305</v>
      </c>
      <c r="I9" s="22" cm="1">
        <f t="array" ref="I9">[1]!'2040052_0'</f>
        <v>0</v>
      </c>
      <c r="J9" s="22" cm="1">
        <f t="array" ref="J9">[2]!'2040052_0'</f>
        <v>0</v>
      </c>
      <c r="K9" s="22" cm="1">
        <f t="array" ref="K9">[4]!'2040052_0'</f>
        <v>0</v>
      </c>
      <c r="L9" s="25" t="e">
        <f t="shared" si="0"/>
        <v>#DIV/0!</v>
      </c>
      <c r="M9" s="26" t="e">
        <f t="shared" si="1"/>
        <v>#DIV/0!</v>
      </c>
    </row>
    <row r="10" spans="1:13" ht="26.25" x14ac:dyDescent="0.25">
      <c r="A10" s="87"/>
      <c r="B10" s="12" cm="1">
        <f t="array" ref="B10">[5]!'2037311_0'</f>
        <v>0</v>
      </c>
      <c r="C10" s="14"/>
      <c r="D10" s="14"/>
      <c r="E10" s="22" cm="1">
        <f t="array" ref="E10">[4]!'2040102_0'</f>
        <v>0</v>
      </c>
      <c r="F10" s="22" cm="1">
        <f t="array" ref="F10">[2]!'2040102_0'</f>
        <v>0</v>
      </c>
      <c r="G10" s="22" cm="1">
        <f t="array" ref="G10">[1]!'2040102_0'</f>
        <v>0</v>
      </c>
      <c r="H10" s="24" cm="1">
        <f t="array" ref="H10">[3]!'2040054_0'</f>
        <v>6550</v>
      </c>
      <c r="I10" s="22" cm="1">
        <f t="array" ref="I10">[1]!'2040054_0'</f>
        <v>0</v>
      </c>
      <c r="J10" s="22" cm="1">
        <f t="array" ref="J10">[2]!'2040054_0'</f>
        <v>0</v>
      </c>
      <c r="K10" s="22" cm="1">
        <f t="array" ref="K10">[4]!'2040054_0'</f>
        <v>0</v>
      </c>
      <c r="L10" s="25" t="e">
        <f t="shared" si="0"/>
        <v>#DIV/0!</v>
      </c>
      <c r="M10" s="26" t="e">
        <f t="shared" si="1"/>
        <v>#DIV/0!</v>
      </c>
    </row>
    <row r="11" spans="1:13" ht="26.25" x14ac:dyDescent="0.25">
      <c r="A11" s="87"/>
      <c r="B11" s="12" cm="1">
        <f t="array" ref="B11">[5]!'2037313_0'</f>
        <v>0</v>
      </c>
      <c r="C11" s="14"/>
      <c r="D11" s="14"/>
      <c r="E11" s="22" cm="1">
        <f t="array" ref="E11">[4]!'2040078_0'</f>
        <v>0</v>
      </c>
      <c r="F11" s="22" cm="1">
        <f t="array" ref="F11">[2]!'2040078_0'</f>
        <v>0</v>
      </c>
      <c r="G11" s="22" cm="1">
        <f t="array" ref="G11">[1]!'2040078_0'</f>
        <v>0</v>
      </c>
      <c r="H11" s="24" cm="1">
        <f t="array" ref="H11">[3]!'2040056_0'</f>
        <v>6600</v>
      </c>
      <c r="I11" s="22" cm="1">
        <f t="array" ref="I11">[1]!'2040056_0'</f>
        <v>0</v>
      </c>
      <c r="J11" s="22" cm="1">
        <f t="array" ref="J11">[2]!'2040056_0'</f>
        <v>0</v>
      </c>
      <c r="K11" s="22" cm="1">
        <f t="array" ref="K11">[4]!'2040056_0'</f>
        <v>0</v>
      </c>
      <c r="L11" s="25" t="e">
        <f t="shared" si="0"/>
        <v>#DIV/0!</v>
      </c>
      <c r="M11" s="26" t="e">
        <f t="shared" si="1"/>
        <v>#DIV/0!</v>
      </c>
    </row>
    <row r="12" spans="1:13" ht="41.25" customHeight="1" x14ac:dyDescent="0.25">
      <c r="A12" s="87"/>
      <c r="B12" s="12" cm="1">
        <f t="array" ref="B12">[5]!'2037315_0'</f>
        <v>0</v>
      </c>
      <c r="C12" s="14"/>
      <c r="D12" s="14"/>
      <c r="E12" s="22" cm="1">
        <f t="array" ref="E12">[4]!'2040076_0'</f>
        <v>0</v>
      </c>
      <c r="F12" s="22" cm="1">
        <f t="array" ref="F12">[2]!'2040076_0'</f>
        <v>0</v>
      </c>
      <c r="G12" s="22" cm="1">
        <f t="array" ref="G12">[1]!'2040076_0'</f>
        <v>0</v>
      </c>
      <c r="H12" s="24" cm="1">
        <f t="array" ref="H12">[3]!'2040058_0'</f>
        <v>6650</v>
      </c>
      <c r="I12" s="22" cm="1">
        <f t="array" ref="I12">[1]!'2040058_0'</f>
        <v>0</v>
      </c>
      <c r="J12" s="22" cm="1">
        <f t="array" ref="J12">[2]!'2040058_0'</f>
        <v>0</v>
      </c>
      <c r="K12" s="22" cm="1">
        <f t="array" ref="K12">[4]!'2040058_0'</f>
        <v>0</v>
      </c>
      <c r="L12" s="25" t="e">
        <f t="shared" si="0"/>
        <v>#DIV/0!</v>
      </c>
      <c r="M12" s="26" t="e">
        <f t="shared" si="1"/>
        <v>#DIV/0!</v>
      </c>
    </row>
    <row r="13" spans="1:13" ht="26.25" x14ac:dyDescent="0.25">
      <c r="A13" s="87"/>
      <c r="B13" s="12" cm="1">
        <f t="array" ref="B13">[5]!'2037317_0'</f>
        <v>0</v>
      </c>
      <c r="C13" s="14"/>
      <c r="D13" s="14"/>
      <c r="E13" s="22" cm="1">
        <f t="array" ref="E13">[4]!'2040074_0'</f>
        <v>0</v>
      </c>
      <c r="F13" s="22" cm="1">
        <f t="array" ref="F13">[2]!'2040074_0'</f>
        <v>0</v>
      </c>
      <c r="G13" s="22" cm="1">
        <f t="array" ref="G13">[1]!'2040074_0'</f>
        <v>0</v>
      </c>
      <c r="H13" s="24" cm="1">
        <f t="array" ref="H13">[3]!'2040060_0'</f>
        <v>235</v>
      </c>
      <c r="I13" s="22" cm="1">
        <f t="array" ref="I13">[1]!'2040060_0'</f>
        <v>0</v>
      </c>
      <c r="J13" s="22" cm="1">
        <f t="array" ref="J13">[2]!'2040060_0'</f>
        <v>0</v>
      </c>
      <c r="K13" s="22" cm="1">
        <f t="array" ref="K13">[4]!'2040060_0'</f>
        <v>0</v>
      </c>
      <c r="L13" s="25" t="e">
        <f t="shared" si="0"/>
        <v>#DIV/0!</v>
      </c>
      <c r="M13" s="26" t="e">
        <f t="shared" si="1"/>
        <v>#DIV/0!</v>
      </c>
    </row>
    <row r="14" spans="1:13" ht="26.25" x14ac:dyDescent="0.25">
      <c r="A14" s="88"/>
      <c r="B14" s="12" cm="1">
        <f t="array" ref="B14">[5]!'2037319_0'</f>
        <v>0</v>
      </c>
      <c r="C14" s="14"/>
      <c r="D14" s="14"/>
      <c r="E14" s="22" cm="1">
        <f t="array" ref="E14">[4]!'2040070_0'</f>
        <v>0</v>
      </c>
      <c r="F14" s="22" cm="1">
        <f t="array" ref="F14">[2]!'2040070_0'</f>
        <v>0</v>
      </c>
      <c r="G14" s="22" cm="1">
        <f t="array" ref="G14">[1]!'2040070_0'</f>
        <v>0</v>
      </c>
      <c r="H14" s="24" cm="1">
        <f t="array" ref="H14">[3]!'2040064_0'</f>
        <v>240</v>
      </c>
      <c r="I14" s="22" cm="1">
        <f t="array" ref="I14">[1]!'2040064_0'</f>
        <v>0</v>
      </c>
      <c r="J14" s="22" cm="1">
        <f t="array" ref="J14">[2]!'2040064_0'</f>
        <v>0</v>
      </c>
      <c r="K14" s="22" cm="1">
        <f t="array" ref="K14">[4]!'2040064_0'</f>
        <v>0</v>
      </c>
      <c r="L14" s="25" t="e">
        <f t="shared" si="0"/>
        <v>#DIV/0!</v>
      </c>
      <c r="M14" s="26" t="e">
        <f t="shared" si="1"/>
        <v>#DIV/0!</v>
      </c>
    </row>
    <row r="15" spans="1:13" ht="26.25" x14ac:dyDescent="0.25">
      <c r="B15" s="13"/>
      <c r="E15" s="22" cm="1">
        <f t="array" ref="E15">[4]!'2040068_0'</f>
        <v>0</v>
      </c>
      <c r="F15" s="22" cm="1">
        <f t="array" ref="F15">[2]!'2040068_0'</f>
        <v>0</v>
      </c>
      <c r="G15" s="22" cm="1">
        <f t="array" ref="G15">[1]!'2040068_0'</f>
        <v>0</v>
      </c>
      <c r="H15" s="24" cm="1">
        <f t="array" ref="H15">[3]!'2040069_0'</f>
        <v>245</v>
      </c>
      <c r="I15" s="22" cm="1">
        <f t="array" ref="I15">[1]!'2040069_0'</f>
        <v>0</v>
      </c>
      <c r="J15" s="22" cm="1">
        <f t="array" ref="J15">[2]!'2040069_0'</f>
        <v>0</v>
      </c>
      <c r="K15" s="22" cm="1">
        <f t="array" ref="K15">[4]!'2040069_0'</f>
        <v>0</v>
      </c>
      <c r="L15" s="25" t="e">
        <f t="shared" si="0"/>
        <v>#DIV/0!</v>
      </c>
      <c r="M15" s="26" t="e">
        <f t="shared" si="1"/>
        <v>#DIV/0!</v>
      </c>
    </row>
    <row r="16" spans="1:13" ht="26.25" x14ac:dyDescent="0.25">
      <c r="B16" s="13"/>
      <c r="E16" s="22" cm="1">
        <f t="array" ref="E16">[4]!'2040061_0'</f>
        <v>0</v>
      </c>
      <c r="F16" s="22" cm="1">
        <f t="array" ref="F16">[2]!'2040061_0'</f>
        <v>0</v>
      </c>
      <c r="G16" s="22" cm="1">
        <f t="array" ref="G16">[1]!'2040061_0'</f>
        <v>0</v>
      </c>
      <c r="H16" s="24" cm="1">
        <f t="array" ref="H16">[3]!'2040071_0'</f>
        <v>380</v>
      </c>
      <c r="I16" s="22" cm="1">
        <f t="array" ref="I16">[1]!'2040071_0'</f>
        <v>0</v>
      </c>
      <c r="J16" s="22" cm="1">
        <f t="array" ref="J16">[2]!'2040071_0'</f>
        <v>0</v>
      </c>
      <c r="K16" s="22" cm="1">
        <f t="array" ref="K16">[4]!'2040071_0'</f>
        <v>0</v>
      </c>
      <c r="L16" s="25" t="e">
        <f t="shared" si="0"/>
        <v>#DIV/0!</v>
      </c>
      <c r="M16" s="26" t="e">
        <f>1/L16</f>
        <v>#DIV/0!</v>
      </c>
    </row>
    <row r="17" spans="2:13" ht="26.25" x14ac:dyDescent="0.25">
      <c r="B17" s="13"/>
      <c r="E17" s="22" cm="1">
        <f t="array" ref="E17">[4]!'2040059_0'</f>
        <v>0</v>
      </c>
      <c r="F17" s="22" cm="1">
        <f t="array" ref="F17">[2]!'2040059_0'</f>
        <v>0</v>
      </c>
      <c r="G17" s="22" cm="1">
        <f t="array" ref="G17">[1]!'2040059_0'</f>
        <v>0</v>
      </c>
      <c r="H17" s="24" cm="1">
        <f t="array" ref="H17">[3]!'2040075_0'</f>
        <v>390</v>
      </c>
      <c r="I17" s="22" cm="1">
        <f t="array" ref="I17">[1]!'2040075_0'</f>
        <v>0</v>
      </c>
      <c r="J17" s="22" cm="1">
        <f t="array" ref="J17">[2]!'2040075_0'</f>
        <v>0</v>
      </c>
      <c r="K17" s="22" cm="1">
        <f t="array" ref="K17">[4]!'2040075_0'</f>
        <v>0</v>
      </c>
      <c r="L17" s="25" t="e">
        <f t="shared" si="0"/>
        <v>#DIV/0!</v>
      </c>
      <c r="M17" s="26" t="e">
        <f t="shared" si="1"/>
        <v>#DIV/0!</v>
      </c>
    </row>
    <row r="18" spans="2:13" ht="26.25" x14ac:dyDescent="0.25">
      <c r="B18" s="13"/>
      <c r="E18" s="22" cm="1">
        <f t="array" ref="E18">[4]!'2040057_0'</f>
        <v>0</v>
      </c>
      <c r="F18" s="22" cm="1">
        <f t="array" ref="F18">[2]!'2040057_0'</f>
        <v>0</v>
      </c>
      <c r="G18" s="22" cm="1">
        <f t="array" ref="G18">[1]!'2040057_0'</f>
        <v>0</v>
      </c>
      <c r="H18" s="24" cm="1">
        <f t="array" ref="H18">[3]!'2040077_0'</f>
        <v>400</v>
      </c>
      <c r="I18" s="22" cm="1">
        <f t="array" ref="I18">[1]!'2040077_0'</f>
        <v>0</v>
      </c>
      <c r="J18" s="22" cm="1">
        <f t="array" ref="J18">[2]!'2040077_0'</f>
        <v>0</v>
      </c>
      <c r="K18" s="22" cm="1">
        <f t="array" ref="K18">[4]!'2040077_0'</f>
        <v>0</v>
      </c>
      <c r="L18" s="25" t="e">
        <f t="shared" si="0"/>
        <v>#DIV/0!</v>
      </c>
      <c r="M18" s="26" t="e">
        <f t="shared" si="1"/>
        <v>#DIV/0!</v>
      </c>
    </row>
    <row r="19" spans="2:13" ht="26.25" x14ac:dyDescent="0.25">
      <c r="B19" s="13"/>
      <c r="E19" s="22" cm="1">
        <f t="array" ref="E19">[4]!'2040055_0'</f>
        <v>0</v>
      </c>
      <c r="F19" s="22" cm="1">
        <f t="array" ref="F19">[2]!'2040055_0'</f>
        <v>0</v>
      </c>
      <c r="G19" s="22" cm="1">
        <f t="array" ref="G19">[1]!'2040055_0'</f>
        <v>0</v>
      </c>
      <c r="H19" s="24" cm="1">
        <f t="array" ref="H19">[3]!'2040079_0'</f>
        <v>46700</v>
      </c>
      <c r="I19" s="23" cm="1">
        <f t="array" ref="I19">[1]!'2040079_0'</f>
        <v>0</v>
      </c>
      <c r="J19" s="23" cm="1">
        <f t="array" ref="J19">[2]!'2040079_0'</f>
        <v>0</v>
      </c>
      <c r="K19" s="23" cm="1">
        <f t="array" ref="K19">[4]!'2040079_0'</f>
        <v>0</v>
      </c>
      <c r="L19" s="25" t="e">
        <f t="shared" si="0"/>
        <v>#DIV/0!</v>
      </c>
      <c r="M19" s="26" t="e">
        <f t="shared" si="1"/>
        <v>#DIV/0!</v>
      </c>
    </row>
    <row r="20" spans="2:13" ht="26.25" x14ac:dyDescent="0.25">
      <c r="E20" s="22" cm="1">
        <f t="array" ref="E20">[4]!'2040053_0'</f>
        <v>0</v>
      </c>
      <c r="F20" s="22" cm="1">
        <f t="array" ref="F20">[2]!'2040053_0'</f>
        <v>0</v>
      </c>
      <c r="G20" s="22" cm="1">
        <f t="array" ref="G20">[1]!'2040053_0'</f>
        <v>0</v>
      </c>
      <c r="H20" s="24" cm="1">
        <f t="array" ref="H20">[3]!'2040103_0'</f>
        <v>46600</v>
      </c>
      <c r="I20" s="23" cm="1">
        <f t="array" ref="I20">[1]!'2040103_0'</f>
        <v>0</v>
      </c>
      <c r="J20" s="23" cm="1">
        <f t="array" ref="J20">[2]!'2040103_0'</f>
        <v>0</v>
      </c>
      <c r="K20" s="23" cm="1">
        <f t="array" ref="K20">[4]!'2040103_0'</f>
        <v>0</v>
      </c>
      <c r="L20" s="25" t="e">
        <f t="shared" ref="L20:L25" si="2">J20/F20</f>
        <v>#DIV/0!</v>
      </c>
      <c r="M20" s="26" t="e">
        <f t="shared" si="1"/>
        <v>#DIV/0!</v>
      </c>
    </row>
    <row r="21" spans="2:13" ht="26.25" x14ac:dyDescent="0.25">
      <c r="E21" s="22" cm="1">
        <f t="array" ref="E21">[4]!'2040051_0'</f>
        <v>0</v>
      </c>
      <c r="F21" s="22" cm="1">
        <f t="array" ref="F21">[2]!'2040051_0'</f>
        <v>0</v>
      </c>
      <c r="G21" s="22" cm="1">
        <f t="array" ref="G21">[1]!'2040051_0'</f>
        <v>0</v>
      </c>
      <c r="H21" s="24" cm="1">
        <f t="array" ref="H21">[3]!'2040105_0'</f>
        <v>6950</v>
      </c>
      <c r="I21" s="23" cm="1">
        <f t="array" ref="I21">[1]!'2040105_0'</f>
        <v>0</v>
      </c>
      <c r="J21" s="23" cm="1">
        <f t="array" ref="J21">[2]!'2040105_0'</f>
        <v>0</v>
      </c>
      <c r="K21" s="23" cm="1">
        <f t="array" ref="K21">[4]!'2040105_0'</f>
        <v>0</v>
      </c>
      <c r="L21" s="25" t="e">
        <f t="shared" si="2"/>
        <v>#DIV/0!</v>
      </c>
      <c r="M21" s="26" t="e">
        <f t="shared" si="1"/>
        <v>#DIV/0!</v>
      </c>
    </row>
    <row r="22" spans="2:13" ht="26.25" x14ac:dyDescent="0.25">
      <c r="E22" s="22" cm="1">
        <f t="array" ref="E22">[4]!'2040049_0'</f>
        <v>0</v>
      </c>
      <c r="F22" s="22" cm="1">
        <f t="array" ref="F22">[2]!'2040049_0'</f>
        <v>0</v>
      </c>
      <c r="G22" s="22" cm="1">
        <f t="array" ref="G22">[1]!'2040049_0'</f>
        <v>0</v>
      </c>
      <c r="H22" s="24" cm="1">
        <f t="array" ref="H22">[3]!'2040115_0'</f>
        <v>250</v>
      </c>
      <c r="I22" s="23" cm="1">
        <f t="array" ref="I22">[1]!'2040115_0'</f>
        <v>0</v>
      </c>
      <c r="J22" s="23" cm="1">
        <f t="array" ref="J22">[2]!'2040115_0'</f>
        <v>0</v>
      </c>
      <c r="K22" s="23" cm="1">
        <f t="array" ref="K22">[4]!'2040115_0'</f>
        <v>0</v>
      </c>
      <c r="L22" s="25" t="e">
        <f t="shared" si="2"/>
        <v>#DIV/0!</v>
      </c>
      <c r="M22" s="26" t="e">
        <f t="shared" si="1"/>
        <v>#DIV/0!</v>
      </c>
    </row>
    <row r="23" spans="2:13" ht="26.25" x14ac:dyDescent="0.25">
      <c r="E23" s="22" cm="1">
        <f t="array" ref="E23">[4]!'2040047_0'</f>
        <v>0</v>
      </c>
      <c r="F23" s="22" cm="1">
        <f t="array" ref="F23">[2]!'2040047_0'</f>
        <v>0</v>
      </c>
      <c r="G23" s="22" cm="1">
        <f t="array" ref="G23">[1]!'2040047_0'</f>
        <v>0</v>
      </c>
      <c r="H23" s="24" cm="1">
        <f t="array" ref="H23">[3]!'2040144_0'</f>
        <v>49</v>
      </c>
      <c r="I23" s="23" cm="1">
        <f t="array" ref="I23">[1]!'2040144_0'</f>
        <v>0</v>
      </c>
      <c r="J23" s="23" cm="1">
        <f t="array" ref="J23">[2]!'2040144_0'</f>
        <v>0</v>
      </c>
      <c r="K23" s="23" cm="1">
        <f t="array" ref="K23">[4]!'2040144_0'</f>
        <v>0</v>
      </c>
      <c r="L23" s="25" t="e">
        <f t="shared" si="2"/>
        <v>#DIV/0!</v>
      </c>
      <c r="M23" s="26" t="e">
        <f t="shared" si="1"/>
        <v>#DIV/0!</v>
      </c>
    </row>
    <row r="24" spans="2:13" ht="26.25" x14ac:dyDescent="0.25">
      <c r="E24" s="22" cm="1">
        <f t="array" ref="E24">[4]!'2040040_0'</f>
        <v>0</v>
      </c>
      <c r="F24" s="22" cm="1">
        <f t="array" ref="F24">[2]!'2040040_0'</f>
        <v>0</v>
      </c>
      <c r="G24" s="22" cm="1">
        <f t="array" ref="G24">[1]!'2040040_0'</f>
        <v>0</v>
      </c>
      <c r="H24" s="24" cm="1">
        <f t="array" ref="H24">[3]!'2040154_0'</f>
        <v>4950</v>
      </c>
      <c r="I24" s="23" cm="1">
        <f t="array" ref="I24">[1]!'2040154_0'</f>
        <v>0</v>
      </c>
      <c r="J24" s="23" cm="1">
        <f t="array" ref="J24">[2]!'2040154_0'</f>
        <v>0</v>
      </c>
      <c r="K24" s="23" cm="1">
        <f t="array" ref="K24">[4]!'2040154_0'</f>
        <v>0</v>
      </c>
      <c r="L24" s="25" t="e">
        <f t="shared" si="2"/>
        <v>#DIV/0!</v>
      </c>
      <c r="M24" s="26" t="e">
        <f t="shared" si="1"/>
        <v>#DIV/0!</v>
      </c>
    </row>
    <row r="25" spans="2:13" ht="26.25" x14ac:dyDescent="0.25">
      <c r="E25" s="22" cm="1">
        <f t="array" ref="E25">[4]!'2040035_0'</f>
        <v>0</v>
      </c>
      <c r="F25" s="22" cm="1">
        <f t="array" ref="F25">[2]!'2040035_0'</f>
        <v>0</v>
      </c>
      <c r="G25" s="22" cm="1">
        <f t="array" ref="G25">[1]!'2040035_0'</f>
        <v>0</v>
      </c>
      <c r="H25" s="24" cm="1">
        <f t="array" ref="H25">[3]!'2040158_0'</f>
        <v>7200</v>
      </c>
      <c r="I25" s="23" cm="1">
        <f t="array" ref="I25">[1]!'2040158_0'</f>
        <v>0</v>
      </c>
      <c r="J25" s="23" cm="1">
        <f t="array" ref="J25">[2]!'2040158_0'</f>
        <v>0</v>
      </c>
      <c r="K25" s="23" cm="1">
        <f t="array" ref="K25">[4]!'2040158_0'</f>
        <v>0</v>
      </c>
      <c r="L25" s="25" t="e">
        <f t="shared" si="2"/>
        <v>#DIV/0!</v>
      </c>
      <c r="M25" s="26" t="e">
        <f t="shared" si="1"/>
        <v>#DIV/0!</v>
      </c>
    </row>
  </sheetData>
  <mergeCells count="6">
    <mergeCell ref="I3:M3"/>
    <mergeCell ref="A4:A14"/>
    <mergeCell ref="E3:G3"/>
    <mergeCell ref="F1:G1"/>
    <mergeCell ref="I1:J1"/>
    <mergeCell ref="L1:M1"/>
  </mergeCells>
  <conditionalFormatting sqref="E5:F25">
    <cfRule type="top10" dxfId="23" priority="9" rank="2"/>
  </conditionalFormatting>
  <conditionalFormatting sqref="E5:E25">
    <cfRule type="top10" dxfId="22" priority="8" rank="2"/>
  </conditionalFormatting>
  <conditionalFormatting sqref="J5:J2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{C017C51E-3B37-4EE6-934E-1DAD9CB44811}</x14:id>
        </ext>
      </extLst>
    </cfRule>
    <cfRule type="top10" dxfId="21" priority="7" rank="2"/>
  </conditionalFormatting>
  <conditionalFormatting sqref="K5:K25">
    <cfRule type="top10" dxfId="20" priority="5" rank="2"/>
    <cfRule type="top10" dxfId="19" priority="6" rank="2"/>
  </conditionalFormatting>
  <conditionalFormatting sqref="M5:M2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{2E19556A-82E4-4EAA-AB02-46F868399327}</x14:id>
        </ext>
      </extLst>
    </cfRule>
  </conditionalFormatting>
  <conditionalFormatting sqref="L5:L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{38A77D97-1D2B-478A-85CA-06E30D38F306}</x14:id>
        </ext>
      </extLst>
    </cfRule>
  </conditionalFormatting>
  <conditionalFormatting sqref="F5:F2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{FDDF0428-497D-45A7-8E29-D5FD942AAB39}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C51E-3B37-4EE6-934E-1DAD9CB448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J5:J25</xm:sqref>
        </x14:conditionalFormatting>
        <x14:conditionalFormatting xmlns:xm="http://schemas.microsoft.com/office/excel/2006/main">
          <x14:cfRule type="dataBar" id="{2E19556A-82E4-4EAA-AB02-46F8683993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M5:M25</xm:sqref>
        </x14:conditionalFormatting>
        <x14:conditionalFormatting xmlns:xm="http://schemas.microsoft.com/office/excel/2006/main">
          <x14:cfRule type="dataBar" id="{38A77D97-1D2B-478A-85CA-06E30D38F3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L5:L25</xm:sqref>
        </x14:conditionalFormatting>
        <x14:conditionalFormatting xmlns:xm="http://schemas.microsoft.com/office/excel/2006/main">
          <x14:cfRule type="dataBar" id="{FDDF0428-497D-45A7-8E29-D5FD942AAB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39"/>
  <sheetViews>
    <sheetView tabSelected="1" topLeftCell="D2" zoomScale="50" zoomScaleNormal="50" zoomScaleSheetLayoutView="40" workbookViewId="0">
      <selection activeCell="N16" sqref="N7:N16"/>
    </sheetView>
  </sheetViews>
  <sheetFormatPr defaultColWidth="8.85546875" defaultRowHeight="15" x14ac:dyDescent="0.25"/>
  <cols>
    <col min="2" max="2" width="28.42578125" bestFit="1" customWidth="1"/>
    <col min="3" max="3" width="25.42578125" bestFit="1" customWidth="1"/>
    <col min="4" max="4" width="28.7109375" bestFit="1" customWidth="1"/>
    <col min="5" max="5" width="29.42578125" bestFit="1" customWidth="1"/>
    <col min="6" max="6" width="24" style="1" bestFit="1" customWidth="1"/>
    <col min="7" max="7" width="15.28515625" bestFit="1" customWidth="1"/>
    <col min="8" max="8" width="25.42578125" bestFit="1" customWidth="1"/>
    <col min="9" max="9" width="31.28515625" bestFit="1" customWidth="1"/>
    <col min="10" max="10" width="29.7109375" bestFit="1" customWidth="1"/>
    <col min="11" max="12" width="29.7109375" customWidth="1"/>
    <col min="13" max="13" width="31.42578125" customWidth="1"/>
    <col min="14" max="14" width="27.42578125" customWidth="1"/>
    <col min="15" max="15" width="29.42578125" customWidth="1"/>
    <col min="16" max="16" width="31.85546875" bestFit="1" customWidth="1"/>
    <col min="17" max="17" width="37.85546875" bestFit="1" customWidth="1"/>
    <col min="18" max="18" width="31.140625" bestFit="1" customWidth="1"/>
    <col min="19" max="19" width="28" bestFit="1" customWidth="1"/>
    <col min="20" max="20" width="31.28515625" customWidth="1"/>
    <col min="21" max="21" width="23" bestFit="1" customWidth="1"/>
    <col min="22" max="22" width="21.28515625" bestFit="1" customWidth="1"/>
    <col min="23" max="23" width="25.42578125" bestFit="1" customWidth="1"/>
    <col min="25" max="25" width="47.42578125" customWidth="1"/>
  </cols>
  <sheetData>
    <row r="1" spans="2:23" ht="46.5" hidden="1" x14ac:dyDescent="0.7">
      <c r="B1" s="9"/>
      <c r="C1" s="19"/>
      <c r="D1" s="20"/>
      <c r="E1" s="19"/>
      <c r="F1" s="19"/>
      <c r="G1" s="19"/>
      <c r="H1" s="19"/>
      <c r="I1" s="21"/>
      <c r="J1" s="21"/>
      <c r="K1" s="21"/>
      <c r="L1" s="21"/>
      <c r="M1" s="109" t="e">
        <f>#REF!/2</f>
        <v>#REF!</v>
      </c>
      <c r="N1" s="109"/>
      <c r="O1" s="28" t="e">
        <f>#REF!/2</f>
        <v>#REF!</v>
      </c>
      <c r="P1" s="29"/>
      <c r="Q1" s="29"/>
      <c r="R1" s="29"/>
    </row>
    <row r="2" spans="2:23" ht="75" customHeight="1" x14ac:dyDescent="0.9">
      <c r="B2" s="99"/>
      <c r="C2" s="100"/>
      <c r="D2" s="58"/>
      <c r="E2" s="62" t="s">
        <v>71</v>
      </c>
      <c r="F2" s="59" t="s">
        <v>67</v>
      </c>
      <c r="G2" s="110">
        <f ca="1">NOW()</f>
        <v>44908.645726388888</v>
      </c>
      <c r="H2" s="111"/>
      <c r="I2" s="111"/>
      <c r="J2" s="111"/>
      <c r="K2" s="67"/>
      <c r="L2" s="67"/>
      <c r="M2" s="57"/>
      <c r="N2" s="57"/>
      <c r="O2" s="99" t="s">
        <v>69</v>
      </c>
      <c r="P2" s="99"/>
      <c r="Q2" s="107" t="s">
        <v>70</v>
      </c>
      <c r="R2" s="107"/>
      <c r="S2" s="107"/>
      <c r="T2" s="107"/>
      <c r="U2" s="107"/>
      <c r="V2" s="107"/>
    </row>
    <row r="3" spans="2:23" s="9" customFormat="1" ht="64.5" customHeight="1" x14ac:dyDescent="0.25">
      <c r="B3" s="98" t="s">
        <v>52</v>
      </c>
      <c r="C3" s="98"/>
      <c r="D3" s="34" cm="1">
        <f t="array" ref="D3">[6]!'NIFTY 50_1'</f>
        <v>18608.3</v>
      </c>
      <c r="E3" s="56" cm="1">
        <f t="array" ref="E3">[7]!'NIFTY 50_1'</f>
        <v>111.15</v>
      </c>
      <c r="F3" s="56" cm="1">
        <f t="array" ref="F3">[8]!'NIFTY 50_1'</f>
        <v>0.6</v>
      </c>
      <c r="G3" s="103" t="s">
        <v>68</v>
      </c>
      <c r="H3" s="104"/>
      <c r="I3" s="64" t="s">
        <v>72</v>
      </c>
      <c r="J3" s="64" t="s">
        <v>49</v>
      </c>
      <c r="K3" s="64"/>
      <c r="L3" s="64"/>
      <c r="M3" s="53" t="s">
        <v>62</v>
      </c>
      <c r="N3" s="49" t="e">
        <f>(#REF!*J4*SQRT(0.04/365)/100)+#REF!</f>
        <v>#REF!</v>
      </c>
      <c r="O3" s="53" t="s">
        <v>64</v>
      </c>
      <c r="P3" s="49" t="e">
        <f>(#REF!*J4*SQRT(0.02/365)/100)+#REF!</f>
        <v>#REF!</v>
      </c>
      <c r="Q3" s="61" t="s">
        <v>62</v>
      </c>
      <c r="R3" s="49">
        <f>(D3*J4*SQRT(0.04/365)/100)+D3</f>
        <v>18633.7214766785</v>
      </c>
      <c r="S3" s="61" t="s">
        <v>64</v>
      </c>
      <c r="T3" s="69">
        <f>(D3*J4*SQRT(0.02/365)/100)+D3</f>
        <v>18626.275698547142</v>
      </c>
      <c r="U3" s="69"/>
      <c r="V3" s="69"/>
    </row>
    <row r="4" spans="2:23" s="9" customFormat="1" ht="61.5" x14ac:dyDescent="0.25">
      <c r="B4" s="98" t="s">
        <v>53</v>
      </c>
      <c r="C4" s="98"/>
      <c r="D4" s="34" cm="1">
        <f t="array" ref="D4">[1]!'2062809_0'</f>
        <v>18701.95</v>
      </c>
      <c r="E4" s="56" cm="1">
        <f t="array" ref="E4">[9]!'2062809_0'</f>
        <v>96.75</v>
      </c>
      <c r="F4" s="56" cm="1">
        <f t="array" ref="F4">[10]!'2062809_0'</f>
        <v>0.52</v>
      </c>
      <c r="G4" s="101" cm="1">
        <f t="array" ref="G4">[11]!'2062809_0'</f>
        <v>-0.21</v>
      </c>
      <c r="H4" s="102"/>
      <c r="I4" s="56">
        <f>H36/D36</f>
        <v>0.56174377316166779</v>
      </c>
      <c r="J4" s="56" cm="1">
        <f t="array" ref="J4">[6]!'INDIA VIX_1'</f>
        <v>13.05</v>
      </c>
      <c r="K4" s="74"/>
      <c r="L4" s="74"/>
      <c r="M4" s="53" t="s">
        <v>63</v>
      </c>
      <c r="N4" s="49" t="e">
        <f>#REF!-(#REF!*J4*SQRT(0.04/365)/100)</f>
        <v>#REF!</v>
      </c>
      <c r="O4" s="53" t="s">
        <v>65</v>
      </c>
      <c r="P4" s="49" t="e">
        <f>#REF!-(#REF!*J4*SQRT(0.02/365)/100)</f>
        <v>#REF!</v>
      </c>
      <c r="Q4" s="61" t="s">
        <v>63</v>
      </c>
      <c r="R4" s="49">
        <f>D3-(D3*J4*SQRT(0.04/365)/100)</f>
        <v>18582.878523321499</v>
      </c>
      <c r="S4" s="61" t="s">
        <v>65</v>
      </c>
      <c r="T4" s="69">
        <f>D3-(D3*J4*SQRT(0.02/365)/100)</f>
        <v>18590.324301452856</v>
      </c>
      <c r="U4" s="69"/>
      <c r="V4" s="69"/>
    </row>
    <row r="5" spans="2:23" ht="61.5" x14ac:dyDescent="0.25">
      <c r="B5" s="95" t="s">
        <v>24</v>
      </c>
      <c r="C5" s="96"/>
      <c r="D5" s="96"/>
      <c r="E5" s="97"/>
      <c r="F5" s="48"/>
      <c r="G5" s="112" t="s">
        <v>14</v>
      </c>
      <c r="H5" s="113"/>
      <c r="I5" s="113"/>
      <c r="J5" s="114"/>
      <c r="K5" s="68"/>
      <c r="L5" s="68"/>
      <c r="M5" s="50" t="s">
        <v>60</v>
      </c>
      <c r="N5" s="50"/>
      <c r="O5" s="50"/>
      <c r="P5" s="36" t="s">
        <v>61</v>
      </c>
      <c r="Q5" s="82"/>
      <c r="R5" s="51"/>
      <c r="S5" s="52"/>
      <c r="T5" s="51"/>
      <c r="U5" s="108"/>
      <c r="V5" s="108"/>
    </row>
    <row r="6" spans="2:23" ht="63" x14ac:dyDescent="0.25">
      <c r="B6" s="31" t="s">
        <v>162</v>
      </c>
      <c r="C6" s="31" t="s">
        <v>167</v>
      </c>
      <c r="D6" s="31" t="s">
        <v>163</v>
      </c>
      <c r="E6" s="31" t="s">
        <v>164</v>
      </c>
      <c r="F6" s="66" t="s">
        <v>6</v>
      </c>
      <c r="G6" s="31" t="s">
        <v>165</v>
      </c>
      <c r="H6" s="31" t="s">
        <v>166</v>
      </c>
      <c r="I6" s="31" t="s">
        <v>168</v>
      </c>
      <c r="J6" s="31" t="s">
        <v>169</v>
      </c>
      <c r="K6" s="31" t="s">
        <v>157</v>
      </c>
      <c r="L6" s="31" t="s">
        <v>158</v>
      </c>
      <c r="M6" s="31" t="s">
        <v>47</v>
      </c>
      <c r="N6" s="31" t="s">
        <v>48</v>
      </c>
      <c r="O6" s="35" t="s">
        <v>51</v>
      </c>
      <c r="P6" s="65" t="s">
        <v>73</v>
      </c>
      <c r="Q6" s="35" t="s">
        <v>59</v>
      </c>
      <c r="R6" s="81" t="s">
        <v>161</v>
      </c>
      <c r="S6" s="46" t="s">
        <v>56</v>
      </c>
      <c r="T6" s="36" t="s">
        <v>50</v>
      </c>
      <c r="U6" s="46" t="s">
        <v>57</v>
      </c>
      <c r="V6" s="60" t="s">
        <v>58</v>
      </c>
      <c r="W6" s="30"/>
    </row>
    <row r="7" spans="2:23" ht="36.75" x14ac:dyDescent="0.25">
      <c r="B7" s="83" cm="1">
        <f t="array" ref="B7">[12]!'2047269_0'</f>
        <v>216150</v>
      </c>
      <c r="C7" s="83" cm="1">
        <f t="array" ref="C7">[4]!'2047269_0'</f>
        <v>-16100</v>
      </c>
      <c r="D7" s="83" cm="1">
        <f t="array" ref="D7">[2]!'2047269_0'</f>
        <v>100000</v>
      </c>
      <c r="E7" s="83" cm="1">
        <f t="array" ref="E7">[1]!'2047269_0'</f>
        <v>616</v>
      </c>
      <c r="F7" s="83">
        <v>18000</v>
      </c>
      <c r="G7" s="83" cm="1">
        <f t="array" ref="G7">[1]!'2047270_0'</f>
        <v>3.55</v>
      </c>
      <c r="H7" s="83" cm="1">
        <f t="array" ref="H7">[2]!'2047270_0'</f>
        <v>7066250</v>
      </c>
      <c r="I7" s="83" cm="1">
        <f t="array" ref="I7">[4]!'2047270_0'</f>
        <v>2006650</v>
      </c>
      <c r="J7" s="83" cm="1">
        <f t="array" ref="J7">[12]!'2047270_0'</f>
        <v>15819550</v>
      </c>
      <c r="K7" s="75">
        <f>I7-C7</f>
        <v>2022750</v>
      </c>
      <c r="L7" s="75">
        <f>H7-D7</f>
        <v>6966250</v>
      </c>
      <c r="M7" s="77">
        <f t="shared" ref="M7:M35" si="0">H7/D7</f>
        <v>70.662499999999994</v>
      </c>
      <c r="N7" s="78">
        <f t="shared" ref="N7:N12" si="1">1/M7</f>
        <v>1.4151777817088273E-2</v>
      </c>
      <c r="O7" s="72">
        <f t="shared" ref="O7:O10" si="2">M7</f>
        <v>70.662499999999994</v>
      </c>
      <c r="P7" s="73">
        <f>M9-N7</f>
        <v>76.98361607932577</v>
      </c>
      <c r="Q7" s="41" t="str" cm="1">
        <f t="array" ref="Q7:Q35">IF(O7:O35&lt;-1,"SELL------&gt;",IF(O7:O35&gt;1,"BUY--------&gt;",IF(O7:O35&gt;0,"IMSUPPORT----&gt;","IMRESIST----&gt;")))</f>
        <v>BUY--------&gt;</v>
      </c>
      <c r="R7" s="32" t="str" cm="1">
        <f t="array" ref="R7:R35">IF(O7:O35&lt;-5,"&lt;-VSR@5",IF(O7:O35&gt;5,"&lt;-VSS@5",IF(O7:O35&lt;-4,"&lt;-SR@4", IF(O7:O35&gt;4,"&lt;-SS@4",IF(O7:O35&lt;-3,"&lt;-R@3",IF(O7:O35&gt;3,"&lt;-S@3",IF(O7:O35&lt;-2,"&lt;-R@2",IF(O7:O35&gt;2,"&lt;-S@2",IF(O7:O35&lt;-1,"&lt;-R@1",IF(O7:O35&gt;1,"&lt;-S@1",IF(O7:O35&lt;-0.5,"&lt;-R@0.50",IF(O7:O35&gt;0.5,"&lt;-S@0.50",IF(O7:O35&gt;0,"&lt;-S@0.49","&lt;-R@0.49 ")))))))))))))</f>
        <v>&lt;-VSS@5</v>
      </c>
      <c r="S7" s="70">
        <f t="shared" ref="S7:S35" si="3">F7-(F7*$J$4*SQRT(0.04/365)/100)</f>
        <v>17975.409544116712</v>
      </c>
      <c r="T7" s="71">
        <f>(F7*J4*SQRT(0.04/365)/100)+16950</f>
        <v>16974.590455883288</v>
      </c>
      <c r="U7" s="38">
        <f>IF(AND(M5&gt;3,M6&gt;2,M7&gt;0.8),F7-F7*$J$4*SQRT(0.08/365)/100,"0")</f>
        <v>17965.223843784916</v>
      </c>
      <c r="V7" s="38">
        <v>0</v>
      </c>
    </row>
    <row r="8" spans="2:23" ht="36.75" x14ac:dyDescent="0.25">
      <c r="B8" s="83" cm="1">
        <f t="array" ref="B8">[12]!'2047271_0'</f>
        <v>19800</v>
      </c>
      <c r="C8" s="83" cm="1">
        <f t="array" ref="C8">[4]!'2047271_0'</f>
        <v>7550</v>
      </c>
      <c r="D8" s="83" cm="1">
        <f t="array" ref="D8">[2]!'2047271_0'</f>
        <v>19000</v>
      </c>
      <c r="E8" s="83" cm="1">
        <f t="array" ref="E8">[1]!'2047271_0'</f>
        <v>563.4</v>
      </c>
      <c r="F8" s="83">
        <v>18050</v>
      </c>
      <c r="G8" s="83" cm="1">
        <f t="array" ref="G8">[1]!'2047272_0'</f>
        <v>3.8</v>
      </c>
      <c r="H8" s="83" cm="1">
        <f t="array" ref="H8">[2]!'2047272_0'</f>
        <v>1850500</v>
      </c>
      <c r="I8" s="83" cm="1">
        <f t="array" ref="I8">[4]!'2047272_0'</f>
        <v>85500</v>
      </c>
      <c r="J8" s="83" cm="1">
        <f t="array" ref="J8">[12]!'2047272_0'</f>
        <v>7244500</v>
      </c>
      <c r="K8" s="75">
        <f t="shared" ref="K8:K35" si="4">I8-C8</f>
        <v>77950</v>
      </c>
      <c r="L8" s="75">
        <f t="shared" ref="L8:L35" si="5">H8-D8</f>
        <v>1831500</v>
      </c>
      <c r="M8" s="77">
        <f t="shared" si="0"/>
        <v>97.39473684210526</v>
      </c>
      <c r="N8" s="78">
        <f t="shared" si="1"/>
        <v>1.026749527154823E-2</v>
      </c>
      <c r="O8" s="72">
        <f t="shared" si="2"/>
        <v>97.39473684210526</v>
      </c>
      <c r="P8" s="73">
        <f t="shared" ref="P8:P14" si="6">M10-N8</f>
        <v>90.849635886370962</v>
      </c>
      <c r="Q8" s="41" t="str">
        <v>BUY--------&gt;</v>
      </c>
      <c r="R8" s="32" t="str">
        <v>&lt;-VSS@5</v>
      </c>
      <c r="S8" s="70">
        <f t="shared" si="3"/>
        <v>18025.341237294815</v>
      </c>
      <c r="T8" s="71">
        <f t="shared" ref="T8:T35" si="7">(F7*$J$4*SQRT(0.04/365)/100)+F7</f>
        <v>18024.590455883288</v>
      </c>
      <c r="U8" s="38">
        <f t="shared" ref="U8:U35" si="8">IF(AND(M6&gt;3,M7&gt;2,M8&gt;0.8),F8-F8*$J$4*SQRT(0.08/365)/100,"0")</f>
        <v>18015.127243350984</v>
      </c>
      <c r="V8" s="38">
        <v>0</v>
      </c>
    </row>
    <row r="9" spans="2:23" ht="36.75" x14ac:dyDescent="0.25">
      <c r="B9" s="83" cm="1">
        <f t="array" ref="B9">[12]!'2047273_0'</f>
        <v>172550</v>
      </c>
      <c r="C9" s="83" cm="1">
        <f t="array" ref="C9">[4]!'2047273_0'</f>
        <v>9850</v>
      </c>
      <c r="D9" s="83" cm="1">
        <f t="array" ref="D9">[2]!'2047273_0'</f>
        <v>44800</v>
      </c>
      <c r="E9" s="83" cm="1">
        <f t="array" ref="E9">[1]!'2047273_0'</f>
        <v>516.65</v>
      </c>
      <c r="F9" s="83">
        <v>18100</v>
      </c>
      <c r="G9" s="83" cm="1">
        <f t="array" ref="G9">[1]!'2047274_0'</f>
        <v>4.6500000000000004</v>
      </c>
      <c r="H9" s="83" cm="1">
        <f t="array" ref="H9">[2]!'2047274_0'</f>
        <v>3449500</v>
      </c>
      <c r="I9" s="83" cm="1">
        <f t="array" ref="I9">[4]!'2047274_0'</f>
        <v>-77650</v>
      </c>
      <c r="J9" s="83" cm="1">
        <f t="array" ref="J9">[12]!'2047274_0'</f>
        <v>18575550</v>
      </c>
      <c r="K9" s="75">
        <f t="shared" si="4"/>
        <v>-87500</v>
      </c>
      <c r="L9" s="75">
        <f t="shared" si="5"/>
        <v>3404700</v>
      </c>
      <c r="M9" s="77">
        <f t="shared" si="0"/>
        <v>76.997767857142861</v>
      </c>
      <c r="N9" s="78">
        <f t="shared" si="1"/>
        <v>1.2987389476735759E-2</v>
      </c>
      <c r="O9" s="72">
        <f t="shared" si="2"/>
        <v>76.997767857142861</v>
      </c>
      <c r="P9" s="73">
        <f t="shared" si="6"/>
        <v>42.46961917593238</v>
      </c>
      <c r="Q9" s="41" t="str">
        <v>BUY--------&gt;</v>
      </c>
      <c r="R9" s="32" t="str">
        <v>&lt;-VSS@5</v>
      </c>
      <c r="S9" s="70">
        <f t="shared" si="3"/>
        <v>18075.272930472915</v>
      </c>
      <c r="T9" s="71">
        <f>IF(AND(M7&gt;3,M8&gt;2,M9&gt;0.8),F9-F9*J4*SQRT(0.08/365)/100,"")</f>
        <v>18065.030642917056</v>
      </c>
      <c r="U9" s="38">
        <f t="shared" si="8"/>
        <v>18065.030642917056</v>
      </c>
      <c r="V9" s="38">
        <v>0</v>
      </c>
    </row>
    <row r="10" spans="2:23" ht="36.75" x14ac:dyDescent="0.25">
      <c r="B10" s="83" cm="1">
        <f t="array" ref="B10">[12]!'2047277_0'</f>
        <v>31150</v>
      </c>
      <c r="C10" s="83" cm="1">
        <f t="array" ref="C10">[4]!'2047277_0'</f>
        <v>-50</v>
      </c>
      <c r="D10" s="83" cm="1">
        <f t="array" ref="D10">[2]!'2047277_0'</f>
        <v>20700</v>
      </c>
      <c r="E10" s="83" cm="1">
        <f t="array" ref="E10">[1]!'2047277_0'</f>
        <v>470.45</v>
      </c>
      <c r="F10" s="83">
        <v>18150</v>
      </c>
      <c r="G10" s="83" cm="1">
        <f t="array" ref="G10">[1]!'2047278_0'</f>
        <v>5.5</v>
      </c>
      <c r="H10" s="83" cm="1">
        <f t="array" ref="H10">[2]!'2047278_0'</f>
        <v>1880800</v>
      </c>
      <c r="I10" s="83" cm="1">
        <f t="array" ref="I10">[4]!'2047278_0'</f>
        <v>62350</v>
      </c>
      <c r="J10" s="83" cm="1">
        <f t="array" ref="J10">[12]!'2047278_0'</f>
        <v>14013650</v>
      </c>
      <c r="K10" s="75">
        <f t="shared" si="4"/>
        <v>62400</v>
      </c>
      <c r="L10" s="75">
        <f t="shared" si="5"/>
        <v>1860100</v>
      </c>
      <c r="M10" s="77">
        <f t="shared" si="0"/>
        <v>90.859903381642511</v>
      </c>
      <c r="N10" s="78">
        <f t="shared" si="1"/>
        <v>1.1005954912803062E-2</v>
      </c>
      <c r="O10" s="72">
        <f t="shared" si="2"/>
        <v>90.859903381642511</v>
      </c>
      <c r="P10" s="73">
        <f t="shared" si="6"/>
        <v>63.070294858095323</v>
      </c>
      <c r="Q10" s="41" t="str">
        <v>BUY--------&gt;</v>
      </c>
      <c r="R10" s="32" t="str">
        <v>&lt;-VSS@5</v>
      </c>
      <c r="S10" s="70">
        <f t="shared" si="3"/>
        <v>18125.204623651018</v>
      </c>
      <c r="T10" s="71">
        <f t="shared" si="7"/>
        <v>18124.727069527085</v>
      </c>
      <c r="U10" s="38">
        <f t="shared" si="8"/>
        <v>18114.934042483124</v>
      </c>
      <c r="V10" s="38">
        <v>0</v>
      </c>
    </row>
    <row r="11" spans="2:23" ht="36.75" x14ac:dyDescent="0.25">
      <c r="B11" s="83" cm="1">
        <f t="array" ref="B11">[12]!'2047279_0'</f>
        <v>601650</v>
      </c>
      <c r="C11" s="83" cm="1">
        <f t="array" ref="C11">[4]!'2047279_0'</f>
        <v>-62750</v>
      </c>
      <c r="D11" s="83" cm="1">
        <f t="array" ref="D11">[2]!'2047279_0'</f>
        <v>102050</v>
      </c>
      <c r="E11" s="83" cm="1">
        <f t="array" ref="E11">[1]!'2047279_0'</f>
        <v>420</v>
      </c>
      <c r="F11" s="83">
        <v>18200</v>
      </c>
      <c r="G11" s="83" cm="1">
        <f t="array" ref="G11">[1]!'2047280_0'</f>
        <v>6.7</v>
      </c>
      <c r="H11" s="83" cm="1">
        <f t="array" ref="H11">[2]!'2047280_0'</f>
        <v>4335350</v>
      </c>
      <c r="I11" s="83" cm="1">
        <f t="array" ref="I11">[4]!'2047280_0'</f>
        <v>437200</v>
      </c>
      <c r="J11" s="83" cm="1">
        <f t="array" ref="J11">[12]!'2047280_0'</f>
        <v>29148100</v>
      </c>
      <c r="K11" s="75">
        <f t="shared" si="4"/>
        <v>499950</v>
      </c>
      <c r="L11" s="75">
        <f t="shared" si="5"/>
        <v>4233300</v>
      </c>
      <c r="M11" s="77">
        <f t="shared" si="0"/>
        <v>42.482606565409114</v>
      </c>
      <c r="N11" s="78">
        <f t="shared" si="1"/>
        <v>2.3539045290460976E-2</v>
      </c>
      <c r="O11" s="72">
        <f>M11</f>
        <v>42.482606565409114</v>
      </c>
      <c r="P11" s="73">
        <f t="shared" si="6"/>
        <v>7.0895988483034591</v>
      </c>
      <c r="Q11" s="39" t="str">
        <v>BUY--------&gt;</v>
      </c>
      <c r="R11" s="33" t="str">
        <v>&lt;-VSS@5</v>
      </c>
      <c r="S11" s="70">
        <f t="shared" si="3"/>
        <v>18175.136316829121</v>
      </c>
      <c r="T11" s="71">
        <f t="shared" si="7"/>
        <v>18174.795376348982</v>
      </c>
      <c r="U11" s="38">
        <f t="shared" si="8"/>
        <v>18164.837442049193</v>
      </c>
      <c r="V11" s="38">
        <v>0</v>
      </c>
    </row>
    <row r="12" spans="2:23" ht="36.75" x14ac:dyDescent="0.25">
      <c r="B12" s="83" cm="1">
        <f t="array" ref="B12">[12]!'2047283_0'</f>
        <v>321550</v>
      </c>
      <c r="C12" s="83" cm="1">
        <f t="array" ref="C12">[4]!'2047283_0'</f>
        <v>4150</v>
      </c>
      <c r="D12" s="83" cm="1">
        <f t="array" ref="D12">[2]!'2047283_0'</f>
        <v>49200</v>
      </c>
      <c r="E12" s="83" cm="1">
        <f t="array" ref="E12">[1]!'2047283_0'</f>
        <v>382.6</v>
      </c>
      <c r="F12" s="83">
        <v>18250</v>
      </c>
      <c r="G12" s="83" cm="1">
        <f t="array" ref="G12">[1]!'2047284_0'</f>
        <v>8.4499999999999993</v>
      </c>
      <c r="H12" s="83" cm="1">
        <f t="array" ref="H12">[2]!'2047284_0'</f>
        <v>3103600</v>
      </c>
      <c r="I12" s="83" cm="1">
        <f t="array" ref="I12">[4]!'2047284_0'</f>
        <v>545300</v>
      </c>
      <c r="J12" s="83" cm="1">
        <f t="array" ref="J12">[12]!'2047284_0'</f>
        <v>27050100</v>
      </c>
      <c r="K12" s="75">
        <f t="shared" si="4"/>
        <v>541150</v>
      </c>
      <c r="L12" s="75">
        <f t="shared" si="5"/>
        <v>3054400</v>
      </c>
      <c r="M12" s="77">
        <f t="shared" si="0"/>
        <v>63.081300813008127</v>
      </c>
      <c r="N12" s="78">
        <f t="shared" si="1"/>
        <v>1.5852558319371053E-2</v>
      </c>
      <c r="O12" s="72">
        <f>M12</f>
        <v>63.081300813008127</v>
      </c>
      <c r="P12" s="73">
        <f t="shared" si="6"/>
        <v>15.935470836873813</v>
      </c>
      <c r="Q12" s="39" t="str">
        <v>BUY--------&gt;</v>
      </c>
      <c r="R12" s="33" t="str">
        <v>&lt;-VSS@5</v>
      </c>
      <c r="S12" s="70">
        <f t="shared" si="3"/>
        <v>18225.06801000722</v>
      </c>
      <c r="T12" s="71">
        <f t="shared" si="7"/>
        <v>18224.863683170879</v>
      </c>
      <c r="U12" s="38">
        <f t="shared" si="8"/>
        <v>18214.740841615261</v>
      </c>
      <c r="V12" s="38">
        <v>0</v>
      </c>
    </row>
    <row r="13" spans="2:23" ht="36.75" x14ac:dyDescent="0.25">
      <c r="B13" s="83" cm="1">
        <f t="array" ref="B13">[12]!'2047285_0'</f>
        <v>4207700</v>
      </c>
      <c r="C13" s="83" cm="1">
        <f t="array" ref="C13">[4]!'2047285_0'</f>
        <v>-94500</v>
      </c>
      <c r="D13" s="83" cm="1">
        <f t="array" ref="D13">[2]!'2047285_0'</f>
        <v>921000</v>
      </c>
      <c r="E13" s="83" cm="1">
        <f t="array" ref="E13">[1]!'2047285_0'</f>
        <v>336.25</v>
      </c>
      <c r="F13" s="83">
        <v>18300</v>
      </c>
      <c r="G13" s="83" cm="1">
        <f t="array" ref="G13">[1]!'2047289_0'</f>
        <v>11.35</v>
      </c>
      <c r="H13" s="83" cm="1">
        <f t="array" ref="H13">[2]!'2047289_0'</f>
        <v>6551200</v>
      </c>
      <c r="I13" s="83" cm="1">
        <f t="array" ref="I13">[4]!'2047289_0'</f>
        <v>856750</v>
      </c>
      <c r="J13" s="83" cm="1">
        <f t="array" ref="J13">[12]!'2047289_0'</f>
        <v>58488400</v>
      </c>
      <c r="K13" s="75">
        <f t="shared" si="4"/>
        <v>951250</v>
      </c>
      <c r="L13" s="75">
        <f t="shared" si="5"/>
        <v>5630200</v>
      </c>
      <c r="M13" s="77">
        <f t="shared" si="0"/>
        <v>7.1131378935939198</v>
      </c>
      <c r="N13" s="78">
        <f>1/M13</f>
        <v>0.14058493100500671</v>
      </c>
      <c r="O13" s="72">
        <f>M11-N13</f>
        <v>42.342021634404105</v>
      </c>
      <c r="P13" s="73">
        <f t="shared" si="6"/>
        <v>6.3498190079017451</v>
      </c>
      <c r="Q13" s="39" t="str">
        <v>BUY--------&gt;</v>
      </c>
      <c r="R13" s="33" t="str">
        <v>&lt;-VSS@5</v>
      </c>
      <c r="S13" s="70">
        <f t="shared" si="3"/>
        <v>18274.999703185324</v>
      </c>
      <c r="T13" s="71">
        <f t="shared" si="7"/>
        <v>18274.93198999278</v>
      </c>
      <c r="U13" s="38">
        <f t="shared" si="8"/>
        <v>18264.644241181333</v>
      </c>
      <c r="V13" s="38">
        <v>0</v>
      </c>
    </row>
    <row r="14" spans="2:23" ht="36.75" x14ac:dyDescent="0.25">
      <c r="B14" s="83" cm="1">
        <f t="array" ref="B14">[12]!'2047290_0'</f>
        <v>3134300</v>
      </c>
      <c r="C14" s="83" cm="1">
        <f t="array" ref="C14">[4]!'2047290_0'</f>
        <v>-41000</v>
      </c>
      <c r="D14" s="83" cm="1">
        <f t="array" ref="D14">[2]!'2047290_0'</f>
        <v>164350</v>
      </c>
      <c r="E14" s="83" cm="1">
        <f t="array" ref="E14">[1]!'2047290_0'</f>
        <v>288.45</v>
      </c>
      <c r="F14" s="83">
        <v>18350</v>
      </c>
      <c r="G14" s="83" cm="1">
        <f t="array" ref="G14">[1]!'2047291_0'</f>
        <v>14.8</v>
      </c>
      <c r="H14" s="83" cm="1">
        <f t="array" ref="H14">[2]!'2047291_0'</f>
        <v>2621600</v>
      </c>
      <c r="I14" s="83" cm="1">
        <f t="array" ref="I14">[4]!'2047291_0'</f>
        <v>-264500</v>
      </c>
      <c r="J14" s="83" cm="1">
        <f t="array" ref="J14">[12]!'2047291_0'</f>
        <v>37526800</v>
      </c>
      <c r="K14" s="76">
        <f t="shared" si="4"/>
        <v>-223500</v>
      </c>
      <c r="L14" s="76">
        <f t="shared" si="5"/>
        <v>2457250</v>
      </c>
      <c r="M14" s="77">
        <f t="shared" si="0"/>
        <v>15.951323395193185</v>
      </c>
      <c r="N14" s="78">
        <f t="shared" ref="N14:N29" si="9">1/M14</f>
        <v>6.2690723222459568E-2</v>
      </c>
      <c r="O14" s="72">
        <f>M12-N14</f>
        <v>63.018610089785668</v>
      </c>
      <c r="P14" s="73">
        <f t="shared" si="6"/>
        <v>5.4793273052741966</v>
      </c>
      <c r="Q14" s="39" t="str">
        <v>BUY--------&gt;</v>
      </c>
      <c r="R14" s="33" t="str">
        <v>&lt;-VSS@5</v>
      </c>
      <c r="S14" s="70">
        <f t="shared" si="3"/>
        <v>18324.931396363427</v>
      </c>
      <c r="T14" s="71">
        <f t="shared" si="7"/>
        <v>18325.000296814676</v>
      </c>
      <c r="U14" s="38">
        <f t="shared" si="8"/>
        <v>18314.547640747402</v>
      </c>
      <c r="V14" s="38">
        <v>0</v>
      </c>
    </row>
    <row r="15" spans="2:23" ht="36.75" x14ac:dyDescent="0.25">
      <c r="B15" s="83" cm="1">
        <f t="array" ref="B15">[12]!'2047292_0'</f>
        <v>23234750</v>
      </c>
      <c r="C15" s="83" cm="1">
        <f t="array" ref="C15">[4]!'2047292_0'</f>
        <v>-799650</v>
      </c>
      <c r="D15" s="83" cm="1">
        <f t="array" ref="D15">[2]!'2047292_0'</f>
        <v>995200</v>
      </c>
      <c r="E15" s="83" cm="1">
        <f t="array" ref="E15">[1]!'2047292_0'</f>
        <v>244.2</v>
      </c>
      <c r="F15" s="83">
        <v>18400</v>
      </c>
      <c r="G15" s="83" cm="1">
        <f t="array" ref="G15">[1]!'2047293_0'</f>
        <v>19.850000000000001</v>
      </c>
      <c r="H15" s="83" cm="1">
        <f t="array" ref="H15">[2]!'2047293_0'</f>
        <v>6459250</v>
      </c>
      <c r="I15" s="83" cm="1">
        <f t="array" ref="I15">[4]!'2047293_0'</f>
        <v>17950</v>
      </c>
      <c r="J15" s="83" cm="1">
        <f t="array" ref="J15">[12]!'2047293_0'</f>
        <v>85272950</v>
      </c>
      <c r="K15" s="76">
        <f t="shared" si="4"/>
        <v>817600</v>
      </c>
      <c r="L15" s="76">
        <f t="shared" si="5"/>
        <v>5464050</v>
      </c>
      <c r="M15" s="77">
        <f t="shared" si="0"/>
        <v>6.490403938906752</v>
      </c>
      <c r="N15" s="78">
        <f t="shared" si="9"/>
        <v>0.15407361535782019</v>
      </c>
      <c r="O15" s="72">
        <f>M13-N15</f>
        <v>6.9590642782360996</v>
      </c>
      <c r="P15" s="73">
        <f>N17-M15</f>
        <v>-6.0518350716761526</v>
      </c>
      <c r="Q15" s="39" t="str">
        <v>BUY--------&gt;</v>
      </c>
      <c r="R15" s="33" t="str">
        <v>&lt;-VSS@5</v>
      </c>
      <c r="S15" s="70">
        <f t="shared" si="3"/>
        <v>18374.863089541526</v>
      </c>
      <c r="T15" s="71">
        <f t="shared" si="7"/>
        <v>18375.068603636573</v>
      </c>
      <c r="U15" s="38">
        <f t="shared" si="8"/>
        <v>18364.45104031347</v>
      </c>
      <c r="V15" s="38">
        <v>0</v>
      </c>
    </row>
    <row r="16" spans="2:23" ht="36.75" x14ac:dyDescent="0.25">
      <c r="B16" s="83" cm="1">
        <f t="array" ref="B16">[12]!'2047294_0'</f>
        <v>17413050</v>
      </c>
      <c r="C16" s="83" cm="1">
        <f t="array" ref="C16">[4]!'2047294_0'</f>
        <v>-482950</v>
      </c>
      <c r="D16" s="83" cm="1">
        <f t="array" ref="D16">[2]!'2047294_0'</f>
        <v>515850</v>
      </c>
      <c r="E16" s="83" cm="1">
        <f t="array" ref="E16">[1]!'2047294_0'</f>
        <v>200.5</v>
      </c>
      <c r="F16" s="83">
        <v>18450</v>
      </c>
      <c r="G16" s="83" cm="1">
        <f t="array" ref="G16">[1]!'2047295_0'</f>
        <v>26.65</v>
      </c>
      <c r="H16" s="83" cm="1">
        <f t="array" ref="H16">[2]!'2047295_0'</f>
        <v>2858850</v>
      </c>
      <c r="I16" s="83" cm="1">
        <f t="array" ref="I16">[4]!'2047295_0'</f>
        <v>633950</v>
      </c>
      <c r="J16" s="83" cm="1">
        <f t="array" ref="J16">[12]!'2047295_0'</f>
        <v>54028550</v>
      </c>
      <c r="K16" s="76">
        <f t="shared" si="4"/>
        <v>1116900</v>
      </c>
      <c r="L16" s="76">
        <f t="shared" si="5"/>
        <v>2343000</v>
      </c>
      <c r="M16" s="77">
        <f t="shared" si="0"/>
        <v>5.5420180284966563</v>
      </c>
      <c r="N16" s="78">
        <f t="shared" si="9"/>
        <v>0.18043968728684609</v>
      </c>
      <c r="O16" s="72">
        <f t="shared" ref="O16:O35" si="10">M14-N16</f>
        <v>15.770883707906339</v>
      </c>
      <c r="P16" s="73">
        <f t="shared" ref="P16:P33" si="11">N18-M16</f>
        <v>-5.1465038406613512</v>
      </c>
      <c r="Q16" s="39" t="str">
        <v>BUY--------&gt;</v>
      </c>
      <c r="R16" s="33" t="str">
        <v>&lt;-VSS@5</v>
      </c>
      <c r="S16" s="70">
        <f t="shared" si="3"/>
        <v>18424.794782719629</v>
      </c>
      <c r="T16" s="71">
        <f t="shared" si="7"/>
        <v>18425.136910458474</v>
      </c>
      <c r="U16" s="38">
        <f t="shared" si="8"/>
        <v>18414.354439879538</v>
      </c>
      <c r="V16" s="38">
        <v>0</v>
      </c>
    </row>
    <row r="17" spans="2:22" ht="36.75" x14ac:dyDescent="0.25">
      <c r="B17" s="83" cm="1">
        <f t="array" ref="B17">[12]!'2047296_0'</f>
        <v>109098750</v>
      </c>
      <c r="C17" s="83" cm="1">
        <f t="array" ref="C17">[4]!'2047296_0'</f>
        <v>-2507200</v>
      </c>
      <c r="D17" s="83" cm="1">
        <f t="array" ref="D17">[2]!'2047296_0'</f>
        <v>3815900</v>
      </c>
      <c r="E17" s="83" cm="1">
        <f t="array" ref="E17">[1]!'2047296_0'</f>
        <v>160.35</v>
      </c>
      <c r="F17" s="83">
        <v>18500</v>
      </c>
      <c r="G17" s="83" cm="1">
        <f t="array" ref="G17">[1]!'2047297_0'</f>
        <v>36</v>
      </c>
      <c r="H17" s="83" cm="1">
        <f t="array" ref="H17">[2]!'2047297_0'</f>
        <v>8700800</v>
      </c>
      <c r="I17" s="83" cm="1">
        <f t="array" ref="I17">[4]!'2047297_0'</f>
        <v>2405300</v>
      </c>
      <c r="J17" s="83" cm="1">
        <f t="array" ref="J17">[12]!'2047297_0'</f>
        <v>151743050</v>
      </c>
      <c r="K17" s="76">
        <f t="shared" si="4"/>
        <v>4912500</v>
      </c>
      <c r="L17" s="76">
        <f t="shared" si="5"/>
        <v>4884900</v>
      </c>
      <c r="M17" s="77">
        <f t="shared" si="0"/>
        <v>2.280143609633376</v>
      </c>
      <c r="N17" s="78">
        <f t="shared" si="9"/>
        <v>0.43856886723059951</v>
      </c>
      <c r="O17" s="79">
        <f t="shared" si="10"/>
        <v>6.0518350716761526</v>
      </c>
      <c r="P17" s="80">
        <f t="shared" si="11"/>
        <v>-1.0347499442550245</v>
      </c>
      <c r="Q17" s="40" t="str">
        <v>BUY--------&gt;</v>
      </c>
      <c r="R17" s="33" t="str">
        <v>&lt;-VSS@5</v>
      </c>
      <c r="S17" s="70">
        <f t="shared" si="3"/>
        <v>18474.726475897733</v>
      </c>
      <c r="T17" s="71">
        <f t="shared" si="7"/>
        <v>18475.205217280371</v>
      </c>
      <c r="U17" s="38">
        <f t="shared" si="8"/>
        <v>18464.25783944561</v>
      </c>
      <c r="V17" s="38">
        <v>0</v>
      </c>
    </row>
    <row r="18" spans="2:22" ht="36.75" x14ac:dyDescent="0.25">
      <c r="B18" s="83" cm="1">
        <f t="array" ref="B18">[12]!'2047299_0'</f>
        <v>81048500</v>
      </c>
      <c r="C18" s="83" cm="1">
        <f t="array" ref="C18">[4]!'2047299_0'</f>
        <v>-899650</v>
      </c>
      <c r="D18" s="83" cm="1">
        <f t="array" ref="D18">[2]!'2047299_0'</f>
        <v>1529750</v>
      </c>
      <c r="E18" s="83" cm="1">
        <f t="array" ref="E18">[1]!'2047299_0'</f>
        <v>124.05</v>
      </c>
      <c r="F18" s="83">
        <v>18550</v>
      </c>
      <c r="G18" s="83" cm="1">
        <f t="array" ref="G18">[1]!'2047300_0'</f>
        <v>49.7</v>
      </c>
      <c r="H18" s="83" cm="1">
        <f t="array" ref="H18">[2]!'2047300_0'</f>
        <v>3867750</v>
      </c>
      <c r="I18" s="83" cm="1">
        <f t="array" ref="I18">[4]!'2047300_0'</f>
        <v>3015550</v>
      </c>
      <c r="J18" s="83" cm="1">
        <f t="array" ref="J18">[12]!'2047300_0'</f>
        <v>85541550</v>
      </c>
      <c r="K18" s="76">
        <f t="shared" si="4"/>
        <v>3915200</v>
      </c>
      <c r="L18" s="76">
        <f t="shared" si="5"/>
        <v>2338000</v>
      </c>
      <c r="M18" s="77">
        <f t="shared" si="0"/>
        <v>2.5283543062591929</v>
      </c>
      <c r="N18" s="78">
        <f t="shared" si="9"/>
        <v>0.39551418783530473</v>
      </c>
      <c r="O18" s="79">
        <f t="shared" si="10"/>
        <v>5.1465038406613512</v>
      </c>
      <c r="P18" s="80">
        <f t="shared" si="11"/>
        <v>0.68728437639833651</v>
      </c>
      <c r="Q18" s="40" t="str">
        <v>BUY--------&gt;</v>
      </c>
      <c r="R18" s="33" t="str">
        <v>&lt;-VSS@5</v>
      </c>
      <c r="S18" s="70">
        <f t="shared" si="3"/>
        <v>18524.658169075832</v>
      </c>
      <c r="T18" s="71">
        <f t="shared" si="7"/>
        <v>18525.273524102267</v>
      </c>
      <c r="U18" s="38">
        <f t="shared" si="8"/>
        <v>18514.161239011679</v>
      </c>
      <c r="V18" s="38">
        <v>0</v>
      </c>
    </row>
    <row r="19" spans="2:22" ht="36.75" x14ac:dyDescent="0.25">
      <c r="B19" s="83" cm="1">
        <f t="array" ref="B19">[12]!'2047301_0'</f>
        <v>184749200</v>
      </c>
      <c r="C19" s="83" cm="1">
        <f t="array" ref="C19">[4]!'2047301_0'</f>
        <v>-457700</v>
      </c>
      <c r="D19" s="83" cm="1">
        <f t="array" ref="D19">[2]!'2047301_0'</f>
        <v>10246850</v>
      </c>
      <c r="E19" s="83" cm="1">
        <f t="array" ref="E19">[1]!'2047301_0'</f>
        <v>91.8</v>
      </c>
      <c r="F19" s="83">
        <v>18600</v>
      </c>
      <c r="G19" s="83" cm="1">
        <f t="array" ref="G19">[1]!'2047302_0'</f>
        <v>67.7</v>
      </c>
      <c r="H19" s="83" cm="1">
        <f t="array" ref="H19">[2]!'2047302_0'</f>
        <v>8227800</v>
      </c>
      <c r="I19" s="83" cm="1">
        <f t="array" ref="I19">[4]!'2047302_0'</f>
        <v>2784200</v>
      </c>
      <c r="J19" s="83" cm="1">
        <f t="array" ref="J19">[12]!'2047302_0'</f>
        <v>123975650</v>
      </c>
      <c r="K19" s="76">
        <f t="shared" si="4"/>
        <v>3241900</v>
      </c>
      <c r="L19" s="76">
        <f t="shared" si="5"/>
        <v>-2019050</v>
      </c>
      <c r="M19" s="77">
        <f t="shared" si="0"/>
        <v>0.80295895811883655</v>
      </c>
      <c r="N19" s="78">
        <f t="shared" si="9"/>
        <v>1.2453936653783515</v>
      </c>
      <c r="O19" s="79">
        <f t="shared" si="10"/>
        <v>1.0347499442550245</v>
      </c>
      <c r="P19" s="80">
        <f t="shared" si="11"/>
        <v>4.8639024904433654</v>
      </c>
      <c r="Q19" s="40" t="str">
        <v>BUY--------&gt;</v>
      </c>
      <c r="R19" s="33" t="str">
        <v>&lt;-S@1</v>
      </c>
      <c r="S19" s="70">
        <f t="shared" si="3"/>
        <v>18574.589862253935</v>
      </c>
      <c r="T19" s="71">
        <f t="shared" si="7"/>
        <v>18575.341830924168</v>
      </c>
      <c r="U19" s="38" t="str">
        <f t="shared" si="8"/>
        <v>0</v>
      </c>
      <c r="V19" s="38">
        <v>0</v>
      </c>
    </row>
    <row r="20" spans="2:22" ht="36.75" x14ac:dyDescent="0.25">
      <c r="B20" s="83" cm="1">
        <f t="array" ref="B20">[12]!'2047303_0'</f>
        <v>73225250</v>
      </c>
      <c r="C20" s="83" cm="1">
        <f t="array" ref="C20">[4]!'2047303_0'</f>
        <v>-431350</v>
      </c>
      <c r="D20" s="83" cm="1">
        <f t="array" ref="D20">[2]!'2047303_0'</f>
        <v>3378350</v>
      </c>
      <c r="E20" s="83" cm="1">
        <f t="array" ref="E20">[1]!'2047303_0'</f>
        <v>66.150000000000006</v>
      </c>
      <c r="F20" s="83">
        <v>18650</v>
      </c>
      <c r="G20" s="83" cm="1">
        <f t="array" ref="G20">[1]!'2047304_0'</f>
        <v>91.35</v>
      </c>
      <c r="H20" s="83" cm="1">
        <f t="array" ref="H20">[2]!'2047304_0'</f>
        <v>1050600</v>
      </c>
      <c r="I20" s="83" cm="1">
        <f t="array" ref="I20">[4]!'2047304_0'</f>
        <v>583350</v>
      </c>
      <c r="J20" s="83" cm="1">
        <f t="array" ref="J20">[12]!'2047304_0'</f>
        <v>31459150</v>
      </c>
      <c r="K20" s="76">
        <f t="shared" si="4"/>
        <v>1014700</v>
      </c>
      <c r="L20" s="76">
        <f t="shared" si="5"/>
        <v>-2327750</v>
      </c>
      <c r="M20" s="77">
        <f t="shared" si="0"/>
        <v>0.31098021223378275</v>
      </c>
      <c r="N20" s="78">
        <f t="shared" si="9"/>
        <v>3.2156386826575294</v>
      </c>
      <c r="O20" s="79">
        <f t="shared" si="10"/>
        <v>-0.68728437639833651</v>
      </c>
      <c r="P20" s="80">
        <f t="shared" si="11"/>
        <v>9.749045698231166</v>
      </c>
      <c r="Q20" s="40" t="str">
        <v>IMRESIST----&gt;</v>
      </c>
      <c r="R20" s="33" t="str">
        <v>&lt;-R@0.50</v>
      </c>
      <c r="S20" s="70">
        <f t="shared" si="3"/>
        <v>18624.521555432038</v>
      </c>
      <c r="T20" s="71">
        <f t="shared" si="7"/>
        <v>18625.410137746065</v>
      </c>
      <c r="U20" s="38" t="str">
        <f t="shared" si="8"/>
        <v>0</v>
      </c>
      <c r="V20" s="38">
        <v>0</v>
      </c>
    </row>
    <row r="21" spans="2:22" ht="36.75" x14ac:dyDescent="0.25">
      <c r="B21" s="83" cm="1">
        <f t="array" ref="B21">[12]!'2047305_0'</f>
        <v>111060200</v>
      </c>
      <c r="C21" s="83" cm="1">
        <f t="array" ref="C21">[4]!'2047305_0'</f>
        <v>234100</v>
      </c>
      <c r="D21" s="83" cm="1">
        <f t="array" ref="D21">[2]!'2047305_0'</f>
        <v>9212900</v>
      </c>
      <c r="E21" s="83" cm="1">
        <f t="array" ref="E21">[1]!'2047305_0'</f>
        <v>45.1</v>
      </c>
      <c r="F21" s="83">
        <v>18700</v>
      </c>
      <c r="G21" s="83" cm="1">
        <f t="array" ref="G21">[1]!'2047307_0'</f>
        <v>120.75</v>
      </c>
      <c r="H21" s="83" cm="1">
        <f t="array" ref="H21">[2]!'2047307_0'</f>
        <v>1625750</v>
      </c>
      <c r="I21" s="83" cm="1">
        <f t="array" ref="I21">[4]!'2047307_0'</f>
        <v>815550</v>
      </c>
      <c r="J21" s="83" cm="1">
        <f t="array" ref="J21">[12]!'2047307_0'</f>
        <v>35500700</v>
      </c>
      <c r="K21" s="76">
        <f t="shared" si="4"/>
        <v>581450</v>
      </c>
      <c r="L21" s="76">
        <f t="shared" si="5"/>
        <v>-7587150</v>
      </c>
      <c r="M21" s="77">
        <f t="shared" si="0"/>
        <v>0.17646452257161155</v>
      </c>
      <c r="N21" s="78">
        <f t="shared" si="9"/>
        <v>5.6668614485622015</v>
      </c>
      <c r="O21" s="79">
        <f t="shared" si="10"/>
        <v>-4.8639024904433654</v>
      </c>
      <c r="P21" s="80">
        <f t="shared" si="11"/>
        <v>13.107813438101045</v>
      </c>
      <c r="Q21" s="40" t="str">
        <v>SELL------&gt;</v>
      </c>
      <c r="R21" s="33" t="str">
        <v>&lt;-SR@4</v>
      </c>
      <c r="S21" s="70">
        <f t="shared" si="3"/>
        <v>18674.453248610138</v>
      </c>
      <c r="T21" s="71">
        <f t="shared" si="7"/>
        <v>18675.478444567962</v>
      </c>
      <c r="U21" s="38" t="str">
        <f t="shared" si="8"/>
        <v>0</v>
      </c>
      <c r="V21" s="38">
        <v>0</v>
      </c>
    </row>
    <row r="22" spans="2:22" ht="36.75" x14ac:dyDescent="0.25">
      <c r="B22" s="83" cm="1">
        <f t="array" ref="B22">[12]!'2047308_0'</f>
        <v>49918550</v>
      </c>
      <c r="C22" s="83" cm="1">
        <f t="array" ref="C22">[4]!'2047308_0'</f>
        <v>265350</v>
      </c>
      <c r="D22" s="83" cm="1">
        <f t="array" ref="D22">[2]!'2047308_0'</f>
        <v>3494350</v>
      </c>
      <c r="E22" s="83" cm="1">
        <f t="array" ref="E22">[1]!'2047308_0'</f>
        <v>29.1</v>
      </c>
      <c r="F22" s="84">
        <v>18750</v>
      </c>
      <c r="G22" s="83" cm="1">
        <f t="array" ref="G22">[1]!'2047309_0'</f>
        <v>154.80000000000001</v>
      </c>
      <c r="H22" s="83" cm="1">
        <f t="array" ref="H22">[2]!'2047309_0'</f>
        <v>347350</v>
      </c>
      <c r="I22" s="83" cm="1">
        <f t="array" ref="I22">[4]!'2047309_0'</f>
        <v>243900</v>
      </c>
      <c r="J22" s="83" cm="1">
        <f t="array" ref="J22">[12]!'2047309_0'</f>
        <v>6707250</v>
      </c>
      <c r="K22" s="76">
        <f t="shared" si="4"/>
        <v>-21450</v>
      </c>
      <c r="L22" s="76">
        <f t="shared" si="5"/>
        <v>-3147000</v>
      </c>
      <c r="M22" s="77">
        <f t="shared" si="0"/>
        <v>9.9403322506331646E-2</v>
      </c>
      <c r="N22" s="78">
        <f t="shared" si="9"/>
        <v>10.060025910464949</v>
      </c>
      <c r="O22" s="79">
        <f t="shared" si="10"/>
        <v>-9.749045698231166</v>
      </c>
      <c r="P22" s="80">
        <f t="shared" si="11"/>
        <v>26.412303497989086</v>
      </c>
      <c r="Q22" s="40" t="str">
        <v>SELL------&gt;</v>
      </c>
      <c r="R22" s="33" t="str">
        <v>&lt;-VSR@5</v>
      </c>
      <c r="S22" s="70">
        <f t="shared" si="3"/>
        <v>18724.384941788241</v>
      </c>
      <c r="T22" s="71">
        <f t="shared" si="7"/>
        <v>18725.546751389862</v>
      </c>
      <c r="U22" s="38" t="str">
        <f t="shared" si="8"/>
        <v>0</v>
      </c>
      <c r="V22" s="38">
        <v>0</v>
      </c>
    </row>
    <row r="23" spans="2:22" ht="36.75" x14ac:dyDescent="0.25">
      <c r="B23" s="83" cm="1">
        <f t="array" ref="B23">[12]!'2047310_0'</f>
        <v>75298350</v>
      </c>
      <c r="C23" s="83" cm="1">
        <f t="array" ref="C23">[4]!'2047310_0'</f>
        <v>754050</v>
      </c>
      <c r="D23" s="83" cm="1">
        <f t="array" ref="D23">[2]!'2047310_0'</f>
        <v>7465100</v>
      </c>
      <c r="E23" s="83" cm="1">
        <f t="array" ref="E23">[1]!'2047310_0'</f>
        <v>17.899999999999999</v>
      </c>
      <c r="F23" s="83">
        <v>18800</v>
      </c>
      <c r="G23" s="83" cm="1">
        <f t="array" ref="G23">[1]!'2047311_0'</f>
        <v>193.55</v>
      </c>
      <c r="H23" s="83" cm="1">
        <f t="array" ref="H23">[2]!'2047311_0'</f>
        <v>561950</v>
      </c>
      <c r="I23" s="83" cm="1">
        <f t="array" ref="I23">[4]!'2047311_0'</f>
        <v>182100</v>
      </c>
      <c r="J23" s="83" cm="1">
        <f t="array" ref="J23">[12]!'2047311_0'</f>
        <v>7073750</v>
      </c>
      <c r="K23" s="76">
        <f t="shared" si="4"/>
        <v>-571950</v>
      </c>
      <c r="L23" s="76">
        <f t="shared" si="5"/>
        <v>-6903150</v>
      </c>
      <c r="M23" s="77">
        <f t="shared" si="0"/>
        <v>7.5276955432613091E-2</v>
      </c>
      <c r="N23" s="78">
        <f t="shared" si="9"/>
        <v>13.284277960672657</v>
      </c>
      <c r="O23" s="79">
        <f t="shared" si="10"/>
        <v>-13.107813438101045</v>
      </c>
      <c r="P23" s="80">
        <f t="shared" si="11"/>
        <v>42.728188809571613</v>
      </c>
      <c r="Q23" s="40" t="str">
        <v>SELL------&gt;</v>
      </c>
      <c r="R23" s="33" t="str">
        <v>&lt;-VSR@5</v>
      </c>
      <c r="S23" s="70">
        <f t="shared" si="3"/>
        <v>18774.316634966344</v>
      </c>
      <c r="T23" s="71">
        <f t="shared" si="7"/>
        <v>18775.615058211759</v>
      </c>
      <c r="U23" s="38" t="str">
        <f t="shared" si="8"/>
        <v>0</v>
      </c>
      <c r="V23" s="38">
        <v>0</v>
      </c>
    </row>
    <row r="24" spans="2:22" ht="36.75" x14ac:dyDescent="0.25">
      <c r="B24" s="83" cm="1">
        <f t="array" ref="B24">[12]!'2047312_0'</f>
        <v>33633050</v>
      </c>
      <c r="C24" s="83" cm="1">
        <f t="array" ref="C24">[4]!'2047312_0'</f>
        <v>257100</v>
      </c>
      <c r="D24" s="83" cm="1">
        <f t="array" ref="D24">[2]!'2047312_0'</f>
        <v>3906500</v>
      </c>
      <c r="E24" s="83" cm="1">
        <f t="array" ref="E24">[1]!'2047312_0'</f>
        <v>10.6</v>
      </c>
      <c r="F24" s="84">
        <v>18850</v>
      </c>
      <c r="G24" s="83" cm="1">
        <f t="array" ref="G24">[1]!'2047315_0'</f>
        <v>236.45</v>
      </c>
      <c r="H24" s="83" cm="1">
        <f t="array" ref="H24">[2]!'2047315_0'</f>
        <v>147350</v>
      </c>
      <c r="I24" s="83" cm="1">
        <f t="array" ref="I24">[4]!'2047315_0'</f>
        <v>63200</v>
      </c>
      <c r="J24" s="83" cm="1">
        <f t="array" ref="J24">[12]!'2047315_0'</f>
        <v>786650</v>
      </c>
      <c r="K24" s="76">
        <f t="shared" si="4"/>
        <v>-193900</v>
      </c>
      <c r="L24" s="76">
        <f t="shared" si="5"/>
        <v>-3759150</v>
      </c>
      <c r="M24" s="77">
        <f t="shared" si="0"/>
        <v>3.7719185972097787E-2</v>
      </c>
      <c r="N24" s="78">
        <f t="shared" si="9"/>
        <v>26.511706820495419</v>
      </c>
      <c r="O24" s="79">
        <f t="shared" si="10"/>
        <v>-26.412303497989086</v>
      </c>
      <c r="P24" s="80">
        <f t="shared" si="11"/>
        <v>86.329771980105647</v>
      </c>
      <c r="Q24" s="40" t="str">
        <v>SELL------&gt;</v>
      </c>
      <c r="R24" s="33" t="str">
        <v>&lt;-VSR@5</v>
      </c>
      <c r="S24" s="70">
        <f t="shared" si="3"/>
        <v>18824.248328144444</v>
      </c>
      <c r="T24" s="71">
        <f t="shared" si="7"/>
        <v>18825.683365033656</v>
      </c>
      <c r="U24" s="38" t="str">
        <f t="shared" si="8"/>
        <v>0</v>
      </c>
      <c r="V24" s="38">
        <v>0</v>
      </c>
    </row>
    <row r="25" spans="2:22" ht="36.75" x14ac:dyDescent="0.25">
      <c r="B25" s="83" cm="1">
        <f t="array" ref="B25">[12]!'2047316_0'</f>
        <v>43324000</v>
      </c>
      <c r="C25" s="83" cm="1">
        <f t="array" ref="C25">[4]!'2047316_0'</f>
        <v>93750</v>
      </c>
      <c r="D25" s="83" cm="1">
        <f t="array" ref="D25">[2]!'2047316_0'</f>
        <v>5063650</v>
      </c>
      <c r="E25" s="83" cm="1">
        <f t="array" ref="E25">[1]!'2047316_0'</f>
        <v>6.35</v>
      </c>
      <c r="F25" s="83">
        <v>18900</v>
      </c>
      <c r="G25" s="83" cm="1">
        <f t="array" ref="G25">[1]!'2047317_0'</f>
        <v>281.7</v>
      </c>
      <c r="H25" s="83" cm="1">
        <f t="array" ref="H25">[2]!'2047317_0'</f>
        <v>118300</v>
      </c>
      <c r="I25" s="83" cm="1">
        <f t="array" ref="I25">[4]!'2047317_0'</f>
        <v>-10900</v>
      </c>
      <c r="J25" s="83" cm="1">
        <f t="array" ref="J25">[12]!'2047317_0'</f>
        <v>1103550</v>
      </c>
      <c r="K25" s="76">
        <f t="shared" si="4"/>
        <v>-104650</v>
      </c>
      <c r="L25" s="76">
        <f t="shared" si="5"/>
        <v>-4945350</v>
      </c>
      <c r="M25" s="77">
        <f t="shared" si="0"/>
        <v>2.3362594176137765E-2</v>
      </c>
      <c r="N25" s="78">
        <f t="shared" si="9"/>
        <v>42.803465765004226</v>
      </c>
      <c r="O25" s="79">
        <f t="shared" si="10"/>
        <v>-42.728188809571613</v>
      </c>
      <c r="P25" s="80">
        <f t="shared" si="11"/>
        <v>44.069251172117028</v>
      </c>
      <c r="Q25" s="40" t="str">
        <v>SELL------&gt;</v>
      </c>
      <c r="R25" s="33" t="str">
        <v>&lt;-VSR@5</v>
      </c>
      <c r="S25" s="70">
        <f t="shared" si="3"/>
        <v>18874.180021322547</v>
      </c>
      <c r="T25" s="71">
        <f t="shared" si="7"/>
        <v>18875.751671855556</v>
      </c>
      <c r="U25" s="38" t="str">
        <f t="shared" si="8"/>
        <v>0</v>
      </c>
      <c r="V25" s="38">
        <v>0</v>
      </c>
    </row>
    <row r="26" spans="2:22" ht="36.75" x14ac:dyDescent="0.25">
      <c r="B26" s="83" cm="1">
        <f t="array" ref="B26">[12]!'2047318_0'</f>
        <v>19446300</v>
      </c>
      <c r="C26" s="83" cm="1">
        <f t="array" ref="C26">[4]!'2047318_0'</f>
        <v>203750</v>
      </c>
      <c r="D26" s="83" cm="1">
        <f t="array" ref="D26">[2]!'2047318_0'</f>
        <v>2444200</v>
      </c>
      <c r="E26" s="83" cm="1">
        <f t="array" ref="E26">[1]!'2047318_0'</f>
        <v>3.95</v>
      </c>
      <c r="F26" s="83">
        <v>18950</v>
      </c>
      <c r="G26" s="83" cm="1">
        <f t="array" ref="G26">[1]!'2047319_0'</f>
        <v>327.8</v>
      </c>
      <c r="H26" s="83" cm="1">
        <f t="array" ref="H26">[2]!'2047319_0'</f>
        <v>28300</v>
      </c>
      <c r="I26" s="83" cm="1">
        <f t="array" ref="I26">[4]!'2047319_0'</f>
        <v>3900</v>
      </c>
      <c r="J26" s="83" cm="1">
        <f t="array" ref="J26">[12]!'2047319_0'</f>
        <v>173950</v>
      </c>
      <c r="K26" s="76">
        <f t="shared" si="4"/>
        <v>-199850</v>
      </c>
      <c r="L26" s="76">
        <f t="shared" si="5"/>
        <v>-2415900</v>
      </c>
      <c r="M26" s="77">
        <f t="shared" si="0"/>
        <v>1.157843057032976E-2</v>
      </c>
      <c r="N26" s="78">
        <f t="shared" si="9"/>
        <v>86.367491166077741</v>
      </c>
      <c r="O26" s="79">
        <f t="shared" si="10"/>
        <v>-86.329771980105647</v>
      </c>
      <c r="P26" s="80">
        <f t="shared" si="11"/>
        <v>124.64048969595036</v>
      </c>
      <c r="Q26" s="40" t="str">
        <v>SELL------&gt;</v>
      </c>
      <c r="R26" s="33" t="str">
        <v>&lt;-VSR@5</v>
      </c>
      <c r="S26" s="70">
        <f t="shared" si="3"/>
        <v>18924.11171450065</v>
      </c>
      <c r="T26" s="71">
        <f t="shared" si="7"/>
        <v>18925.819978677453</v>
      </c>
      <c r="U26" s="38" t="str">
        <f t="shared" si="8"/>
        <v>0</v>
      </c>
      <c r="V26" s="38">
        <v>0</v>
      </c>
    </row>
    <row r="27" spans="2:22" ht="36.75" x14ac:dyDescent="0.25">
      <c r="B27" s="83" cm="1">
        <f t="array" ref="B27">[12]!'2047320_0'</f>
        <v>43060050</v>
      </c>
      <c r="C27" s="83" cm="1">
        <f t="array" ref="C27">[4]!'2047320_0'</f>
        <v>-490450</v>
      </c>
      <c r="D27" s="83" cm="1">
        <f t="array" ref="D27">[2]!'2047320_0'</f>
        <v>9640850</v>
      </c>
      <c r="E27" s="83" cm="1">
        <f t="array" ref="E27">[1]!'2047320_0'</f>
        <v>2.9</v>
      </c>
      <c r="F27" s="83">
        <v>19000</v>
      </c>
      <c r="G27" s="83" cm="1">
        <f t="array" ref="G27">[1]!'2047321_0'</f>
        <v>378</v>
      </c>
      <c r="H27" s="83" cm="1">
        <f t="array" ref="H27">[2]!'2047321_0'</f>
        <v>218650</v>
      </c>
      <c r="I27" s="83" cm="1">
        <f t="array" ref="I27">[4]!'2047321_0'</f>
        <v>23900</v>
      </c>
      <c r="J27" s="83" cm="1">
        <f t="array" ref="J27">[12]!'2047321_0'</f>
        <v>759150</v>
      </c>
      <c r="K27" s="76">
        <f t="shared" si="4"/>
        <v>514350</v>
      </c>
      <c r="L27" s="76">
        <f t="shared" si="5"/>
        <v>-9422200</v>
      </c>
      <c r="M27" s="77">
        <f t="shared" si="0"/>
        <v>2.2679535518133776E-2</v>
      </c>
      <c r="N27" s="78">
        <f t="shared" si="9"/>
        <v>44.092613766293162</v>
      </c>
      <c r="O27" s="79">
        <f t="shared" si="10"/>
        <v>-44.069251172117028</v>
      </c>
      <c r="P27" s="80">
        <f t="shared" si="11"/>
        <v>119.83927332643472</v>
      </c>
      <c r="Q27" s="40" t="str">
        <v>SELL------&gt;</v>
      </c>
      <c r="R27" s="33" t="str">
        <v>&lt;-VSR@5</v>
      </c>
      <c r="S27" s="70">
        <f t="shared" si="3"/>
        <v>18974.04340767875</v>
      </c>
      <c r="T27" s="71">
        <f t="shared" si="7"/>
        <v>18975.88828549935</v>
      </c>
      <c r="U27" s="38" t="str">
        <f t="shared" si="8"/>
        <v>0</v>
      </c>
      <c r="V27" s="38">
        <f t="shared" ref="V27:V35" si="12">IF(N27&gt;1,(N27-1)/0.2*10 - F27,"")</f>
        <v>-16845.369311685343</v>
      </c>
    </row>
    <row r="28" spans="2:22" ht="36.75" x14ac:dyDescent="0.25">
      <c r="B28" s="83" cm="1">
        <f t="array" ref="B28">[12]!'2047325_0'</f>
        <v>10406650</v>
      </c>
      <c r="C28" s="83" cm="1">
        <f t="array" ref="C28">[4]!'2047325_0'</f>
        <v>430700</v>
      </c>
      <c r="D28" s="83" cm="1">
        <f t="array" ref="D28">[2]!'2047325_0'</f>
        <v>2561600</v>
      </c>
      <c r="E28" s="83" cm="1">
        <f t="array" ref="E28">[1]!'2047325_0'</f>
        <v>1.9</v>
      </c>
      <c r="F28" s="44">
        <v>19050</v>
      </c>
      <c r="G28" s="83" cm="1">
        <f t="array" ref="G28">[1]!'2047326_0'</f>
        <v>426.75</v>
      </c>
      <c r="H28" s="83" cm="1">
        <f t="array" ref="H28">[2]!'2047326_0'</f>
        <v>20550</v>
      </c>
      <c r="I28" s="83" cm="1">
        <f t="array" ref="I28">[4]!'2047326_0'</f>
        <v>3450</v>
      </c>
      <c r="J28" s="83" cm="1">
        <f t="array" ref="J28">[12]!'2047326_0'</f>
        <v>57000</v>
      </c>
      <c r="K28" s="76">
        <f t="shared" si="4"/>
        <v>-427250</v>
      </c>
      <c r="L28" s="76">
        <f t="shared" si="5"/>
        <v>-2541050</v>
      </c>
      <c r="M28" s="77">
        <f t="shared" si="0"/>
        <v>8.0223297938788254E-3</v>
      </c>
      <c r="N28" s="78">
        <f t="shared" si="9"/>
        <v>124.65206812652069</v>
      </c>
      <c r="O28" s="79">
        <f t="shared" si="10"/>
        <v>-124.64048969595036</v>
      </c>
      <c r="P28" s="80">
        <f t="shared" si="11"/>
        <v>142.86576407797313</v>
      </c>
      <c r="Q28" s="40" t="str">
        <v>SELL------&gt;</v>
      </c>
      <c r="R28" s="33" t="str">
        <v>&lt;-VSR@5</v>
      </c>
      <c r="S28" s="70">
        <f t="shared" si="3"/>
        <v>19023.975100856853</v>
      </c>
      <c r="T28" s="71">
        <f t="shared" si="7"/>
        <v>19025.95659232125</v>
      </c>
      <c r="U28" s="38" t="str">
        <f t="shared" si="8"/>
        <v>0</v>
      </c>
      <c r="V28" s="38">
        <f t="shared" si="12"/>
        <v>-12867.396593673966</v>
      </c>
    </row>
    <row r="29" spans="2:22" ht="36.75" x14ac:dyDescent="0.25">
      <c r="B29" s="83" cm="1">
        <f t="array" ref="B29">[12]!'2047327_0'</f>
        <v>19965000</v>
      </c>
      <c r="C29" s="83" cm="1">
        <f t="array" ref="C29">[4]!'2047327_0'</f>
        <v>182450</v>
      </c>
      <c r="D29" s="83" cm="1">
        <f t="array" ref="D29">[2]!'2047327_0'</f>
        <v>3559900</v>
      </c>
      <c r="E29" s="83" cm="1">
        <f t="array" ref="E29">[1]!'2047327_0'</f>
        <v>1.45</v>
      </c>
      <c r="F29" s="44">
        <v>19100</v>
      </c>
      <c r="G29" s="83" cm="1">
        <f t="array" ref="G29">[1]!'2047328_0'</f>
        <v>475.3</v>
      </c>
      <c r="H29" s="83" cm="1">
        <f t="array" ref="H29">[2]!'2047328_0'</f>
        <v>29700</v>
      </c>
      <c r="I29" s="83" cm="1">
        <f t="array" ref="I29">[4]!'2047328_0'</f>
        <v>-5850</v>
      </c>
      <c r="J29" s="83" cm="1">
        <f t="array" ref="J29">[12]!'2047328_0'</f>
        <v>62500</v>
      </c>
      <c r="K29" s="76">
        <f t="shared" si="4"/>
        <v>-188300</v>
      </c>
      <c r="L29" s="76">
        <f t="shared" si="5"/>
        <v>-3530200</v>
      </c>
      <c r="M29" s="77">
        <f t="shared" si="0"/>
        <v>8.3429309812073377E-3</v>
      </c>
      <c r="N29" s="78">
        <f t="shared" si="9"/>
        <v>119.86195286195286</v>
      </c>
      <c r="O29" s="79">
        <f t="shared" si="10"/>
        <v>-119.83927332643472</v>
      </c>
      <c r="P29" s="80">
        <f t="shared" si="11"/>
        <v>109.06308564044735</v>
      </c>
      <c r="Q29" s="40" t="str">
        <v>SELL------&gt;</v>
      </c>
      <c r="R29" s="33" t="str">
        <v>&lt;-VSR@5</v>
      </c>
      <c r="S29" s="70">
        <f t="shared" si="3"/>
        <v>19073.906794034956</v>
      </c>
      <c r="T29" s="71">
        <f t="shared" si="7"/>
        <v>19076.024899143147</v>
      </c>
      <c r="U29" s="38" t="str">
        <f t="shared" si="8"/>
        <v>0</v>
      </c>
      <c r="V29" s="38">
        <f t="shared" si="12"/>
        <v>-13156.902356902357</v>
      </c>
    </row>
    <row r="30" spans="2:22" ht="36.75" x14ac:dyDescent="0.25">
      <c r="B30" s="83" cm="1">
        <f t="array" ref="B30">[12]!'2047331_0'</f>
        <v>4849500</v>
      </c>
      <c r="C30" s="83" cm="1">
        <f t="array" ref="C30">[4]!'2047331_0'</f>
        <v>58300</v>
      </c>
      <c r="D30" s="83" cm="1">
        <f t="array" ref="D30">[2]!'2047331_0'</f>
        <v>735800</v>
      </c>
      <c r="E30" s="83" cm="1">
        <f t="array" ref="E30">[1]!'2047331_0'</f>
        <v>1.2</v>
      </c>
      <c r="F30" s="44">
        <v>19150</v>
      </c>
      <c r="G30" s="83" cm="1">
        <f t="array" ref="G30">[1]!'2047332_0'</f>
        <v>525.5</v>
      </c>
      <c r="H30" s="83" cm="1">
        <f t="array" ref="H30">[2]!'2047332_0'</f>
        <v>5150</v>
      </c>
      <c r="I30" s="83" cm="1">
        <f t="array" ref="I30">[4]!'2047332_0'</f>
        <v>600</v>
      </c>
      <c r="J30" s="83" cm="1">
        <f t="array" ref="J30">[12]!'2047332_0'</f>
        <v>4450</v>
      </c>
      <c r="K30" s="76">
        <f t="shared" si="4"/>
        <v>-57700</v>
      </c>
      <c r="L30" s="76">
        <f t="shared" si="5"/>
        <v>-730650</v>
      </c>
      <c r="M30" s="77">
        <f t="shared" si="0"/>
        <v>6.9991845610220165E-3</v>
      </c>
      <c r="N30" s="78">
        <f>1/M30</f>
        <v>142.873786407767</v>
      </c>
      <c r="O30" s="79">
        <f t="shared" si="10"/>
        <v>-142.86576407797313</v>
      </c>
      <c r="P30" s="80">
        <f t="shared" si="11"/>
        <v>252.37300081543896</v>
      </c>
      <c r="Q30" s="40" t="str">
        <v>SELL------&gt;</v>
      </c>
      <c r="R30" s="33" t="str">
        <v>&lt;-VSR@5</v>
      </c>
      <c r="S30" s="70">
        <f t="shared" si="3"/>
        <v>19123.838487213055</v>
      </c>
      <c r="T30" s="71">
        <f t="shared" si="7"/>
        <v>19126.093205965044</v>
      </c>
      <c r="U30" s="38" t="str">
        <f t="shared" si="8"/>
        <v>0</v>
      </c>
      <c r="V30" s="38">
        <f t="shared" si="12"/>
        <v>-12056.310679611652</v>
      </c>
    </row>
    <row r="31" spans="2:22" ht="36.75" x14ac:dyDescent="0.25">
      <c r="B31" s="83" cm="1">
        <f t="array" ref="B31">[12]!'2047333_0'</f>
        <v>11636750</v>
      </c>
      <c r="C31" s="83" cm="1">
        <f t="array" ref="C31">[4]!'2047333_0'</f>
        <v>-280250</v>
      </c>
      <c r="D31" s="83" cm="1">
        <f t="array" ref="D31">[2]!'2047333_0'</f>
        <v>2824950</v>
      </c>
      <c r="E31" s="83" cm="1">
        <f t="array" ref="E31">[1]!'2047333_0'</f>
        <v>1</v>
      </c>
      <c r="F31" s="44">
        <v>19200</v>
      </c>
      <c r="G31" s="83" cm="1">
        <f t="array" ref="G31">[1]!'2047334_0'</f>
        <v>573.79999999999995</v>
      </c>
      <c r="H31" s="83" cm="1">
        <f t="array" ref="H31">[2]!'2047334_0'</f>
        <v>25900</v>
      </c>
      <c r="I31" s="83" cm="1">
        <f t="array" ref="I31">[4]!'2047334_0'</f>
        <v>-600</v>
      </c>
      <c r="J31" s="83" cm="1">
        <f t="array" ref="J31">[12]!'2047334_0'</f>
        <v>12750</v>
      </c>
      <c r="K31" s="76">
        <f t="shared" si="4"/>
        <v>279650</v>
      </c>
      <c r="L31" s="76">
        <f t="shared" si="5"/>
        <v>-2799050</v>
      </c>
      <c r="M31" s="77">
        <f t="shared" si="0"/>
        <v>9.1683038637852005E-3</v>
      </c>
      <c r="N31" s="78">
        <f>1/M31</f>
        <v>109.07142857142856</v>
      </c>
      <c r="O31" s="79">
        <f t="shared" si="10"/>
        <v>-109.06308564044735</v>
      </c>
      <c r="P31" s="80">
        <f t="shared" si="11"/>
        <v>803.07703859268781</v>
      </c>
      <c r="Q31" s="40" t="str">
        <v>SELL------&gt;</v>
      </c>
      <c r="R31" s="33" t="str">
        <v>&lt;-VSR@5</v>
      </c>
      <c r="S31" s="70">
        <f t="shared" si="3"/>
        <v>19173.770180391159</v>
      </c>
      <c r="T31" s="71">
        <f t="shared" si="7"/>
        <v>19176.161512786945</v>
      </c>
      <c r="U31" s="38" t="str">
        <f t="shared" si="8"/>
        <v>0</v>
      </c>
      <c r="V31" s="38">
        <f t="shared" si="12"/>
        <v>-13796.428571428572</v>
      </c>
    </row>
    <row r="32" spans="2:22" ht="36.75" x14ac:dyDescent="0.25">
      <c r="B32" s="83" cm="1">
        <f t="array" ref="B32">[12]!'2047338_0'</f>
        <v>1490700</v>
      </c>
      <c r="C32" s="83" cm="1">
        <f t="array" ref="C32">[4]!'2047338_0'</f>
        <v>-15450</v>
      </c>
      <c r="D32" s="83" cm="1">
        <f t="array" ref="D32">[2]!'2047338_0'</f>
        <v>630950</v>
      </c>
      <c r="E32" s="83" cm="1">
        <f t="array" ref="E32">[1]!'2047338_0'</f>
        <v>1.1499999999999999</v>
      </c>
      <c r="F32" s="44">
        <v>19250</v>
      </c>
      <c r="G32" s="83" cm="1">
        <f t="array" ref="G32">[1]!'2047339_0'</f>
        <v>631.29999999999995</v>
      </c>
      <c r="H32" s="83" cm="1">
        <f t="array" ref="H32">[2]!'2047339_0'</f>
        <v>2500</v>
      </c>
      <c r="I32" s="83" cm="1">
        <f t="array" ref="I32">[4]!'2047339_0'</f>
        <v>0</v>
      </c>
      <c r="J32" s="83" cm="1">
        <f t="array" ref="J32">[12]!'2047339_0'</f>
        <v>300</v>
      </c>
      <c r="K32" s="76">
        <f t="shared" si="4"/>
        <v>15450</v>
      </c>
      <c r="L32" s="76">
        <f t="shared" si="5"/>
        <v>-628450</v>
      </c>
      <c r="M32" s="77">
        <f t="shared" si="0"/>
        <v>3.9622791029400115E-3</v>
      </c>
      <c r="N32" s="78">
        <f t="shared" ref="N32:N35" si="13">1/M32</f>
        <v>252.37999999999997</v>
      </c>
      <c r="O32" s="79">
        <f t="shared" si="10"/>
        <v>-252.37300081543896</v>
      </c>
      <c r="P32" s="80">
        <f t="shared" si="11"/>
        <v>549.41270438756385</v>
      </c>
      <c r="Q32" s="40" t="str">
        <v>SELL------&gt;</v>
      </c>
      <c r="R32" s="33" t="str">
        <v>&lt;-VSR@5</v>
      </c>
      <c r="S32" s="70">
        <f t="shared" si="3"/>
        <v>19223.701873569262</v>
      </c>
      <c r="T32" s="71">
        <f t="shared" si="7"/>
        <v>19226.229819608841</v>
      </c>
      <c r="U32" s="38" t="str">
        <f t="shared" si="8"/>
        <v>0</v>
      </c>
      <c r="V32" s="38">
        <f t="shared" si="12"/>
        <v>-6681.0000000000018</v>
      </c>
    </row>
    <row r="33" spans="2:22" ht="36.75" x14ac:dyDescent="0.25">
      <c r="B33" s="83" cm="1">
        <f t="array" ref="B33">[12]!'2047340_0'</f>
        <v>3342650</v>
      </c>
      <c r="C33" s="83" cm="1">
        <f t="array" ref="C33">[4]!'2047340_0'</f>
        <v>3950</v>
      </c>
      <c r="D33" s="83" cm="1">
        <f t="array" ref="D33">[2]!'2047340_0'</f>
        <v>2328950</v>
      </c>
      <c r="E33" s="83" cm="1">
        <f t="array" ref="E33">[1]!'2047340_0'</f>
        <v>1.1499999999999999</v>
      </c>
      <c r="F33" s="44">
        <v>19300</v>
      </c>
      <c r="G33" s="83" cm="1">
        <f t="array" ref="G33">[1]!'2047341_0'</f>
        <v>682</v>
      </c>
      <c r="H33" s="83" cm="1">
        <f t="array" ref="H33">[2]!'2047341_0'</f>
        <v>2900</v>
      </c>
      <c r="I33" s="83" cm="1">
        <f t="array" ref="I33">[4]!'2047341_0'</f>
        <v>0</v>
      </c>
      <c r="J33" s="83" cm="1">
        <f t="array" ref="J33">[12]!'2047341_0'</f>
        <v>1800</v>
      </c>
      <c r="K33" s="76">
        <f t="shared" si="4"/>
        <v>-3950</v>
      </c>
      <c r="L33" s="76">
        <f t="shared" si="5"/>
        <v>-2326050</v>
      </c>
      <c r="M33" s="77">
        <f t="shared" si="0"/>
        <v>1.2451963331114881E-3</v>
      </c>
      <c r="N33" s="78">
        <f t="shared" si="13"/>
        <v>803.08620689655163</v>
      </c>
      <c r="O33" s="79">
        <f>M31-N33</f>
        <v>-803.07703859268781</v>
      </c>
      <c r="P33" s="80">
        <f t="shared" si="11"/>
        <v>1624.1987548036668</v>
      </c>
      <c r="Q33" s="40" t="str">
        <v>SELL------&gt;</v>
      </c>
      <c r="R33" s="33" t="str">
        <v>&lt;-VSR@5</v>
      </c>
      <c r="S33" s="70">
        <f t="shared" si="3"/>
        <v>19273.633566747365</v>
      </c>
      <c r="T33" s="71">
        <f t="shared" si="7"/>
        <v>19276.298126430738</v>
      </c>
      <c r="U33" s="38" t="str">
        <f t="shared" si="8"/>
        <v>0</v>
      </c>
      <c r="V33" s="38">
        <f t="shared" si="12"/>
        <v>20804.31034482758</v>
      </c>
    </row>
    <row r="34" spans="2:22" ht="36" customHeight="1" x14ac:dyDescent="0.25">
      <c r="B34" s="83" cm="1">
        <f t="array" ref="B34">[12]!'2047349_0'</f>
        <v>836350</v>
      </c>
      <c r="C34" s="83" cm="1">
        <f t="array" ref="C34">[4]!'2047349_0'</f>
        <v>25150</v>
      </c>
      <c r="D34" s="83" cm="1">
        <f t="array" ref="D34">[2]!'2047349_0'</f>
        <v>329650</v>
      </c>
      <c r="E34" s="83" cm="1">
        <f t="array" ref="E34">[1]!'2047349_0'</f>
        <v>1.1000000000000001</v>
      </c>
      <c r="F34" s="44">
        <v>19350</v>
      </c>
      <c r="G34" s="83" cm="1">
        <f t="array" ref="G34">[1]!'2047350_0'</f>
        <v>729.5</v>
      </c>
      <c r="H34" s="83" cm="1">
        <f t="array" ref="H34">[2]!'2047350_0'</f>
        <v>600</v>
      </c>
      <c r="I34" s="83" cm="1">
        <f t="array" ref="I34">[4]!'2047350_0'</f>
        <v>0</v>
      </c>
      <c r="J34" s="83" cm="1">
        <f t="array" ref="J34">[12]!'2047350_0'</f>
        <v>1350</v>
      </c>
      <c r="K34" s="76">
        <f t="shared" si="4"/>
        <v>-25150</v>
      </c>
      <c r="L34" s="76">
        <f t="shared" si="5"/>
        <v>-329050</v>
      </c>
      <c r="M34" s="77">
        <f t="shared" si="0"/>
        <v>1.8201122402548156E-3</v>
      </c>
      <c r="N34" s="78">
        <f t="shared" si="13"/>
        <v>549.41666666666674</v>
      </c>
      <c r="O34" s="79">
        <f t="shared" si="10"/>
        <v>-549.41270438756385</v>
      </c>
      <c r="P34" s="80">
        <f>N34</f>
        <v>549.41666666666674</v>
      </c>
      <c r="Q34" s="40" t="str">
        <v>SELL------&gt;</v>
      </c>
      <c r="R34" s="33" t="str">
        <v>&lt;-VSR@5</v>
      </c>
      <c r="S34" s="70">
        <f t="shared" si="3"/>
        <v>19323.565259925464</v>
      </c>
      <c r="T34" s="71">
        <f t="shared" si="7"/>
        <v>19326.366433252635</v>
      </c>
      <c r="U34" s="38" t="str">
        <f t="shared" si="8"/>
        <v>0</v>
      </c>
      <c r="V34" s="38">
        <f t="shared" si="12"/>
        <v>8070.8333333333358</v>
      </c>
    </row>
    <row r="35" spans="2:22" ht="36.75" x14ac:dyDescent="0.25">
      <c r="B35" s="83" cm="1">
        <f t="array" ref="B35">[12]!'2047353_0'</f>
        <v>2944000</v>
      </c>
      <c r="C35" s="83" cm="1">
        <f t="array" ref="C35">[4]!'2047353_0'</f>
        <v>4950</v>
      </c>
      <c r="D35" s="83" cm="1">
        <f t="array" ref="D35">[2]!'2047353_0'</f>
        <v>1624200</v>
      </c>
      <c r="E35" s="83" cm="1">
        <f t="array" ref="E35">[1]!'2047353_0'</f>
        <v>1.05</v>
      </c>
      <c r="F35" s="44">
        <v>19400</v>
      </c>
      <c r="G35" s="83" cm="1">
        <f t="array" ref="G35">[1]!'2047354_0'</f>
        <v>781</v>
      </c>
      <c r="H35" s="83" cm="1">
        <f t="array" ref="H35">[2]!'2047354_0'</f>
        <v>1000</v>
      </c>
      <c r="I35" s="83" cm="1">
        <f t="array" ref="I35">[4]!'2047354_0'</f>
        <v>-50</v>
      </c>
      <c r="J35" s="83" cm="1">
        <f t="array" ref="J35">[12]!'2047354_0'</f>
        <v>1650</v>
      </c>
      <c r="K35" s="76">
        <f t="shared" si="4"/>
        <v>-5000</v>
      </c>
      <c r="L35" s="76">
        <f t="shared" si="5"/>
        <v>-1623200</v>
      </c>
      <c r="M35" s="77">
        <f t="shared" si="0"/>
        <v>6.1568772318679969E-4</v>
      </c>
      <c r="N35" s="78">
        <f t="shared" si="13"/>
        <v>1624.1999999999998</v>
      </c>
      <c r="O35" s="79">
        <f t="shared" si="10"/>
        <v>-1624.1987548036668</v>
      </c>
      <c r="P35" s="80">
        <f>-N35</f>
        <v>-1624.1999999999998</v>
      </c>
      <c r="Q35" s="40" t="str">
        <v>SELL------&gt;</v>
      </c>
      <c r="R35" s="33" t="str">
        <v>&lt;-VSR@5</v>
      </c>
      <c r="S35" s="70">
        <f t="shared" si="3"/>
        <v>19373.496953103568</v>
      </c>
      <c r="T35" s="71">
        <f t="shared" si="7"/>
        <v>19376.434740074536</v>
      </c>
      <c r="U35" s="38" t="str">
        <f t="shared" si="8"/>
        <v>0</v>
      </c>
      <c r="V35" s="38">
        <f t="shared" si="12"/>
        <v>61759.999999999985</v>
      </c>
    </row>
    <row r="36" spans="2:22" ht="63" x14ac:dyDescent="0.25">
      <c r="B36" s="42"/>
      <c r="C36" s="43"/>
      <c r="D36" s="63">
        <f>SUM(D13:D35)</f>
        <v>77390800</v>
      </c>
      <c r="E36" s="43"/>
      <c r="F36" s="42"/>
      <c r="G36" s="43"/>
      <c r="H36" s="63">
        <f>SUM(H13:H35)</f>
        <v>43473800</v>
      </c>
      <c r="I36" s="43"/>
      <c r="J36" s="42"/>
      <c r="K36" s="47"/>
      <c r="L36" s="47"/>
      <c r="M36" s="43"/>
      <c r="N36" s="42"/>
      <c r="O36" s="43"/>
      <c r="P36" s="47"/>
      <c r="Q36" s="42"/>
      <c r="R36" s="105" t="s">
        <v>55</v>
      </c>
      <c r="S36" s="106"/>
      <c r="T36" s="54" t="s">
        <v>54</v>
      </c>
      <c r="U36" s="37"/>
      <c r="V36" s="37"/>
    </row>
    <row r="38" spans="2:22" x14ac:dyDescent="0.25">
      <c r="N38" s="55"/>
    </row>
    <row r="39" spans="2:22" x14ac:dyDescent="0.25">
      <c r="N39" s="55"/>
    </row>
  </sheetData>
  <sheetProtection formatCells="0" formatColumns="0" formatRows="0" insertColumns="0" insertRows="0" insertHyperlinks="0" deleteColumns="0" deleteRows="0" sort="0" autoFilter="0" pivotTables="0"/>
  <protectedRanges>
    <protectedRange sqref="B7:L35" name="Range1" securityDescriptor="O:WDG:WDD:(A;;CC;;;WD)"/>
  </protectedRanges>
  <mergeCells count="13">
    <mergeCell ref="R36:S36"/>
    <mergeCell ref="Q2:V2"/>
    <mergeCell ref="U5:V5"/>
    <mergeCell ref="M1:N1"/>
    <mergeCell ref="G2:J2"/>
    <mergeCell ref="O2:P2"/>
    <mergeCell ref="G5:J5"/>
    <mergeCell ref="B5:E5"/>
    <mergeCell ref="B3:C3"/>
    <mergeCell ref="B4:C4"/>
    <mergeCell ref="B2:C2"/>
    <mergeCell ref="G4:H4"/>
    <mergeCell ref="G3:H3"/>
  </mergeCells>
  <conditionalFormatting sqref="W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{FBC7A715-F235-4719-BCC3-B4CFF35CA824}</x14:id>
        </ext>
      </extLst>
    </cfRule>
  </conditionalFormatting>
  <conditionalFormatting sqref="M19:M3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{3D665FA3-9524-4B30-B9E4-905668E0A460}</x14:id>
        </ext>
      </extLst>
    </cfRule>
  </conditionalFormatting>
  <conditionalFormatting sqref="N19:N35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{3BDC5E4C-DD25-4710-898B-080D78EA31C4}</x14:id>
        </ext>
      </extLst>
    </cfRule>
  </conditionalFormatting>
  <conditionalFormatting sqref="T7:V36">
    <cfRule type="containsText" dxfId="18" priority="48" operator="containsText" text="TRUE">
      <formula>NOT(ISERROR(SEARCH("TRUE",T7)))</formula>
    </cfRule>
  </conditionalFormatting>
  <conditionalFormatting sqref="Q7:Q36">
    <cfRule type="containsText" dxfId="17" priority="31" operator="containsText" text="SELL------&gt;">
      <formula>NOT(ISERROR(SEARCH("SELL------&gt;",Q7)))</formula>
    </cfRule>
    <cfRule type="containsText" dxfId="16" priority="32" operator="containsText" text="BUY--------&gt;">
      <formula>NOT(ISERROR(SEARCH("BUY--------&gt;",Q7)))</formula>
    </cfRule>
  </conditionalFormatting>
  <conditionalFormatting sqref="K7:K35">
    <cfRule type="cellIs" dxfId="15" priority="16" operator="lessThan">
      <formula>0</formula>
    </cfRule>
    <cfRule type="cellIs" dxfId="14" priority="17" operator="greaterThan">
      <formula>0</formula>
    </cfRule>
  </conditionalFormatting>
  <conditionalFormatting sqref="L7:L35">
    <cfRule type="cellIs" dxfId="13" priority="14" operator="greaterThan">
      <formula>0</formula>
    </cfRule>
    <cfRule type="cellIs" dxfId="12" priority="15" operator="lessThan">
      <formula>0</formula>
    </cfRule>
  </conditionalFormatting>
  <conditionalFormatting sqref="K7:V35">
    <cfRule type="expression" dxfId="11" priority="137">
      <formula>$F7=#REF!</formula>
    </cfRule>
  </conditionalFormatting>
  <conditionalFormatting sqref="H13:H21">
    <cfRule type="top10" dxfId="10" priority="4" rank="2"/>
  </conditionalFormatting>
  <conditionalFormatting sqref="I13:I21">
    <cfRule type="top10" dxfId="9" priority="5" rank="2"/>
  </conditionalFormatting>
  <conditionalFormatting sqref="F13:F35">
    <cfRule type="cellIs" dxfId="8" priority="6" operator="equal">
      <formula>$Q$3</formula>
    </cfRule>
  </conditionalFormatting>
  <conditionalFormatting sqref="F7:F35">
    <cfRule type="cellIs" dxfId="7" priority="7" operator="equal">
      <formula>$Q$3</formula>
    </cfRule>
  </conditionalFormatting>
  <conditionalFormatting sqref="B7:J35">
    <cfRule type="expression" dxfId="6" priority="10">
      <formula>$F7=$Q$3</formula>
    </cfRule>
  </conditionalFormatting>
  <conditionalFormatting sqref="F7:F35">
    <cfRule type="cellIs" dxfId="5" priority="8" operator="lessThanOrEqual">
      <formula>#REF!</formula>
    </cfRule>
    <cfRule type="cellIs" dxfId="4" priority="9" operator="greaterThanOrEqual">
      <formula>#REF!</formula>
    </cfRule>
  </conditionalFormatting>
  <conditionalFormatting sqref="B17:B35">
    <cfRule type="top10" dxfId="3" priority="153" rank="2"/>
  </conditionalFormatting>
  <conditionalFormatting sqref="C17:C35">
    <cfRule type="top10" dxfId="2" priority="154" rank="2"/>
  </conditionalFormatting>
  <conditionalFormatting sqref="D17:D35">
    <cfRule type="top10" dxfId="1" priority="155" rank="2"/>
  </conditionalFormatting>
  <conditionalFormatting sqref="H17:J35">
    <cfRule type="top10" dxfId="0" priority="157" rank="2"/>
  </conditionalFormatting>
  <pageMargins left="0.7" right="0.7" top="0.75" bottom="0.75" header="0.3" footer="0.3"/>
  <pageSetup scale="56" orientation="landscape" horizontalDpi="300" verticalDpi="300" r:id="rId1"/>
  <ignoredErrors>
    <ignoredError sqref="I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C7A715-F235-4719-BCC3-B4CFF35CA8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W9</xm:sqref>
        </x14:conditionalFormatting>
        <x14:conditionalFormatting xmlns:xm="http://schemas.microsoft.com/office/excel/2006/main">
          <x14:cfRule type="dataBar" id="{3D665FA3-9524-4B30-B9E4-905668E0A4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M19:M35</xm:sqref>
        </x14:conditionalFormatting>
        <x14:conditionalFormatting xmlns:xm="http://schemas.microsoft.com/office/excel/2006/main">
          <x14:cfRule type="dataBar" id="{3BDC5E4C-DD25-4710-898B-080D78EA31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N19:N35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B39F-4896-4225-9C87-9DA0DF4AE02C}">
  <dimension ref="A1"/>
  <sheetViews>
    <sheetView topLeftCell="A59" workbookViewId="0">
      <selection activeCell="G84" sqref="A84:G84"/>
    </sheetView>
  </sheetViews>
  <sheetFormatPr defaultColWidth="8.85546875" defaultRowHeight="15" x14ac:dyDescent="0.25"/>
  <cols>
    <col min="1" max="1" width="29.28515625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</cols>
  <sheetData/>
  <sortState xmlns:xlrd2="http://schemas.microsoft.com/office/spreadsheetml/2017/richdata2" ref="A2:G86">
    <sortCondition ref="A1:A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4ABC-4268-4038-905C-9FC88655B707}">
  <dimension ref="A1:G42"/>
  <sheetViews>
    <sheetView topLeftCell="A22" workbookViewId="0">
      <selection activeCell="I37" sqref="I37"/>
    </sheetView>
  </sheetViews>
  <sheetFormatPr defaultColWidth="8.85546875" defaultRowHeight="15" x14ac:dyDescent="0.25"/>
  <cols>
    <col min="1" max="1" width="20.7109375" customWidth="1"/>
    <col min="9" max="9" width="13.140625" customWidth="1"/>
  </cols>
  <sheetData>
    <row r="1" spans="1:7" x14ac:dyDescent="0.25">
      <c r="A1" s="45" t="s">
        <v>12</v>
      </c>
      <c r="B1" t="s">
        <v>23</v>
      </c>
      <c r="C1" s="45" t="s">
        <v>7</v>
      </c>
      <c r="D1" s="45" t="s">
        <v>4</v>
      </c>
      <c r="E1" s="45" t="s">
        <v>0</v>
      </c>
      <c r="F1" s="45" t="s">
        <v>6</v>
      </c>
      <c r="G1" s="45" t="s">
        <v>66</v>
      </c>
    </row>
    <row r="2" spans="1:7" x14ac:dyDescent="0.25">
      <c r="A2" t="s">
        <v>155</v>
      </c>
      <c r="B2" cm="1">
        <f t="array" ref="B2">[12]!'2049983_0'</f>
        <v>0</v>
      </c>
      <c r="C2" cm="1">
        <f t="array" ref="C2">[4]!'2049983_0'</f>
        <v>0</v>
      </c>
      <c r="D2" cm="1">
        <f t="array" ref="D2">[2]!'2049983_0'</f>
        <v>0</v>
      </c>
      <c r="E2" cm="1">
        <f t="array" ref="E2">[1]!'2049983_0'</f>
        <v>0</v>
      </c>
      <c r="F2" cm="1">
        <f t="array" ref="F2">[3]!'2049983_0'</f>
        <v>0</v>
      </c>
      <c r="G2" cm="1">
        <f t="array" ref="G2">[13]!'2049983_0'</f>
        <v>0</v>
      </c>
    </row>
    <row r="3" spans="1:7" x14ac:dyDescent="0.25">
      <c r="A3" t="s">
        <v>154</v>
      </c>
      <c r="B3" cm="1">
        <f t="array" ref="B3">[12]!'2049985_0'</f>
        <v>0</v>
      </c>
      <c r="C3" cm="1">
        <f t="array" ref="C3">[4]!'2049985_0'</f>
        <v>0</v>
      </c>
      <c r="D3" cm="1">
        <f t="array" ref="D3">[2]!'2049985_0'</f>
        <v>0</v>
      </c>
      <c r="E3" cm="1">
        <f t="array" ref="E3">[1]!'2049985_0'</f>
        <v>0</v>
      </c>
      <c r="F3" cm="1">
        <f t="array" ref="F3">[3]!'2049985_0'</f>
        <v>0</v>
      </c>
      <c r="G3" cm="1">
        <f t="array" ref="G3">[13]!'2049985_0'</f>
        <v>0</v>
      </c>
    </row>
    <row r="4" spans="1:7" x14ac:dyDescent="0.25">
      <c r="A4" t="s">
        <v>153</v>
      </c>
      <c r="B4" cm="1">
        <f t="array" ref="B4">[12]!'2049989_0'</f>
        <v>0</v>
      </c>
      <c r="C4" cm="1">
        <f t="array" ref="C4">[4]!'2049989_0'</f>
        <v>0</v>
      </c>
      <c r="D4" cm="1">
        <f t="array" ref="D4">[2]!'2049989_0'</f>
        <v>0</v>
      </c>
      <c r="E4" cm="1">
        <f t="array" ref="E4">[1]!'2049989_0'</f>
        <v>0</v>
      </c>
      <c r="F4" cm="1">
        <f t="array" ref="F4">[3]!'2049989_0'</f>
        <v>0</v>
      </c>
      <c r="G4" cm="1">
        <f t="array" ref="G4">[13]!'2049989_0'</f>
        <v>0</v>
      </c>
    </row>
    <row r="5" spans="1:7" x14ac:dyDescent="0.25">
      <c r="A5" t="s">
        <v>152</v>
      </c>
      <c r="B5" cm="1">
        <f t="array" ref="B5">[12]!'2049991_0'</f>
        <v>0</v>
      </c>
      <c r="C5" cm="1">
        <f t="array" ref="C5">[4]!'2049991_0'</f>
        <v>0</v>
      </c>
      <c r="D5" cm="1">
        <f t="array" ref="D5">[2]!'2049991_0'</f>
        <v>0</v>
      </c>
      <c r="E5" cm="1">
        <f t="array" ref="E5">[1]!'2049991_0'</f>
        <v>0</v>
      </c>
      <c r="F5" cm="1">
        <f t="array" ref="F5">[3]!'2049991_0'</f>
        <v>0</v>
      </c>
      <c r="G5" cm="1">
        <f t="array" ref="G5">[13]!'2049991_0'</f>
        <v>0</v>
      </c>
    </row>
    <row r="6" spans="1:7" x14ac:dyDescent="0.25">
      <c r="A6" t="s">
        <v>151</v>
      </c>
      <c r="B6" cm="1">
        <f t="array" ref="B6">[12]!'2049993_0'</f>
        <v>0</v>
      </c>
      <c r="C6" cm="1">
        <f t="array" ref="C6">[4]!'2049993_0'</f>
        <v>0</v>
      </c>
      <c r="D6" cm="1">
        <f t="array" ref="D6">[2]!'2049993_0'</f>
        <v>0</v>
      </c>
      <c r="E6" cm="1">
        <f t="array" ref="E6">[1]!'2049993_0'</f>
        <v>0</v>
      </c>
      <c r="F6" cm="1">
        <f t="array" ref="F6">[3]!'2049993_0'</f>
        <v>0</v>
      </c>
      <c r="G6" cm="1">
        <f t="array" ref="G6">[13]!'2049993_0'</f>
        <v>0</v>
      </c>
    </row>
    <row r="7" spans="1:7" x14ac:dyDescent="0.25">
      <c r="A7" t="s">
        <v>150</v>
      </c>
      <c r="B7" cm="1">
        <f t="array" ref="B7">[12]!'2049995_0'</f>
        <v>0</v>
      </c>
      <c r="C7" cm="1">
        <f t="array" ref="C7">[4]!'2049995_0'</f>
        <v>0</v>
      </c>
      <c r="D7" cm="1">
        <f t="array" ref="D7">[2]!'2049995_0'</f>
        <v>0</v>
      </c>
      <c r="E7" cm="1">
        <f t="array" ref="E7">[1]!'2049995_0'</f>
        <v>0</v>
      </c>
      <c r="F7" cm="1">
        <f t="array" ref="F7">[3]!'2049995_0'</f>
        <v>0</v>
      </c>
      <c r="G7" cm="1">
        <f t="array" ref="G7">[13]!'2049995_0'</f>
        <v>0</v>
      </c>
    </row>
    <row r="8" spans="1:7" x14ac:dyDescent="0.25">
      <c r="A8" t="s">
        <v>149</v>
      </c>
      <c r="B8" cm="1">
        <f t="array" ref="B8">[12]!'2050003_0'</f>
        <v>0</v>
      </c>
      <c r="C8" cm="1">
        <f t="array" ref="C8">[4]!'2050003_0'</f>
        <v>0</v>
      </c>
      <c r="D8" cm="1">
        <f t="array" ref="D8">[2]!'2050003_0'</f>
        <v>0</v>
      </c>
      <c r="E8" cm="1">
        <f t="array" ref="E8">[1]!'2050003_0'</f>
        <v>0</v>
      </c>
      <c r="F8" cm="1">
        <f t="array" ref="F8">[3]!'2050003_0'</f>
        <v>0</v>
      </c>
      <c r="G8" cm="1">
        <f t="array" ref="G8">[13]!'2050003_0'</f>
        <v>0</v>
      </c>
    </row>
    <row r="9" spans="1:7" x14ac:dyDescent="0.25">
      <c r="A9" t="s">
        <v>148</v>
      </c>
      <c r="B9" cm="1">
        <f t="array" ref="B9">[12]!'2050007_0'</f>
        <v>0</v>
      </c>
      <c r="C9" cm="1">
        <f t="array" ref="C9">[4]!'2050007_0'</f>
        <v>0</v>
      </c>
      <c r="D9" cm="1">
        <f t="array" ref="D9">[2]!'2050007_0'</f>
        <v>0</v>
      </c>
      <c r="E9" cm="1">
        <f t="array" ref="E9">[1]!'2050007_0'</f>
        <v>0</v>
      </c>
      <c r="F9" cm="1">
        <f t="array" ref="F9">[3]!'2050007_0'</f>
        <v>0</v>
      </c>
      <c r="G9" cm="1">
        <f t="array" ref="G9">[13]!'2050007_0'</f>
        <v>0</v>
      </c>
    </row>
    <row r="10" spans="1:7" x14ac:dyDescent="0.25">
      <c r="A10" t="s">
        <v>147</v>
      </c>
      <c r="B10" cm="1">
        <f t="array" ref="B10">[12]!'2050011_0'</f>
        <v>0</v>
      </c>
      <c r="C10" cm="1">
        <f t="array" ref="C10">[4]!'2050011_0'</f>
        <v>0</v>
      </c>
      <c r="D10" cm="1">
        <f t="array" ref="D10">[2]!'2050011_0'</f>
        <v>0</v>
      </c>
      <c r="E10" cm="1">
        <f t="array" ref="E10">[1]!'2050011_0'</f>
        <v>0</v>
      </c>
      <c r="F10" cm="1">
        <f t="array" ref="F10">[3]!'2050011_0'</f>
        <v>0</v>
      </c>
      <c r="G10" cm="1">
        <f t="array" ref="G10">[13]!'2050011_0'</f>
        <v>0</v>
      </c>
    </row>
    <row r="11" spans="1:7" x14ac:dyDescent="0.25">
      <c r="A11" t="s">
        <v>146</v>
      </c>
      <c r="B11" cm="1">
        <f t="array" ref="B11">[12]!'2050013_0'</f>
        <v>0</v>
      </c>
      <c r="C11" cm="1">
        <f t="array" ref="C11">[4]!'2050013_0'</f>
        <v>0</v>
      </c>
      <c r="D11" cm="1">
        <f t="array" ref="D11">[2]!'2050013_0'</f>
        <v>0</v>
      </c>
      <c r="E11" cm="1">
        <f t="array" ref="E11">[1]!'2050013_0'</f>
        <v>0</v>
      </c>
      <c r="F11" cm="1">
        <f t="array" ref="F11">[3]!'2050013_0'</f>
        <v>0</v>
      </c>
      <c r="G11" cm="1">
        <f t="array" ref="G11">[13]!'2050013_0'</f>
        <v>0</v>
      </c>
    </row>
    <row r="12" spans="1:7" x14ac:dyDescent="0.25">
      <c r="A12" t="s">
        <v>145</v>
      </c>
      <c r="B12" cm="1">
        <f t="array" ref="B12">[12]!'2050017_0'</f>
        <v>0</v>
      </c>
      <c r="C12" cm="1">
        <f t="array" ref="C12">[4]!'2050017_0'</f>
        <v>0</v>
      </c>
      <c r="D12" cm="1">
        <f t="array" ref="D12">[2]!'2050017_0'</f>
        <v>0</v>
      </c>
      <c r="E12" cm="1">
        <f t="array" ref="E12">[1]!'2050017_0'</f>
        <v>0</v>
      </c>
      <c r="F12" cm="1">
        <f t="array" ref="F12">[3]!'2050017_0'</f>
        <v>0</v>
      </c>
      <c r="G12" cm="1">
        <f t="array" ref="G12">[13]!'2050017_0'</f>
        <v>0</v>
      </c>
    </row>
    <row r="13" spans="1:7" x14ac:dyDescent="0.25">
      <c r="A13" t="s">
        <v>144</v>
      </c>
      <c r="B13" cm="1">
        <f t="array" ref="B13">[12]!'2050023_0'</f>
        <v>0</v>
      </c>
      <c r="C13" cm="1">
        <f t="array" ref="C13">[4]!'2050023_0'</f>
        <v>0</v>
      </c>
      <c r="D13" cm="1">
        <f t="array" ref="D13">[2]!'2050023_0'</f>
        <v>0</v>
      </c>
      <c r="E13" cm="1">
        <f t="array" ref="E13">[1]!'2050023_0'</f>
        <v>0</v>
      </c>
      <c r="F13" cm="1">
        <f t="array" ref="F13">[3]!'2050023_0'</f>
        <v>0</v>
      </c>
      <c r="G13" cm="1">
        <f t="array" ref="G13">[13]!'2050023_0'</f>
        <v>0</v>
      </c>
    </row>
    <row r="14" spans="1:7" x14ac:dyDescent="0.25">
      <c r="A14" t="s">
        <v>143</v>
      </c>
      <c r="B14" cm="1">
        <f t="array" ref="B14">[12]!'2050027_0'</f>
        <v>0</v>
      </c>
      <c r="C14" cm="1">
        <f t="array" ref="C14">[4]!'2050027_0'</f>
        <v>0</v>
      </c>
      <c r="D14" cm="1">
        <f t="array" ref="D14">[2]!'2050027_0'</f>
        <v>0</v>
      </c>
      <c r="E14" cm="1">
        <f t="array" ref="E14">[1]!'2050027_0'</f>
        <v>0</v>
      </c>
      <c r="F14" cm="1">
        <f t="array" ref="F14">[3]!'2050027_0'</f>
        <v>0</v>
      </c>
      <c r="G14" cm="1">
        <f t="array" ref="G14">[13]!'2050027_0'</f>
        <v>0</v>
      </c>
    </row>
    <row r="15" spans="1:7" x14ac:dyDescent="0.25">
      <c r="A15" t="s">
        <v>142</v>
      </c>
      <c r="B15" cm="1">
        <f t="array" ref="B15">[12]!'2050035_0'</f>
        <v>0</v>
      </c>
      <c r="C15" cm="1">
        <f t="array" ref="C15">[4]!'2050035_0'</f>
        <v>0</v>
      </c>
      <c r="D15" cm="1">
        <f t="array" ref="D15">[2]!'2050035_0'</f>
        <v>0</v>
      </c>
      <c r="E15" cm="1">
        <f t="array" ref="E15">[1]!'2050035_0'</f>
        <v>0</v>
      </c>
      <c r="F15" cm="1">
        <f t="array" ref="F15">[3]!'2050035_0'</f>
        <v>0</v>
      </c>
      <c r="G15" cm="1">
        <f t="array" ref="G15">[13]!'2050035_0'</f>
        <v>0</v>
      </c>
    </row>
    <row r="16" spans="1:7" x14ac:dyDescent="0.25">
      <c r="A16" t="s">
        <v>141</v>
      </c>
      <c r="B16" cm="1">
        <f t="array" ref="B16">[12]!'2050037_0'</f>
        <v>0</v>
      </c>
      <c r="C16" cm="1">
        <f t="array" ref="C16">[4]!'2050037_0'</f>
        <v>0</v>
      </c>
      <c r="D16" cm="1">
        <f t="array" ref="D16">[2]!'2050037_0'</f>
        <v>0</v>
      </c>
      <c r="E16" cm="1">
        <f t="array" ref="E16">[1]!'2050037_0'</f>
        <v>0</v>
      </c>
      <c r="F16" cm="1">
        <f t="array" ref="F16">[3]!'2050037_0'</f>
        <v>0</v>
      </c>
      <c r="G16" cm="1">
        <f t="array" ref="G16">[13]!'2050037_0'</f>
        <v>0</v>
      </c>
    </row>
    <row r="17" spans="1:7" x14ac:dyDescent="0.25">
      <c r="A17" t="s">
        <v>140</v>
      </c>
      <c r="B17" cm="1">
        <f t="array" ref="B17">[12]!'2050039_0'</f>
        <v>0</v>
      </c>
      <c r="C17" cm="1">
        <f t="array" ref="C17">[4]!'2050039_0'</f>
        <v>0</v>
      </c>
      <c r="D17" cm="1">
        <f t="array" ref="D17">[2]!'2050039_0'</f>
        <v>0</v>
      </c>
      <c r="E17" cm="1">
        <f t="array" ref="E17">[1]!'2050039_0'</f>
        <v>0</v>
      </c>
      <c r="F17" cm="1">
        <f t="array" ref="F17">[3]!'2050039_0'</f>
        <v>0</v>
      </c>
      <c r="G17" cm="1">
        <f t="array" ref="G17">[13]!'2050039_0'</f>
        <v>0</v>
      </c>
    </row>
    <row r="18" spans="1:7" x14ac:dyDescent="0.25">
      <c r="A18" t="s">
        <v>139</v>
      </c>
      <c r="B18" cm="1">
        <f t="array" ref="B18">[12]!'2050041_0'</f>
        <v>0</v>
      </c>
      <c r="C18" cm="1">
        <f t="array" ref="C18">[4]!'2050041_0'</f>
        <v>0</v>
      </c>
      <c r="D18" cm="1">
        <f t="array" ref="D18">[2]!'2050041_0'</f>
        <v>0</v>
      </c>
      <c r="E18" cm="1">
        <f t="array" ref="E18">[1]!'2050041_0'</f>
        <v>0</v>
      </c>
      <c r="F18" cm="1">
        <f t="array" ref="F18">[3]!'2050041_0'</f>
        <v>0</v>
      </c>
      <c r="G18" cm="1">
        <f t="array" ref="G18">[13]!'2050041_0'</f>
        <v>0</v>
      </c>
    </row>
    <row r="19" spans="1:7" x14ac:dyDescent="0.25">
      <c r="A19" t="s">
        <v>138</v>
      </c>
      <c r="B19" cm="1">
        <f t="array" ref="B19">[12]!'2050043_0'</f>
        <v>0</v>
      </c>
      <c r="C19" cm="1">
        <f t="array" ref="C19">[4]!'2050043_0'</f>
        <v>0</v>
      </c>
      <c r="D19" cm="1">
        <f t="array" ref="D19">[2]!'2050043_0'</f>
        <v>0</v>
      </c>
      <c r="E19" cm="1">
        <f t="array" ref="E19">[1]!'2050043_0'</f>
        <v>0</v>
      </c>
      <c r="F19" cm="1">
        <f t="array" ref="F19">[3]!'2050043_0'</f>
        <v>0</v>
      </c>
      <c r="G19" cm="1">
        <f t="array" ref="G19">[13]!'2050043_0'</f>
        <v>0</v>
      </c>
    </row>
    <row r="20" spans="1:7" x14ac:dyDescent="0.25">
      <c r="A20" t="s">
        <v>137</v>
      </c>
      <c r="B20" cm="1">
        <f t="array" ref="B20">[12]!'2050046_0'</f>
        <v>0</v>
      </c>
      <c r="C20" cm="1">
        <f t="array" ref="C20">[4]!'2050046_0'</f>
        <v>0</v>
      </c>
      <c r="D20" cm="1">
        <f t="array" ref="D20">[2]!'2050046_0'</f>
        <v>0</v>
      </c>
      <c r="E20" cm="1">
        <f t="array" ref="E20">[1]!'2050046_0'</f>
        <v>0</v>
      </c>
      <c r="F20" cm="1">
        <f t="array" ref="F20">[3]!'2050046_0'</f>
        <v>0</v>
      </c>
      <c r="G20" cm="1">
        <f t="array" ref="G20">[13]!'2050046_0'</f>
        <v>0</v>
      </c>
    </row>
    <row r="21" spans="1:7" x14ac:dyDescent="0.25">
      <c r="A21" t="s">
        <v>136</v>
      </c>
      <c r="B21" cm="1">
        <f t="array" ref="B21">[12]!'2050048_0'</f>
        <v>0</v>
      </c>
      <c r="C21" cm="1">
        <f t="array" ref="C21">[4]!'2050048_0'</f>
        <v>0</v>
      </c>
      <c r="D21" cm="1">
        <f t="array" ref="D21">[2]!'2050048_0'</f>
        <v>0</v>
      </c>
      <c r="E21" cm="1">
        <f t="array" ref="E21">[1]!'2050048_0'</f>
        <v>0</v>
      </c>
      <c r="F21" cm="1">
        <f t="array" ref="F21">[3]!'2050048_0'</f>
        <v>0</v>
      </c>
      <c r="G21" cm="1">
        <f t="array" ref="G21">[13]!'2050048_0'</f>
        <v>0</v>
      </c>
    </row>
    <row r="22" spans="1:7" x14ac:dyDescent="0.25">
      <c r="A22" t="s">
        <v>135</v>
      </c>
      <c r="B22" cm="1">
        <f t="array" ref="B22">[12]!'2050054_0'</f>
        <v>0</v>
      </c>
      <c r="C22" cm="1">
        <f t="array" ref="C22">[4]!'2050054_0'</f>
        <v>0</v>
      </c>
      <c r="D22" cm="1">
        <f t="array" ref="D22">[2]!'2050054_0'</f>
        <v>0</v>
      </c>
      <c r="E22" cm="1">
        <f t="array" ref="E22">[1]!'2050054_0'</f>
        <v>0</v>
      </c>
      <c r="F22" cm="1">
        <f t="array" ref="F22">[3]!'2050054_0'</f>
        <v>0</v>
      </c>
      <c r="G22" cm="1">
        <f t="array" ref="G22">[13]!'2050054_0'</f>
        <v>0</v>
      </c>
    </row>
    <row r="23" spans="1:7" x14ac:dyDescent="0.25">
      <c r="A23" t="s">
        <v>134</v>
      </c>
      <c r="B23" cm="1">
        <f t="array" ref="B23">[12]!'2050056_0'</f>
        <v>0</v>
      </c>
      <c r="C23" cm="1">
        <f t="array" ref="C23">[4]!'2050056_0'</f>
        <v>0</v>
      </c>
      <c r="D23" cm="1">
        <f t="array" ref="D23">[2]!'2050056_0'</f>
        <v>0</v>
      </c>
      <c r="E23" cm="1">
        <f t="array" ref="E23">[1]!'2050056_0'</f>
        <v>0</v>
      </c>
      <c r="F23" cm="1">
        <f t="array" ref="F23">[3]!'2050056_0'</f>
        <v>0</v>
      </c>
      <c r="G23" cm="1">
        <f t="array" ref="G23">[13]!'2050056_0'</f>
        <v>0</v>
      </c>
    </row>
    <row r="24" spans="1:7" x14ac:dyDescent="0.25">
      <c r="A24" t="s">
        <v>133</v>
      </c>
      <c r="B24" cm="1">
        <f t="array" ref="B24">[12]!'2050058_0'</f>
        <v>0</v>
      </c>
      <c r="C24" cm="1">
        <f t="array" ref="C24">[4]!'2050058_0'</f>
        <v>0</v>
      </c>
      <c r="D24" cm="1">
        <f t="array" ref="D24">[2]!'2050058_0'</f>
        <v>0</v>
      </c>
      <c r="E24" cm="1">
        <f t="array" ref="E24">[1]!'2050058_0'</f>
        <v>0</v>
      </c>
      <c r="F24" cm="1">
        <f t="array" ref="F24">[3]!'2050058_0'</f>
        <v>0</v>
      </c>
      <c r="G24" cm="1">
        <f t="array" ref="G24">[13]!'2050058_0'</f>
        <v>0</v>
      </c>
    </row>
    <row r="25" spans="1:7" x14ac:dyDescent="0.25">
      <c r="A25" t="s">
        <v>132</v>
      </c>
      <c r="B25" cm="1">
        <f t="array" ref="B25">[12]!'2050062_0'</f>
        <v>0</v>
      </c>
      <c r="C25" cm="1">
        <f t="array" ref="C25">[4]!'2050062_0'</f>
        <v>0</v>
      </c>
      <c r="D25" cm="1">
        <f t="array" ref="D25">[2]!'2050062_0'</f>
        <v>0</v>
      </c>
      <c r="E25" cm="1">
        <f t="array" ref="E25">[1]!'2050062_0'</f>
        <v>0</v>
      </c>
      <c r="F25" cm="1">
        <f t="array" ref="F25">[3]!'2050062_0'</f>
        <v>0</v>
      </c>
      <c r="G25" cm="1">
        <f t="array" ref="G25">[13]!'2050062_0'</f>
        <v>0</v>
      </c>
    </row>
    <row r="26" spans="1:7" x14ac:dyDescent="0.25">
      <c r="A26" t="s">
        <v>131</v>
      </c>
      <c r="B26" cm="1">
        <f t="array" ref="B26">[12]!'2050071_0'</f>
        <v>0</v>
      </c>
      <c r="C26" cm="1">
        <f t="array" ref="C26">[4]!'2050071_0'</f>
        <v>0</v>
      </c>
      <c r="D26" cm="1">
        <f t="array" ref="D26">[2]!'2050071_0'</f>
        <v>0</v>
      </c>
      <c r="E26" cm="1">
        <f t="array" ref="E26">[1]!'2050071_0'</f>
        <v>0</v>
      </c>
      <c r="F26" cm="1">
        <f t="array" ref="F26">[3]!'2050071_0'</f>
        <v>0</v>
      </c>
      <c r="G26" cm="1">
        <f t="array" ref="G26">[13]!'2050071_0'</f>
        <v>0</v>
      </c>
    </row>
    <row r="27" spans="1:7" x14ac:dyDescent="0.25">
      <c r="A27" t="s">
        <v>130</v>
      </c>
      <c r="B27" cm="1">
        <f t="array" ref="B27">[12]!'2050074_0'</f>
        <v>0</v>
      </c>
      <c r="C27" cm="1">
        <f t="array" ref="C27">[4]!'2050074_0'</f>
        <v>0</v>
      </c>
      <c r="D27" cm="1">
        <f t="array" ref="D27">[2]!'2050074_0'</f>
        <v>0</v>
      </c>
      <c r="E27" cm="1">
        <f t="array" ref="E27">[1]!'2050074_0'</f>
        <v>0</v>
      </c>
      <c r="F27" cm="1">
        <f t="array" ref="F27">[3]!'2050074_0'</f>
        <v>0</v>
      </c>
      <c r="G27" cm="1">
        <f t="array" ref="G27">[13]!'2050074_0'</f>
        <v>0</v>
      </c>
    </row>
    <row r="28" spans="1:7" x14ac:dyDescent="0.25">
      <c r="A28" t="s">
        <v>129</v>
      </c>
      <c r="B28" cm="1">
        <f t="array" ref="B28">[12]!'2050078_0'</f>
        <v>0</v>
      </c>
      <c r="C28" cm="1">
        <f t="array" ref="C28">[4]!'2050078_0'</f>
        <v>0</v>
      </c>
      <c r="D28" cm="1">
        <f t="array" ref="D28">[2]!'2050078_0'</f>
        <v>0</v>
      </c>
      <c r="E28" cm="1">
        <f t="array" ref="E28">[1]!'2050078_0'</f>
        <v>0</v>
      </c>
      <c r="F28" cm="1">
        <f t="array" ref="F28">[3]!'2050078_0'</f>
        <v>0</v>
      </c>
      <c r="G28" cm="1">
        <f t="array" ref="G28">[13]!'2050078_0'</f>
        <v>0</v>
      </c>
    </row>
    <row r="29" spans="1:7" x14ac:dyDescent="0.25">
      <c r="A29" t="s">
        <v>128</v>
      </c>
      <c r="B29" cm="1">
        <f t="array" ref="B29">[12]!'2050083_0'</f>
        <v>0</v>
      </c>
      <c r="C29" cm="1">
        <f t="array" ref="C29">[4]!'2050083_0'</f>
        <v>0</v>
      </c>
      <c r="D29" cm="1">
        <f t="array" ref="D29">[2]!'2050083_0'</f>
        <v>0</v>
      </c>
      <c r="E29" cm="1">
        <f t="array" ref="E29">[1]!'2050083_0'</f>
        <v>0</v>
      </c>
      <c r="F29" cm="1">
        <f t="array" ref="F29">[3]!'2050083_0'</f>
        <v>0</v>
      </c>
      <c r="G29" cm="1">
        <f t="array" ref="G29">[13]!'2050083_0'</f>
        <v>0</v>
      </c>
    </row>
    <row r="30" spans="1:7" x14ac:dyDescent="0.25">
      <c r="A30" t="s">
        <v>127</v>
      </c>
      <c r="B30" cm="1">
        <f t="array" ref="B30">[12]!'2050085_0'</f>
        <v>0</v>
      </c>
      <c r="C30" cm="1">
        <f t="array" ref="C30">[4]!'2050085_0'</f>
        <v>0</v>
      </c>
      <c r="D30" cm="1">
        <f t="array" ref="D30">[2]!'2050085_0'</f>
        <v>0</v>
      </c>
      <c r="E30" cm="1">
        <f t="array" ref="E30">[1]!'2050085_0'</f>
        <v>0</v>
      </c>
      <c r="F30" cm="1">
        <f t="array" ref="F30">[3]!'2050085_0'</f>
        <v>0</v>
      </c>
      <c r="G30" cm="1">
        <f t="array" ref="G30">[13]!'2050085_0'</f>
        <v>0</v>
      </c>
    </row>
    <row r="31" spans="1:7" x14ac:dyDescent="0.25">
      <c r="A31" t="s">
        <v>126</v>
      </c>
      <c r="B31" cm="1">
        <f t="array" ref="B31">[12]!'2050087_0'</f>
        <v>0</v>
      </c>
      <c r="C31" cm="1">
        <f t="array" ref="C31">[4]!'2050087_0'</f>
        <v>0</v>
      </c>
      <c r="D31" cm="1">
        <f t="array" ref="D31">[2]!'2050087_0'</f>
        <v>0</v>
      </c>
      <c r="E31" cm="1">
        <f t="array" ref="E31">[1]!'2050087_0'</f>
        <v>0</v>
      </c>
      <c r="F31" cm="1">
        <f t="array" ref="F31">[3]!'2050087_0'</f>
        <v>0</v>
      </c>
      <c r="G31" cm="1">
        <f t="array" ref="G31">[13]!'2050087_0'</f>
        <v>0</v>
      </c>
    </row>
    <row r="32" spans="1:7" x14ac:dyDescent="0.25">
      <c r="A32" t="s">
        <v>125</v>
      </c>
      <c r="B32" cm="1">
        <f t="array" ref="B32">[12]!'2050089_0'</f>
        <v>0</v>
      </c>
      <c r="C32" cm="1">
        <f t="array" ref="C32">[4]!'2050089_0'</f>
        <v>0</v>
      </c>
      <c r="D32" cm="1">
        <f t="array" ref="D32">[2]!'2050089_0'</f>
        <v>0</v>
      </c>
      <c r="E32" cm="1">
        <f t="array" ref="E32">[1]!'2050089_0'</f>
        <v>0</v>
      </c>
      <c r="F32" cm="1">
        <f t="array" ref="F32">[3]!'2050089_0'</f>
        <v>0</v>
      </c>
      <c r="G32" cm="1">
        <f t="array" ref="G32">[13]!'2050089_0'</f>
        <v>0</v>
      </c>
    </row>
    <row r="33" spans="1:7" x14ac:dyDescent="0.25">
      <c r="A33" t="s">
        <v>124</v>
      </c>
      <c r="B33" cm="1">
        <f t="array" ref="B33">[12]!'2050092_0'</f>
        <v>0</v>
      </c>
      <c r="C33" cm="1">
        <f t="array" ref="C33">[4]!'2050092_0'</f>
        <v>0</v>
      </c>
      <c r="D33" cm="1">
        <f t="array" ref="D33">[2]!'2050092_0'</f>
        <v>0</v>
      </c>
      <c r="E33" cm="1">
        <f t="array" ref="E33">[1]!'2050092_0'</f>
        <v>0</v>
      </c>
      <c r="F33" cm="1">
        <f t="array" ref="F33">[3]!'2050092_0'</f>
        <v>0</v>
      </c>
      <c r="G33" cm="1">
        <f t="array" ref="G33">[13]!'2050092_0'</f>
        <v>0</v>
      </c>
    </row>
    <row r="34" spans="1:7" x14ac:dyDescent="0.25">
      <c r="A34" t="s">
        <v>123</v>
      </c>
      <c r="B34" cm="1">
        <f t="array" ref="B34">[12]!'2050094_0'</f>
        <v>0</v>
      </c>
      <c r="C34" cm="1">
        <f t="array" ref="C34">[4]!'2050094_0'</f>
        <v>0</v>
      </c>
      <c r="D34" cm="1">
        <f t="array" ref="D34">[2]!'2050094_0'</f>
        <v>0</v>
      </c>
      <c r="E34" cm="1">
        <f t="array" ref="E34">[1]!'2050094_0'</f>
        <v>0</v>
      </c>
      <c r="F34" cm="1">
        <f t="array" ref="F34">[3]!'2050094_0'</f>
        <v>0</v>
      </c>
      <c r="G34" cm="1">
        <f t="array" ref="G34">[13]!'2050094_0'</f>
        <v>0</v>
      </c>
    </row>
    <row r="35" spans="1:7" x14ac:dyDescent="0.25">
      <c r="A35" t="s">
        <v>122</v>
      </c>
      <c r="B35" cm="1">
        <f t="array" ref="B35">[12]!'2050096_0'</f>
        <v>0</v>
      </c>
      <c r="C35" cm="1">
        <f t="array" ref="C35">[4]!'2050096_0'</f>
        <v>0</v>
      </c>
      <c r="D35" cm="1">
        <f t="array" ref="D35">[2]!'2050096_0'</f>
        <v>0</v>
      </c>
      <c r="E35" cm="1">
        <f t="array" ref="E35">[1]!'2050096_0'</f>
        <v>0</v>
      </c>
      <c r="F35" cm="1">
        <f t="array" ref="F35">[3]!'2050096_0'</f>
        <v>0</v>
      </c>
      <c r="G35" cm="1">
        <f t="array" ref="G35">[13]!'2050096_0'</f>
        <v>0</v>
      </c>
    </row>
    <row r="36" spans="1:7" x14ac:dyDescent="0.25">
      <c r="A36" t="s">
        <v>121</v>
      </c>
      <c r="B36" cm="1">
        <f t="array" ref="B36">[12]!'2050098_0'</f>
        <v>0</v>
      </c>
      <c r="C36" cm="1">
        <f t="array" ref="C36">[4]!'2050098_0'</f>
        <v>0</v>
      </c>
      <c r="D36" cm="1">
        <f t="array" ref="D36">[2]!'2050098_0'</f>
        <v>0</v>
      </c>
      <c r="E36" cm="1">
        <f t="array" ref="E36">[1]!'2050098_0'</f>
        <v>0</v>
      </c>
      <c r="F36" cm="1">
        <f t="array" ref="F36">[3]!'2050098_0'</f>
        <v>0</v>
      </c>
      <c r="G36" cm="1">
        <f t="array" ref="G36">[13]!'2050098_0'</f>
        <v>0</v>
      </c>
    </row>
    <row r="37" spans="1:7" x14ac:dyDescent="0.25">
      <c r="A37" t="s">
        <v>120</v>
      </c>
      <c r="B37" cm="1">
        <f t="array" ref="B37">[12]!'2050100_0'</f>
        <v>0</v>
      </c>
      <c r="C37" cm="1">
        <f t="array" ref="C37">[4]!'2050100_0'</f>
        <v>0</v>
      </c>
      <c r="D37" cm="1">
        <f t="array" ref="D37">[2]!'2050100_0'</f>
        <v>0</v>
      </c>
      <c r="E37" cm="1">
        <f t="array" ref="E37">[1]!'2050100_0'</f>
        <v>0</v>
      </c>
      <c r="F37" cm="1">
        <f t="array" ref="F37">[3]!'2050100_0'</f>
        <v>0</v>
      </c>
      <c r="G37" cm="1">
        <f t="array" ref="G37">[13]!'2050100_0'</f>
        <v>0</v>
      </c>
    </row>
    <row r="38" spans="1:7" x14ac:dyDescent="0.25">
      <c r="A38" t="s">
        <v>119</v>
      </c>
      <c r="B38" cm="1">
        <f t="array" ref="B38">[12]!'2050102_0'</f>
        <v>0</v>
      </c>
      <c r="C38" cm="1">
        <f t="array" ref="C38">[4]!'2050102_0'</f>
        <v>0</v>
      </c>
      <c r="D38" cm="1">
        <f t="array" ref="D38">[2]!'2050102_0'</f>
        <v>0</v>
      </c>
      <c r="E38" cm="1">
        <f t="array" ref="E38">[1]!'2050102_0'</f>
        <v>0</v>
      </c>
      <c r="F38" cm="1">
        <f t="array" ref="F38">[3]!'2050102_0'</f>
        <v>0</v>
      </c>
      <c r="G38" cm="1">
        <f t="array" ref="G38">[13]!'2050102_0'</f>
        <v>0</v>
      </c>
    </row>
    <row r="39" spans="1:7" x14ac:dyDescent="0.25">
      <c r="A39" t="s">
        <v>118</v>
      </c>
      <c r="B39" cm="1">
        <f t="array" ref="B39">[12]!'2050104_0'</f>
        <v>0</v>
      </c>
      <c r="C39" cm="1">
        <f t="array" ref="C39">[4]!'2050104_0'</f>
        <v>0</v>
      </c>
      <c r="D39" cm="1">
        <f t="array" ref="D39">[2]!'2050104_0'</f>
        <v>0</v>
      </c>
      <c r="E39" cm="1">
        <f t="array" ref="E39">[1]!'2050104_0'</f>
        <v>0</v>
      </c>
      <c r="F39" cm="1">
        <f t="array" ref="F39">[3]!'2050104_0'</f>
        <v>0</v>
      </c>
      <c r="G39" cm="1">
        <f t="array" ref="G39">[13]!'2050104_0'</f>
        <v>0</v>
      </c>
    </row>
    <row r="40" spans="1:7" x14ac:dyDescent="0.25">
      <c r="A40" t="s">
        <v>117</v>
      </c>
      <c r="B40" cm="1">
        <f t="array" ref="B40">[12]!'2050106_0'</f>
        <v>0</v>
      </c>
      <c r="C40" cm="1">
        <f t="array" ref="C40">[4]!'2050106_0'</f>
        <v>0</v>
      </c>
      <c r="D40" cm="1">
        <f t="array" ref="D40">[2]!'2050106_0'</f>
        <v>0</v>
      </c>
      <c r="E40" cm="1">
        <f t="array" ref="E40">[1]!'2050106_0'</f>
        <v>0</v>
      </c>
      <c r="F40" cm="1">
        <f t="array" ref="F40">[3]!'2050106_0'</f>
        <v>0</v>
      </c>
      <c r="G40" cm="1">
        <f t="array" ref="G40">[13]!'2050106_0'</f>
        <v>0</v>
      </c>
    </row>
    <row r="41" spans="1:7" x14ac:dyDescent="0.25">
      <c r="A41" t="s">
        <v>116</v>
      </c>
      <c r="B41" cm="1">
        <f t="array" ref="B41">[12]!'2050111_0'</f>
        <v>0</v>
      </c>
      <c r="C41" cm="1">
        <f t="array" ref="C41">[4]!'2050111_0'</f>
        <v>0</v>
      </c>
      <c r="D41" cm="1">
        <f t="array" ref="D41">[2]!'2050111_0'</f>
        <v>0</v>
      </c>
      <c r="E41" cm="1">
        <f t="array" ref="E41">[1]!'2050111_0'</f>
        <v>0</v>
      </c>
      <c r="F41" cm="1">
        <f t="array" ref="F41">[3]!'2050111_0'</f>
        <v>0</v>
      </c>
      <c r="G41" cm="1">
        <f t="array" ref="G41">[13]!'2050111_0'</f>
        <v>0</v>
      </c>
    </row>
    <row r="42" spans="1:7" x14ac:dyDescent="0.25">
      <c r="A42" t="s">
        <v>115</v>
      </c>
      <c r="B42" cm="1">
        <f t="array" ref="B42">[12]!'2050114_0'</f>
        <v>0</v>
      </c>
      <c r="C42" cm="1">
        <f t="array" ref="C42">[4]!'2050114_0'</f>
        <v>0</v>
      </c>
      <c r="D42" cm="1">
        <f t="array" ref="D42">[2]!'2050114_0'</f>
        <v>0</v>
      </c>
      <c r="E42" cm="1">
        <f t="array" ref="E42">[1]!'2050114_0'</f>
        <v>0</v>
      </c>
      <c r="F42" cm="1">
        <f t="array" ref="F42">[3]!'2050114_0'</f>
        <v>0</v>
      </c>
      <c r="G42" cm="1">
        <f t="array" ref="G42">[13]!'2050114_0'</f>
        <v>0</v>
      </c>
    </row>
  </sheetData>
  <sortState xmlns:xlrd2="http://schemas.microsoft.com/office/spreadsheetml/2017/richdata2" ref="A2:G42">
    <sortCondition ref="A1:A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65D-EE25-4FE1-9425-E0712A5ACD26}">
  <dimension ref="A1:G42"/>
  <sheetViews>
    <sheetView workbookViewId="0">
      <selection activeCell="B2" sqref="B2:E42"/>
    </sheetView>
  </sheetViews>
  <sheetFormatPr defaultColWidth="8.85546875" defaultRowHeight="15" x14ac:dyDescent="0.25"/>
  <cols>
    <col min="1" max="1" width="18.85546875" bestFit="1" customWidth="1"/>
  </cols>
  <sheetData>
    <row r="1" spans="1:7" x14ac:dyDescent="0.25">
      <c r="A1" s="45" t="s">
        <v>12</v>
      </c>
      <c r="B1" s="45" t="s">
        <v>0</v>
      </c>
      <c r="C1" s="45" t="s">
        <v>4</v>
      </c>
      <c r="D1" s="45" t="s">
        <v>7</v>
      </c>
      <c r="E1" t="s">
        <v>23</v>
      </c>
      <c r="F1" s="45" t="s">
        <v>6</v>
      </c>
      <c r="G1" s="45" t="s">
        <v>66</v>
      </c>
    </row>
    <row r="2" spans="1:7" x14ac:dyDescent="0.25">
      <c r="A2" t="s">
        <v>114</v>
      </c>
      <c r="B2" cm="1">
        <f t="array" ref="B2">[1]!'2049984_0'</f>
        <v>0</v>
      </c>
      <c r="C2" cm="1">
        <f t="array" ref="C2">[2]!'2049984_0'</f>
        <v>0</v>
      </c>
      <c r="D2" cm="1">
        <f t="array" ref="D2">[4]!'2049984_0'</f>
        <v>0</v>
      </c>
      <c r="E2" cm="1">
        <f t="array" ref="E2">[12]!'2049984_0'</f>
        <v>0</v>
      </c>
      <c r="F2" cm="1">
        <f t="array" ref="F2">[3]!'2049984_0'</f>
        <v>0</v>
      </c>
      <c r="G2" cm="1">
        <f t="array" ref="G2">[13]!'2049984_0'</f>
        <v>0</v>
      </c>
    </row>
    <row r="3" spans="1:7" x14ac:dyDescent="0.25">
      <c r="A3" t="s">
        <v>113</v>
      </c>
      <c r="B3" cm="1">
        <f t="array" ref="B3">[1]!'2049988_0'</f>
        <v>0</v>
      </c>
      <c r="C3" cm="1">
        <f t="array" ref="C3">[2]!'2049988_0'</f>
        <v>0</v>
      </c>
      <c r="D3" cm="1">
        <f t="array" ref="D3">[4]!'2049988_0'</f>
        <v>0</v>
      </c>
      <c r="E3" cm="1">
        <f t="array" ref="E3">[12]!'2049988_0'</f>
        <v>0</v>
      </c>
      <c r="F3" cm="1">
        <f t="array" ref="F3">[3]!'2049988_0'</f>
        <v>0</v>
      </c>
      <c r="G3" cm="1">
        <f t="array" ref="G3">[13]!'2049988_0'</f>
        <v>0</v>
      </c>
    </row>
    <row r="4" spans="1:7" x14ac:dyDescent="0.25">
      <c r="A4" t="s">
        <v>112</v>
      </c>
      <c r="B4" cm="1">
        <f t="array" ref="B4">[1]!'2049990_0'</f>
        <v>0</v>
      </c>
      <c r="C4" cm="1">
        <f t="array" ref="C4">[2]!'2049990_0'</f>
        <v>0</v>
      </c>
      <c r="D4" cm="1">
        <f t="array" ref="D4">[4]!'2049990_0'</f>
        <v>0</v>
      </c>
      <c r="E4" cm="1">
        <f t="array" ref="E4">[12]!'2049990_0'</f>
        <v>0</v>
      </c>
      <c r="F4" cm="1">
        <f t="array" ref="F4">[3]!'2049990_0'</f>
        <v>0</v>
      </c>
      <c r="G4" cm="1">
        <f t="array" ref="G4">[13]!'2049990_0'</f>
        <v>0</v>
      </c>
    </row>
    <row r="5" spans="1:7" x14ac:dyDescent="0.25">
      <c r="A5" t="s">
        <v>111</v>
      </c>
      <c r="B5" cm="1">
        <f t="array" ref="B5">[1]!'2049992_0'</f>
        <v>0</v>
      </c>
      <c r="C5" cm="1">
        <f t="array" ref="C5">[2]!'2049992_0'</f>
        <v>0</v>
      </c>
      <c r="D5" cm="1">
        <f t="array" ref="D5">[4]!'2049992_0'</f>
        <v>0</v>
      </c>
      <c r="E5" cm="1">
        <f t="array" ref="E5">[12]!'2049992_0'</f>
        <v>0</v>
      </c>
      <c r="F5" cm="1">
        <f t="array" ref="F5">[3]!'2049992_0'</f>
        <v>0</v>
      </c>
      <c r="G5" cm="1">
        <f t="array" ref="G5">[13]!'2049992_0'</f>
        <v>0</v>
      </c>
    </row>
    <row r="6" spans="1:7" x14ac:dyDescent="0.25">
      <c r="A6" t="s">
        <v>110</v>
      </c>
      <c r="B6" cm="1">
        <f t="array" ref="B6">[1]!'2049994_0'</f>
        <v>0</v>
      </c>
      <c r="C6" cm="1">
        <f t="array" ref="C6">[2]!'2049994_0'</f>
        <v>0</v>
      </c>
      <c r="D6" cm="1">
        <f t="array" ref="D6">[4]!'2049994_0'</f>
        <v>0</v>
      </c>
      <c r="E6" cm="1">
        <f t="array" ref="E6">[12]!'2049994_0'</f>
        <v>0</v>
      </c>
      <c r="F6" cm="1">
        <f t="array" ref="F6">[3]!'2049994_0'</f>
        <v>0</v>
      </c>
      <c r="G6" cm="1">
        <f t="array" ref="G6">[13]!'2049994_0'</f>
        <v>0</v>
      </c>
    </row>
    <row r="7" spans="1:7" x14ac:dyDescent="0.25">
      <c r="A7" t="s">
        <v>109</v>
      </c>
      <c r="B7" cm="1">
        <f t="array" ref="B7">[1]!'2049998_0'</f>
        <v>0</v>
      </c>
      <c r="C7" cm="1">
        <f t="array" ref="C7">[2]!'2049998_0'</f>
        <v>0</v>
      </c>
      <c r="D7" cm="1">
        <f t="array" ref="D7">[4]!'2049998_0'</f>
        <v>0</v>
      </c>
      <c r="E7" cm="1">
        <f t="array" ref="E7">[12]!'2049998_0'</f>
        <v>0</v>
      </c>
      <c r="F7" cm="1">
        <f t="array" ref="F7">[3]!'2049998_0'</f>
        <v>0</v>
      </c>
      <c r="G7" cm="1">
        <f t="array" ref="G7">[13]!'2049998_0'</f>
        <v>0</v>
      </c>
    </row>
    <row r="8" spans="1:7" x14ac:dyDescent="0.25">
      <c r="A8" t="s">
        <v>108</v>
      </c>
      <c r="B8" cm="1">
        <f t="array" ref="B8">[1]!'2050004_0'</f>
        <v>0</v>
      </c>
      <c r="C8" cm="1">
        <f t="array" ref="C8">[2]!'2050004_0'</f>
        <v>0</v>
      </c>
      <c r="D8" cm="1">
        <f t="array" ref="D8">[4]!'2050004_0'</f>
        <v>0</v>
      </c>
      <c r="E8" cm="1">
        <f t="array" ref="E8">[12]!'2050004_0'</f>
        <v>0</v>
      </c>
      <c r="F8" cm="1">
        <f t="array" ref="F8">[3]!'2050004_0'</f>
        <v>0</v>
      </c>
      <c r="G8" cm="1">
        <f t="array" ref="G8">[13]!'2050004_0'</f>
        <v>0</v>
      </c>
    </row>
    <row r="9" spans="1:7" x14ac:dyDescent="0.25">
      <c r="A9" t="s">
        <v>107</v>
      </c>
      <c r="B9" cm="1">
        <f t="array" ref="B9">[1]!'2050008_0'</f>
        <v>0</v>
      </c>
      <c r="C9" cm="1">
        <f t="array" ref="C9">[2]!'2050008_0'</f>
        <v>0</v>
      </c>
      <c r="D9" cm="1">
        <f t="array" ref="D9">[4]!'2050008_0'</f>
        <v>0</v>
      </c>
      <c r="E9" cm="1">
        <f t="array" ref="E9">[12]!'2050008_0'</f>
        <v>0</v>
      </c>
      <c r="F9" cm="1">
        <f t="array" ref="F9">[3]!'2050008_0'</f>
        <v>0</v>
      </c>
      <c r="G9" cm="1">
        <f t="array" ref="G9">[13]!'2050008_0'</f>
        <v>0</v>
      </c>
    </row>
    <row r="10" spans="1:7" x14ac:dyDescent="0.25">
      <c r="A10" t="s">
        <v>106</v>
      </c>
      <c r="B10" cm="1">
        <f t="array" ref="B10">[1]!'2050012_0'</f>
        <v>0</v>
      </c>
      <c r="C10" cm="1">
        <f t="array" ref="C10">[2]!'2050012_0'</f>
        <v>0</v>
      </c>
      <c r="D10" cm="1">
        <f t="array" ref="D10">[4]!'2050012_0'</f>
        <v>0</v>
      </c>
      <c r="E10" cm="1">
        <f t="array" ref="E10">[12]!'2050012_0'</f>
        <v>0</v>
      </c>
      <c r="F10" cm="1">
        <f t="array" ref="F10">[3]!'2050012_0'</f>
        <v>0</v>
      </c>
      <c r="G10" cm="1">
        <f t="array" ref="G10">[13]!'2050012_0'</f>
        <v>0</v>
      </c>
    </row>
    <row r="11" spans="1:7" x14ac:dyDescent="0.25">
      <c r="A11" t="s">
        <v>105</v>
      </c>
      <c r="B11" cm="1">
        <f t="array" ref="B11">[1]!'2050016_0'</f>
        <v>0</v>
      </c>
      <c r="C11" cm="1">
        <f t="array" ref="C11">[2]!'2050016_0'</f>
        <v>0</v>
      </c>
      <c r="D11" cm="1">
        <f t="array" ref="D11">[4]!'2050016_0'</f>
        <v>0</v>
      </c>
      <c r="E11" cm="1">
        <f t="array" ref="E11">[12]!'2050016_0'</f>
        <v>0</v>
      </c>
      <c r="F11" cm="1">
        <f t="array" ref="F11">[3]!'2050016_0'</f>
        <v>0</v>
      </c>
      <c r="G11" cm="1">
        <f t="array" ref="G11">[13]!'2050016_0'</f>
        <v>0</v>
      </c>
    </row>
    <row r="12" spans="1:7" x14ac:dyDescent="0.25">
      <c r="A12" t="s">
        <v>104</v>
      </c>
      <c r="B12" cm="1">
        <f t="array" ref="B12">[1]!'2050022_0'</f>
        <v>0</v>
      </c>
      <c r="C12" cm="1">
        <f t="array" ref="C12">[2]!'2050022_0'</f>
        <v>0</v>
      </c>
      <c r="D12" cm="1">
        <f t="array" ref="D12">[4]!'2050022_0'</f>
        <v>0</v>
      </c>
      <c r="E12" cm="1">
        <f t="array" ref="E12">[12]!'2050022_0'</f>
        <v>0</v>
      </c>
      <c r="F12" cm="1">
        <f t="array" ref="F12">[3]!'2050022_0'</f>
        <v>0</v>
      </c>
      <c r="G12" cm="1">
        <f t="array" ref="G12">[13]!'2050022_0'</f>
        <v>0</v>
      </c>
    </row>
    <row r="13" spans="1:7" x14ac:dyDescent="0.25">
      <c r="A13" t="s">
        <v>103</v>
      </c>
      <c r="B13" cm="1">
        <f t="array" ref="B13">[1]!'2050026_0'</f>
        <v>0</v>
      </c>
      <c r="C13" cm="1">
        <f t="array" ref="C13">[2]!'2050026_0'</f>
        <v>0</v>
      </c>
      <c r="D13" cm="1">
        <f t="array" ref="D13">[4]!'2050026_0'</f>
        <v>0</v>
      </c>
      <c r="E13" cm="1">
        <f t="array" ref="E13">[12]!'2050026_0'</f>
        <v>0</v>
      </c>
      <c r="F13" cm="1">
        <f t="array" ref="F13">[3]!'2050026_0'</f>
        <v>0</v>
      </c>
      <c r="G13" cm="1">
        <f t="array" ref="G13">[13]!'2050026_0'</f>
        <v>0</v>
      </c>
    </row>
    <row r="14" spans="1:7" x14ac:dyDescent="0.25">
      <c r="A14" t="s">
        <v>102</v>
      </c>
      <c r="B14" cm="1">
        <f t="array" ref="B14">[1]!'2050030_0'</f>
        <v>0</v>
      </c>
      <c r="C14" cm="1">
        <f t="array" ref="C14">[2]!'2050030_0'</f>
        <v>0</v>
      </c>
      <c r="D14" cm="1">
        <f t="array" ref="D14">[4]!'2050030_0'</f>
        <v>0</v>
      </c>
      <c r="E14" cm="1">
        <f t="array" ref="E14">[12]!'2050030_0'</f>
        <v>0</v>
      </c>
      <c r="F14" cm="1">
        <f t="array" ref="F14">[3]!'2050030_0'</f>
        <v>0</v>
      </c>
      <c r="G14" cm="1">
        <f t="array" ref="G14">[13]!'2050030_0'</f>
        <v>0</v>
      </c>
    </row>
    <row r="15" spans="1:7" x14ac:dyDescent="0.25">
      <c r="A15" t="s">
        <v>101</v>
      </c>
      <c r="B15" cm="1">
        <f t="array" ref="B15">[1]!'2050036_0'</f>
        <v>0</v>
      </c>
      <c r="C15" cm="1">
        <f t="array" ref="C15">[2]!'2050036_0'</f>
        <v>0</v>
      </c>
      <c r="D15" cm="1">
        <f t="array" ref="D15">[4]!'2050036_0'</f>
        <v>0</v>
      </c>
      <c r="E15" cm="1">
        <f t="array" ref="E15">[12]!'2050036_0'</f>
        <v>0</v>
      </c>
      <c r="F15" cm="1">
        <f t="array" ref="F15">[3]!'2050036_0'</f>
        <v>0</v>
      </c>
      <c r="G15" cm="1">
        <f t="array" ref="G15">[13]!'2050036_0'</f>
        <v>0</v>
      </c>
    </row>
    <row r="16" spans="1:7" x14ac:dyDescent="0.25">
      <c r="A16" t="s">
        <v>100</v>
      </c>
      <c r="B16" cm="1">
        <f t="array" ref="B16">[1]!'2050038_0'</f>
        <v>0</v>
      </c>
      <c r="C16" cm="1">
        <f t="array" ref="C16">[2]!'2050038_0'</f>
        <v>0</v>
      </c>
      <c r="D16" cm="1">
        <f t="array" ref="D16">[4]!'2050038_0'</f>
        <v>0</v>
      </c>
      <c r="E16" cm="1">
        <f t="array" ref="E16">[12]!'2050038_0'</f>
        <v>0</v>
      </c>
      <c r="F16" cm="1">
        <f t="array" ref="F16">[3]!'2050038_0'</f>
        <v>0</v>
      </c>
      <c r="G16" cm="1">
        <f t="array" ref="G16">[13]!'2050038_0'</f>
        <v>0</v>
      </c>
    </row>
    <row r="17" spans="1:7" x14ac:dyDescent="0.25">
      <c r="A17" t="s">
        <v>99</v>
      </c>
      <c r="B17" cm="1">
        <f t="array" ref="B17">[1]!'2050040_0'</f>
        <v>0</v>
      </c>
      <c r="C17" cm="1">
        <f t="array" ref="C17">[2]!'2050040_0'</f>
        <v>0</v>
      </c>
      <c r="D17" cm="1">
        <f t="array" ref="D17">[4]!'2050040_0'</f>
        <v>0</v>
      </c>
      <c r="E17" cm="1">
        <f t="array" ref="E17">[12]!'2050040_0'</f>
        <v>0</v>
      </c>
      <c r="F17" cm="1">
        <f t="array" ref="F17">[3]!'2050040_0'</f>
        <v>0</v>
      </c>
      <c r="G17" cm="1">
        <f t="array" ref="G17">[13]!'2050040_0'</f>
        <v>0</v>
      </c>
    </row>
    <row r="18" spans="1:7" x14ac:dyDescent="0.25">
      <c r="A18" t="s">
        <v>98</v>
      </c>
      <c r="B18" cm="1">
        <f t="array" ref="B18">[1]!'2050042_0'</f>
        <v>0</v>
      </c>
      <c r="C18" cm="1">
        <f t="array" ref="C18">[2]!'2050042_0'</f>
        <v>0</v>
      </c>
      <c r="D18" cm="1">
        <f t="array" ref="D18">[4]!'2050042_0'</f>
        <v>0</v>
      </c>
      <c r="E18" cm="1">
        <f t="array" ref="E18">[12]!'2050042_0'</f>
        <v>0</v>
      </c>
      <c r="F18" cm="1">
        <f t="array" ref="F18">[3]!'2050042_0'</f>
        <v>0</v>
      </c>
      <c r="G18" cm="1">
        <f t="array" ref="G18">[13]!'2050042_0'</f>
        <v>0</v>
      </c>
    </row>
    <row r="19" spans="1:7" x14ac:dyDescent="0.25">
      <c r="A19" t="s">
        <v>97</v>
      </c>
      <c r="B19" cm="1">
        <f t="array" ref="B19">[1]!'2050044_0'</f>
        <v>0</v>
      </c>
      <c r="C19" cm="1">
        <f t="array" ref="C19">[2]!'2050044_0'</f>
        <v>0</v>
      </c>
      <c r="D19" cm="1">
        <f t="array" ref="D19">[4]!'2050044_0'</f>
        <v>0</v>
      </c>
      <c r="E19" cm="1">
        <f t="array" ref="E19">[12]!'2050044_0'</f>
        <v>0</v>
      </c>
      <c r="F19" cm="1">
        <f t="array" ref="F19">[3]!'2050044_0'</f>
        <v>0</v>
      </c>
      <c r="G19" cm="1">
        <f t="array" ref="G19">[13]!'2050044_0'</f>
        <v>0</v>
      </c>
    </row>
    <row r="20" spans="1:7" x14ac:dyDescent="0.25">
      <c r="A20" t="s">
        <v>96</v>
      </c>
      <c r="B20" cm="1">
        <f t="array" ref="B20">[1]!'2050047_0'</f>
        <v>0</v>
      </c>
      <c r="C20" cm="1">
        <f t="array" ref="C20">[2]!'2050047_0'</f>
        <v>0</v>
      </c>
      <c r="D20" cm="1">
        <f t="array" ref="D20">[4]!'2050047_0'</f>
        <v>0</v>
      </c>
      <c r="E20" cm="1">
        <f t="array" ref="E20">[12]!'2050047_0'</f>
        <v>0</v>
      </c>
      <c r="F20" cm="1">
        <f t="array" ref="F20">[3]!'2050047_0'</f>
        <v>0</v>
      </c>
      <c r="G20" cm="1">
        <f t="array" ref="G20">[13]!'2050047_0'</f>
        <v>0</v>
      </c>
    </row>
    <row r="21" spans="1:7" x14ac:dyDescent="0.25">
      <c r="A21" t="s">
        <v>95</v>
      </c>
      <c r="B21" cm="1">
        <f t="array" ref="B21">[1]!'2050049_0'</f>
        <v>0</v>
      </c>
      <c r="C21" cm="1">
        <f t="array" ref="C21">[2]!'2050049_0'</f>
        <v>0</v>
      </c>
      <c r="D21" cm="1">
        <f t="array" ref="D21">[4]!'2050049_0'</f>
        <v>0</v>
      </c>
      <c r="E21" cm="1">
        <f t="array" ref="E21">[12]!'2050049_0'</f>
        <v>0</v>
      </c>
      <c r="F21" cm="1">
        <f t="array" ref="F21">[3]!'2050049_0'</f>
        <v>0</v>
      </c>
      <c r="G21" cm="1">
        <f t="array" ref="G21">[13]!'2050049_0'</f>
        <v>0</v>
      </c>
    </row>
    <row r="22" spans="1:7" x14ac:dyDescent="0.25">
      <c r="A22" t="s">
        <v>94</v>
      </c>
      <c r="B22" cm="1">
        <f t="array" ref="B22">[1]!'2050055_0'</f>
        <v>0</v>
      </c>
      <c r="C22" cm="1">
        <f t="array" ref="C22">[2]!'2050055_0'</f>
        <v>0</v>
      </c>
      <c r="D22" cm="1">
        <f t="array" ref="D22">[4]!'2050055_0'</f>
        <v>0</v>
      </c>
      <c r="E22" cm="1">
        <f t="array" ref="E22">[12]!'2050055_0'</f>
        <v>0</v>
      </c>
      <c r="F22" cm="1">
        <f t="array" ref="F22">[3]!'2050055_0'</f>
        <v>0</v>
      </c>
      <c r="G22" cm="1">
        <f t="array" ref="G22">[13]!'2050055_0'</f>
        <v>0</v>
      </c>
    </row>
    <row r="23" spans="1:7" x14ac:dyDescent="0.25">
      <c r="A23" t="s">
        <v>93</v>
      </c>
      <c r="B23" cm="1">
        <f t="array" ref="B23">[1]!'2050057_0'</f>
        <v>0</v>
      </c>
      <c r="C23" cm="1">
        <f t="array" ref="C23">[2]!'2050057_0'</f>
        <v>0</v>
      </c>
      <c r="D23" cm="1">
        <f t="array" ref="D23">[4]!'2050057_0'</f>
        <v>0</v>
      </c>
      <c r="E23" cm="1">
        <f t="array" ref="E23">[12]!'2050057_0'</f>
        <v>0</v>
      </c>
      <c r="F23" cm="1">
        <f t="array" ref="F23">[3]!'2050057_0'</f>
        <v>0</v>
      </c>
      <c r="G23" cm="1">
        <f t="array" ref="G23">[13]!'2050057_0'</f>
        <v>0</v>
      </c>
    </row>
    <row r="24" spans="1:7" x14ac:dyDescent="0.25">
      <c r="A24" t="s">
        <v>92</v>
      </c>
      <c r="B24" cm="1">
        <f t="array" ref="B24">[1]!'2050059_0'</f>
        <v>0</v>
      </c>
      <c r="C24" cm="1">
        <f t="array" ref="C24">[2]!'2050059_0'</f>
        <v>0</v>
      </c>
      <c r="D24" cm="1">
        <f t="array" ref="D24">[4]!'2050059_0'</f>
        <v>0</v>
      </c>
      <c r="E24" cm="1">
        <f t="array" ref="E24">[12]!'2050059_0'</f>
        <v>0</v>
      </c>
      <c r="F24" cm="1">
        <f t="array" ref="F24">[3]!'2050059_0'</f>
        <v>0</v>
      </c>
      <c r="G24" cm="1">
        <f t="array" ref="G24">[13]!'2050059_0'</f>
        <v>0</v>
      </c>
    </row>
    <row r="25" spans="1:7" x14ac:dyDescent="0.25">
      <c r="A25" t="s">
        <v>91</v>
      </c>
      <c r="B25" cm="1">
        <f t="array" ref="B25">[1]!'2050070_0'</f>
        <v>0</v>
      </c>
      <c r="C25" cm="1">
        <f t="array" ref="C25">[2]!'2050070_0'</f>
        <v>0</v>
      </c>
      <c r="D25" cm="1">
        <f t="array" ref="D25">[4]!'2050070_0'</f>
        <v>0</v>
      </c>
      <c r="E25" cm="1">
        <f t="array" ref="E25">[12]!'2050070_0'</f>
        <v>0</v>
      </c>
      <c r="F25" cm="1">
        <f t="array" ref="F25">[3]!'2050070_0'</f>
        <v>0</v>
      </c>
      <c r="G25" cm="1">
        <f t="array" ref="G25">[13]!'2050070_0'</f>
        <v>0</v>
      </c>
    </row>
    <row r="26" spans="1:7" x14ac:dyDescent="0.25">
      <c r="A26" t="s">
        <v>90</v>
      </c>
      <c r="B26" cm="1">
        <f t="array" ref="B26">[1]!'2050072_0'</f>
        <v>0</v>
      </c>
      <c r="C26" cm="1">
        <f t="array" ref="C26">[2]!'2050072_0'</f>
        <v>0</v>
      </c>
      <c r="D26" cm="1">
        <f t="array" ref="D26">[4]!'2050072_0'</f>
        <v>0</v>
      </c>
      <c r="E26" cm="1">
        <f t="array" ref="E26">[12]!'2050072_0'</f>
        <v>0</v>
      </c>
      <c r="F26" cm="1">
        <f t="array" ref="F26">[3]!'2050072_0'</f>
        <v>0</v>
      </c>
      <c r="G26" cm="1">
        <f t="array" ref="G26">[13]!'2050072_0'</f>
        <v>0</v>
      </c>
    </row>
    <row r="27" spans="1:7" x14ac:dyDescent="0.25">
      <c r="A27" t="s">
        <v>89</v>
      </c>
      <c r="B27" cm="1">
        <f t="array" ref="B27">[1]!'2050077_0'</f>
        <v>0</v>
      </c>
      <c r="C27" cm="1">
        <f t="array" ref="C27">[2]!'2050077_0'</f>
        <v>0</v>
      </c>
      <c r="D27" cm="1">
        <f t="array" ref="D27">[4]!'2050077_0'</f>
        <v>0</v>
      </c>
      <c r="E27" cm="1">
        <f t="array" ref="E27">[12]!'2050077_0'</f>
        <v>0</v>
      </c>
      <c r="F27" cm="1">
        <f t="array" ref="F27">[3]!'2050077_0'</f>
        <v>0</v>
      </c>
      <c r="G27" cm="1">
        <f t="array" ref="G27">[13]!'2050077_0'</f>
        <v>0</v>
      </c>
    </row>
    <row r="28" spans="1:7" x14ac:dyDescent="0.25">
      <c r="A28" t="s">
        <v>88</v>
      </c>
      <c r="B28" cm="1">
        <f t="array" ref="B28">[1]!'2050079_0'</f>
        <v>0</v>
      </c>
      <c r="C28" cm="1">
        <f t="array" ref="C28">[2]!'2050079_0'</f>
        <v>0</v>
      </c>
      <c r="D28" cm="1">
        <f t="array" ref="D28">[4]!'2050079_0'</f>
        <v>0</v>
      </c>
      <c r="E28" cm="1">
        <f t="array" ref="E28">[12]!'2050079_0'</f>
        <v>0</v>
      </c>
      <c r="F28" cm="1">
        <f t="array" ref="F28">[3]!'2050079_0'</f>
        <v>0</v>
      </c>
      <c r="G28" cm="1">
        <f t="array" ref="G28">[13]!'2050079_0'</f>
        <v>0</v>
      </c>
    </row>
    <row r="29" spans="1:7" x14ac:dyDescent="0.25">
      <c r="A29" t="s">
        <v>87</v>
      </c>
      <c r="B29" cm="1">
        <f t="array" ref="B29">[1]!'2050084_0'</f>
        <v>0</v>
      </c>
      <c r="C29" cm="1">
        <f t="array" ref="C29">[2]!'2050084_0'</f>
        <v>0</v>
      </c>
      <c r="D29" cm="1">
        <f t="array" ref="D29">[4]!'2050084_0'</f>
        <v>0</v>
      </c>
      <c r="E29" cm="1">
        <f t="array" ref="E29">[12]!'2050084_0'</f>
        <v>0</v>
      </c>
      <c r="F29" cm="1">
        <f t="array" ref="F29">[3]!'2050084_0'</f>
        <v>0</v>
      </c>
      <c r="G29" cm="1">
        <f t="array" ref="G29">[13]!'2050084_0'</f>
        <v>0</v>
      </c>
    </row>
    <row r="30" spans="1:7" x14ac:dyDescent="0.25">
      <c r="A30" t="s">
        <v>86</v>
      </c>
      <c r="B30" cm="1">
        <f t="array" ref="B30">[1]!'2050086_0'</f>
        <v>0</v>
      </c>
      <c r="C30" cm="1">
        <f t="array" ref="C30">[2]!'2050086_0'</f>
        <v>0</v>
      </c>
      <c r="D30" cm="1">
        <f t="array" ref="D30">[4]!'2050086_0'</f>
        <v>0</v>
      </c>
      <c r="E30" cm="1">
        <f t="array" ref="E30">[12]!'2050086_0'</f>
        <v>0</v>
      </c>
      <c r="F30" cm="1">
        <f t="array" ref="F30">[3]!'2050086_0'</f>
        <v>0</v>
      </c>
      <c r="G30" cm="1">
        <f t="array" ref="G30">[13]!'2050086_0'</f>
        <v>0</v>
      </c>
    </row>
    <row r="31" spans="1:7" x14ac:dyDescent="0.25">
      <c r="A31" t="s">
        <v>85</v>
      </c>
      <c r="B31" cm="1">
        <f t="array" ref="B31">[1]!'2050088_0'</f>
        <v>0</v>
      </c>
      <c r="C31" cm="1">
        <f t="array" ref="C31">[2]!'2050088_0'</f>
        <v>0</v>
      </c>
      <c r="D31" cm="1">
        <f t="array" ref="D31">[4]!'2050088_0'</f>
        <v>0</v>
      </c>
      <c r="E31" cm="1">
        <f t="array" ref="E31">[12]!'2050088_0'</f>
        <v>0</v>
      </c>
      <c r="F31" cm="1">
        <f t="array" ref="F31">[3]!'2050088_0'</f>
        <v>0</v>
      </c>
      <c r="G31" cm="1">
        <f t="array" ref="G31">[13]!'2050088_0'</f>
        <v>0</v>
      </c>
    </row>
    <row r="32" spans="1:7" x14ac:dyDescent="0.25">
      <c r="A32" t="s">
        <v>84</v>
      </c>
      <c r="B32" cm="1">
        <f t="array" ref="B32">[1]!'2050090_0'</f>
        <v>0</v>
      </c>
      <c r="C32" cm="1">
        <f t="array" ref="C32">[2]!'2050090_0'</f>
        <v>0</v>
      </c>
      <c r="D32" cm="1">
        <f t="array" ref="D32">[4]!'2050090_0'</f>
        <v>0</v>
      </c>
      <c r="E32" cm="1">
        <f t="array" ref="E32">[12]!'2050090_0'</f>
        <v>0</v>
      </c>
      <c r="F32" cm="1">
        <f t="array" ref="F32">[3]!'2050090_0'</f>
        <v>0</v>
      </c>
      <c r="G32" cm="1">
        <f t="array" ref="G32">[13]!'2050090_0'</f>
        <v>0</v>
      </c>
    </row>
    <row r="33" spans="1:7" x14ac:dyDescent="0.25">
      <c r="A33" t="s">
        <v>83</v>
      </c>
      <c r="B33" cm="1">
        <f t="array" ref="B33">[1]!'2050093_0'</f>
        <v>0</v>
      </c>
      <c r="C33" cm="1">
        <f t="array" ref="C33">[2]!'2050093_0'</f>
        <v>0</v>
      </c>
      <c r="D33" cm="1">
        <f t="array" ref="D33">[4]!'2050093_0'</f>
        <v>0</v>
      </c>
      <c r="E33" cm="1">
        <f t="array" ref="E33">[12]!'2050093_0'</f>
        <v>0</v>
      </c>
      <c r="F33" cm="1">
        <f t="array" ref="F33">[3]!'2050093_0'</f>
        <v>0</v>
      </c>
      <c r="G33" cm="1">
        <f t="array" ref="G33">[13]!'2050093_0'</f>
        <v>0</v>
      </c>
    </row>
    <row r="34" spans="1:7" x14ac:dyDescent="0.25">
      <c r="A34" t="s">
        <v>82</v>
      </c>
      <c r="B34" cm="1">
        <f t="array" ref="B34">[1]!'2050095_0'</f>
        <v>0</v>
      </c>
      <c r="C34" cm="1">
        <f t="array" ref="C34">[2]!'2050095_0'</f>
        <v>0</v>
      </c>
      <c r="D34" cm="1">
        <f t="array" ref="D34">[4]!'2050095_0'</f>
        <v>0</v>
      </c>
      <c r="E34" cm="1">
        <f t="array" ref="E34">[12]!'2050095_0'</f>
        <v>0</v>
      </c>
      <c r="F34" cm="1">
        <f t="array" ref="F34">[3]!'2050095_0'</f>
        <v>0</v>
      </c>
      <c r="G34" cm="1">
        <f t="array" ref="G34">[13]!'2050095_0'</f>
        <v>0</v>
      </c>
    </row>
    <row r="35" spans="1:7" x14ac:dyDescent="0.25">
      <c r="A35" t="s">
        <v>81</v>
      </c>
      <c r="B35" cm="1">
        <f t="array" ref="B35">[1]!'2050097_0'</f>
        <v>0</v>
      </c>
      <c r="C35" cm="1">
        <f t="array" ref="C35">[2]!'2050097_0'</f>
        <v>0</v>
      </c>
      <c r="D35" cm="1">
        <f t="array" ref="D35">[4]!'2050097_0'</f>
        <v>0</v>
      </c>
      <c r="E35" cm="1">
        <f t="array" ref="E35">[12]!'2050097_0'</f>
        <v>0</v>
      </c>
      <c r="F35" cm="1">
        <f t="array" ref="F35">[3]!'2050097_0'</f>
        <v>0</v>
      </c>
      <c r="G35" cm="1">
        <f t="array" ref="G35">[13]!'2050097_0'</f>
        <v>0</v>
      </c>
    </row>
    <row r="36" spans="1:7" x14ac:dyDescent="0.25">
      <c r="A36" t="s">
        <v>80</v>
      </c>
      <c r="B36" cm="1">
        <f t="array" ref="B36">[1]!'2050099_0'</f>
        <v>0</v>
      </c>
      <c r="C36" cm="1">
        <f t="array" ref="C36">[2]!'2050099_0'</f>
        <v>0</v>
      </c>
      <c r="D36" cm="1">
        <f t="array" ref="D36">[4]!'2050099_0'</f>
        <v>0</v>
      </c>
      <c r="E36" cm="1">
        <f t="array" ref="E36">[12]!'2050099_0'</f>
        <v>0</v>
      </c>
      <c r="F36" cm="1">
        <f t="array" ref="F36">[3]!'2050099_0'</f>
        <v>0</v>
      </c>
      <c r="G36" cm="1">
        <f t="array" ref="G36">[13]!'2050099_0'</f>
        <v>0</v>
      </c>
    </row>
    <row r="37" spans="1:7" x14ac:dyDescent="0.25">
      <c r="A37" t="s">
        <v>79</v>
      </c>
      <c r="B37" cm="1">
        <f t="array" ref="B37">[1]!'2050101_0'</f>
        <v>0</v>
      </c>
      <c r="C37" cm="1">
        <f t="array" ref="C37">[2]!'2050101_0'</f>
        <v>0</v>
      </c>
      <c r="D37" cm="1">
        <f t="array" ref="D37">[4]!'2050101_0'</f>
        <v>0</v>
      </c>
      <c r="E37" cm="1">
        <f t="array" ref="E37">[12]!'2050101_0'</f>
        <v>0</v>
      </c>
      <c r="F37" cm="1">
        <f t="array" ref="F37">[3]!'2050101_0'</f>
        <v>0</v>
      </c>
      <c r="G37" cm="1">
        <f t="array" ref="G37">[13]!'2050101_0'</f>
        <v>0</v>
      </c>
    </row>
    <row r="38" spans="1:7" x14ac:dyDescent="0.25">
      <c r="A38" t="s">
        <v>78</v>
      </c>
      <c r="B38" cm="1">
        <f t="array" ref="B38">[1]!'2050103_0'</f>
        <v>0</v>
      </c>
      <c r="C38" cm="1">
        <f t="array" ref="C38">[2]!'2050103_0'</f>
        <v>0</v>
      </c>
      <c r="D38" cm="1">
        <f t="array" ref="D38">[4]!'2050103_0'</f>
        <v>0</v>
      </c>
      <c r="E38" cm="1">
        <f t="array" ref="E38">[12]!'2050103_0'</f>
        <v>0</v>
      </c>
      <c r="F38" cm="1">
        <f t="array" ref="F38">[3]!'2050103_0'</f>
        <v>0</v>
      </c>
      <c r="G38" cm="1">
        <f t="array" ref="G38">[13]!'2050103_0'</f>
        <v>0</v>
      </c>
    </row>
    <row r="39" spans="1:7" x14ac:dyDescent="0.25">
      <c r="A39" t="s">
        <v>77</v>
      </c>
      <c r="B39" cm="1">
        <f t="array" ref="B39">[1]!'2050105_0'</f>
        <v>0</v>
      </c>
      <c r="C39" cm="1">
        <f t="array" ref="C39">[2]!'2050105_0'</f>
        <v>0</v>
      </c>
      <c r="D39" cm="1">
        <f t="array" ref="D39">[4]!'2050105_0'</f>
        <v>0</v>
      </c>
      <c r="E39" cm="1">
        <f t="array" ref="E39">[12]!'2050105_0'</f>
        <v>0</v>
      </c>
      <c r="F39" cm="1">
        <f t="array" ref="F39">[3]!'2050105_0'</f>
        <v>0</v>
      </c>
      <c r="G39" cm="1">
        <f t="array" ref="G39">[13]!'2050105_0'</f>
        <v>0</v>
      </c>
    </row>
    <row r="40" spans="1:7" x14ac:dyDescent="0.25">
      <c r="A40" t="s">
        <v>76</v>
      </c>
      <c r="B40" cm="1">
        <f t="array" ref="B40">[1]!'2050110_0'</f>
        <v>0</v>
      </c>
      <c r="C40" cm="1">
        <f t="array" ref="C40">[2]!'2050110_0'</f>
        <v>0</v>
      </c>
      <c r="D40" cm="1">
        <f t="array" ref="D40">[4]!'2050110_0'</f>
        <v>0</v>
      </c>
      <c r="E40" cm="1">
        <f t="array" ref="E40">[12]!'2050110_0'</f>
        <v>0</v>
      </c>
      <c r="F40" cm="1">
        <f t="array" ref="F40">[3]!'2050110_0'</f>
        <v>0</v>
      </c>
      <c r="G40" cm="1">
        <f t="array" ref="G40">[13]!'2050110_0'</f>
        <v>0</v>
      </c>
    </row>
    <row r="41" spans="1:7" x14ac:dyDescent="0.25">
      <c r="A41" t="s">
        <v>75</v>
      </c>
      <c r="B41" cm="1">
        <f t="array" ref="B41">[1]!'2050113_0'</f>
        <v>0</v>
      </c>
      <c r="C41" cm="1">
        <f t="array" ref="C41">[2]!'2050113_0'</f>
        <v>0</v>
      </c>
      <c r="D41" cm="1">
        <f t="array" ref="D41">[4]!'2050113_0'</f>
        <v>0</v>
      </c>
      <c r="E41" cm="1">
        <f t="array" ref="E41">[12]!'2050113_0'</f>
        <v>0</v>
      </c>
      <c r="F41" cm="1">
        <f t="array" ref="F41">[3]!'2050113_0'</f>
        <v>0</v>
      </c>
      <c r="G41" cm="1">
        <f t="array" ref="G41">[13]!'2050113_0'</f>
        <v>0</v>
      </c>
    </row>
    <row r="42" spans="1:7" x14ac:dyDescent="0.25">
      <c r="A42" t="s">
        <v>74</v>
      </c>
      <c r="B42" cm="1">
        <f t="array" ref="B42">[1]!'2050115_0'</f>
        <v>0</v>
      </c>
      <c r="C42" cm="1">
        <f t="array" ref="C42">[2]!'2050115_0'</f>
        <v>0</v>
      </c>
      <c r="D42" cm="1">
        <f t="array" ref="D42">[4]!'2050115_0'</f>
        <v>0</v>
      </c>
      <c r="E42" cm="1">
        <f t="array" ref="E42">[12]!'2050115_0'</f>
        <v>0</v>
      </c>
      <c r="F42" cm="1">
        <f t="array" ref="F42">[3]!'2050115_0'</f>
        <v>0</v>
      </c>
      <c r="G42" cm="1">
        <f t="array" ref="G42">[13]!'2050115_0'</f>
        <v>0</v>
      </c>
    </row>
  </sheetData>
  <sortState xmlns:xlrd2="http://schemas.microsoft.com/office/spreadsheetml/2017/richdata2" ref="A2:G42">
    <sortCondition ref="A1:A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9"/>
  <sheetViews>
    <sheetView workbookViewId="0">
      <selection activeCell="I9" sqref="I9"/>
    </sheetView>
  </sheetViews>
  <sheetFormatPr defaultColWidth="8.85546875" defaultRowHeight="15" x14ac:dyDescent="0.25"/>
  <cols>
    <col min="1" max="1" width="13.42578125" bestFit="1" customWidth="1"/>
    <col min="2" max="2" width="21.42578125" bestFit="1" customWidth="1"/>
    <col min="3" max="3" width="8.7109375" customWidth="1"/>
    <col min="4" max="4" width="9.140625" bestFit="1" customWidth="1"/>
    <col min="5" max="5" width="8.85546875" bestFit="1" customWidth="1"/>
    <col min="6" max="6" width="10.42578125" bestFit="1" customWidth="1"/>
    <col min="7" max="7" width="9.42578125" bestFit="1" customWidth="1"/>
    <col min="9" max="9" width="15.42578125" bestFit="1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1</v>
      </c>
      <c r="F1" t="s">
        <v>3</v>
      </c>
      <c r="G1" t="s">
        <v>2</v>
      </c>
      <c r="H1" t="s">
        <v>21</v>
      </c>
      <c r="I1" t="s">
        <v>8</v>
      </c>
      <c r="J1" t="s">
        <v>22</v>
      </c>
    </row>
    <row r="2" spans="1:10" x14ac:dyDescent="0.25">
      <c r="A2">
        <v>0</v>
      </c>
      <c r="B2" t="str" cm="1">
        <f t="array" ref="B2">[14]!'NIFTY 50_1'</f>
        <v>NIFTY 50</v>
      </c>
      <c r="C2" cm="1">
        <f t="array" ref="C2">[6]!'NIFTY 50_1'</f>
        <v>18608.3</v>
      </c>
      <c r="D2" cm="1">
        <f t="array" ref="D2">[7]!'NIFTY 50_1'</f>
        <v>111.15</v>
      </c>
      <c r="E2" cm="1">
        <f t="array" ref="E2">[8]!'NIFTY 50_1'</f>
        <v>0.6</v>
      </c>
      <c r="F2" cm="1">
        <f t="array" ref="F2">[15]!'NIFTY 50_1'</f>
        <v>18524.400000000001</v>
      </c>
      <c r="G2" cm="1">
        <f t="array" ref="G2">[16]!'NIFTY 50_1'</f>
        <v>18617.25</v>
      </c>
      <c r="H2" cm="1">
        <f t="array" ref="H2">[17]!'NIFTY 50_1'</f>
        <v>18490.2</v>
      </c>
      <c r="I2" cm="1">
        <f t="array" ref="I2">[18]!'NIFTY 50_1'</f>
        <v>18497.150000000001</v>
      </c>
      <c r="J2" t="s">
        <v>9</v>
      </c>
    </row>
    <row r="3" spans="1:10" x14ac:dyDescent="0.25">
      <c r="A3">
        <v>0</v>
      </c>
      <c r="B3" t="str" cm="1">
        <f t="array" ref="B3">[14]!'NIFTY BANK_1'</f>
        <v>NIFTY BANK</v>
      </c>
      <c r="C3" cm="1">
        <f t="array" ref="C3">[6]!'NIFTY BANK_1'</f>
        <v>43954.5</v>
      </c>
      <c r="D3" cm="1">
        <f t="array" ref="D3">[7]!'NIFTY BANK_1'</f>
        <v>245.75</v>
      </c>
      <c r="E3" cm="1">
        <f t="array" ref="E3">[8]!'NIFTY BANK_1'</f>
        <v>0.56000000000000005</v>
      </c>
      <c r="F3" cm="1">
        <f t="array" ref="F3">[15]!'NIFTY BANK_1'</f>
        <v>43793.7</v>
      </c>
      <c r="G3" cm="1">
        <f t="array" ref="G3">[16]!'NIFTY BANK_1'</f>
        <v>43983.8</v>
      </c>
      <c r="H3" cm="1">
        <f t="array" ref="H3">[17]!'NIFTY BANK_1'</f>
        <v>43767.75</v>
      </c>
      <c r="I3" cm="1">
        <f t="array" ref="I3">[18]!'NIFTY BANK_1'</f>
        <v>43708.75</v>
      </c>
      <c r="J3" t="s">
        <v>9</v>
      </c>
    </row>
    <row r="4" spans="1:10" x14ac:dyDescent="0.25">
      <c r="A4">
        <v>0</v>
      </c>
      <c r="B4" t="str" cm="1">
        <f t="array" ref="B4">[14]!'INDIA VIX_1'</f>
        <v>INDIA VIX</v>
      </c>
      <c r="C4" cm="1">
        <f t="array" ref="C4">[6]!'INDIA VIX_1'</f>
        <v>13.05</v>
      </c>
      <c r="D4" cm="1">
        <f t="array" ref="D4">[7]!'INDIA VIX_1'</f>
        <v>-0.27</v>
      </c>
      <c r="E4" cm="1">
        <f t="array" ref="E4">[8]!'INDIA VIX_1'</f>
        <v>-2.0299999999999998</v>
      </c>
      <c r="F4" cm="1">
        <f t="array" ref="F4">[15]!'INDIA VIX_1'</f>
        <v>13.32</v>
      </c>
      <c r="G4" cm="1">
        <f t="array" ref="G4">[16]!'INDIA VIX_1'</f>
        <v>13.58</v>
      </c>
      <c r="H4" cm="1">
        <f t="array" ref="H4">[17]!'INDIA VIX_1'</f>
        <v>11.43</v>
      </c>
      <c r="I4" cm="1">
        <f t="array" ref="I4">[18]!'INDIA VIX_1'</f>
        <v>13.32</v>
      </c>
      <c r="J4" t="s">
        <v>9</v>
      </c>
    </row>
    <row r="5" spans="1:10" x14ac:dyDescent="0.25">
      <c r="B5" t="s">
        <v>156</v>
      </c>
      <c r="C5" cm="1">
        <f t="array" ref="C5">[1]!'2062809_0'</f>
        <v>18701.95</v>
      </c>
    </row>
    <row r="8" spans="1:10" x14ac:dyDescent="0.25">
      <c r="A8" t="s">
        <v>12</v>
      </c>
      <c r="B8" t="s">
        <v>0</v>
      </c>
      <c r="C8" t="s">
        <v>19</v>
      </c>
      <c r="D8" t="s">
        <v>159</v>
      </c>
      <c r="E8" t="s">
        <v>23</v>
      </c>
      <c r="F8" t="s">
        <v>4</v>
      </c>
      <c r="G8" t="s">
        <v>6</v>
      </c>
      <c r="H8" t="s">
        <v>7</v>
      </c>
      <c r="I8" t="s">
        <v>160</v>
      </c>
      <c r="J8" t="s">
        <v>66</v>
      </c>
    </row>
    <row r="9" spans="1:10" x14ac:dyDescent="0.25">
      <c r="A9" t="s">
        <v>156</v>
      </c>
      <c r="B9" cm="1">
        <f t="array" ref="B9">[1]!'2062809_0'</f>
        <v>18701.95</v>
      </c>
      <c r="C9" cm="1">
        <f t="array" ref="C9">[9]!'2062809_0'</f>
        <v>96.75</v>
      </c>
      <c r="D9" cm="1">
        <f t="array" ref="D9">[10]!'2062809_0'</f>
        <v>0.52</v>
      </c>
      <c r="E9" cm="1">
        <f t="array" ref="E9">[12]!'2062809_0'</f>
        <v>6049200</v>
      </c>
      <c r="F9" cm="1">
        <f t="array" ref="F9">[2]!'2062809_0'</f>
        <v>10668150</v>
      </c>
      <c r="G9" cm="1">
        <f t="array" ref="G9">[3]!'2062809_0'</f>
        <v>0</v>
      </c>
      <c r="H9" cm="1">
        <f t="array" ref="H9">[4]!'2062809_0'</f>
        <v>-22500</v>
      </c>
      <c r="I9" cm="1">
        <f t="array" ref="I9">[11]!'2062809_0'</f>
        <v>-0.21</v>
      </c>
      <c r="J9" t="str" cm="1">
        <f t="array" ref="J9">[13]!'2062809_0'</f>
        <v>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5D7E4557E424CA974ACD37FCBB36F" ma:contentTypeVersion="2" ma:contentTypeDescription="Create a new document." ma:contentTypeScope="" ma:versionID="14db854c9496b36c78becc541374e00f">
  <xsd:schema xmlns:xsd="http://www.w3.org/2001/XMLSchema" xmlns:xs="http://www.w3.org/2001/XMLSchema" xmlns:p="http://schemas.microsoft.com/office/2006/metadata/properties" xmlns:ns3="6cfdc0c0-bc54-4eae-b7a2-6b59bbafd0ff" targetNamespace="http://schemas.microsoft.com/office/2006/metadata/properties" ma:root="true" ma:fieldsID="ff4ac3fbf772ecbd886eae01946f32f0" ns3:_="">
    <xsd:import namespace="6cfdc0c0-bc54-4eae-b7a2-6b59bbafd0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dc0c0-bc54-4eae-b7a2-6b59bbafd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D9E9F-7514-46AD-BD9E-79EB62F5AFE2}">
  <ds:schemaRefs>
    <ds:schemaRef ds:uri="6cfdc0c0-bc54-4eae-b7a2-6b59bbafd0ff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5DC2E8-28D5-4EEE-BE84-10B21ACF0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3C9E1-A518-428E-ABB8-9EA646D56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dc0c0-bc54-4eae-b7a2-6b59bbaf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BANKNIFTY</vt:lpstr>
      <vt:lpstr>NIFTY</vt:lpstr>
      <vt:lpstr>NIFTY_1_DEC</vt:lpstr>
      <vt:lpstr>CE</vt:lpstr>
      <vt:lpstr>PE</vt:lpstr>
      <vt:lpstr>Index_Nifty_banknifty</vt:lpstr>
      <vt:lpstr>NIFTY!Print_Area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LNMIIT</dc:creator>
  <cp:lastModifiedBy>admin</cp:lastModifiedBy>
  <cp:lastPrinted>2022-10-09T07:35:19Z</cp:lastPrinted>
  <dcterms:created xsi:type="dcterms:W3CDTF">2022-10-01T13:43:09Z</dcterms:created>
  <dcterms:modified xsi:type="dcterms:W3CDTF">2022-12-13T09:59:52Z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0x0101009AD5D7E4557E424CA974ACD37FCBB36F</vt:lpwstr>
  </property>
</Properties>
</file>