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inworth\uploads\"/>
    </mc:Choice>
  </mc:AlternateContent>
  <xr:revisionPtr revIDLastSave="0" documentId="13_ncr:1_{80A4F0FE-FB08-42BE-9848-F3C485C6A9D1}" xr6:coauthVersionLast="47" xr6:coauthVersionMax="47" xr10:uidLastSave="{00000000-0000-0000-0000-000000000000}"/>
  <bookViews>
    <workbookView xWindow="-108" yWindow="-108" windowWidth="23256" windowHeight="12576" xr2:uid="{11B12A5D-7249-4041-8AA7-3E354D49454B}"/>
  </bookViews>
  <sheets>
    <sheet name="P&amp;L" sheetId="1" r:id="rId1"/>
    <sheet name="BS" sheetId="2" r:id="rId2"/>
    <sheet name="FCF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" l="1"/>
  <c r="D69" i="2" s="1"/>
  <c r="C59" i="2"/>
  <c r="D59" i="2" s="1"/>
  <c r="E59" i="2" s="1"/>
  <c r="G46" i="2"/>
  <c r="F46" i="2"/>
  <c r="E46" i="2"/>
  <c r="D46" i="2"/>
  <c r="D45" i="2" s="1"/>
  <c r="C46" i="2"/>
  <c r="C45" i="2" s="1"/>
  <c r="C39" i="2"/>
  <c r="C33" i="2" s="1"/>
  <c r="C41" i="2" s="1"/>
  <c r="G24" i="2"/>
  <c r="F24" i="2"/>
  <c r="E24" i="2"/>
  <c r="D24" i="2"/>
  <c r="C24" i="2"/>
  <c r="G6" i="2"/>
  <c r="F6" i="2"/>
  <c r="E6" i="2"/>
  <c r="D6" i="2"/>
  <c r="C6" i="2"/>
  <c r="C35" i="1"/>
  <c r="C13" i="1"/>
  <c r="C8" i="1"/>
  <c r="C7" i="1"/>
  <c r="C61" i="2" l="1"/>
  <c r="C72" i="2" s="1"/>
  <c r="C9" i="1"/>
  <c r="F59" i="2"/>
  <c r="E45" i="2"/>
  <c r="D61" i="2"/>
  <c r="D72" i="2" s="1"/>
  <c r="E69" i="2"/>
  <c r="D39" i="2"/>
  <c r="C14" i="1"/>
  <c r="C25" i="1" s="1"/>
  <c r="C27" i="1" s="1"/>
  <c r="C30" i="1" s="1"/>
  <c r="C32" i="1" s="1"/>
  <c r="C34" i="1" s="1"/>
  <c r="C42" i="1" s="1"/>
  <c r="C54" i="1" s="1"/>
  <c r="C58" i="1" s="1"/>
  <c r="C15" i="1"/>
  <c r="E61" i="2" l="1"/>
  <c r="E72" i="2" s="1"/>
  <c r="F69" i="2"/>
  <c r="D33" i="2"/>
  <c r="D41" i="2" s="1"/>
  <c r="E39" i="2"/>
  <c r="F45" i="2"/>
  <c r="G59" i="2"/>
  <c r="G45" i="2" s="1"/>
  <c r="G69" i="2" l="1"/>
  <c r="G61" i="2" s="1"/>
  <c r="G72" i="2" s="1"/>
  <c r="F61" i="2"/>
  <c r="F72" i="2" s="1"/>
  <c r="F39" i="2"/>
  <c r="E33" i="2"/>
  <c r="E41" i="2" s="1"/>
  <c r="F33" i="2" l="1"/>
  <c r="F41" i="2" s="1"/>
  <c r="G39" i="2"/>
  <c r="G33" i="2" s="1"/>
  <c r="G41" i="2" s="1"/>
  <c r="B19" i="3"/>
  <c r="B18" i="3"/>
  <c r="B17" i="3"/>
  <c r="B9" i="3"/>
  <c r="B7" i="3"/>
  <c r="B8" i="3"/>
  <c r="B6" i="3"/>
  <c r="B5" i="3"/>
  <c r="B22" i="3"/>
  <c r="B14" i="3"/>
  <c r="B61" i="2"/>
  <c r="B46" i="2"/>
  <c r="B45" i="2" s="1"/>
  <c r="B33" i="2"/>
  <c r="B24" i="2"/>
  <c r="B6" i="2"/>
  <c r="B41" i="2" l="1"/>
  <c r="B11" i="3"/>
  <c r="B72" i="2"/>
  <c r="B10" i="3"/>
  <c r="B12" i="3" s="1"/>
  <c r="B15" i="3" s="1"/>
  <c r="B16" i="3" s="1"/>
  <c r="B21" i="3" s="1"/>
  <c r="B23" i="3" s="1"/>
</calcChain>
</file>

<file path=xl/sharedStrings.xml><?xml version="1.0" encoding="utf-8"?>
<sst xmlns="http://schemas.openxmlformats.org/spreadsheetml/2006/main" count="217" uniqueCount="179">
  <si>
    <t>Revenue from Operations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</si>
  <si>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</si>
  <si>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</si>
  <si>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</si>
  <si>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</si>
  <si>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</si>
  <si>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</si>
  <si>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</si>
  <si>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</si>
  <si>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</si>
  <si>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</si>
  <si>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</si>
  <si>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</si>
  <si>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</si>
  <si>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</si>
  <si>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</si>
  <si>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</si>
  <si>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</si>
  <si>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</si>
  <si>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</si>
  <si>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</si>
  <si>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</si>
  <si>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</si>
  <si>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</si>
  <si>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</si>
  <si>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</si>
  <si>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</si>
  <si>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</si>
  <si>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</si>
  <si>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</si>
  <si>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</si>
  <si>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</si>
  <si>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</si>
  <si>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</si>
  <si>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</si>
  <si>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</si>
  <si>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</si>
  <si>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</si>
  <si>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</si>
  <si>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</si>
  <si>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</si>
  <si>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</si>
  <si>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</si>
  <si>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</si>
  <si>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</si>
  <si>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</si>
  <si>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</si>
  <si>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</si>
  <si>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</si>
  <si>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</si>
  <si>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</si>
  <si>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</si>
  <si>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</si>
  <si>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</si>
  <si>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</si>
  <si>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</si>
  <si>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</si>
  <si>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</si>
  <si>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</si>
  <si>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</si>
  <si>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</si>
  <si>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</si>
  <si>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</si>
  <si>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</si>
  <si>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</si>
  <si>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</si>
  <si>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</si>
  <si>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</si>
  <si>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</si>
  <si>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</si>
  <si>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</si>
  <si>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</si>
  <si>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</si>
  <si>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</si>
  <si>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</si>
  <si>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</si>
  <si>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</si>
  <si>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</si>
  <si>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</si>
  <si>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</si>
  <si>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</si>
  <si>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</si>
  <si>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</si>
  <si>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</si>
  <si>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</si>
  <si>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</si>
  <si>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</si>
  <si>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</si>
  <si>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</si>
  <si>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</si>
  <si>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</si>
  <si>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</si>
  <si>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</si>
  <si>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</si>
  <si>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</si>
  <si>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</si>
  <si>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FCFF</t>
  </si>
  <si>
    <t>Particulars</t>
  </si>
  <si>
    <t>Projections</t>
  </si>
  <si>
    <t>FY</t>
  </si>
  <si>
    <t>FY19</t>
  </si>
  <si>
    <t>PAT</t>
  </si>
  <si>
    <t>Depn and Amortisation</t>
  </si>
  <si>
    <t>Oher Non Cash items</t>
  </si>
  <si>
    <t>Change in NCA</t>
  </si>
  <si>
    <t>Add/Less: Deferred Tax Assets(Net)</t>
  </si>
  <si>
    <t>Net Cash Flow</t>
  </si>
  <si>
    <t>Change in fixed assets</t>
  </si>
  <si>
    <t>Discounting Period (Mid Year)</t>
  </si>
  <si>
    <t>(12/No. of months remaining for projected period)^(1/2)</t>
  </si>
  <si>
    <t>Discounting Factor @WACC</t>
  </si>
  <si>
    <t>Present Value of FCFF</t>
  </si>
  <si>
    <t>Sum of Cash Flows</t>
  </si>
  <si>
    <t>Less: Debt as on Date</t>
  </si>
  <si>
    <t>Add: Cash &amp; Cash Equivalents</t>
  </si>
  <si>
    <t>Add: Surplus Assets/Investments</t>
  </si>
  <si>
    <t>Add/Less: Other Adjustments(if any)</t>
  </si>
  <si>
    <t>Ask user to adjust any data</t>
  </si>
  <si>
    <t>Equity Value</t>
  </si>
  <si>
    <t>No. of Shares</t>
  </si>
  <si>
    <t>Value per Share</t>
  </si>
  <si>
    <t xml:space="preserve"> Particulars </t>
  </si>
  <si>
    <t xml:space="preserve">Income From Operation
</t>
  </si>
  <si>
    <t xml:space="preserve">                                             -  </t>
  </si>
  <si>
    <t xml:space="preserve">Minority Interest </t>
  </si>
  <si>
    <t>Share in profit of Associates</t>
  </si>
  <si>
    <t>Net Profit after minority interests</t>
  </si>
  <si>
    <t>Earning per Share(EPS)</t>
  </si>
  <si>
    <t>Use if data not available</t>
  </si>
  <si>
    <t>-</t>
  </si>
  <si>
    <t>+</t>
  </si>
  <si>
    <t>Next year projections</t>
  </si>
  <si>
    <t>Comments</t>
  </si>
  <si>
    <t>This will be provided by user</t>
  </si>
  <si>
    <t>Output</t>
  </si>
  <si>
    <t>Formula for A8 (From BS)</t>
  </si>
  <si>
    <t>From P&amp;L</t>
  </si>
  <si>
    <t>From BS</t>
  </si>
  <si>
    <t>Calculated within sheet</t>
  </si>
  <si>
    <t>Required output 1</t>
  </si>
  <si>
    <t>Part of Industry calculation</t>
  </si>
  <si>
    <t>Create  Separate Service</t>
  </si>
  <si>
    <t>Input Param in API</t>
  </si>
  <si>
    <t>From Sheet</t>
  </si>
  <si>
    <t>Calculated within sheet - Required output 2</t>
  </si>
  <si>
    <t>Logic</t>
  </si>
  <si>
    <t>Formula for A11 (From BS)</t>
  </si>
  <si>
    <t>Fixed Assets(Gross) (B46)</t>
  </si>
  <si>
    <t>Next Year - Fixed Assets(Gross)</t>
  </si>
  <si>
    <t>Formula for A9 (From BS)</t>
  </si>
  <si>
    <t>Deferred Tax Assets (B59)</t>
  </si>
  <si>
    <t>Deferred Tax Liability (B25)</t>
  </si>
  <si>
    <t>Formula for A18 (From BS)</t>
  </si>
  <si>
    <t>Cash and Cash Equivalents (B62)</t>
  </si>
  <si>
    <t>Bank Balances (B63)</t>
  </si>
  <si>
    <t>Formula for A19 (From BS)</t>
  </si>
  <si>
    <t>Non-current Investment (B56)</t>
  </si>
  <si>
    <t>Short Term Investments (B68)</t>
  </si>
  <si>
    <t>Trade Receivables (B64)</t>
  </si>
  <si>
    <t>Unbilled Revenues (B65)</t>
  </si>
  <si>
    <t>Inventories (B66)</t>
  </si>
  <si>
    <t>Advances (B67)</t>
  </si>
  <si>
    <t>Other Current Assets (B69)</t>
  </si>
  <si>
    <t>First Calculate</t>
  </si>
  <si>
    <t>Trade Payables (B34)</t>
  </si>
  <si>
    <t>Employee Payables (B35)</t>
  </si>
  <si>
    <t>Short Term Borrowings (B36)</t>
  </si>
  <si>
    <t>LC Payables (B37)</t>
  </si>
  <si>
    <t>Other Current Liabilities (B38)</t>
  </si>
  <si>
    <t>Short Term Provisions (B39)</t>
  </si>
  <si>
    <t>Inter-Co (B40)</t>
  </si>
  <si>
    <t>Then do same for next year and subtract</t>
  </si>
  <si>
    <t>2023-2024</t>
  </si>
  <si>
    <t>2024-2025</t>
  </si>
  <si>
    <t>2025-2026</t>
  </si>
  <si>
    <t>2026-2027</t>
  </si>
  <si>
    <t>2027-2028</t>
  </si>
  <si>
    <t xml:space="preserve"> Provisionals/Audited Nos. close to valuation, 2022-2023</t>
  </si>
  <si>
    <t>Provisionals/Audited Nos. close to valuation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</si>
</sst>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3" fillId="0" borderId="0"/>
    <xf numFmtId="43" fontId="5" fillId="0" borderId="0" applyFont="0" applyFill="0" applyBorder="0" applyAlignment="0" applyProtection="0"/>
  </cellStyleXfs>
  <cellXfs count="84">
    <xf numFmtId="0" fontId="0" fillId="0" borderId="0" xfId="0"/>
    <xf numFmtId="165" fontId="5" fillId="2" borderId="1" xfId="2" applyNumberFormat="1" applyFill="1" applyBorder="1" applyAlignment="1">
      <alignment vertical="top"/>
    </xf>
    <xf numFmtId="165" fontId="5" fillId="0" borderId="1" xfId="2" applyNumberFormat="1" applyBorder="1" applyAlignment="1">
      <alignment vertical="top"/>
    </xf>
    <xf numFmtId="165" fontId="5" fillId="0" borderId="1" xfId="4" applyNumberFormat="1" applyFont="1" applyFill="1" applyBorder="1" applyAlignment="1">
      <alignment horizontal="center" vertical="top"/>
    </xf>
    <xf numFmtId="165" fontId="5" fillId="2" borderId="1" xfId="1" applyNumberFormat="1" applyFont="1" applyFill="1" applyBorder="1" applyAlignment="1" applyProtection="1">
      <alignment horizontal="right" vertical="top"/>
    </xf>
    <xf numFmtId="165" fontId="5" fillId="4" borderId="1" xfId="0" applyNumberFormat="1" applyFont="1" applyFill="1" applyBorder="1" applyAlignment="1">
      <alignment vertical="top"/>
    </xf>
    <xf numFmtId="166" fontId="0" fillId="0" borderId="0" xfId="0" applyNumberFormat="1"/>
    <xf numFmtId="0" fontId="0" fillId="0" borderId="1" xfId="0" applyBorder="1"/>
    <xf numFmtId="43" fontId="0" fillId="0" borderId="1" xfId="0" applyNumberFormat="1" applyBorder="1"/>
    <xf numFmtId="0" fontId="13" fillId="0" borderId="1" xfId="0" applyFont="1" applyBorder="1"/>
    <xf numFmtId="0" fontId="4" fillId="8" borderId="2" xfId="0" applyFont="1" applyFill="1" applyBorder="1" applyAlignment="1">
      <alignment vertical="top"/>
    </xf>
    <xf numFmtId="0" fontId="4" fillId="8" borderId="2" xfId="0" quotePrefix="1" applyFont="1" applyFill="1" applyBorder="1" applyAlignment="1">
      <alignment vertical="top"/>
    </xf>
    <xf numFmtId="0" fontId="4" fillId="8" borderId="3" xfId="0" quotePrefix="1" applyFont="1" applyFill="1" applyBorder="1" applyAlignment="1">
      <alignment vertical="top"/>
    </xf>
    <xf numFmtId="166" fontId="4" fillId="8" borderId="1" xfId="1" applyNumberFormat="1" applyFont="1" applyFill="1" applyBorder="1" applyAlignment="1">
      <alignment horizontal="right" vertical="top"/>
    </xf>
    <xf numFmtId="0" fontId="4" fillId="8" borderId="3" xfId="0" applyFont="1" applyFill="1" applyBorder="1" applyAlignment="1">
      <alignment vertical="top"/>
    </xf>
    <xf numFmtId="165" fontId="5" fillId="8" borderId="1" xfId="2" applyNumberForma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8" borderId="2" xfId="0" applyFont="1" applyFill="1" applyBorder="1" applyAlignment="1">
      <alignment vertical="top"/>
    </xf>
    <xf numFmtId="0" fontId="0" fillId="9" borderId="0" xfId="0" applyFill="1"/>
    <xf numFmtId="0" fontId="4" fillId="8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top"/>
    </xf>
    <xf numFmtId="164" fontId="5" fillId="0" borderId="1" xfId="1" applyFont="1" applyFill="1" applyBorder="1" applyAlignment="1">
      <alignment vertical="top"/>
    </xf>
    <xf numFmtId="165" fontId="0" fillId="0" borderId="1" xfId="0" applyNumberFormat="1" applyBorder="1"/>
    <xf numFmtId="165" fontId="0" fillId="2" borderId="1" xfId="0" applyNumberFormat="1" applyFill="1" applyBorder="1"/>
    <xf numFmtId="0" fontId="0" fillId="2" borderId="1" xfId="0" applyFill="1" applyBorder="1"/>
    <xf numFmtId="166" fontId="4" fillId="0" borderId="1" xfId="1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165" fontId="4" fillId="0" borderId="1" xfId="0" applyNumberFormat="1" applyFont="1" applyBorder="1" applyAlignment="1">
      <alignment vertical="top"/>
    </xf>
    <xf numFmtId="165" fontId="4" fillId="0" borderId="1" xfId="1" applyNumberFormat="1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65" fontId="6" fillId="0" borderId="1" xfId="0" applyNumberFormat="1" applyFont="1" applyBorder="1" applyAlignment="1">
      <alignment horizontal="center" vertical="top"/>
    </xf>
    <xf numFmtId="165" fontId="6" fillId="0" borderId="1" xfId="1" applyNumberFormat="1" applyFont="1" applyFill="1" applyBorder="1" applyAlignment="1">
      <alignment horizontal="center" vertical="top"/>
    </xf>
    <xf numFmtId="166" fontId="4" fillId="0" borderId="1" xfId="0" applyNumberFormat="1" applyFont="1" applyBorder="1" applyAlignment="1">
      <alignment vertical="top"/>
    </xf>
    <xf numFmtId="166" fontId="4" fillId="0" borderId="1" xfId="1" applyNumberFormat="1" applyFont="1" applyFill="1" applyBorder="1" applyAlignment="1">
      <alignment vertical="top"/>
    </xf>
    <xf numFmtId="43" fontId="4" fillId="0" borderId="1" xfId="0" applyNumberFormat="1" applyFont="1" applyBorder="1" applyAlignment="1">
      <alignment vertical="top"/>
    </xf>
    <xf numFmtId="164" fontId="4" fillId="0" borderId="1" xfId="1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10" fillId="8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indent="2"/>
    </xf>
    <xf numFmtId="0" fontId="9" fillId="0" borderId="1" xfId="0" applyFont="1" applyBorder="1"/>
    <xf numFmtId="0" fontId="7" fillId="7" borderId="1" xfId="0" applyFont="1" applyFill="1" applyBorder="1" applyAlignment="1">
      <alignment vertical="top" wrapText="1"/>
    </xf>
    <xf numFmtId="165" fontId="9" fillId="0" borderId="1" xfId="0" applyNumberFormat="1" applyFont="1" applyBorder="1"/>
    <xf numFmtId="0" fontId="5" fillId="0" borderId="1" xfId="0" applyFont="1" applyBorder="1" applyAlignment="1">
      <alignment horizontal="left" vertical="top" wrapText="1"/>
    </xf>
    <xf numFmtId="0" fontId="15" fillId="0" borderId="0" xfId="0" applyFont="1"/>
    <xf numFmtId="0" fontId="2" fillId="0" borderId="1" xfId="0" applyFont="1" applyBorder="1" applyAlignment="1">
      <alignment vertical="top"/>
    </xf>
    <xf numFmtId="166" fontId="6" fillId="0" borderId="1" xfId="1" applyNumberFormat="1" applyFont="1" applyFill="1" applyBorder="1" applyAlignment="1">
      <alignment vertical="top"/>
    </xf>
    <xf numFmtId="166" fontId="6" fillId="0" borderId="1" xfId="1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8" borderId="1" xfId="0" applyFont="1" applyFill="1" applyBorder="1" applyAlignment="1">
      <alignment vertical="top"/>
    </xf>
    <xf numFmtId="166" fontId="6" fillId="0" borderId="1" xfId="1" applyNumberFormat="1" applyFont="1" applyFill="1" applyBorder="1" applyAlignment="1">
      <alignment horizontal="right" vertical="top"/>
    </xf>
    <xf numFmtId="0" fontId="6" fillId="0" borderId="1" xfId="0" applyFont="1" applyBorder="1" applyAlignment="1">
      <alignment horizontal="center" vertical="top"/>
    </xf>
    <xf numFmtId="0" fontId="2" fillId="8" borderId="1" xfId="0" applyFont="1" applyFill="1" applyBorder="1" applyAlignment="1">
      <alignment vertical="top"/>
    </xf>
    <xf numFmtId="0" fontId="4" fillId="0" borderId="1" xfId="0" quotePrefix="1" applyFont="1" applyBorder="1" applyAlignment="1">
      <alignment vertical="top"/>
    </xf>
    <xf numFmtId="0" fontId="4" fillId="8" borderId="1" xfId="0" quotePrefix="1" applyFont="1" applyFill="1" applyBorder="1" applyAlignment="1">
      <alignment vertical="top"/>
    </xf>
    <xf numFmtId="0" fontId="12" fillId="0" borderId="0" xfId="0" applyFont="1" applyAlignment="1">
      <alignment horizontal="center"/>
    </xf>
    <xf numFmtId="0" fontId="13" fillId="0" borderId="0" xfId="0" applyFont="1"/>
    <xf numFmtId="164" fontId="0" fillId="0" borderId="0" xfId="1" applyFont="1" applyBorder="1"/>
    <xf numFmtId="0" fontId="14" fillId="0" borderId="0" xfId="1" applyNumberFormat="1" applyFont="1" applyBorder="1"/>
    <xf numFmtId="164" fontId="12" fillId="6" borderId="0" xfId="1" applyFont="1" applyFill="1" applyBorder="1"/>
    <xf numFmtId="43" fontId="0" fillId="0" borderId="0" xfId="0" applyNumberForma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164" fontId="0" fillId="0" borderId="1" xfId="1" applyFont="1" applyBorder="1"/>
    <xf numFmtId="0" fontId="14" fillId="0" borderId="1" xfId="1" applyNumberFormat="1" applyFont="1" applyBorder="1"/>
    <xf numFmtId="0" fontId="12" fillId="6" borderId="1" xfId="0" applyFont="1" applyFill="1" applyBorder="1"/>
    <xf numFmtId="164" fontId="12" fillId="6" borderId="1" xfId="1" applyFont="1" applyFill="1" applyBorder="1"/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15" fillId="10" borderId="0" xfId="0" applyFont="1" applyFill="1" applyAlignment="1">
      <alignment horizontal="left"/>
    </xf>
    <xf numFmtId="166" fontId="11" fillId="5" borderId="1" xfId="1" quotePrefix="1" applyNumberFormat="1" applyFont="1" applyFill="1" applyBorder="1" applyAlignment="1" applyProtection="1">
      <alignment horizontal="center" vertical="top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6" fontId="8" fillId="3" borderId="1" xfId="0" applyNumberFormat="1" applyFont="1" applyFill="1" applyBorder="1" applyAlignment="1">
      <alignment horizontal="center" vertical="top" wrapText="1"/>
    </xf>
    <xf numFmtId="166" fontId="11" fillId="5" borderId="1" xfId="1" quotePrefix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Comma" xfId="1" builtinId="3"/>
    <cellStyle name="Comma 10 2" xfId="4" xr:uid="{86FEEC85-88CA-AB4A-9D74-917D0DD5E437}"/>
    <cellStyle name="Normal" xfId="0" builtinId="0"/>
    <cellStyle name="Normal 2" xfId="3" xr:uid="{07EFDA03-0E1E-714D-9ACC-ACE9EDE75A6E}"/>
    <cellStyle name="Normal 2 2" xfId="2" xr:uid="{E3BBAF57-CB31-DC42-B676-38B755EEB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hnawaz\Documents\ifinworth\Financial%20Projection_Valu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00AD-1EC3-3246-AFE5-16D06F619914}">
  <dimension ref="A1:J58"/>
  <sheetViews>
    <sheetView tabSelected="1" workbookViewId="0">
      <selection activeCell="C4" sqref="C4"/>
    </sheetView>
  </sheetViews>
  <sheetFormatPr defaultColWidth="11.19921875" defaultRowHeight="15.6" x14ac:dyDescent="0.3"/>
  <cols>
    <col min="1" max="1" width="57.19921875" bestFit="1" customWidth="1"/>
    <col min="2" max="2" width="17.5" customWidth="1"/>
    <col min="3" max="3" width="15.19921875" bestFit="1" customWidth="1"/>
  </cols>
  <sheetData>
    <row r="1" spans="1:10" ht="27" customHeight="1" x14ac:dyDescent="0.3">
      <c r="A1" s="78" t="s">
        <v>121</v>
      </c>
      <c r="B1" s="79" t="s">
        <v>177</v>
      </c>
      <c r="C1" s="77" t="s">
        <v>172</v>
      </c>
      <c r="D1" s="77" t="s">
        <v>173</v>
      </c>
      <c r="E1" s="77" t="s">
        <v>174</v>
      </c>
      <c r="F1" s="77" t="s">
        <v>175</v>
      </c>
      <c r="G1" s="77" t="s">
        <v>176</v>
      </c>
      <c r="J1" s="50" t="s">
        <v>132</v>
      </c>
    </row>
    <row r="2" spans="1:10" x14ac:dyDescent="0.3">
      <c r="A2" s="78"/>
      <c r="B2" s="79"/>
      <c r="C2" s="77"/>
      <c r="D2" s="77"/>
      <c r="E2" s="77"/>
      <c r="F2" s="77"/>
      <c r="G2" s="77"/>
    </row>
    <row r="3" spans="1:10" x14ac:dyDescent="0.3">
      <c r="A3" s="78"/>
      <c r="B3" s="79"/>
      <c r="C3" s="77"/>
      <c r="D3" s="77"/>
      <c r="E3" s="77"/>
      <c r="F3" s="77"/>
      <c r="G3" s="77"/>
    </row>
    <row r="4" spans="1:10" x14ac:dyDescent="0.3">
      <c r="A4" s="27"/>
      <c r="B4" s="28"/>
      <c r="C4" s="29"/>
      <c r="D4" s="7"/>
      <c r="E4" s="7"/>
      <c r="F4" s="7"/>
      <c r="G4" s="7"/>
    </row>
    <row r="5" spans="1:10" x14ac:dyDescent="0.3">
      <c r="A5" s="30" t="s">
        <v>0</v>
      </c>
      <c r="B5" s="28"/>
      <c r="C5" s="29"/>
      <c r="D5" s="7"/>
      <c r="E5" s="7"/>
      <c r="F5" s="7"/>
      <c r="G5" s="7"/>
    </row>
    <row r="6" spans="1:10" x14ac:dyDescent="0.3">
      <c r="A6" s="27"/>
      <c r="B6" s="28"/>
      <c r="C6" s="29"/>
      <c r="D6" s="7"/>
      <c r="E6" s="7"/>
      <c r="F6" s="7"/>
      <c r="G6" s="7"/>
    </row>
    <row r="7" spans="1:10" x14ac:dyDescent="0.3">
      <c r="A7" s="27" t="s">
        <v>122</v>
      </c>
      <c r="B7" s="5">
        <v>221221361</v>
      </c>
      <c r="C7" s="21">
        <f>+B7*2.4925</f>
        <v>551394242.29250002</v>
      </c>
      <c r="D7" s="7">
        <v>619932547.02980554</v>
      </c>
      <c r="E7" s="7">
        <v>681925801.73278618</v>
      </c>
      <c r="F7" s="7">
        <v>736548058.45158243</v>
      </c>
      <c r="G7" s="7">
        <v>784791956.28016102</v>
      </c>
    </row>
    <row r="8" spans="1:10" x14ac:dyDescent="0.3">
      <c r="A8" s="27" t="s">
        <v>1</v>
      </c>
      <c r="B8" s="5">
        <v>672852</v>
      </c>
      <c r="C8" s="29">
        <f>+B8*1.02</f>
        <v>686309.04</v>
      </c>
      <c r="D8" s="7">
        <v>700035.22080000001</v>
      </c>
      <c r="E8" s="7">
        <v>714035.92521600006</v>
      </c>
      <c r="F8" s="7">
        <v>728316.64372032008</v>
      </c>
      <c r="G8" s="7">
        <v>742882.97659472644</v>
      </c>
    </row>
    <row r="9" spans="1:10" x14ac:dyDescent="0.3">
      <c r="A9" s="31" t="s">
        <v>0</v>
      </c>
      <c r="B9" s="32">
        <v>221894213</v>
      </c>
      <c r="C9" s="33">
        <f t="shared" ref="C9" si="0">+C7+C8</f>
        <v>552080551.33249998</v>
      </c>
      <c r="D9" s="7">
        <v>620632582.25060558</v>
      </c>
      <c r="E9" s="7">
        <v>682639837.65800214</v>
      </c>
      <c r="F9" s="7">
        <v>737276375.0953027</v>
      </c>
      <c r="G9" s="7">
        <v>785534839.25675571</v>
      </c>
    </row>
    <row r="10" spans="1:10" x14ac:dyDescent="0.3">
      <c r="A10" s="27"/>
      <c r="B10" s="28"/>
      <c r="C10" s="29"/>
      <c r="D10" s="7"/>
      <c r="E10" s="7"/>
      <c r="F10" s="7"/>
      <c r="G10" s="7"/>
    </row>
    <row r="11" spans="1:10" x14ac:dyDescent="0.3">
      <c r="A11" s="30" t="s">
        <v>2</v>
      </c>
      <c r="B11" s="28"/>
      <c r="C11" s="29"/>
      <c r="D11" s="7"/>
      <c r="E11" s="7"/>
      <c r="F11" s="7"/>
      <c r="G11" s="7"/>
    </row>
    <row r="12" spans="1:10" x14ac:dyDescent="0.3">
      <c r="A12" s="27"/>
      <c r="B12" s="28"/>
      <c r="C12" s="29"/>
      <c r="D12" s="7"/>
      <c r="E12" s="7"/>
      <c r="F12" s="7"/>
      <c r="G12" s="7"/>
    </row>
    <row r="13" spans="1:10" x14ac:dyDescent="0.3">
      <c r="A13" s="27" t="s">
        <v>3</v>
      </c>
      <c r="B13" s="34" t="s">
        <v>123</v>
      </c>
      <c r="C13" s="35" t="e">
        <f>+B13*1.03</f>
        <v>#VALUE!</v>
      </c>
      <c r="D13" s="7">
        <v>0</v>
      </c>
      <c r="E13" s="7">
        <v>0</v>
      </c>
      <c r="F13" s="7">
        <v>0</v>
      </c>
      <c r="G13" s="7"/>
    </row>
    <row r="14" spans="1:10" x14ac:dyDescent="0.3">
      <c r="A14" s="27" t="s">
        <v>4</v>
      </c>
      <c r="B14" s="5">
        <v>194837987</v>
      </c>
      <c r="C14" s="22">
        <f>+C7*65%</f>
        <v>358406257.490125</v>
      </c>
      <c r="D14" s="7">
        <v>353361551.80698913</v>
      </c>
      <c r="E14" s="7">
        <v>381878448.97036028</v>
      </c>
      <c r="F14" s="7">
        <v>412466912.7328862</v>
      </c>
      <c r="G14" s="7">
        <v>431635575.95408857</v>
      </c>
    </row>
    <row r="15" spans="1:10" x14ac:dyDescent="0.3">
      <c r="A15" s="27" t="s">
        <v>5</v>
      </c>
      <c r="B15" s="5">
        <v>-67835141</v>
      </c>
      <c r="C15" s="22">
        <f>+C7*2%</f>
        <v>11027884.84585</v>
      </c>
      <c r="D15" s="7">
        <v>12398650.940596111</v>
      </c>
      <c r="E15" s="7">
        <v>13638516.034655724</v>
      </c>
      <c r="F15" s="7">
        <v>14730961.16903165</v>
      </c>
      <c r="G15" s="7">
        <v>15695839.125603221</v>
      </c>
    </row>
    <row r="16" spans="1:10" x14ac:dyDescent="0.3">
      <c r="A16" s="30" t="s">
        <v>6</v>
      </c>
      <c r="B16" s="36">
        <v>66491224.369999997</v>
      </c>
      <c r="C16" s="37">
        <v>155856161.413331</v>
      </c>
      <c r="D16" s="7">
        <v>168402188.32895207</v>
      </c>
      <c r="E16" s="7">
        <v>180418558.81362468</v>
      </c>
      <c r="F16" s="7">
        <v>191820930.83368453</v>
      </c>
      <c r="G16" s="7">
        <v>202736531.03407711</v>
      </c>
    </row>
    <row r="17" spans="1:7" x14ac:dyDescent="0.3">
      <c r="A17" s="27" t="s">
        <v>7</v>
      </c>
      <c r="B17" s="28"/>
      <c r="C17" s="29"/>
      <c r="D17" s="7"/>
      <c r="E17" s="7"/>
      <c r="F17" s="7"/>
      <c r="G17" s="7"/>
    </row>
    <row r="18" spans="1:7" x14ac:dyDescent="0.3">
      <c r="A18" s="27" t="s">
        <v>8</v>
      </c>
      <c r="B18" s="28"/>
      <c r="C18" s="29"/>
      <c r="D18" s="7"/>
      <c r="E18" s="7"/>
      <c r="F18" s="7"/>
      <c r="G18" s="7"/>
    </row>
    <row r="19" spans="1:7" x14ac:dyDescent="0.3">
      <c r="A19" s="27" t="s">
        <v>9</v>
      </c>
      <c r="B19" s="28"/>
      <c r="C19" s="29"/>
      <c r="D19" s="7"/>
      <c r="E19" s="7"/>
      <c r="F19" s="7"/>
      <c r="G19" s="7"/>
    </row>
    <row r="20" spans="1:7" x14ac:dyDescent="0.3">
      <c r="A20" s="27" t="s">
        <v>10</v>
      </c>
      <c r="B20" s="28"/>
      <c r="C20" s="29"/>
      <c r="D20" s="7"/>
      <c r="E20" s="7"/>
      <c r="F20" s="7"/>
      <c r="G20" s="7"/>
    </row>
    <row r="21" spans="1:7" x14ac:dyDescent="0.3">
      <c r="A21" s="27" t="s">
        <v>11</v>
      </c>
      <c r="B21" s="28"/>
      <c r="C21" s="29"/>
      <c r="D21" s="7"/>
      <c r="E21" s="7"/>
      <c r="F21" s="7"/>
      <c r="G21" s="7"/>
    </row>
    <row r="22" spans="1:7" x14ac:dyDescent="0.3">
      <c r="A22" s="27" t="s">
        <v>12</v>
      </c>
      <c r="B22" s="28"/>
      <c r="C22" s="29"/>
      <c r="D22" s="7"/>
      <c r="E22" s="7"/>
      <c r="F22" s="7"/>
      <c r="G22" s="7"/>
    </row>
    <row r="23" spans="1:7" x14ac:dyDescent="0.3">
      <c r="A23" s="27" t="s">
        <v>13</v>
      </c>
      <c r="B23" s="36">
        <v>66491224.369999997</v>
      </c>
      <c r="C23" s="37">
        <v>155856161.413331</v>
      </c>
      <c r="D23" s="7">
        <v>168402188.32895207</v>
      </c>
      <c r="E23" s="7">
        <v>180418558.81362468</v>
      </c>
      <c r="F23" s="7">
        <v>191820930.83368453</v>
      </c>
      <c r="G23" s="7">
        <v>202736531.03407711</v>
      </c>
    </row>
    <row r="24" spans="1:7" x14ac:dyDescent="0.3">
      <c r="A24" s="27"/>
      <c r="B24" s="28"/>
      <c r="C24" s="29"/>
      <c r="D24" s="7"/>
      <c r="E24" s="7"/>
      <c r="F24" s="7"/>
      <c r="G24" s="7"/>
    </row>
    <row r="25" spans="1:7" ht="26.4" x14ac:dyDescent="0.3">
      <c r="A25" s="38" t="s">
        <v>14</v>
      </c>
      <c r="B25" s="28">
        <v>28400142</v>
      </c>
      <c r="C25" s="29" t="e">
        <f t="shared" ref="C25" si="1">+C9-C13-C14-C15-C23</f>
        <v>#VALUE!</v>
      </c>
      <c r="D25" s="7">
        <v>86470191.174068272</v>
      </c>
      <c r="E25" s="7">
        <v>106704313.83936143</v>
      </c>
      <c r="F25" s="7">
        <v>118257570.35970035</v>
      </c>
      <c r="G25" s="7">
        <v>135466893.14298683</v>
      </c>
    </row>
    <row r="26" spans="1:7" x14ac:dyDescent="0.3">
      <c r="A26" s="39" t="s">
        <v>15</v>
      </c>
      <c r="B26" s="28">
        <v>16620772</v>
      </c>
      <c r="C26" s="29">
        <v>21953574.699999999</v>
      </c>
      <c r="D26" s="7">
        <v>24353574.699999999</v>
      </c>
      <c r="E26" s="7">
        <v>26153574.700000003</v>
      </c>
      <c r="F26" s="7">
        <v>27903574.700000003</v>
      </c>
      <c r="G26" s="7">
        <v>29513574.700000003</v>
      </c>
    </row>
    <row r="27" spans="1:7" x14ac:dyDescent="0.3">
      <c r="A27" s="27" t="s">
        <v>16</v>
      </c>
      <c r="B27" s="28">
        <v>11779371</v>
      </c>
      <c r="C27" s="29" t="e">
        <f t="shared" ref="C27" si="2">+C25-C26</f>
        <v>#VALUE!</v>
      </c>
      <c r="D27" s="7">
        <v>62116616.474068269</v>
      </c>
      <c r="E27" s="7">
        <v>80550739.139361426</v>
      </c>
      <c r="F27" s="7">
        <v>90353995.659700349</v>
      </c>
      <c r="G27" s="7">
        <v>105953318.44298683</v>
      </c>
    </row>
    <row r="28" spans="1:7" x14ac:dyDescent="0.3">
      <c r="A28" s="27" t="s">
        <v>17</v>
      </c>
      <c r="B28" s="28">
        <v>5463128</v>
      </c>
      <c r="C28" s="29">
        <v>23171362.692883004</v>
      </c>
      <c r="D28" s="7">
        <v>23171362.692883004</v>
      </c>
      <c r="E28" s="7">
        <v>23171362.692883004</v>
      </c>
      <c r="F28" s="7">
        <v>23171362.692883004</v>
      </c>
      <c r="G28" s="7">
        <v>23171362.692883004</v>
      </c>
    </row>
    <row r="29" spans="1:7" x14ac:dyDescent="0.3">
      <c r="A29" s="40" t="s">
        <v>18</v>
      </c>
      <c r="B29" s="28" t="s">
        <v>123</v>
      </c>
      <c r="C29" s="29">
        <v>0</v>
      </c>
      <c r="D29" s="7">
        <v>0</v>
      </c>
      <c r="E29" s="7">
        <v>0</v>
      </c>
      <c r="F29" s="7">
        <v>0</v>
      </c>
      <c r="G29" s="7"/>
    </row>
    <row r="30" spans="1:7" x14ac:dyDescent="0.3">
      <c r="A30" s="38" t="s">
        <v>19</v>
      </c>
      <c r="B30" s="28">
        <v>6316243</v>
      </c>
      <c r="C30" s="29" t="e">
        <f t="shared" ref="C30" si="3">+C27-C28+C29</f>
        <v>#VALUE!</v>
      </c>
      <c r="D30" s="7">
        <v>38945253.781185269</v>
      </c>
      <c r="E30" s="7">
        <v>57379376.446478426</v>
      </c>
      <c r="F30" s="7">
        <v>67182632.966817349</v>
      </c>
      <c r="G30" s="7">
        <v>82781955.750103831</v>
      </c>
    </row>
    <row r="31" spans="1:7" x14ac:dyDescent="0.3">
      <c r="A31" s="41" t="s">
        <v>20</v>
      </c>
      <c r="B31" s="28" t="s">
        <v>123</v>
      </c>
      <c r="C31" s="29">
        <v>0</v>
      </c>
      <c r="D31" s="7">
        <v>0</v>
      </c>
      <c r="E31" s="7">
        <v>0</v>
      </c>
      <c r="F31" s="7">
        <v>0</v>
      </c>
      <c r="G31" s="7"/>
    </row>
    <row r="32" spans="1:7" x14ac:dyDescent="0.3">
      <c r="A32" s="42" t="s">
        <v>21</v>
      </c>
      <c r="B32" s="28">
        <v>6316243</v>
      </c>
      <c r="C32" s="29" t="e">
        <f t="shared" ref="C32" si="4">+C30+C31</f>
        <v>#VALUE!</v>
      </c>
      <c r="D32" s="7">
        <v>38945253.781185269</v>
      </c>
      <c r="E32" s="7">
        <v>57379376.446478426</v>
      </c>
      <c r="F32" s="7">
        <v>67182632.966817349</v>
      </c>
      <c r="G32" s="7">
        <v>82781955.750103831</v>
      </c>
    </row>
    <row r="33" spans="1:7" x14ac:dyDescent="0.3">
      <c r="A33" s="43" t="s">
        <v>22</v>
      </c>
      <c r="B33" s="28" t="s">
        <v>123</v>
      </c>
      <c r="C33" s="29">
        <v>0</v>
      </c>
      <c r="D33" s="7">
        <v>0</v>
      </c>
      <c r="E33" s="7">
        <v>0</v>
      </c>
      <c r="F33" s="7">
        <v>0</v>
      </c>
      <c r="G33" s="7"/>
    </row>
    <row r="34" spans="1:7" x14ac:dyDescent="0.3">
      <c r="A34" s="44" t="s">
        <v>23</v>
      </c>
      <c r="B34" s="28">
        <v>6316243</v>
      </c>
      <c r="C34" s="29" t="e">
        <f t="shared" ref="C34" si="5">+C32+C33</f>
        <v>#VALUE!</v>
      </c>
      <c r="D34" s="7">
        <v>38945253.781185269</v>
      </c>
      <c r="E34" s="7">
        <v>57379376.446478426</v>
      </c>
      <c r="F34" s="7">
        <v>67182632.966817349</v>
      </c>
      <c r="G34" s="7">
        <v>82781955.750103831</v>
      </c>
    </row>
    <row r="35" spans="1:7" x14ac:dyDescent="0.3">
      <c r="A35" s="44" t="s">
        <v>24</v>
      </c>
      <c r="B35" s="28">
        <v>1894873</v>
      </c>
      <c r="C35" s="29">
        <f t="shared" ref="C35" si="6">+C36+C37+C38+C39+C40</f>
        <v>0</v>
      </c>
      <c r="D35" s="7">
        <v>11683576.13435558</v>
      </c>
      <c r="E35" s="7">
        <v>17213812.933943529</v>
      </c>
      <c r="F35" s="7">
        <v>20154789.890045203</v>
      </c>
      <c r="G35" s="7">
        <v>24834586.725031149</v>
      </c>
    </row>
    <row r="36" spans="1:7" x14ac:dyDescent="0.3">
      <c r="A36" s="45" t="s">
        <v>25</v>
      </c>
      <c r="B36" s="32">
        <v>1894873</v>
      </c>
      <c r="C36" s="33">
        <v>0</v>
      </c>
      <c r="D36" s="7">
        <v>11683576.13435558</v>
      </c>
      <c r="E36" s="7">
        <v>17213812.933943529</v>
      </c>
      <c r="F36" s="7">
        <v>20154789.890045203</v>
      </c>
      <c r="G36" s="7">
        <v>24834586.725031149</v>
      </c>
    </row>
    <row r="37" spans="1:7" x14ac:dyDescent="0.3">
      <c r="A37" s="45" t="s">
        <v>26</v>
      </c>
      <c r="B37" s="32" t="s">
        <v>123</v>
      </c>
      <c r="C37" s="33">
        <v>0</v>
      </c>
      <c r="D37" s="7">
        <v>0</v>
      </c>
      <c r="E37" s="7">
        <v>0</v>
      </c>
      <c r="F37" s="7">
        <v>0</v>
      </c>
      <c r="G37" s="7"/>
    </row>
    <row r="38" spans="1:7" x14ac:dyDescent="0.3">
      <c r="A38" s="45" t="s">
        <v>27</v>
      </c>
      <c r="B38" s="32" t="s">
        <v>123</v>
      </c>
      <c r="C38" s="33">
        <v>0</v>
      </c>
      <c r="D38" s="7">
        <v>0</v>
      </c>
      <c r="E38" s="7">
        <v>0</v>
      </c>
      <c r="F38" s="7">
        <v>0</v>
      </c>
      <c r="G38" s="7"/>
    </row>
    <row r="39" spans="1:7" x14ac:dyDescent="0.3">
      <c r="A39" s="45" t="s">
        <v>28</v>
      </c>
      <c r="B39" s="32" t="s">
        <v>123</v>
      </c>
      <c r="C39" s="33">
        <v>0</v>
      </c>
      <c r="D39" s="7">
        <v>0</v>
      </c>
      <c r="E39" s="7">
        <v>0</v>
      </c>
      <c r="F39" s="7">
        <v>0</v>
      </c>
      <c r="G39" s="7"/>
    </row>
    <row r="40" spans="1:7" x14ac:dyDescent="0.3">
      <c r="A40" s="45" t="s">
        <v>29</v>
      </c>
      <c r="B40" s="32" t="s">
        <v>123</v>
      </c>
      <c r="C40" s="33">
        <v>0</v>
      </c>
      <c r="D40" s="7">
        <v>0</v>
      </c>
      <c r="E40" s="7">
        <v>0</v>
      </c>
      <c r="F40" s="7">
        <v>0</v>
      </c>
      <c r="G40" s="7"/>
    </row>
    <row r="41" spans="1:7" x14ac:dyDescent="0.3">
      <c r="A41" s="42"/>
      <c r="B41" s="46"/>
      <c r="C41" s="7"/>
      <c r="D41" s="7"/>
      <c r="E41" s="7"/>
      <c r="F41" s="7"/>
      <c r="G41" s="7"/>
    </row>
    <row r="42" spans="1:7" x14ac:dyDescent="0.3">
      <c r="A42" s="47" t="s">
        <v>30</v>
      </c>
      <c r="B42" s="48">
        <v>4421370</v>
      </c>
      <c r="C42" s="23" t="e">
        <f t="shared" ref="C42" si="7">+C34-C35</f>
        <v>#VALUE!</v>
      </c>
      <c r="D42" s="7">
        <v>27261677.646829687</v>
      </c>
      <c r="E42" s="7">
        <v>40165563.512534901</v>
      </c>
      <c r="F42" s="7">
        <v>47027843.076772146</v>
      </c>
      <c r="G42" s="7">
        <v>57947369.025072679</v>
      </c>
    </row>
    <row r="43" spans="1:7" x14ac:dyDescent="0.3">
      <c r="A43" s="42"/>
      <c r="B43" s="46"/>
      <c r="C43" s="7"/>
      <c r="D43" s="7"/>
      <c r="E43" s="7"/>
      <c r="F43" s="7"/>
      <c r="G43" s="7"/>
    </row>
    <row r="44" spans="1:7" x14ac:dyDescent="0.3">
      <c r="A44" s="44" t="s">
        <v>31</v>
      </c>
      <c r="B44" s="46"/>
      <c r="C44" s="7"/>
      <c r="D44" s="7"/>
      <c r="E44" s="7"/>
      <c r="F44" s="7"/>
      <c r="G44" s="7"/>
    </row>
    <row r="45" spans="1:7" x14ac:dyDescent="0.3">
      <c r="A45" s="21" t="s">
        <v>32</v>
      </c>
      <c r="B45" s="32" t="s">
        <v>123</v>
      </c>
      <c r="C45" s="33">
        <v>0</v>
      </c>
      <c r="D45" s="7">
        <v>0</v>
      </c>
      <c r="E45" s="7">
        <v>0</v>
      </c>
      <c r="F45" s="7">
        <v>0</v>
      </c>
      <c r="G45" s="7"/>
    </row>
    <row r="46" spans="1:7" ht="26.4" x14ac:dyDescent="0.3">
      <c r="A46" s="49" t="s">
        <v>33</v>
      </c>
      <c r="B46" s="32" t="s">
        <v>123</v>
      </c>
      <c r="C46" s="33">
        <v>0</v>
      </c>
      <c r="D46" s="7">
        <v>0</v>
      </c>
      <c r="E46" s="7">
        <v>0</v>
      </c>
      <c r="F46" s="7">
        <v>0</v>
      </c>
      <c r="G46" s="7"/>
    </row>
    <row r="47" spans="1:7" x14ac:dyDescent="0.3">
      <c r="A47" s="49"/>
      <c r="B47" s="46"/>
      <c r="C47" s="7"/>
      <c r="D47" s="7"/>
      <c r="E47" s="7"/>
      <c r="F47" s="7"/>
      <c r="G47" s="7"/>
    </row>
    <row r="48" spans="1:7" x14ac:dyDescent="0.3">
      <c r="A48" s="21" t="s">
        <v>34</v>
      </c>
      <c r="B48" s="32" t="s">
        <v>123</v>
      </c>
      <c r="C48" s="33">
        <v>0</v>
      </c>
      <c r="D48" s="7">
        <v>0</v>
      </c>
      <c r="E48" s="7">
        <v>0</v>
      </c>
      <c r="F48" s="7">
        <v>0</v>
      </c>
      <c r="G48" s="7"/>
    </row>
    <row r="49" spans="1:10" x14ac:dyDescent="0.3">
      <c r="A49" s="45" t="s">
        <v>35</v>
      </c>
      <c r="B49" s="32" t="s">
        <v>123</v>
      </c>
      <c r="C49" s="33">
        <v>0</v>
      </c>
      <c r="D49" s="7">
        <v>0</v>
      </c>
      <c r="E49" s="7">
        <v>0</v>
      </c>
      <c r="F49" s="7">
        <v>0</v>
      </c>
      <c r="G49" s="7"/>
    </row>
    <row r="50" spans="1:10" x14ac:dyDescent="0.3">
      <c r="A50" s="45" t="s">
        <v>36</v>
      </c>
      <c r="B50" s="32" t="s">
        <v>123</v>
      </c>
      <c r="C50" s="33">
        <v>0</v>
      </c>
      <c r="D50" s="7">
        <v>0</v>
      </c>
      <c r="E50" s="7">
        <v>0</v>
      </c>
      <c r="F50" s="7">
        <v>0</v>
      </c>
      <c r="G50" s="7"/>
    </row>
    <row r="51" spans="1:10" x14ac:dyDescent="0.3">
      <c r="A51" s="46"/>
      <c r="B51" s="32"/>
      <c r="C51" s="33"/>
      <c r="D51" s="7"/>
      <c r="E51" s="7"/>
      <c r="F51" s="7"/>
      <c r="G51" s="7"/>
    </row>
    <row r="52" spans="1:10" x14ac:dyDescent="0.3">
      <c r="A52" s="42" t="s">
        <v>37</v>
      </c>
      <c r="B52" s="32" t="s">
        <v>123</v>
      </c>
      <c r="C52" s="33">
        <v>0</v>
      </c>
      <c r="D52" s="7">
        <v>0</v>
      </c>
      <c r="E52" s="7">
        <v>0</v>
      </c>
      <c r="F52" s="7">
        <v>0</v>
      </c>
      <c r="G52" s="7"/>
    </row>
    <row r="53" spans="1:10" x14ac:dyDescent="0.3">
      <c r="A53" s="46"/>
      <c r="B53" s="46"/>
      <c r="C53" s="7"/>
      <c r="D53" s="7"/>
      <c r="E53" s="7"/>
      <c r="F53" s="7"/>
      <c r="G53" s="7"/>
    </row>
    <row r="54" spans="1:10" x14ac:dyDescent="0.3">
      <c r="A54" s="44" t="s">
        <v>38</v>
      </c>
      <c r="B54" s="48">
        <v>4421370</v>
      </c>
      <c r="C54" s="23" t="e">
        <f t="shared" ref="C54" si="8">+C42+C52</f>
        <v>#VALUE!</v>
      </c>
      <c r="D54" s="7">
        <v>27261677.646829687</v>
      </c>
      <c r="E54" s="7">
        <v>40165563.512534901</v>
      </c>
      <c r="F54" s="7">
        <v>47027843.076772146</v>
      </c>
      <c r="G54" s="7">
        <v>57947369.025072679</v>
      </c>
    </row>
    <row r="55" spans="1:10" x14ac:dyDescent="0.3">
      <c r="A55" s="46" t="s">
        <v>124</v>
      </c>
      <c r="B55" s="46"/>
      <c r="C55" s="7"/>
      <c r="D55" s="7"/>
      <c r="E55" s="7"/>
      <c r="F55" s="7"/>
      <c r="G55" s="7"/>
    </row>
    <row r="56" spans="1:10" x14ac:dyDescent="0.3">
      <c r="A56" s="46" t="s">
        <v>125</v>
      </c>
      <c r="B56" s="46"/>
      <c r="C56" s="7"/>
      <c r="D56" s="7"/>
      <c r="E56" s="7"/>
      <c r="F56" s="7"/>
      <c r="G56" s="7"/>
    </row>
    <row r="57" spans="1:10" x14ac:dyDescent="0.3">
      <c r="A57" s="46" t="s">
        <v>126</v>
      </c>
      <c r="B57" s="46"/>
      <c r="C57" s="7"/>
      <c r="D57" s="7"/>
      <c r="E57" s="7"/>
      <c r="F57" s="7"/>
      <c r="G57" s="7"/>
    </row>
    <row r="58" spans="1:10" x14ac:dyDescent="0.3">
      <c r="A58" s="46" t="s">
        <v>127</v>
      </c>
      <c r="B58" s="48" t="e">
        <v>#VALUE!</v>
      </c>
      <c r="C58" s="23" t="e">
        <f>+C54/[1]Sheet2!$C$11</f>
        <v>#VALUE!</v>
      </c>
      <c r="D58" s="7" t="e">
        <v>#VALUE!</v>
      </c>
      <c r="E58" s="7" t="e">
        <v>#VALUE!</v>
      </c>
      <c r="F58" s="7" t="e">
        <v>#VALUE!</v>
      </c>
      <c r="G58" s="7"/>
      <c r="J58" t="s">
        <v>133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4C2-FC5D-EB4C-A739-CF87FCBB2D79}">
  <dimension ref="A1:G74"/>
  <sheetViews>
    <sheetView workbookViewId="0">
      <selection activeCell="E8" sqref="E8"/>
    </sheetView>
  </sheetViews>
  <sheetFormatPr defaultColWidth="11.19921875" defaultRowHeight="15.6" x14ac:dyDescent="0.3"/>
  <cols>
    <col min="1" max="1" width="79.19921875" bestFit="1" customWidth="1"/>
    <col min="2" max="2" width="36" bestFit="1" customWidth="1"/>
    <col min="3" max="7" width="12.69921875" bestFit="1" customWidth="1"/>
  </cols>
  <sheetData>
    <row r="1" spans="1:7" ht="16.05" customHeight="1" x14ac:dyDescent="0.3">
      <c r="A1" s="80" t="s">
        <v>97</v>
      </c>
      <c r="B1" s="77" t="s">
        <v>178</v>
      </c>
      <c r="C1" s="77" t="s">
        <v>172</v>
      </c>
      <c r="D1" s="77" t="s">
        <v>173</v>
      </c>
      <c r="E1" s="77" t="s">
        <v>174</v>
      </c>
      <c r="F1" s="77" t="s">
        <v>175</v>
      </c>
      <c r="G1" s="77" t="s">
        <v>176</v>
      </c>
    </row>
    <row r="2" spans="1:7" x14ac:dyDescent="0.3">
      <c r="A2" s="80"/>
      <c r="B2" s="77"/>
      <c r="C2" s="77"/>
      <c r="D2" s="77"/>
      <c r="E2" s="77"/>
      <c r="F2" s="77"/>
      <c r="G2" s="77"/>
    </row>
    <row r="3" spans="1:7" x14ac:dyDescent="0.3">
      <c r="A3" s="80"/>
      <c r="B3" s="77"/>
      <c r="C3" s="77"/>
      <c r="D3" s="77"/>
      <c r="E3" s="77"/>
      <c r="F3" s="77"/>
      <c r="G3" s="77"/>
    </row>
    <row r="4" spans="1:7" x14ac:dyDescent="0.3">
      <c r="A4" s="51" t="s">
        <v>39</v>
      </c>
      <c r="B4" s="52"/>
      <c r="C4" s="52"/>
      <c r="D4" s="52"/>
      <c r="E4" s="52"/>
      <c r="F4" s="52"/>
      <c r="G4" s="7"/>
    </row>
    <row r="5" spans="1:7" x14ac:dyDescent="0.3">
      <c r="A5" s="51"/>
      <c r="B5" s="52"/>
      <c r="C5" s="52"/>
      <c r="D5" s="52"/>
      <c r="E5" s="52"/>
      <c r="F5" s="52"/>
      <c r="G5" s="7"/>
    </row>
    <row r="6" spans="1:7" x14ac:dyDescent="0.3">
      <c r="A6" s="51" t="s">
        <v>40</v>
      </c>
      <c r="B6" s="53">
        <f>SUM(B7:B22)</f>
        <v>109800758</v>
      </c>
      <c r="C6" s="53">
        <f t="shared" ref="C6:G6" si="0">SUM(C7:C22)</f>
        <v>89501063.80368942</v>
      </c>
      <c r="D6" s="53">
        <f t="shared" si="0"/>
        <v>114742908.0535436</v>
      </c>
      <c r="E6" s="53">
        <f t="shared" si="0"/>
        <v>152142032.79757679</v>
      </c>
      <c r="F6" s="53">
        <f t="shared" si="0"/>
        <v>196001881.57082087</v>
      </c>
      <c r="G6" s="53">
        <f t="shared" si="0"/>
        <v>250147669.6013369</v>
      </c>
    </row>
    <row r="7" spans="1:7" x14ac:dyDescent="0.3">
      <c r="A7" s="54" t="s">
        <v>41</v>
      </c>
      <c r="B7" s="26">
        <v>33800000</v>
      </c>
      <c r="C7" s="26">
        <v>33800000</v>
      </c>
      <c r="D7" s="26">
        <v>33800000</v>
      </c>
      <c r="E7" s="26">
        <v>33800000</v>
      </c>
      <c r="F7" s="26">
        <v>33800000</v>
      </c>
      <c r="G7" s="7">
        <v>33800000</v>
      </c>
    </row>
    <row r="8" spans="1:7" x14ac:dyDescent="0.3">
      <c r="A8" s="54" t="s">
        <v>42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7"/>
    </row>
    <row r="9" spans="1:7" x14ac:dyDescent="0.3">
      <c r="A9" s="55" t="s">
        <v>43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7"/>
    </row>
    <row r="10" spans="1:7" x14ac:dyDescent="0.3">
      <c r="A10" s="54" t="s">
        <v>44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7"/>
    </row>
    <row r="11" spans="1:7" x14ac:dyDescent="0.3">
      <c r="A11" s="54" t="s">
        <v>45</v>
      </c>
      <c r="B11" s="26">
        <v>76000758</v>
      </c>
      <c r="C11" s="26">
        <v>55701063.80368942</v>
      </c>
      <c r="D11" s="26">
        <v>80942908.053543597</v>
      </c>
      <c r="E11" s="26">
        <v>118342032.79757679</v>
      </c>
      <c r="F11" s="26">
        <v>162201881.57082087</v>
      </c>
      <c r="G11" s="7">
        <v>216347669.6013369</v>
      </c>
    </row>
    <row r="12" spans="1:7" x14ac:dyDescent="0.3">
      <c r="A12" s="54" t="s">
        <v>46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7"/>
    </row>
    <row r="13" spans="1:7" x14ac:dyDescent="0.3">
      <c r="A13" s="54" t="s">
        <v>47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7"/>
    </row>
    <row r="14" spans="1:7" x14ac:dyDescent="0.3">
      <c r="A14" s="54" t="s">
        <v>48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7"/>
    </row>
    <row r="15" spans="1:7" x14ac:dyDescent="0.3">
      <c r="A15" s="54" t="s">
        <v>49</v>
      </c>
      <c r="B15" s="26"/>
      <c r="C15" s="26"/>
      <c r="D15" s="26"/>
      <c r="E15" s="26"/>
      <c r="F15" s="26"/>
      <c r="G15" s="7"/>
    </row>
    <row r="16" spans="1:7" x14ac:dyDescent="0.3">
      <c r="A16" s="54" t="s">
        <v>50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7"/>
    </row>
    <row r="17" spans="1:7" x14ac:dyDescent="0.3">
      <c r="A17" s="54" t="s">
        <v>51</v>
      </c>
      <c r="B17" s="26"/>
      <c r="C17" s="26"/>
      <c r="D17" s="26"/>
      <c r="E17" s="26"/>
      <c r="F17" s="26"/>
      <c r="G17" s="7"/>
    </row>
    <row r="18" spans="1:7" x14ac:dyDescent="0.3">
      <c r="A18" s="54" t="s">
        <v>52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</row>
    <row r="19" spans="1:7" x14ac:dyDescent="0.3">
      <c r="A19" s="54" t="s">
        <v>53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</row>
    <row r="20" spans="1:7" x14ac:dyDescent="0.3">
      <c r="A20" s="54"/>
      <c r="B20" s="26"/>
      <c r="C20" s="26"/>
      <c r="D20" s="26"/>
      <c r="E20" s="26"/>
      <c r="F20" s="26"/>
      <c r="G20" s="26"/>
    </row>
    <row r="21" spans="1:7" x14ac:dyDescent="0.3">
      <c r="A21" s="55" t="s">
        <v>54</v>
      </c>
      <c r="B21" s="26"/>
      <c r="C21" s="26"/>
      <c r="D21" s="26"/>
      <c r="E21" s="26"/>
      <c r="F21" s="26"/>
      <c r="G21" s="26"/>
    </row>
    <row r="22" spans="1:7" x14ac:dyDescent="0.3">
      <c r="A22" s="55" t="s">
        <v>55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</row>
    <row r="23" spans="1:7" x14ac:dyDescent="0.3">
      <c r="A23" s="55"/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</row>
    <row r="24" spans="1:7" x14ac:dyDescent="0.3">
      <c r="A24" s="51" t="s">
        <v>56</v>
      </c>
      <c r="B24" s="26">
        <f>SUM(B25:B31)</f>
        <v>147115025.78</v>
      </c>
      <c r="C24" s="26">
        <f t="shared" ref="C24:G24" si="1">SUM(C25:C31)</f>
        <v>147115025.78</v>
      </c>
      <c r="D24" s="26">
        <f t="shared" si="1"/>
        <v>147115025.78</v>
      </c>
      <c r="E24" s="26">
        <f t="shared" si="1"/>
        <v>147115025.78</v>
      </c>
      <c r="F24" s="26">
        <f t="shared" si="1"/>
        <v>147115025.78</v>
      </c>
      <c r="G24" s="26">
        <f t="shared" si="1"/>
        <v>147115025.78</v>
      </c>
    </row>
    <row r="25" spans="1:7" x14ac:dyDescent="0.3">
      <c r="A25" s="56" t="s">
        <v>57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</row>
    <row r="26" spans="1:7" x14ac:dyDescent="0.3">
      <c r="A26" s="54"/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</row>
    <row r="27" spans="1:7" x14ac:dyDescent="0.3">
      <c r="A27" s="56" t="s">
        <v>58</v>
      </c>
      <c r="B27" s="2">
        <v>147115025.78</v>
      </c>
      <c r="C27" s="2">
        <v>147115025.78</v>
      </c>
      <c r="D27" s="2">
        <v>147115025.78</v>
      </c>
      <c r="E27" s="2">
        <v>147115025.78</v>
      </c>
      <c r="F27" s="2">
        <v>147115025.78</v>
      </c>
      <c r="G27" s="2">
        <v>147115025.78</v>
      </c>
    </row>
    <row r="28" spans="1:7" x14ac:dyDescent="0.3">
      <c r="A28" s="54" t="s">
        <v>59</v>
      </c>
      <c r="B28" s="26"/>
      <c r="C28" s="26"/>
      <c r="D28" s="26"/>
      <c r="E28" s="26"/>
      <c r="F28" s="26"/>
      <c r="G28" s="7"/>
    </row>
    <row r="29" spans="1:7" x14ac:dyDescent="0.3">
      <c r="A29" s="54" t="s">
        <v>60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</row>
    <row r="30" spans="1:7" x14ac:dyDescent="0.3">
      <c r="A30" s="54" t="s">
        <v>61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7"/>
    </row>
    <row r="31" spans="1:7" x14ac:dyDescent="0.3">
      <c r="A31" s="54" t="s">
        <v>62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7"/>
    </row>
    <row r="32" spans="1:7" x14ac:dyDescent="0.3">
      <c r="A32" s="54"/>
      <c r="B32" s="26"/>
      <c r="C32" s="26"/>
      <c r="D32" s="26"/>
      <c r="E32" s="26"/>
      <c r="F32" s="26"/>
      <c r="G32" s="7"/>
    </row>
    <row r="33" spans="1:7" x14ac:dyDescent="0.3">
      <c r="A33" s="51" t="s">
        <v>63</v>
      </c>
      <c r="B33" s="57">
        <f>SUM(B34:B40)</f>
        <v>479630701.76999998</v>
      </c>
      <c r="C33" s="57">
        <f t="shared" ref="C33:G33" si="2">SUM(C34:C40)</f>
        <v>496181136.73043644</v>
      </c>
      <c r="D33" s="57">
        <f t="shared" si="2"/>
        <v>479212899.71280444</v>
      </c>
      <c r="E33" s="57">
        <f t="shared" si="2"/>
        <v>483571091.72725344</v>
      </c>
      <c r="F33" s="57">
        <f t="shared" si="2"/>
        <v>482405965.86467278</v>
      </c>
      <c r="G33" s="57">
        <f t="shared" si="2"/>
        <v>474009946.91888213</v>
      </c>
    </row>
    <row r="34" spans="1:7" x14ac:dyDescent="0.3">
      <c r="A34" s="54" t="s">
        <v>64</v>
      </c>
      <c r="B34" s="26">
        <v>131314212</v>
      </c>
      <c r="C34" s="26">
        <v>117832194.32322536</v>
      </c>
      <c r="D34" s="26">
        <v>96811384.056709349</v>
      </c>
      <c r="E34" s="26">
        <v>104624232.59461924</v>
      </c>
      <c r="F34" s="26">
        <v>113004633.62544827</v>
      </c>
      <c r="G34" s="7">
        <v>118256322.17920235</v>
      </c>
    </row>
    <row r="35" spans="1:7" x14ac:dyDescent="0.3">
      <c r="A35" s="54" t="s">
        <v>65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7"/>
    </row>
    <row r="36" spans="1:7" x14ac:dyDescent="0.3">
      <c r="A36" s="54" t="s">
        <v>66</v>
      </c>
      <c r="B36" s="3">
        <v>17180255.309999999</v>
      </c>
      <c r="C36" s="3">
        <v>17180255.309999999</v>
      </c>
      <c r="D36" s="3">
        <v>17180255.309999999</v>
      </c>
      <c r="E36" s="3">
        <v>17180255.309999999</v>
      </c>
      <c r="F36" s="3">
        <v>17180255.309999999</v>
      </c>
      <c r="G36" s="3">
        <v>17180255.309999999</v>
      </c>
    </row>
    <row r="37" spans="1:7" x14ac:dyDescent="0.3">
      <c r="A37" s="54" t="s">
        <v>67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7"/>
    </row>
    <row r="38" spans="1:7" x14ac:dyDescent="0.3">
      <c r="A38" s="54" t="s">
        <v>68</v>
      </c>
      <c r="B38" s="26">
        <v>311380626.45999998</v>
      </c>
      <c r="C38" s="26">
        <v>341413079.09721112</v>
      </c>
      <c r="D38" s="26">
        <v>345465652.34609509</v>
      </c>
      <c r="E38" s="26">
        <v>342010995.82263416</v>
      </c>
      <c r="F38" s="26">
        <v>332465468.92922449</v>
      </c>
      <c r="G38" s="7">
        <v>318817761.42967981</v>
      </c>
    </row>
    <row r="39" spans="1:7" x14ac:dyDescent="0.3">
      <c r="A39" s="54" t="s">
        <v>69</v>
      </c>
      <c r="B39" s="1">
        <v>19755608</v>
      </c>
      <c r="C39" s="23">
        <f>+B39</f>
        <v>19755608</v>
      </c>
      <c r="D39" s="23">
        <f t="shared" ref="D39:G39" si="3">+C39</f>
        <v>19755608</v>
      </c>
      <c r="E39" s="23">
        <f t="shared" si="3"/>
        <v>19755608</v>
      </c>
      <c r="F39" s="23">
        <f t="shared" si="3"/>
        <v>19755608</v>
      </c>
      <c r="G39" s="23">
        <f t="shared" si="3"/>
        <v>19755608</v>
      </c>
    </row>
    <row r="40" spans="1:7" x14ac:dyDescent="0.3">
      <c r="A40" s="54" t="s">
        <v>70</v>
      </c>
      <c r="B40" s="57"/>
      <c r="C40" s="57"/>
      <c r="D40" s="57"/>
      <c r="E40" s="57"/>
      <c r="F40" s="57"/>
      <c r="G40" s="7"/>
    </row>
    <row r="41" spans="1:7" x14ac:dyDescent="0.3">
      <c r="A41" s="58" t="s">
        <v>71</v>
      </c>
      <c r="B41" s="57">
        <f>+B33+B27+B6</f>
        <v>736546485.54999995</v>
      </c>
      <c r="C41" s="57">
        <f t="shared" ref="C41:G41" si="4">+C33+C27+C6</f>
        <v>732797226.31412578</v>
      </c>
      <c r="D41" s="57">
        <f t="shared" si="4"/>
        <v>741070833.54634798</v>
      </c>
      <c r="E41" s="57">
        <f t="shared" si="4"/>
        <v>782828150.30483019</v>
      </c>
      <c r="F41" s="57">
        <f t="shared" si="4"/>
        <v>825522873.21549368</v>
      </c>
      <c r="G41" s="57">
        <f t="shared" si="4"/>
        <v>871272642.30021906</v>
      </c>
    </row>
    <row r="42" spans="1:7" x14ac:dyDescent="0.3">
      <c r="A42" s="54"/>
      <c r="B42" s="57"/>
      <c r="C42" s="57"/>
      <c r="D42" s="57"/>
      <c r="E42" s="57"/>
      <c r="F42" s="57"/>
      <c r="G42" s="7"/>
    </row>
    <row r="43" spans="1:7" x14ac:dyDescent="0.3">
      <c r="A43" s="51" t="s">
        <v>72</v>
      </c>
      <c r="B43" s="57"/>
      <c r="C43" s="57"/>
      <c r="D43" s="57"/>
      <c r="E43" s="57"/>
      <c r="F43" s="57"/>
      <c r="G43" s="7"/>
    </row>
    <row r="44" spans="1:7" x14ac:dyDescent="0.3">
      <c r="A44" s="51"/>
      <c r="B44" s="57"/>
      <c r="C44" s="57"/>
      <c r="D44" s="57"/>
      <c r="E44" s="57"/>
      <c r="F44" s="57"/>
      <c r="G44" s="7"/>
    </row>
    <row r="45" spans="1:7" x14ac:dyDescent="0.3">
      <c r="A45" s="55" t="s">
        <v>73</v>
      </c>
      <c r="B45" s="57">
        <f>+B46+SUM(B55:B59)</f>
        <v>466389195</v>
      </c>
      <c r="C45" s="57">
        <f t="shared" ref="C45:F45" si="5">+C46+SUM(C55:C59)</f>
        <v>493325978.30000001</v>
      </c>
      <c r="D45" s="57">
        <f t="shared" si="5"/>
        <v>534925978.30000001</v>
      </c>
      <c r="E45" s="57">
        <f t="shared" si="5"/>
        <v>566125978.29999995</v>
      </c>
      <c r="F45" s="57">
        <f t="shared" si="5"/>
        <v>596875978.29999995</v>
      </c>
      <c r="G45" s="57">
        <f t="shared" ref="G45" si="6">+G46+SUM(G55:G59)</f>
        <v>625465978.29999995</v>
      </c>
    </row>
    <row r="46" spans="1:7" x14ac:dyDescent="0.3">
      <c r="A46" s="59" t="s">
        <v>74</v>
      </c>
      <c r="B46" s="26">
        <f>SUM(B48:B53)</f>
        <v>342570791</v>
      </c>
      <c r="C46" s="26">
        <f t="shared" ref="C46:G46" si="7">SUM(C48:C53)</f>
        <v>369507574.30000001</v>
      </c>
      <c r="D46" s="26">
        <f t="shared" si="7"/>
        <v>411107574.30000001</v>
      </c>
      <c r="E46" s="26">
        <f t="shared" si="7"/>
        <v>442307574.30000001</v>
      </c>
      <c r="F46" s="26">
        <f t="shared" si="7"/>
        <v>473057574.30000001</v>
      </c>
      <c r="G46" s="26">
        <f t="shared" si="7"/>
        <v>501647574.30000001</v>
      </c>
    </row>
    <row r="47" spans="1:7" x14ac:dyDescent="0.3">
      <c r="A47" s="51" t="s">
        <v>75</v>
      </c>
      <c r="B47" s="26"/>
      <c r="C47" s="26"/>
      <c r="D47" s="26"/>
      <c r="E47" s="26"/>
      <c r="F47" s="26"/>
      <c r="G47" s="7"/>
    </row>
    <row r="48" spans="1:7" x14ac:dyDescent="0.3">
      <c r="A48" s="60" t="s">
        <v>76</v>
      </c>
      <c r="B48" s="26">
        <v>342570791</v>
      </c>
      <c r="C48" s="26">
        <v>369507574.30000001</v>
      </c>
      <c r="D48" s="26">
        <v>411107574.30000001</v>
      </c>
      <c r="E48" s="26">
        <v>442307574.30000001</v>
      </c>
      <c r="F48" s="26">
        <v>473057574.30000001</v>
      </c>
      <c r="G48" s="7">
        <v>501647574.30000001</v>
      </c>
    </row>
    <row r="49" spans="1:7" x14ac:dyDescent="0.3">
      <c r="A49" s="60" t="s">
        <v>77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7"/>
    </row>
    <row r="50" spans="1:7" x14ac:dyDescent="0.3">
      <c r="A50" s="60" t="s">
        <v>78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7"/>
    </row>
    <row r="51" spans="1:7" x14ac:dyDescent="0.3">
      <c r="A51" s="60" t="s">
        <v>79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7"/>
    </row>
    <row r="52" spans="1:7" x14ac:dyDescent="0.3">
      <c r="A52" s="60" t="s">
        <v>80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7"/>
    </row>
    <row r="53" spans="1:7" x14ac:dyDescent="0.3">
      <c r="A53" s="60" t="s">
        <v>81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7"/>
    </row>
    <row r="54" spans="1:7" x14ac:dyDescent="0.3">
      <c r="A54" s="60"/>
      <c r="B54" s="26"/>
      <c r="C54" s="26"/>
      <c r="D54" s="26"/>
      <c r="E54" s="26"/>
      <c r="F54" s="26"/>
      <c r="G54" s="7"/>
    </row>
    <row r="55" spans="1:7" x14ac:dyDescent="0.3">
      <c r="A55" s="60" t="s">
        <v>82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7"/>
    </row>
    <row r="56" spans="1:7" x14ac:dyDescent="0.3">
      <c r="A56" s="61" t="s">
        <v>83</v>
      </c>
      <c r="B56" s="1">
        <v>29770092</v>
      </c>
      <c r="C56" s="24">
        <v>29770092</v>
      </c>
      <c r="D56" s="24">
        <v>29770092</v>
      </c>
      <c r="E56" s="24">
        <v>29770092</v>
      </c>
      <c r="F56" s="24">
        <v>29770092</v>
      </c>
      <c r="G56" s="24">
        <v>29770092</v>
      </c>
    </row>
    <row r="57" spans="1:7" x14ac:dyDescent="0.3">
      <c r="A57" s="54" t="s">
        <v>84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7"/>
    </row>
    <row r="58" spans="1:7" x14ac:dyDescent="0.3">
      <c r="A58" s="54" t="s">
        <v>85</v>
      </c>
      <c r="B58" s="26">
        <v>92251687</v>
      </c>
      <c r="C58" s="26">
        <v>92251687</v>
      </c>
      <c r="D58" s="26">
        <v>92251687</v>
      </c>
      <c r="E58" s="26">
        <v>92251687</v>
      </c>
      <c r="F58" s="26">
        <v>92251687</v>
      </c>
      <c r="G58" s="7">
        <v>92251687</v>
      </c>
    </row>
    <row r="59" spans="1:7" x14ac:dyDescent="0.3">
      <c r="A59" s="56" t="s">
        <v>86</v>
      </c>
      <c r="B59" s="4">
        <v>1796625</v>
      </c>
      <c r="C59" s="25">
        <f>+B59</f>
        <v>1796625</v>
      </c>
      <c r="D59" s="25">
        <f t="shared" ref="D59:G59" si="8">+C59</f>
        <v>1796625</v>
      </c>
      <c r="E59" s="25">
        <f t="shared" si="8"/>
        <v>1796625</v>
      </c>
      <c r="F59" s="25">
        <f t="shared" si="8"/>
        <v>1796625</v>
      </c>
      <c r="G59" s="25">
        <f t="shared" si="8"/>
        <v>1796625</v>
      </c>
    </row>
    <row r="60" spans="1:7" x14ac:dyDescent="0.3">
      <c r="A60" s="54"/>
      <c r="B60" s="26"/>
      <c r="C60" s="26"/>
      <c r="D60" s="26"/>
      <c r="E60" s="26"/>
      <c r="F60" s="26"/>
      <c r="G60" s="7"/>
    </row>
    <row r="61" spans="1:7" x14ac:dyDescent="0.3">
      <c r="A61" s="55" t="s">
        <v>87</v>
      </c>
      <c r="B61" s="26">
        <f>SUM(B62:B69)</f>
        <v>270157290</v>
      </c>
      <c r="C61" s="26">
        <f t="shared" ref="C61:G61" si="9">SUM(C62:C69)</f>
        <v>239471248.01192844</v>
      </c>
      <c r="D61" s="26">
        <f t="shared" si="9"/>
        <v>206144855.24818042</v>
      </c>
      <c r="E61" s="26">
        <f t="shared" si="9"/>
        <v>216702172.00429779</v>
      </c>
      <c r="F61" s="26">
        <f t="shared" si="9"/>
        <v>228646894.91944247</v>
      </c>
      <c r="G61" s="26">
        <f t="shared" si="9"/>
        <v>245806663.99556866</v>
      </c>
    </row>
    <row r="62" spans="1:7" x14ac:dyDescent="0.3">
      <c r="A62" s="56" t="s">
        <v>88</v>
      </c>
      <c r="B62" s="26">
        <v>6053565</v>
      </c>
      <c r="C62" s="26">
        <v>39554753.418898903</v>
      </c>
      <c r="D62" s="26">
        <v>13673104.439333305</v>
      </c>
      <c r="E62" s="26">
        <v>18044237.159302596</v>
      </c>
      <c r="F62" s="26">
        <v>13013248.629300699</v>
      </c>
      <c r="G62" s="7">
        <v>12494552.641662903</v>
      </c>
    </row>
    <row r="63" spans="1:7" x14ac:dyDescent="0.3">
      <c r="A63" s="56" t="s">
        <v>89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7"/>
    </row>
    <row r="64" spans="1:7" x14ac:dyDescent="0.3">
      <c r="A64" s="56" t="s">
        <v>90</v>
      </c>
      <c r="B64" s="13">
        <v>42700049</v>
      </c>
      <c r="C64" s="26">
        <v>45320074.739702061</v>
      </c>
      <c r="D64" s="26">
        <v>25476680.014923513</v>
      </c>
      <c r="E64" s="26">
        <v>28024348.016415872</v>
      </c>
      <c r="F64" s="26">
        <v>30269098.292530786</v>
      </c>
      <c r="G64" s="7">
        <v>32251724.230691548</v>
      </c>
    </row>
    <row r="65" spans="1:7" x14ac:dyDescent="0.3">
      <c r="A65" s="56" t="s">
        <v>91</v>
      </c>
      <c r="B65" s="13">
        <v>0</v>
      </c>
      <c r="C65" s="26">
        <v>0</v>
      </c>
      <c r="D65" s="26">
        <v>0</v>
      </c>
      <c r="E65" s="26">
        <v>0</v>
      </c>
      <c r="F65" s="26">
        <v>0</v>
      </c>
      <c r="G65" s="7"/>
    </row>
    <row r="66" spans="1:7" x14ac:dyDescent="0.3">
      <c r="A66" s="61" t="s">
        <v>92</v>
      </c>
      <c r="B66" s="13">
        <v>115000000</v>
      </c>
      <c r="C66" s="26">
        <v>48192743.853327498</v>
      </c>
      <c r="D66" s="26">
        <v>60591394.793923609</v>
      </c>
      <c r="E66" s="26">
        <v>74229910.828579336</v>
      </c>
      <c r="F66" s="26">
        <v>88960871.997610986</v>
      </c>
      <c r="G66" s="7">
        <v>104656711.12321422</v>
      </c>
    </row>
    <row r="67" spans="1:7" x14ac:dyDescent="0.3">
      <c r="A67" s="61" t="s">
        <v>93</v>
      </c>
      <c r="B67" s="13">
        <v>87608143</v>
      </c>
      <c r="C67" s="26">
        <v>87608143</v>
      </c>
      <c r="D67" s="26">
        <v>87608143</v>
      </c>
      <c r="E67" s="26">
        <v>77608143</v>
      </c>
      <c r="F67" s="26">
        <v>77608143</v>
      </c>
      <c r="G67" s="7">
        <v>77608143</v>
      </c>
    </row>
    <row r="68" spans="1:7" x14ac:dyDescent="0.3">
      <c r="A68" s="61" t="s">
        <v>94</v>
      </c>
      <c r="B68" s="13">
        <v>0</v>
      </c>
      <c r="C68" s="26">
        <v>0</v>
      </c>
      <c r="D68" s="26">
        <v>0</v>
      </c>
      <c r="E68" s="26">
        <v>0</v>
      </c>
      <c r="F68" s="26">
        <v>0</v>
      </c>
      <c r="G68" s="7"/>
    </row>
    <row r="69" spans="1:7" x14ac:dyDescent="0.3">
      <c r="A69" s="56" t="s">
        <v>95</v>
      </c>
      <c r="B69" s="15">
        <v>18795533</v>
      </c>
      <c r="C69" s="24">
        <f>+B69</f>
        <v>18795533</v>
      </c>
      <c r="D69" s="24">
        <f t="shared" ref="D69:G69" si="10">+C69</f>
        <v>18795533</v>
      </c>
      <c r="E69" s="24">
        <f t="shared" si="10"/>
        <v>18795533</v>
      </c>
      <c r="F69" s="24">
        <f t="shared" si="10"/>
        <v>18795533</v>
      </c>
      <c r="G69" s="24">
        <f t="shared" si="10"/>
        <v>18795533</v>
      </c>
    </row>
    <row r="70" spans="1:7" x14ac:dyDescent="0.3">
      <c r="A70" s="54"/>
      <c r="B70" s="26"/>
      <c r="C70" s="26"/>
      <c r="D70" s="26"/>
      <c r="E70" s="26"/>
      <c r="F70" s="26"/>
      <c r="G70" s="7"/>
    </row>
    <row r="71" spans="1:7" x14ac:dyDescent="0.3">
      <c r="A71" s="54"/>
      <c r="B71" s="7"/>
      <c r="C71" s="7"/>
      <c r="D71" s="7"/>
      <c r="E71" s="7"/>
      <c r="F71" s="7"/>
      <c r="G71" s="7"/>
    </row>
    <row r="72" spans="1:7" x14ac:dyDescent="0.3">
      <c r="A72" s="58" t="s">
        <v>71</v>
      </c>
      <c r="B72" s="57">
        <f>+B45+B61</f>
        <v>736546485</v>
      </c>
      <c r="C72" s="57">
        <f t="shared" ref="C72:G72" si="11">+C45+C61</f>
        <v>732797226.31192851</v>
      </c>
      <c r="D72" s="57">
        <f t="shared" si="11"/>
        <v>741070833.54818046</v>
      </c>
      <c r="E72" s="57">
        <f t="shared" si="11"/>
        <v>782828150.30429769</v>
      </c>
      <c r="F72" s="57">
        <f t="shared" si="11"/>
        <v>825522873.21944237</v>
      </c>
      <c r="G72" s="57">
        <f t="shared" si="11"/>
        <v>871272642.29556859</v>
      </c>
    </row>
    <row r="74" spans="1:7" x14ac:dyDescent="0.3">
      <c r="B74" s="6"/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5933-0105-D544-A4B5-ACFF8C002668}">
  <dimension ref="A1:M28"/>
  <sheetViews>
    <sheetView topLeftCell="A13" workbookViewId="0">
      <selection activeCell="G19" sqref="G19:I29"/>
    </sheetView>
  </sheetViews>
  <sheetFormatPr defaultColWidth="11.19921875" defaultRowHeight="15.6" x14ac:dyDescent="0.3"/>
  <cols>
    <col min="1" max="1" width="31.5" bestFit="1" customWidth="1"/>
    <col min="2" max="2" width="48.796875" bestFit="1" customWidth="1"/>
    <col min="3" max="3" width="19.296875" customWidth="1"/>
    <col min="4" max="4" width="33.796875" style="75" bestFit="1" customWidth="1"/>
    <col min="5" max="5" width="12.796875" bestFit="1" customWidth="1"/>
    <col min="7" max="7" width="23" bestFit="1" customWidth="1"/>
    <col min="9" max="9" width="19.19921875" bestFit="1" customWidth="1"/>
    <col min="10" max="10" width="4.296875" customWidth="1"/>
    <col min="11" max="11" width="19.796875" bestFit="1" customWidth="1"/>
    <col min="13" max="13" width="17.19921875" bestFit="1" customWidth="1"/>
  </cols>
  <sheetData>
    <row r="1" spans="1:13" x14ac:dyDescent="0.3">
      <c r="A1" s="82" t="s">
        <v>134</v>
      </c>
      <c r="B1" s="82"/>
      <c r="C1" s="17"/>
      <c r="D1" s="74" t="s">
        <v>132</v>
      </c>
    </row>
    <row r="3" spans="1:13" x14ac:dyDescent="0.3">
      <c r="A3" s="68" t="s">
        <v>97</v>
      </c>
      <c r="B3" s="69" t="s">
        <v>98</v>
      </c>
      <c r="C3" s="62"/>
      <c r="D3" s="75" t="s">
        <v>128</v>
      </c>
    </row>
    <row r="4" spans="1:13" x14ac:dyDescent="0.3">
      <c r="A4" s="9" t="s">
        <v>99</v>
      </c>
      <c r="B4" s="9" t="s">
        <v>100</v>
      </c>
      <c r="C4" s="63"/>
    </row>
    <row r="5" spans="1:13" x14ac:dyDescent="0.3">
      <c r="A5" s="7" t="s">
        <v>101</v>
      </c>
      <c r="B5" s="70">
        <f>+'P&amp;L'!B42</f>
        <v>4421370</v>
      </c>
      <c r="C5" s="64"/>
      <c r="D5" s="75" t="s">
        <v>136</v>
      </c>
      <c r="H5" t="s">
        <v>145</v>
      </c>
    </row>
    <row r="6" spans="1:13" x14ac:dyDescent="0.3">
      <c r="A6" s="7" t="s">
        <v>102</v>
      </c>
      <c r="B6" s="70">
        <f>+'P&amp;L'!B26</f>
        <v>16620772</v>
      </c>
      <c r="C6" s="64"/>
      <c r="D6" s="75" t="s">
        <v>136</v>
      </c>
    </row>
    <row r="7" spans="1:13" x14ac:dyDescent="0.3">
      <c r="A7" s="7" t="s">
        <v>103</v>
      </c>
      <c r="B7" s="70" t="e">
        <f>+(-'P&amp;L'!B29+'P&amp;L'!B31+'P&amp;L'!B33)</f>
        <v>#VALUE!</v>
      </c>
      <c r="C7" s="64"/>
      <c r="D7" s="75" t="s">
        <v>136</v>
      </c>
      <c r="G7" s="81" t="s">
        <v>135</v>
      </c>
      <c r="H7" s="81"/>
      <c r="I7" s="81"/>
      <c r="K7" s="83" t="s">
        <v>149</v>
      </c>
      <c r="L7" s="83"/>
      <c r="M7" s="83"/>
    </row>
    <row r="8" spans="1:13" x14ac:dyDescent="0.3">
      <c r="A8" s="7" t="s">
        <v>104</v>
      </c>
      <c r="B8" s="70" t="e">
        <f>+(SUM(_xlfn.SINGLE(BS!B64:B69)-BS!B68)-SUM(BS!B34:B40))-(SUM(_xlfn.SINGLE(BS!#REF!)-BS!#REF!)-SUM(BS!#REF!))</f>
        <v>#VALUE!</v>
      </c>
      <c r="C8" s="64"/>
      <c r="D8" s="75" t="s">
        <v>137</v>
      </c>
      <c r="G8" t="s">
        <v>163</v>
      </c>
      <c r="K8" s="10" t="s">
        <v>150</v>
      </c>
      <c r="L8" s="17" t="s">
        <v>129</v>
      </c>
      <c r="M8" s="10" t="s">
        <v>151</v>
      </c>
    </row>
    <row r="9" spans="1:13" x14ac:dyDescent="0.3">
      <c r="A9" s="7" t="s">
        <v>105</v>
      </c>
      <c r="B9" s="70" t="e">
        <f>+(BS!B59-BS!B25)-(BS!#REF!-BS!#REF!)</f>
        <v>#REF!</v>
      </c>
      <c r="C9" s="64"/>
      <c r="D9" s="75" t="s">
        <v>137</v>
      </c>
      <c r="G9" s="10" t="s">
        <v>158</v>
      </c>
      <c r="H9" s="16" t="s">
        <v>129</v>
      </c>
      <c r="I9" s="10" t="s">
        <v>164</v>
      </c>
      <c r="L9" s="17" t="s">
        <v>129</v>
      </c>
    </row>
    <row r="10" spans="1:13" x14ac:dyDescent="0.3">
      <c r="A10" s="68" t="s">
        <v>106</v>
      </c>
      <c r="B10" s="71" t="e">
        <f>+B5+B6+B7+B8+B9</f>
        <v>#VALUE!</v>
      </c>
      <c r="C10" s="65"/>
      <c r="D10" s="75" t="s">
        <v>138</v>
      </c>
      <c r="G10" s="10" t="s">
        <v>159</v>
      </c>
      <c r="I10" s="10" t="s">
        <v>165</v>
      </c>
      <c r="L10" s="19" t="s">
        <v>131</v>
      </c>
    </row>
    <row r="11" spans="1:13" x14ac:dyDescent="0.3">
      <c r="A11" s="7" t="s">
        <v>107</v>
      </c>
      <c r="B11" s="70" t="e">
        <f>+BS!B46-BS!#REF!</f>
        <v>#REF!</v>
      </c>
      <c r="C11" s="64"/>
      <c r="D11" s="75" t="s">
        <v>137</v>
      </c>
      <c r="G11" s="11" t="s">
        <v>160</v>
      </c>
      <c r="I11" s="10" t="s">
        <v>166</v>
      </c>
    </row>
    <row r="12" spans="1:13" x14ac:dyDescent="0.3">
      <c r="A12" s="72" t="s">
        <v>96</v>
      </c>
      <c r="B12" s="73" t="e">
        <f>B10+B11</f>
        <v>#VALUE!</v>
      </c>
      <c r="C12" s="66"/>
      <c r="D12" s="76" t="s">
        <v>139</v>
      </c>
      <c r="G12" s="12" t="s">
        <v>161</v>
      </c>
      <c r="I12" s="10" t="s">
        <v>167</v>
      </c>
    </row>
    <row r="13" spans="1:13" x14ac:dyDescent="0.3">
      <c r="A13" s="7" t="s">
        <v>108</v>
      </c>
      <c r="B13" s="7" t="s">
        <v>109</v>
      </c>
      <c r="D13" s="75" t="s">
        <v>142</v>
      </c>
      <c r="G13" s="14" t="s">
        <v>162</v>
      </c>
      <c r="I13" s="10" t="s">
        <v>168</v>
      </c>
    </row>
    <row r="14" spans="1:13" x14ac:dyDescent="0.3">
      <c r="A14" s="7" t="s">
        <v>110</v>
      </c>
      <c r="B14" s="7" t="e">
        <f>1/(1+[1]Sheet2!C20)^B13</f>
        <v>#VALUE!</v>
      </c>
      <c r="D14" s="74" t="s">
        <v>140</v>
      </c>
      <c r="E14" s="50" t="s">
        <v>141</v>
      </c>
      <c r="I14" s="10" t="s">
        <v>169</v>
      </c>
    </row>
    <row r="15" spans="1:13" x14ac:dyDescent="0.3">
      <c r="A15" s="7" t="s">
        <v>111</v>
      </c>
      <c r="B15" s="7" t="e">
        <f>+B14*B12</f>
        <v>#VALUE!</v>
      </c>
      <c r="D15" s="75" t="s">
        <v>138</v>
      </c>
      <c r="I15" s="10" t="s">
        <v>170</v>
      </c>
    </row>
    <row r="16" spans="1:13" x14ac:dyDescent="0.3">
      <c r="A16" s="7" t="s">
        <v>112</v>
      </c>
      <c r="B16" s="8" t="e">
        <f>SUM(B15:H15)</f>
        <v>#VALUE!</v>
      </c>
      <c r="C16" s="67"/>
      <c r="D16" s="75" t="s">
        <v>138</v>
      </c>
      <c r="H16" s="16" t="s">
        <v>129</v>
      </c>
    </row>
    <row r="17" spans="1:9" x14ac:dyDescent="0.3">
      <c r="A17" s="7" t="s">
        <v>113</v>
      </c>
      <c r="B17" s="8">
        <f>+BS!B27</f>
        <v>147115025.78</v>
      </c>
      <c r="C17" s="67"/>
      <c r="D17" s="75" t="s">
        <v>137</v>
      </c>
      <c r="H17" t="s">
        <v>171</v>
      </c>
    </row>
    <row r="18" spans="1:9" x14ac:dyDescent="0.3">
      <c r="A18" s="7" t="s">
        <v>114</v>
      </c>
      <c r="B18" s="7">
        <f>+BS!B62+BS!B63</f>
        <v>6053565</v>
      </c>
      <c r="D18" s="75" t="s">
        <v>137</v>
      </c>
    </row>
    <row r="19" spans="1:9" x14ac:dyDescent="0.3">
      <c r="A19" s="7" t="s">
        <v>115</v>
      </c>
      <c r="B19" s="7">
        <f>+BS!B56+BS!B68</f>
        <v>29770092</v>
      </c>
      <c r="D19" s="75" t="s">
        <v>137</v>
      </c>
      <c r="G19" s="20" t="s">
        <v>146</v>
      </c>
      <c r="H19" s="20"/>
      <c r="I19" s="20"/>
    </row>
    <row r="20" spans="1:9" x14ac:dyDescent="0.3">
      <c r="A20" s="7" t="s">
        <v>116</v>
      </c>
      <c r="B20" s="7" t="s">
        <v>117</v>
      </c>
      <c r="D20" s="75" t="s">
        <v>142</v>
      </c>
      <c r="G20" s="18" t="s">
        <v>147</v>
      </c>
      <c r="H20" s="17" t="s">
        <v>129</v>
      </c>
      <c r="I20" s="19" t="s">
        <v>148</v>
      </c>
    </row>
    <row r="21" spans="1:9" x14ac:dyDescent="0.3">
      <c r="A21" s="9" t="s">
        <v>118</v>
      </c>
      <c r="B21" s="9" t="e">
        <f>+B16-B17+B18+B19+B20</f>
        <v>#VALUE!</v>
      </c>
      <c r="C21" s="63"/>
      <c r="D21" s="75" t="s">
        <v>143</v>
      </c>
    </row>
    <row r="22" spans="1:9" x14ac:dyDescent="0.3">
      <c r="A22" s="7" t="s">
        <v>119</v>
      </c>
      <c r="B22" s="7" t="str">
        <f>+[1]Sheet2!C11</f>
        <v>Ask user for same</v>
      </c>
      <c r="D22" s="75" t="s">
        <v>142</v>
      </c>
    </row>
    <row r="23" spans="1:9" x14ac:dyDescent="0.3">
      <c r="A23" s="9" t="s">
        <v>120</v>
      </c>
      <c r="B23" s="9" t="e">
        <f>+B21/B22</f>
        <v>#VALUE!</v>
      </c>
      <c r="C23" s="63"/>
      <c r="D23" s="76" t="s">
        <v>144</v>
      </c>
      <c r="G23" s="81" t="s">
        <v>152</v>
      </c>
      <c r="H23" s="81"/>
      <c r="I23" s="81"/>
    </row>
    <row r="24" spans="1:9" x14ac:dyDescent="0.3">
      <c r="G24" s="10" t="s">
        <v>153</v>
      </c>
      <c r="H24" s="17" t="s">
        <v>130</v>
      </c>
      <c r="I24" s="10" t="s">
        <v>154</v>
      </c>
    </row>
    <row r="27" spans="1:9" x14ac:dyDescent="0.3">
      <c r="G27" s="81" t="s">
        <v>155</v>
      </c>
      <c r="H27" s="81"/>
      <c r="I27" s="81"/>
    </row>
    <row r="28" spans="1:9" x14ac:dyDescent="0.3">
      <c r="G28" s="11" t="s">
        <v>156</v>
      </c>
      <c r="H28" s="17" t="s">
        <v>130</v>
      </c>
      <c r="I28" s="12" t="s">
        <v>157</v>
      </c>
    </row>
  </sheetData>
  <mergeCells count="5">
    <mergeCell ref="G27:I27"/>
    <mergeCell ref="A1:B1"/>
    <mergeCell ref="G7:I7"/>
    <mergeCell ref="K7:M7"/>
    <mergeCell ref="G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FCFE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 KUMAR</cp:lastModifiedBy>
  <dcterms:created xsi:type="dcterms:W3CDTF">2022-11-10T11:41:45Z</dcterms:created>
  <dcterms:modified xsi:type="dcterms:W3CDTF">2023-04-05T11:13:07Z</dcterms:modified>
</cp:coreProperties>
</file>