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9075" windowHeight="7170"/>
  </bookViews>
  <sheets>
    <sheet name="matlab" sheetId="1" r:id="rId1"/>
    <sheet name="table" sheetId="2" r:id="rId2"/>
  </sheets>
  <calcPr calcId="125725"/>
</workbook>
</file>

<file path=xl/calcChain.xml><?xml version="1.0" encoding="utf-8"?>
<calcChain xmlns="http://schemas.openxmlformats.org/spreadsheetml/2006/main">
  <c r="C21" i="2"/>
  <c r="D21"/>
  <c r="G16"/>
  <c r="E16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F5"/>
  <c r="E5"/>
  <c r="E4"/>
  <c r="E3"/>
  <c r="E2"/>
  <c r="H2" i="1"/>
  <c r="H6"/>
  <c r="H3" l="1"/>
  <c r="I5" l="1"/>
  <c r="H4"/>
  <c r="H5"/>
  <c r="J13" l="1"/>
  <c r="H13"/>
  <c r="J10"/>
  <c r="J11"/>
  <c r="H10"/>
  <c r="J14"/>
  <c r="H14"/>
  <c r="H15"/>
  <c r="J12"/>
  <c r="J16"/>
  <c r="H12"/>
  <c r="H16"/>
  <c r="H11"/>
  <c r="H9"/>
  <c r="H8"/>
  <c r="H7"/>
  <c r="J7"/>
  <c r="J8"/>
  <c r="J6"/>
  <c r="J9"/>
</calcChain>
</file>

<file path=xl/sharedStrings.xml><?xml version="1.0" encoding="utf-8"?>
<sst xmlns="http://schemas.openxmlformats.org/spreadsheetml/2006/main" count="127" uniqueCount="70">
  <si>
    <t>min T (K)</t>
  </si>
  <si>
    <t>max T (K)</t>
  </si>
  <si>
    <t>B</t>
  </si>
  <si>
    <t>O2</t>
  </si>
  <si>
    <t>--</t>
  </si>
  <si>
    <t>O+CO -&gt; O2+C</t>
  </si>
  <si>
    <t>C (K)</t>
  </si>
  <si>
    <t>Order</t>
  </si>
  <si>
    <t>species1</t>
  </si>
  <si>
    <t>species2</t>
  </si>
  <si>
    <t>species3</t>
  </si>
  <si>
    <t>O</t>
  </si>
  <si>
    <t>M</t>
  </si>
  <si>
    <t>CO</t>
  </si>
  <si>
    <t>CO2</t>
  </si>
  <si>
    <t>Chemical Equation</t>
  </si>
  <si>
    <t>C + O2</t>
  </si>
  <si>
    <t>CO2plus</t>
  </si>
  <si>
    <t>e</t>
  </si>
  <si>
    <t>O3</t>
  </si>
  <si>
    <t>$O + O + M \\rightarrow O_2 + M$</t>
  </si>
  <si>
    <t>$O + CO + M \\rightarrow CO_2 + M$</t>
  </si>
  <si>
    <t>$O + CO_2 \\rightarrow O_2 + CO$</t>
  </si>
  <si>
    <t>$O_2 + CO \\rightarrow O + CO_2$</t>
  </si>
  <si>
    <t>$O_2 + O + M \\rightarrow O_3 + M$</t>
  </si>
  <si>
    <t>$O_2 + M \\rightarrow O + O + M$</t>
  </si>
  <si>
    <t>$CO + M \\rightarrow C + O + M$</t>
  </si>
  <si>
    <t>$O_3 \\rightarrow O_2 + O$</t>
  </si>
  <si>
    <t>$O_3 + O \\rightarrow 2O_2$</t>
  </si>
  <si>
    <t>$CO + O_3 \\rightarrow CO_2 + O_2$</t>
  </si>
  <si>
    <t>$2O_3 \\rightarrow 3O_2$</t>
  </si>
  <si>
    <t>Source</t>
  </si>
  <si>
    <t>Comments</t>
  </si>
  <si>
    <t>All data is from the NIST chemical kinetics database</t>
  </si>
  <si>
    <t>\cite{tsangCombChem}</t>
  </si>
  <si>
    <t>\cite{HipplerOzoneForm}</t>
  </si>
  <si>
    <t>\cite{HeimerlO3Diss}</t>
  </si>
  <si>
    <t>\cite{ShawO3plusOdecompTheory, AtkinsonO3plusODecompExp}</t>
  </si>
  <si>
    <t>\cite{PshezhetskiiO3Decomp}</t>
  </si>
  <si>
    <t>\cite{DissRecombCO2}</t>
  </si>
  <si>
    <t>\cite{harteckO3toCO, TobyO3plusO3,ArinCOplusO3}</t>
  </si>
  <si>
    <t>\cite{MickCODecomp}</t>
  </si>
  <si>
    <t>negligible</t>
  </si>
  <si>
    <t>$O + O + M \rightarrow O_2 + M$</t>
  </si>
  <si>
    <t>$O + CO + M \rightarrow CO_2 + M$</t>
  </si>
  <si>
    <t>$O + CO_2 \rightarrow O_2 + CO$</t>
  </si>
  <si>
    <t>$O_2 + CO \rightarrow O + CO_2$</t>
  </si>
  <si>
    <t>$O_2 + O + M \rightarrow O_3 + M$</t>
  </si>
  <si>
    <t>$O_2 + M \rightarrow O + O + M$</t>
  </si>
  <si>
    <t>$O_3 \rightarrow O_2 + O$</t>
  </si>
  <si>
    <t>$O_3 + O \rightarrow 2O_2$</t>
  </si>
  <si>
    <t>$2O_3 \rightarrow 3O_2$</t>
  </si>
  <si>
    <t>$CO + O_3 \rightarrow CO_2 + O_2$</t>
  </si>
  <si>
    <t>$CO + M \rightarrow C + O + M$</t>
  </si>
  <si>
    <t>Outside of temperature range</t>
  </si>
  <si>
    <t>O2plus</t>
  </si>
  <si>
    <t>The reaction rate is a combination of two results from Peverall.</t>
  </si>
  <si>
    <t>COplus</t>
  </si>
  <si>
    <t>Need to check with the Chemical Kinetics Database to ensure data is correct</t>
  </si>
  <si>
    <t>\cite{SheehanO2+DissRecomb,PeverallDissRecombO2}</t>
  </si>
  <si>
    <t>\cite{CO+RecombXsec, SeiersenCODissRecomb}</t>
  </si>
  <si>
    <t>A (cm$^3$/mol s)</t>
  </si>
  <si>
    <t>$CO_2^+$ Recomb</t>
  </si>
  <si>
    <t>$CO^+$ Recomb</t>
  </si>
  <si>
    <t>$O_2^+$ Recomb</t>
  </si>
  <si>
    <t xml:space="preserve">$CO_2^+ + O_2 \\rightarrow CO_2 + O_2^+$ </t>
  </si>
  <si>
    <t>\cite{deraiCO2O2ChExch}</t>
  </si>
  <si>
    <t>A</t>
  </si>
  <si>
    <t>C</t>
  </si>
  <si>
    <t xml:space="preserve">$CO_2^+ + O_2 \rightarrow CO_2 + O_2^+$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</si>
</sst>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E+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A23" sqref="A23"/>
    </sheetView>
  </sheetViews>
  <sheetFormatPr defaultRowHeight="15"/>
  <cols>
    <col min="1" max="1" width="33.28515625" bestFit="1" customWidth="1"/>
    <col min="2" max="4" width="8.5703125" bestFit="1" customWidth="1"/>
    <col min="5" max="5" width="6.140625" bestFit="1" customWidth="1"/>
    <col min="6" max="6" width="8.85546875" bestFit="1" customWidth="1"/>
    <col min="8" max="8" width="17" bestFit="1" customWidth="1"/>
    <col min="9" max="9" width="4.7109375" bestFit="1" customWidth="1"/>
    <col min="10" max="10" width="12.7109375" style="2" bestFit="1" customWidth="1"/>
    <col min="11" max="11" width="7.42578125" customWidth="1"/>
  </cols>
  <sheetData>
    <row r="1" spans="1:12">
      <c r="A1" t="s">
        <v>15</v>
      </c>
      <c r="B1" t="s">
        <v>8</v>
      </c>
      <c r="C1" t="s">
        <v>9</v>
      </c>
      <c r="D1" t="s">
        <v>10</v>
      </c>
      <c r="E1" t="s">
        <v>7</v>
      </c>
      <c r="F1" t="s">
        <v>0</v>
      </c>
      <c r="G1" t="s">
        <v>1</v>
      </c>
      <c r="H1" t="s">
        <v>61</v>
      </c>
      <c r="I1" t="s">
        <v>2</v>
      </c>
      <c r="J1" s="2" t="s">
        <v>6</v>
      </c>
      <c r="K1" t="s">
        <v>31</v>
      </c>
      <c r="L1" t="s">
        <v>32</v>
      </c>
    </row>
    <row r="2" spans="1:12">
      <c r="A2" t="s">
        <v>65</v>
      </c>
      <c r="B2" t="s">
        <v>17</v>
      </c>
      <c r="C2" t="s">
        <v>3</v>
      </c>
      <c r="E2">
        <v>2</v>
      </c>
      <c r="F2">
        <v>300</v>
      </c>
      <c r="G2">
        <v>10000</v>
      </c>
      <c r="H2" s="1">
        <f>10^(-10)*(6.022*10^23)^(E2-1)</f>
        <v>60220000000000</v>
      </c>
      <c r="I2">
        <v>0</v>
      </c>
      <c r="J2" s="2">
        <v>0</v>
      </c>
      <c r="K2" t="s">
        <v>66</v>
      </c>
    </row>
    <row r="3" spans="1:12">
      <c r="A3" t="s">
        <v>62</v>
      </c>
      <c r="B3" t="s">
        <v>17</v>
      </c>
      <c r="C3" t="s">
        <v>18</v>
      </c>
      <c r="E3">
        <v>2</v>
      </c>
      <c r="F3">
        <v>300</v>
      </c>
      <c r="G3">
        <v>10000</v>
      </c>
      <c r="H3">
        <f>0.00000065*6.022*10^23</f>
        <v>3.9142999999999994E+17</v>
      </c>
      <c r="I3">
        <v>-0.8</v>
      </c>
      <c r="J3" s="2">
        <v>0</v>
      </c>
      <c r="K3" t="s">
        <v>39</v>
      </c>
    </row>
    <row r="4" spans="1:12">
      <c r="A4" t="s">
        <v>63</v>
      </c>
      <c r="B4" t="s">
        <v>57</v>
      </c>
      <c r="C4" t="s">
        <v>18</v>
      </c>
      <c r="E4">
        <v>2</v>
      </c>
      <c r="F4">
        <v>100</v>
      </c>
      <c r="G4">
        <v>3000</v>
      </c>
      <c r="H4">
        <f>2.75*10^-7*6.022*10^23</f>
        <v>1.65605E+17</v>
      </c>
      <c r="I4">
        <v>-0.55000000000000004</v>
      </c>
      <c r="J4" s="2">
        <v>0</v>
      </c>
      <c r="K4" t="s">
        <v>60</v>
      </c>
    </row>
    <row r="5" spans="1:12">
      <c r="A5" t="s">
        <v>64</v>
      </c>
      <c r="B5" t="s">
        <v>55</v>
      </c>
      <c r="C5" t="s">
        <v>18</v>
      </c>
      <c r="E5">
        <v>2</v>
      </c>
      <c r="F5">
        <v>100</v>
      </c>
      <c r="G5">
        <v>5000</v>
      </c>
      <c r="H5">
        <f>(1.95*10^-7 + 1.93*10^-7)*6.022*10^23/2</f>
        <v>1.168268E+17</v>
      </c>
      <c r="I5">
        <f>-1*(0.7+0.61)/2</f>
        <v>-0.65500000000000003</v>
      </c>
      <c r="J5" s="2">
        <v>0</v>
      </c>
      <c r="K5" t="s">
        <v>59</v>
      </c>
      <c r="L5" t="s">
        <v>56</v>
      </c>
    </row>
    <row r="6" spans="1:12">
      <c r="A6" t="s">
        <v>20</v>
      </c>
      <c r="B6" t="s">
        <v>11</v>
      </c>
      <c r="C6" t="s">
        <v>11</v>
      </c>
      <c r="D6" t="s">
        <v>12</v>
      </c>
      <c r="E6">
        <v>3</v>
      </c>
      <c r="F6">
        <v>200</v>
      </c>
      <c r="G6">
        <v>4000</v>
      </c>
      <c r="H6" s="1">
        <f>5.21E-35*(6.022*10^23)^(E6-1)</f>
        <v>18893796164000</v>
      </c>
      <c r="I6">
        <v>0</v>
      </c>
      <c r="J6" s="2">
        <f>-7.48*1000/8.3144</f>
        <v>-899.64399114788807</v>
      </c>
      <c r="K6" t="s">
        <v>34</v>
      </c>
    </row>
    <row r="7" spans="1:12">
      <c r="A7" t="s">
        <v>21</v>
      </c>
      <c r="B7" t="s">
        <v>11</v>
      </c>
      <c r="C7" t="s">
        <v>13</v>
      </c>
      <c r="D7" t="s">
        <v>12</v>
      </c>
      <c r="E7">
        <v>3</v>
      </c>
      <c r="F7">
        <v>300</v>
      </c>
      <c r="G7">
        <v>2500</v>
      </c>
      <c r="H7" s="1">
        <f>1.7E-33*(6.022*10^23)^(E7-1)</f>
        <v>616496228000000</v>
      </c>
      <c r="I7">
        <v>0</v>
      </c>
      <c r="J7" s="2">
        <f>12.55*1000/8.3144</f>
        <v>1509.4294236505341</v>
      </c>
      <c r="K7" t="s">
        <v>34</v>
      </c>
    </row>
    <row r="8" spans="1:12">
      <c r="A8" t="s">
        <v>22</v>
      </c>
      <c r="B8" t="s">
        <v>11</v>
      </c>
      <c r="C8" t="s">
        <v>14</v>
      </c>
      <c r="E8">
        <v>2</v>
      </c>
      <c r="F8">
        <v>300</v>
      </c>
      <c r="G8">
        <v>2500</v>
      </c>
      <c r="H8" s="1">
        <f>0.00000000002818*(6.022*10^23)^(E8-1)</f>
        <v>16969995999999.998</v>
      </c>
      <c r="I8">
        <v>0</v>
      </c>
      <c r="J8" s="2">
        <f>220*1000/8.3144</f>
        <v>26460.11738670259</v>
      </c>
      <c r="K8" t="s">
        <v>34</v>
      </c>
    </row>
    <row r="9" spans="1:12">
      <c r="A9" t="s">
        <v>23</v>
      </c>
      <c r="B9" t="s">
        <v>3</v>
      </c>
      <c r="C9" t="s">
        <v>13</v>
      </c>
      <c r="E9">
        <v>2</v>
      </c>
      <c r="F9">
        <v>300</v>
      </c>
      <c r="G9">
        <v>2500</v>
      </c>
      <c r="H9" s="1">
        <f>0.0000000000042*(6.022*10^23)^(E9-1)</f>
        <v>2529240000000</v>
      </c>
      <c r="I9">
        <v>0</v>
      </c>
      <c r="J9" s="2">
        <f>200000/8.3144</f>
        <v>24054.652169729627</v>
      </c>
      <c r="K9" t="s">
        <v>34</v>
      </c>
    </row>
    <row r="10" spans="1:12">
      <c r="A10" t="s">
        <v>24</v>
      </c>
      <c r="B10" t="s">
        <v>3</v>
      </c>
      <c r="C10" t="s">
        <v>11</v>
      </c>
      <c r="D10" t="s">
        <v>12</v>
      </c>
      <c r="E10">
        <v>3</v>
      </c>
      <c r="F10">
        <v>100</v>
      </c>
      <c r="G10">
        <v>3000</v>
      </c>
      <c r="H10" s="1">
        <f>1.74E-34*(6.022*10^23)^(E10-1)</f>
        <v>63100202159999.992</v>
      </c>
      <c r="I10">
        <v>-1.2</v>
      </c>
      <c r="J10" s="2">
        <f>-2.4*1000/8.3144</f>
        <v>-288.65582603675551</v>
      </c>
      <c r="K10" t="s">
        <v>35</v>
      </c>
    </row>
    <row r="11" spans="1:12">
      <c r="A11" t="s">
        <v>25</v>
      </c>
      <c r="B11" t="s">
        <v>3</v>
      </c>
      <c r="C11" t="s">
        <v>12</v>
      </c>
      <c r="E11">
        <v>2</v>
      </c>
      <c r="F11">
        <v>300</v>
      </c>
      <c r="G11">
        <v>2500</v>
      </c>
      <c r="H11" s="1">
        <f>0.0000000101*(6.022*10^23)^(E11-1)</f>
        <v>6082219999999999</v>
      </c>
      <c r="I11">
        <v>-1</v>
      </c>
      <c r="J11" s="2">
        <f>494*1000/8.3144</f>
        <v>59414.990859232181</v>
      </c>
      <c r="K11" t="s">
        <v>34</v>
      </c>
    </row>
    <row r="12" spans="1:12">
      <c r="A12" t="s">
        <v>27</v>
      </c>
      <c r="B12" t="s">
        <v>19</v>
      </c>
      <c r="C12" t="s">
        <v>12</v>
      </c>
      <c r="E12">
        <v>2</v>
      </c>
      <c r="F12">
        <v>300</v>
      </c>
      <c r="G12">
        <v>3000</v>
      </c>
      <c r="H12">
        <f>0.000000000716*(6.022*10^23)</f>
        <v>431175200000000</v>
      </c>
      <c r="I12">
        <v>0</v>
      </c>
      <c r="J12" s="2">
        <f>93.12*1000/8.3144</f>
        <v>11199.846050226115</v>
      </c>
      <c r="K12" t="s">
        <v>36</v>
      </c>
    </row>
    <row r="13" spans="1:12">
      <c r="A13" t="s">
        <v>28</v>
      </c>
      <c r="B13" t="s">
        <v>19</v>
      </c>
      <c r="C13" t="s">
        <v>11</v>
      </c>
      <c r="E13">
        <v>2</v>
      </c>
      <c r="F13">
        <v>200</v>
      </c>
      <c r="G13">
        <v>2000</v>
      </c>
      <c r="H13">
        <f>0.0000000000077*(6.022*10^23)^(E13-1)</f>
        <v>4636940000000</v>
      </c>
      <c r="I13">
        <v>-0.1</v>
      </c>
      <c r="J13" s="2">
        <f>16.78*1000/8.3144</f>
        <v>2018.1853170403158</v>
      </c>
      <c r="K13" t="s">
        <v>37</v>
      </c>
      <c r="L13" t="s">
        <v>58</v>
      </c>
    </row>
    <row r="14" spans="1:12">
      <c r="A14" t="s">
        <v>30</v>
      </c>
      <c r="B14" t="s">
        <v>19</v>
      </c>
      <c r="C14" t="s">
        <v>19</v>
      </c>
      <c r="E14">
        <v>2</v>
      </c>
      <c r="F14">
        <v>393</v>
      </c>
      <c r="G14">
        <v>443</v>
      </c>
      <c r="H14" s="1">
        <f>0.00000000000747*6.022*10^23</f>
        <v>4498434000000</v>
      </c>
      <c r="I14">
        <v>0</v>
      </c>
      <c r="J14" s="2">
        <f>77/41*1000/8.3144</f>
        <v>225.87905086209528</v>
      </c>
      <c r="K14" t="s">
        <v>38</v>
      </c>
    </row>
    <row r="15" spans="1:12">
      <c r="A15" t="s">
        <v>29</v>
      </c>
      <c r="B15" t="s">
        <v>19</v>
      </c>
      <c r="C15" t="s">
        <v>13</v>
      </c>
      <c r="E15">
        <v>2</v>
      </c>
      <c r="F15">
        <v>296</v>
      </c>
      <c r="G15">
        <v>301</v>
      </c>
      <c r="H15" s="1">
        <f>4E-25*6.022*10^23</f>
        <v>0.24087999999999998</v>
      </c>
      <c r="I15">
        <v>0</v>
      </c>
      <c r="J15" s="2">
        <v>0</v>
      </c>
      <c r="K15" t="s">
        <v>40</v>
      </c>
      <c r="L15" t="s">
        <v>42</v>
      </c>
    </row>
    <row r="16" spans="1:12">
      <c r="A16" t="s">
        <v>26</v>
      </c>
      <c r="B16" t="s">
        <v>13</v>
      </c>
      <c r="C16" t="s">
        <v>12</v>
      </c>
      <c r="E16">
        <v>2</v>
      </c>
      <c r="F16">
        <v>5500</v>
      </c>
      <c r="G16">
        <v>9000</v>
      </c>
      <c r="H16" s="1">
        <f>0.000152*(6.022*10^23)^(E16-1)</f>
        <v>9.15344E+19</v>
      </c>
      <c r="I16">
        <v>-3.1</v>
      </c>
      <c r="J16" s="2">
        <f>1073*1000/8.3144</f>
        <v>129053.20889059946</v>
      </c>
      <c r="K16" t="s">
        <v>41</v>
      </c>
      <c r="L16" t="s">
        <v>54</v>
      </c>
    </row>
    <row r="17" spans="1:11">
      <c r="H17" s="1"/>
    </row>
    <row r="18" spans="1:11">
      <c r="A18" t="s">
        <v>5</v>
      </c>
      <c r="F18" t="s">
        <v>4</v>
      </c>
      <c r="G18" t="s">
        <v>4</v>
      </c>
      <c r="H18">
        <v>1000000000000</v>
      </c>
      <c r="I18">
        <v>0.5</v>
      </c>
      <c r="J18" s="2">
        <v>69300</v>
      </c>
    </row>
    <row r="19" spans="1:11">
      <c r="H19" s="1"/>
      <c r="K19" t="s">
        <v>33</v>
      </c>
    </row>
    <row r="22" spans="1:11">
      <c r="A2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E18" sqref="A18:E20"/>
    </sheetView>
  </sheetViews>
  <sheetFormatPr defaultRowHeight="15"/>
  <cols>
    <col min="1" max="1" width="33.28515625" bestFit="1" customWidth="1"/>
    <col min="2" max="2" width="12" bestFit="1" customWidth="1"/>
    <col min="3" max="3" width="11" bestFit="1" customWidth="1"/>
    <col min="4" max="4" width="12" bestFit="1" customWidth="1"/>
  </cols>
  <sheetData>
    <row r="1" spans="1:9">
      <c r="A1" t="s">
        <v>15</v>
      </c>
      <c r="B1" s="3" t="s">
        <v>7</v>
      </c>
      <c r="C1" s="3" t="s">
        <v>0</v>
      </c>
      <c r="D1" s="3" t="s">
        <v>1</v>
      </c>
      <c r="E1" s="3" t="s">
        <v>67</v>
      </c>
      <c r="F1" s="3" t="s">
        <v>2</v>
      </c>
      <c r="G1" s="5" t="s">
        <v>68</v>
      </c>
      <c r="H1" s="3" t="s">
        <v>31</v>
      </c>
      <c r="I1" t="s">
        <v>32</v>
      </c>
    </row>
    <row r="2" spans="1:9">
      <c r="A2" t="s">
        <v>69</v>
      </c>
      <c r="B2" s="3">
        <v>2</v>
      </c>
      <c r="C2" s="3">
        <v>300</v>
      </c>
      <c r="D2" s="3">
        <v>10000</v>
      </c>
      <c r="E2" s="4">
        <f>10^(-10)*(6.022*10^23)^(B2-1)</f>
        <v>60220000000000</v>
      </c>
      <c r="F2" s="6">
        <v>0</v>
      </c>
      <c r="G2" s="7">
        <v>0</v>
      </c>
      <c r="H2" s="3" t="s">
        <v>66</v>
      </c>
    </row>
    <row r="3" spans="1:9">
      <c r="A3" t="s">
        <v>62</v>
      </c>
      <c r="B3" s="3">
        <v>2</v>
      </c>
      <c r="C3" s="3">
        <v>300</v>
      </c>
      <c r="D3" s="3">
        <v>10000</v>
      </c>
      <c r="E3" s="3">
        <f>0.00000065*6.022*10^23</f>
        <v>3.9142999999999994E+17</v>
      </c>
      <c r="F3" s="6">
        <v>-0.8</v>
      </c>
      <c r="G3" s="7">
        <v>0</v>
      </c>
      <c r="H3" s="3" t="s">
        <v>39</v>
      </c>
    </row>
    <row r="4" spans="1:9">
      <c r="A4" t="s">
        <v>63</v>
      </c>
      <c r="B4" s="3">
        <v>2</v>
      </c>
      <c r="C4" s="3">
        <v>100</v>
      </c>
      <c r="D4" s="3">
        <v>3000</v>
      </c>
      <c r="E4" s="3">
        <f>2.75*10^-7*6.022*10^23</f>
        <v>1.65605E+17</v>
      </c>
      <c r="F4" s="6">
        <v>-0.55000000000000004</v>
      </c>
      <c r="G4" s="7">
        <v>0</v>
      </c>
      <c r="H4" s="3" t="s">
        <v>60</v>
      </c>
    </row>
    <row r="5" spans="1:9">
      <c r="A5" t="s">
        <v>64</v>
      </c>
      <c r="B5" s="3">
        <v>2</v>
      </c>
      <c r="C5" s="3">
        <v>100</v>
      </c>
      <c r="D5" s="3">
        <v>5000</v>
      </c>
      <c r="E5" s="3">
        <f>(1.95*10^-7 + 1.93*10^-7)*6.022*10^23/2</f>
        <v>1.168268E+17</v>
      </c>
      <c r="F5" s="6">
        <f>-1*(0.7+0.61)/2</f>
        <v>-0.65500000000000003</v>
      </c>
      <c r="G5" s="7">
        <v>0</v>
      </c>
      <c r="H5" s="3" t="s">
        <v>59</v>
      </c>
      <c r="I5" t="s">
        <v>56</v>
      </c>
    </row>
    <row r="6" spans="1:9">
      <c r="A6" t="s">
        <v>43</v>
      </c>
      <c r="B6" s="3">
        <v>3</v>
      </c>
      <c r="C6" s="3">
        <v>200</v>
      </c>
      <c r="D6" s="3">
        <v>4000</v>
      </c>
      <c r="E6" s="4">
        <f>5.21E-35*(6.022*10^23)^(B6-1)</f>
        <v>18893796164000</v>
      </c>
      <c r="F6" s="6">
        <v>0</v>
      </c>
      <c r="G6" s="7">
        <f>-7.48*1000/8.3144</f>
        <v>-899.64399114788807</v>
      </c>
      <c r="H6" s="3" t="s">
        <v>34</v>
      </c>
    </row>
    <row r="7" spans="1:9">
      <c r="A7" t="s">
        <v>44</v>
      </c>
      <c r="B7" s="3">
        <v>3</v>
      </c>
      <c r="C7" s="3">
        <v>300</v>
      </c>
      <c r="D7" s="3">
        <v>2500</v>
      </c>
      <c r="E7" s="4">
        <f>1.7E-33*(6.022*10^23)^(B7-1)</f>
        <v>616496228000000</v>
      </c>
      <c r="F7" s="6">
        <v>0</v>
      </c>
      <c r="G7" s="7">
        <f>12.55*1000/8.3144</f>
        <v>1509.4294236505341</v>
      </c>
      <c r="H7" s="3" t="s">
        <v>34</v>
      </c>
    </row>
    <row r="8" spans="1:9">
      <c r="A8" t="s">
        <v>45</v>
      </c>
      <c r="B8" s="3">
        <v>2</v>
      </c>
      <c r="C8" s="3">
        <v>300</v>
      </c>
      <c r="D8" s="3">
        <v>2500</v>
      </c>
      <c r="E8" s="4">
        <f>0.00000000002818*(6.022*10^23)^(B8-1)</f>
        <v>16969995999999.998</v>
      </c>
      <c r="F8" s="6">
        <v>0</v>
      </c>
      <c r="G8" s="7">
        <f>220*1000/8.3144</f>
        <v>26460.11738670259</v>
      </c>
      <c r="H8" s="3" t="s">
        <v>34</v>
      </c>
    </row>
    <row r="9" spans="1:9">
      <c r="A9" t="s">
        <v>46</v>
      </c>
      <c r="B9" s="3">
        <v>2</v>
      </c>
      <c r="C9" s="3">
        <v>300</v>
      </c>
      <c r="D9" s="3">
        <v>2500</v>
      </c>
      <c r="E9" s="4">
        <f>0.0000000000042*(6.022*10^23)^(B9-1)</f>
        <v>2529240000000</v>
      </c>
      <c r="F9" s="6">
        <v>0</v>
      </c>
      <c r="G9" s="7">
        <f>200000/8.3144</f>
        <v>24054.652169729627</v>
      </c>
      <c r="H9" s="3" t="s">
        <v>34</v>
      </c>
    </row>
    <row r="10" spans="1:9">
      <c r="A10" t="s">
        <v>47</v>
      </c>
      <c r="B10" s="3">
        <v>3</v>
      </c>
      <c r="C10" s="3">
        <v>100</v>
      </c>
      <c r="D10" s="3">
        <v>3000</v>
      </c>
      <c r="E10" s="4">
        <f>1.74E-34*(6.022*10^23)^(B10-1)</f>
        <v>63100202159999.992</v>
      </c>
      <c r="F10" s="6">
        <v>-1.2</v>
      </c>
      <c r="G10" s="7">
        <f>-2.4*1000/8.3144</f>
        <v>-288.65582603675551</v>
      </c>
      <c r="H10" s="3" t="s">
        <v>35</v>
      </c>
    </row>
    <row r="11" spans="1:9">
      <c r="A11" t="s">
        <v>48</v>
      </c>
      <c r="B11" s="3">
        <v>2</v>
      </c>
      <c r="C11" s="3">
        <v>300</v>
      </c>
      <c r="D11" s="3">
        <v>2500</v>
      </c>
      <c r="E11" s="4">
        <f>0.0000000101*(6.022*10^23)^(B11-1)</f>
        <v>6082219999999999</v>
      </c>
      <c r="F11" s="6">
        <v>-1</v>
      </c>
      <c r="G11" s="7">
        <f>494*1000/8.3144</f>
        <v>59414.990859232181</v>
      </c>
      <c r="H11" s="3" t="s">
        <v>34</v>
      </c>
    </row>
    <row r="12" spans="1:9">
      <c r="A12" t="s">
        <v>49</v>
      </c>
      <c r="B12" s="3">
        <v>2</v>
      </c>
      <c r="C12" s="3">
        <v>300</v>
      </c>
      <c r="D12" s="3">
        <v>3000</v>
      </c>
      <c r="E12" s="3">
        <f>0.000000000716*(6.022*10^23)</f>
        <v>431175200000000</v>
      </c>
      <c r="F12" s="6">
        <v>0</v>
      </c>
      <c r="G12" s="7">
        <f>93.12*1000/8.3144</f>
        <v>11199.846050226115</v>
      </c>
      <c r="H12" s="3" t="s">
        <v>36</v>
      </c>
    </row>
    <row r="13" spans="1:9">
      <c r="A13" t="s">
        <v>50</v>
      </c>
      <c r="B13" s="3">
        <v>2</v>
      </c>
      <c r="C13" s="3">
        <v>200</v>
      </c>
      <c r="D13" s="3">
        <v>2000</v>
      </c>
      <c r="E13" s="3">
        <f>0.0000000000077*(6.022*10^23)^(B13-1)</f>
        <v>4636940000000</v>
      </c>
      <c r="F13" s="6">
        <v>-0.1</v>
      </c>
      <c r="G13" s="7">
        <f>16.78*1000/8.3144</f>
        <v>2018.1853170403158</v>
      </c>
      <c r="H13" s="3" t="s">
        <v>37</v>
      </c>
      <c r="I13" t="s">
        <v>58</v>
      </c>
    </row>
    <row r="14" spans="1:9">
      <c r="A14" t="s">
        <v>51</v>
      </c>
      <c r="B14" s="3">
        <v>2</v>
      </c>
      <c r="C14" s="3">
        <v>393</v>
      </c>
      <c r="D14" s="3">
        <v>443</v>
      </c>
      <c r="E14" s="4">
        <f>0.00000000000747*6.022*10^23</f>
        <v>4498434000000</v>
      </c>
      <c r="F14" s="6">
        <v>0</v>
      </c>
      <c r="G14" s="7">
        <f>77/41*1000/8.3144</f>
        <v>225.87905086209528</v>
      </c>
      <c r="H14" s="3" t="s">
        <v>38</v>
      </c>
    </row>
    <row r="15" spans="1:9">
      <c r="A15" t="s">
        <v>52</v>
      </c>
      <c r="B15" s="3">
        <v>2</v>
      </c>
      <c r="C15" s="3">
        <v>296</v>
      </c>
      <c r="D15" s="3">
        <v>301</v>
      </c>
      <c r="E15" s="4">
        <f>4E-25*6.022*10^23</f>
        <v>0.24087999999999998</v>
      </c>
      <c r="F15" s="6">
        <v>0</v>
      </c>
      <c r="G15" s="7">
        <v>0</v>
      </c>
      <c r="H15" s="3" t="s">
        <v>40</v>
      </c>
      <c r="I15" t="s">
        <v>42</v>
      </c>
    </row>
    <row r="16" spans="1:9">
      <c r="A16" t="s">
        <v>53</v>
      </c>
      <c r="B16" s="3">
        <v>2</v>
      </c>
      <c r="C16" s="3">
        <v>5500</v>
      </c>
      <c r="D16" s="3">
        <v>9000</v>
      </c>
      <c r="E16" s="4">
        <f>0.000152*(6.022*10^23)^(B16-1)</f>
        <v>9.15344E+19</v>
      </c>
      <c r="F16" s="6">
        <v>-3.1</v>
      </c>
      <c r="G16" s="7">
        <f>1073*1000/8.3144</f>
        <v>129053.20889059946</v>
      </c>
      <c r="H16" s="3" t="s">
        <v>41</v>
      </c>
      <c r="I16" t="s">
        <v>54</v>
      </c>
    </row>
    <row r="21" spans="3:4">
      <c r="C21">
        <f>3.589*10^-13*(6.022*10^23)</f>
        <v>216129580000</v>
      </c>
      <c r="D21">
        <f>C21*(0.4*10^12/(6.022*10^23))*(10^12/(6.022*10^23))</f>
        <v>2.3839256061109265E-13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</vt:lpstr>
      <vt:lpstr>table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</dc:creator>
  <cp:lastModifiedBy>Rufus</cp:lastModifiedBy>
  <dcterms:created xsi:type="dcterms:W3CDTF">2013-08-20T17:24:12Z</dcterms:created>
  <dcterms:modified xsi:type="dcterms:W3CDTF">2014-01-12T03:27:55Z</dcterms:modified>
</cp:coreProperties>
</file>