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<sst xmlns="http://schemas.openxmlformats.org/spreadsheetml/2006/main" count="139" uniqueCount="73">
  <si>
    <t>Year</t>
  </si>
  <si>
    <t>Blue whale</t>
  </si>
  <si>
    <t>Humpback whale</t>
  </si>
  <si>
    <t>Minke whale</t>
  </si>
  <si>
    <t>Right whale</t>
  </si>
  <si>
    <t>Gray whale</t>
  </si>
  <si>
    <t>Blue whale range</t>
  </si>
  <si>
    <t>Humpback whale range</t>
  </si>
  <si>
    <t>Minke whale range</t>
  </si>
  <si>
    <t>Right whale range</t>
  </si>
  <si>
    <t>Gray whale range</t>
  </si>
  <si>
    <t>Blue whale extrapolated</t>
  </si>
  <si>
    <t>Humpback whale extrapolated</t>
  </si>
  <si>
    <t>Minke whale extrapolated</t>
  </si>
  <si>
    <t>Right whale extrapolated</t>
  </si>
  <si>
    <t>Gray whale extrapolated</t>
  </si>
  <si>
    <t>200 – 1,400</t>
  </si>
  <si>
    <t>5,700 – 18,300</t>
  </si>
  <si>
    <t>510,000 – 1,010,000</t>
  </si>
  <si>
    <t>554,000 – 1,105,000</t>
  </si>
  <si>
    <t>544,000 – 1,100,000</t>
  </si>
  <si>
    <t>1,380 –1,600</t>
  </si>
  <si>
    <t>1,700 – 3,600</t>
  </si>
  <si>
    <t>33,000 – 52,000</t>
  </si>
  <si>
    <t>360,000 – 730,000</t>
  </si>
  <si>
    <t>43,000 – 65,500</t>
  </si>
  <si>
    <t>38,100 – 93,500</t>
  </si>
  <si>
    <t>451,000 – 868,000</t>
  </si>
  <si>
    <t>66 – 81</t>
  </si>
  <si>
    <t>419,000 – 838,000</t>
  </si>
  <si>
    <t>18,400 – 24,200</t>
  </si>
  <si>
    <t>18,500 – 24,400</t>
  </si>
  <si>
    <t>36,300 – 57,400</t>
  </si>
  <si>
    <t>100 – 200</t>
  </si>
  <si>
    <t>2,487 – 2,391</t>
  </si>
  <si>
    <t>14,600 – 18,700</t>
  </si>
  <si>
    <t>14,600 – 18,800</t>
  </si>
  <si>
    <t>40,250 – 76,600</t>
  </si>
  <si>
    <t>14,100 – 18,700</t>
  </si>
  <si>
    <t>45,650 – 85,000</t>
  </si>
  <si>
    <t>424,000 – 888,000</t>
  </si>
  <si>
    <t>100 – 300</t>
  </si>
  <si>
    <t>59,050 – 107,000</t>
  </si>
  <si>
    <t>413,700 – 864,300</t>
  </si>
  <si>
    <t>14,150 – 40,550</t>
  </si>
  <si>
    <t>83,700 – 206,300</t>
  </si>
  <si>
    <t>4,200 – 10,000</t>
  </si>
  <si>
    <t>15,410 – 70,610</t>
  </si>
  <si>
    <t>85,300 – 219,000</t>
  </si>
  <si>
    <t>18,660 – 24,320</t>
  </si>
  <si>
    <t>6,850 – 22,500</t>
  </si>
  <si>
    <t>62,000 – 128,000</t>
  </si>
  <si>
    <t>16,770 – 24,510</t>
  </si>
  <si>
    <t>64,400 – 130,400</t>
  </si>
  <si>
    <t>21400-23880</t>
  </si>
  <si>
    <t>19,650 – 39,000</t>
  </si>
  <si>
    <t>4,570 – 5,180</t>
  </si>
  <si>
    <t>19,050 – 23,020</t>
  </si>
  <si>
    <t>19,070 – 22,940</t>
  </si>
  <si>
    <t>4,600 – 5,600</t>
  </si>
  <si>
    <t>200 – 300</t>
  </si>
  <si>
    <t>4,900 – 23,400</t>
  </si>
  <si>
    <t>187,200 –346,750</t>
  </si>
  <si>
    <t>12,200 – 55,700</t>
  </si>
  <si>
    <t>232,300 –451,750</t>
  </si>
  <si>
    <t>21,597 – 25,981</t>
  </si>
  <si>
    <t>8,700 – 51,900</t>
  </si>
  <si>
    <t>230,200 –439,750</t>
  </si>
  <si>
    <t>24,510 – 29,470</t>
  </si>
  <si>
    <t>10,100 – 13,100</t>
  </si>
  <si>
    <t>8,390 – 14,060</t>
  </si>
  <si>
    <t>18,960 – 22,940</t>
  </si>
  <si>
    <t>15,170 – 18,340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</si>
</sst>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-mm"/>
    <numFmt numFmtId="165" formatCode="yyyy-m"/>
  </numFmts>
  <fonts count="9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color rgb="FF333333"/>
      <name val="Arial"/>
    </font>
    <font>
      <color rgb="FF333333"/>
      <name val="CalibreSemibold"/>
    </font>
    <font>
      <sz val="12.0"/>
      <color rgb="FF333333"/>
      <name val="CalibreSemibold"/>
    </font>
    <font>
      <sz val="13.0"/>
      <color rgb="FF333333"/>
      <name val="CalibreSemibold"/>
    </font>
    <font>
      <color theme="1"/>
      <name val="Arial"/>
    </font>
    <font>
      <color rgb="FF333333"/>
      <name val="CalibreLightItalic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center"/>
    </xf>
    <xf borderId="0" fillId="2" fontId="2" numFmtId="0" xfId="0" applyAlignment="1" applyFill="1" applyFont="1">
      <alignment horizontal="center" readingOrder="0" vertical="center"/>
    </xf>
    <xf borderId="0" fillId="0" fontId="1" numFmtId="0" xfId="0" applyAlignment="1" applyFont="1">
      <alignment horizontal="center" vertical="center"/>
    </xf>
    <xf borderId="0" fillId="0" fontId="3" numFmtId="0" xfId="0" applyAlignment="1" applyFont="1">
      <alignment horizontal="center" readingOrder="0" vertical="center"/>
    </xf>
    <xf borderId="0" fillId="0" fontId="4" numFmtId="3" xfId="0" applyAlignment="1" applyFont="1" applyNumberFormat="1">
      <alignment horizontal="center" vertical="center"/>
    </xf>
    <xf borderId="0" fillId="0" fontId="4" numFmtId="0" xfId="0" applyAlignment="1" applyFont="1">
      <alignment horizontal="center" vertical="center"/>
    </xf>
    <xf borderId="0" fillId="0" fontId="4" numFmtId="0" xfId="0" applyAlignment="1" applyFont="1">
      <alignment horizontal="center" shrinkToFit="0" vertical="center" wrapText="0"/>
    </xf>
    <xf borderId="0" fillId="0" fontId="5" numFmtId="0" xfId="0" applyAlignment="1" applyFont="1">
      <alignment horizontal="center" vertical="center"/>
    </xf>
    <xf borderId="0" fillId="0" fontId="5" numFmtId="0" xfId="0" applyAlignment="1" applyFont="1">
      <alignment vertical="top"/>
    </xf>
    <xf borderId="0" fillId="0" fontId="6" numFmtId="0" xfId="0" applyAlignment="1" applyFont="1">
      <alignment horizontal="center" vertical="center"/>
    </xf>
    <xf borderId="0" fillId="0" fontId="4" numFmtId="0" xfId="0" applyAlignment="1" applyFont="1">
      <alignment vertical="top"/>
    </xf>
    <xf borderId="0" fillId="0" fontId="7" numFmtId="0" xfId="0" applyAlignment="1" applyFont="1">
      <alignment horizontal="center" vertical="center"/>
    </xf>
    <xf borderId="0" fillId="0" fontId="7" numFmtId="0" xfId="0" applyAlignment="1" applyFont="1">
      <alignment vertical="top"/>
    </xf>
    <xf borderId="0" fillId="0" fontId="8" numFmtId="0" xfId="0" applyAlignment="1" applyFont="1">
      <alignment horizontal="center" vertical="center"/>
    </xf>
    <xf borderId="0" fillId="0" fontId="3" numFmtId="0" xfId="0" applyAlignment="1" applyFont="1">
      <alignment horizontal="center" readingOrder="0" shrinkToFit="0" vertical="center" wrapText="0"/>
    </xf>
    <xf borderId="0" fillId="2" fontId="3" numFmtId="0" xfId="0" applyAlignment="1" applyFont="1">
      <alignment horizontal="center" readingOrder="0" vertical="center"/>
    </xf>
    <xf borderId="0" fillId="0" fontId="7" numFmtId="3" xfId="0" applyAlignment="1" applyFont="1" applyNumberFormat="1">
      <alignment vertical="top"/>
    </xf>
    <xf borderId="0" fillId="2" fontId="3" numFmtId="0" xfId="0" applyAlignment="1" applyFont="1">
      <alignment horizontal="center" readingOrder="0"/>
    </xf>
    <xf borderId="0" fillId="2" fontId="3" numFmtId="3" xfId="0" applyAlignment="1" applyFont="1" applyNumberFormat="1">
      <alignment horizontal="center" readingOrder="0"/>
    </xf>
    <xf borderId="0" fillId="0" fontId="7" numFmtId="164" xfId="0" applyAlignment="1" applyFont="1" applyNumberFormat="1">
      <alignment horizontal="center" vertical="center"/>
    </xf>
    <xf borderId="0" fillId="0" fontId="6" numFmtId="3" xfId="0" applyAlignment="1" applyFont="1" applyNumberFormat="1">
      <alignment horizontal="center" vertical="center"/>
    </xf>
    <xf borderId="0" fillId="0" fontId="4" numFmtId="3" xfId="0" applyAlignment="1" applyFont="1" applyNumberFormat="1">
      <alignment vertical="top"/>
    </xf>
    <xf borderId="0" fillId="0" fontId="3" numFmtId="3" xfId="0" applyAlignment="1" applyFont="1" applyNumberFormat="1">
      <alignment horizontal="center" readingOrder="0" vertical="center"/>
    </xf>
    <xf borderId="0" fillId="0" fontId="3" numFmtId="3" xfId="0" applyAlignment="1" applyFont="1" applyNumberFormat="1">
      <alignment horizontal="center" readingOrder="0" vertical="top"/>
    </xf>
    <xf borderId="0" fillId="0" fontId="4" numFmtId="3" xfId="0" applyAlignment="1" applyFont="1" applyNumberFormat="1">
      <alignment horizontal="center" vertical="top"/>
    </xf>
    <xf borderId="0" fillId="0" fontId="4" numFmtId="165" xfId="0" applyAlignment="1" applyFont="1" applyNumberFormat="1">
      <alignment horizontal="center" vertical="center"/>
    </xf>
    <xf borderId="0" fillId="0" fontId="4" numFmtId="0" xfId="0" applyAlignment="1" applyFont="1">
      <alignment horizontal="center" vertical="top"/>
    </xf>
    <xf borderId="0" fillId="0" fontId="3" numFmtId="0" xfId="0" applyAlignment="1" applyFont="1">
      <alignment horizontal="center" readingOrder="0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8.5"/>
    <col customWidth="1" min="3" max="3" width="9.88"/>
    <col customWidth="1" min="4" max="4" width="9.13"/>
    <col customWidth="1" min="5" max="5" width="11.25"/>
    <col customWidth="1" min="8" max="8" width="15.5"/>
    <col customWidth="1" min="9" max="9" width="12.88"/>
    <col customWidth="1" min="10" max="10" width="19.0"/>
    <col customWidth="1" min="11" max="11" width="10.88"/>
    <col customWidth="1" min="12" max="12" width="15.0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/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3"/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3"/>
    </row>
    <row r="2">
      <c r="A2" s="1">
        <v>1890.0</v>
      </c>
      <c r="B2" s="2">
        <v>340280.0</v>
      </c>
      <c r="C2" s="2">
        <v>231700.0</v>
      </c>
      <c r="D2" s="1">
        <v>637000.0</v>
      </c>
      <c r="E2" s="2">
        <v>84100.0</v>
      </c>
      <c r="F2" s="2">
        <v>24600.0</v>
      </c>
      <c r="G2" s="3"/>
      <c r="H2" s="3"/>
      <c r="I2" s="3"/>
      <c r="J2" s="3"/>
      <c r="K2" s="3"/>
      <c r="L2" s="3"/>
      <c r="M2" s="3"/>
      <c r="N2" s="2">
        <v>340280.0</v>
      </c>
      <c r="O2" s="2">
        <v>231700.0</v>
      </c>
      <c r="P2" s="1">
        <v>637000.0</v>
      </c>
      <c r="Q2" s="2">
        <v>84100.0</v>
      </c>
      <c r="R2" s="2">
        <v>24600.0</v>
      </c>
      <c r="S2" s="3"/>
    </row>
    <row r="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</row>
    <row r="4">
      <c r="A4" s="1">
        <v>1985.0</v>
      </c>
      <c r="B4" s="4">
        <v>560.0</v>
      </c>
      <c r="C4" s="5">
        <v>10230.0</v>
      </c>
      <c r="D4" s="5">
        <v>720000.0</v>
      </c>
      <c r="E4" s="3"/>
      <c r="F4" s="3"/>
      <c r="G4" s="3"/>
      <c r="H4" s="4" t="s">
        <v>16</v>
      </c>
      <c r="I4" s="6" t="s">
        <v>17</v>
      </c>
      <c r="J4" s="7" t="s">
        <v>18</v>
      </c>
      <c r="K4" s="3"/>
      <c r="L4" s="8"/>
      <c r="M4" s="9"/>
      <c r="N4" s="4">
        <v>560.0</v>
      </c>
      <c r="O4" s="5">
        <v>10230.0</v>
      </c>
      <c r="P4" s="5">
        <v>720000.0</v>
      </c>
      <c r="Q4" s="3"/>
      <c r="R4" s="3"/>
      <c r="S4" s="3"/>
    </row>
    <row r="5">
      <c r="A5" s="1">
        <v>1986.0</v>
      </c>
      <c r="B5" s="4">
        <v>560.0</v>
      </c>
      <c r="C5" s="5">
        <v>10230.0</v>
      </c>
      <c r="D5" s="5">
        <v>720000.0</v>
      </c>
      <c r="E5" s="6"/>
      <c r="F5" s="5"/>
      <c r="G5" s="6"/>
      <c r="H5" s="4" t="s">
        <v>16</v>
      </c>
      <c r="I5" s="6" t="s">
        <v>17</v>
      </c>
      <c r="J5" s="7" t="s">
        <v>18</v>
      </c>
      <c r="K5" s="3"/>
      <c r="L5" s="10"/>
      <c r="M5" s="11"/>
      <c r="N5" s="4">
        <v>560.0</v>
      </c>
      <c r="O5" s="5">
        <v>10230.0</v>
      </c>
      <c r="P5" s="5">
        <v>720000.0</v>
      </c>
      <c r="Q5" s="6"/>
      <c r="R5" s="5"/>
      <c r="S5" s="6"/>
    </row>
    <row r="6">
      <c r="A6" s="1">
        <v>1987.0</v>
      </c>
      <c r="B6" s="4">
        <v>560.0</v>
      </c>
      <c r="C6" s="5">
        <v>10230.0</v>
      </c>
      <c r="D6" s="5">
        <v>720000.0</v>
      </c>
      <c r="E6" s="6"/>
      <c r="F6" s="5"/>
      <c r="G6" s="6"/>
      <c r="H6" s="4" t="s">
        <v>16</v>
      </c>
      <c r="I6" s="6" t="s">
        <v>17</v>
      </c>
      <c r="J6" s="7" t="s">
        <v>18</v>
      </c>
      <c r="K6" s="3"/>
      <c r="L6" s="12"/>
      <c r="M6" s="13"/>
      <c r="N6" s="4">
        <v>560.0</v>
      </c>
      <c r="O6" s="5">
        <v>10230.0</v>
      </c>
      <c r="P6" s="5">
        <v>720000.0</v>
      </c>
      <c r="Q6" s="6"/>
      <c r="R6" s="5"/>
      <c r="S6" s="6"/>
    </row>
    <row r="7">
      <c r="A7" s="1">
        <v>1988.0</v>
      </c>
      <c r="B7" s="4">
        <v>560.0</v>
      </c>
      <c r="C7" s="5">
        <v>10230.0</v>
      </c>
      <c r="D7" s="5">
        <v>720000.0</v>
      </c>
      <c r="E7" s="6"/>
      <c r="F7" s="5"/>
      <c r="G7" s="6"/>
      <c r="H7" s="4" t="s">
        <v>16</v>
      </c>
      <c r="I7" s="6" t="s">
        <v>17</v>
      </c>
      <c r="J7" s="7" t="s">
        <v>18</v>
      </c>
      <c r="K7" s="3"/>
      <c r="L7" s="12"/>
      <c r="M7" s="13"/>
      <c r="N7" s="4">
        <v>560.0</v>
      </c>
      <c r="O7" s="5">
        <v>10230.0</v>
      </c>
      <c r="P7" s="5">
        <v>720000.0</v>
      </c>
      <c r="Q7" s="6"/>
      <c r="R7" s="5"/>
      <c r="S7" s="6"/>
    </row>
    <row r="8">
      <c r="A8" s="1">
        <v>1989.0</v>
      </c>
      <c r="B8" s="4">
        <v>560.0</v>
      </c>
      <c r="C8" s="5">
        <v>10230.0</v>
      </c>
      <c r="D8" s="5">
        <f>65000+720000</f>
        <v>785000</v>
      </c>
      <c r="E8" s="14"/>
      <c r="H8" s="4" t="s">
        <v>16</v>
      </c>
      <c r="I8" s="6" t="s">
        <v>17</v>
      </c>
      <c r="J8" s="15" t="s">
        <v>19</v>
      </c>
      <c r="K8" s="3"/>
      <c r="L8" s="10"/>
      <c r="M8" s="13"/>
      <c r="N8" s="4">
        <v>560.0</v>
      </c>
      <c r="O8" s="5">
        <v>10230.0</v>
      </c>
      <c r="P8" s="5">
        <f>65000+720000</f>
        <v>785000</v>
      </c>
      <c r="Q8" s="14"/>
    </row>
    <row r="9">
      <c r="A9" s="1">
        <v>1990.0</v>
      </c>
      <c r="B9" s="4">
        <v>560.0</v>
      </c>
      <c r="C9" s="5">
        <v>10230.0</v>
      </c>
      <c r="D9" s="5">
        <f t="shared" ref="D9:D10" si="1">28000+720000</f>
        <v>748000</v>
      </c>
      <c r="E9" s="16">
        <f>263+1230</f>
        <v>1493</v>
      </c>
      <c r="F9" s="5"/>
      <c r="G9" s="6"/>
      <c r="H9" s="4" t="s">
        <v>16</v>
      </c>
      <c r="I9" s="6" t="s">
        <v>17</v>
      </c>
      <c r="J9" s="15" t="s">
        <v>20</v>
      </c>
      <c r="K9" s="16" t="s">
        <v>21</v>
      </c>
      <c r="L9" s="12"/>
      <c r="M9" s="13"/>
      <c r="N9" s="4">
        <v>560.0</v>
      </c>
      <c r="O9" s="5">
        <v>10230.0</v>
      </c>
      <c r="P9" s="5">
        <f t="shared" ref="P9:P10" si="2">28000+720000</f>
        <v>748000</v>
      </c>
      <c r="Q9" s="16">
        <f>263+1230</f>
        <v>1493</v>
      </c>
      <c r="R9" s="5"/>
      <c r="S9" s="6"/>
    </row>
    <row r="10">
      <c r="A10" s="1">
        <v>1991.0</v>
      </c>
      <c r="B10" s="4">
        <v>560.0</v>
      </c>
      <c r="C10" s="5">
        <v>10230.0</v>
      </c>
      <c r="D10" s="5">
        <f t="shared" si="1"/>
        <v>748000</v>
      </c>
      <c r="E10" s="6"/>
      <c r="F10" s="5"/>
      <c r="G10" s="4"/>
      <c r="H10" s="4" t="s">
        <v>16</v>
      </c>
      <c r="I10" s="6" t="s">
        <v>17</v>
      </c>
      <c r="J10" s="7" t="s">
        <v>18</v>
      </c>
      <c r="K10" s="8"/>
      <c r="L10" s="12"/>
      <c r="M10" s="17"/>
      <c r="N10" s="4">
        <v>560.0</v>
      </c>
      <c r="O10" s="5">
        <v>10230.0</v>
      </c>
      <c r="P10" s="5">
        <f t="shared" si="2"/>
        <v>748000</v>
      </c>
      <c r="Q10" s="6"/>
      <c r="R10" s="5"/>
      <c r="S10" s="4"/>
    </row>
    <row r="11">
      <c r="A11" s="1">
        <v>1992.0</v>
      </c>
      <c r="B11" s="5">
        <v>2300.0</v>
      </c>
      <c r="C11" s="5">
        <v>42000.0</v>
      </c>
      <c r="D11" s="5">
        <v>515000.0</v>
      </c>
      <c r="E11" s="6"/>
      <c r="F11" s="4"/>
      <c r="G11" s="6"/>
      <c r="H11" s="6" t="s">
        <v>22</v>
      </c>
      <c r="I11" s="6" t="s">
        <v>23</v>
      </c>
      <c r="J11" s="15" t="s">
        <v>24</v>
      </c>
      <c r="K11" s="12"/>
      <c r="L11" s="12"/>
      <c r="M11" s="17"/>
      <c r="N11" s="5">
        <v>2300.0</v>
      </c>
      <c r="O11" s="5">
        <v>42000.0</v>
      </c>
      <c r="P11" s="5">
        <v>515000.0</v>
      </c>
      <c r="Q11" s="6"/>
      <c r="R11" s="4"/>
      <c r="S11" s="6"/>
    </row>
    <row r="12">
      <c r="A12" s="1">
        <v>1993.0</v>
      </c>
      <c r="B12" s="5">
        <v>2300.0</v>
      </c>
      <c r="C12" s="5">
        <f>42000+11600</f>
        <v>53600</v>
      </c>
      <c r="D12" s="5">
        <v>515000.0</v>
      </c>
      <c r="E12" s="14"/>
      <c r="H12" s="6" t="s">
        <v>22</v>
      </c>
      <c r="I12" s="4" t="s">
        <v>25</v>
      </c>
      <c r="J12" s="7" t="s">
        <v>24</v>
      </c>
      <c r="K12" s="8"/>
      <c r="L12" s="12"/>
      <c r="M12" s="13"/>
      <c r="N12" s="5">
        <v>2300.0</v>
      </c>
      <c r="O12" s="5">
        <f>42000+11600</f>
        <v>53600</v>
      </c>
      <c r="P12" s="5">
        <v>515000.0</v>
      </c>
      <c r="Q12" s="14"/>
    </row>
    <row r="13">
      <c r="A13" s="1">
        <v>1994.0</v>
      </c>
      <c r="B13" s="5">
        <v>2300.0</v>
      </c>
      <c r="C13" s="5">
        <v>42000.0</v>
      </c>
      <c r="D13" s="5">
        <v>515000.0</v>
      </c>
      <c r="E13" s="3"/>
      <c r="F13" s="3"/>
      <c r="G13" s="3"/>
      <c r="H13" s="6" t="s">
        <v>22</v>
      </c>
      <c r="I13" s="6" t="s">
        <v>23</v>
      </c>
      <c r="J13" s="7" t="s">
        <v>24</v>
      </c>
      <c r="K13" s="8"/>
      <c r="L13" s="12"/>
      <c r="M13" s="17"/>
      <c r="N13" s="5">
        <v>2300.0</v>
      </c>
      <c r="O13" s="5">
        <v>42000.0</v>
      </c>
      <c r="P13" s="5">
        <v>515000.0</v>
      </c>
      <c r="Q13" s="3"/>
      <c r="R13" s="3"/>
      <c r="S13" s="3"/>
    </row>
    <row r="14">
      <c r="A14" s="1">
        <v>1995.0</v>
      </c>
      <c r="B14" s="5">
        <v>2300.0</v>
      </c>
      <c r="C14" s="5">
        <f> 14600 +42000</f>
        <v>56600</v>
      </c>
      <c r="D14" s="5">
        <f>112000+515000</f>
        <v>627000</v>
      </c>
      <c r="E14" s="3"/>
      <c r="F14" s="18">
        <v>74.0</v>
      </c>
      <c r="G14" s="3"/>
      <c r="H14" s="6" t="s">
        <v>22</v>
      </c>
      <c r="I14" s="4" t="s">
        <v>26</v>
      </c>
      <c r="J14" s="15" t="s">
        <v>27</v>
      </c>
      <c r="K14" s="6"/>
      <c r="L14" s="19" t="s">
        <v>28</v>
      </c>
      <c r="M14" s="17"/>
      <c r="N14" s="5">
        <v>2300.0</v>
      </c>
      <c r="O14" s="5">
        <f> 14600 +42000</f>
        <v>56600</v>
      </c>
      <c r="P14" s="5">
        <f>112000+515000</f>
        <v>627000</v>
      </c>
      <c r="Q14" s="3"/>
      <c r="R14" s="18">
        <f>19000+74</f>
        <v>19074</v>
      </c>
      <c r="S14" s="3"/>
    </row>
    <row r="15">
      <c r="A15" s="1">
        <v>1996.0</v>
      </c>
      <c r="B15" s="5">
        <v>2300.0</v>
      </c>
      <c r="C15" s="5">
        <v>42000.0</v>
      </c>
      <c r="D15" s="5">
        <f t="shared" ref="D15:D19" si="3">80000+515000</f>
        <v>595000</v>
      </c>
      <c r="E15" s="3"/>
      <c r="F15" s="3"/>
      <c r="G15" s="3"/>
      <c r="H15" s="6" t="s">
        <v>22</v>
      </c>
      <c r="I15" s="6" t="s">
        <v>23</v>
      </c>
      <c r="J15" s="15" t="s">
        <v>29</v>
      </c>
      <c r="K15" s="20"/>
      <c r="L15" s="21"/>
      <c r="M15" s="17"/>
      <c r="N15" s="5">
        <v>2300.0</v>
      </c>
      <c r="O15" s="5">
        <v>42000.0</v>
      </c>
      <c r="P15" s="5">
        <f t="shared" ref="P15:P19" si="4">80000+515000</f>
        <v>595000</v>
      </c>
      <c r="Q15" s="3"/>
      <c r="R15" s="3"/>
      <c r="S15" s="3"/>
    </row>
    <row r="16">
      <c r="A16" s="1">
        <v>1997.0</v>
      </c>
      <c r="B16" s="5">
        <v>2300.0</v>
      </c>
      <c r="C16" s="5">
        <v>42000.0</v>
      </c>
      <c r="D16" s="5">
        <f t="shared" si="3"/>
        <v>595000</v>
      </c>
      <c r="E16" s="3"/>
      <c r="F16" s="18">
        <v>21100.0</v>
      </c>
      <c r="G16" s="3"/>
      <c r="H16" s="6" t="s">
        <v>22</v>
      </c>
      <c r="I16" s="6" t="s">
        <v>23</v>
      </c>
      <c r="J16" s="15" t="s">
        <v>29</v>
      </c>
      <c r="K16" s="12"/>
      <c r="L16" s="19" t="s">
        <v>30</v>
      </c>
      <c r="M16" s="17"/>
      <c r="N16" s="5">
        <v>2300.0</v>
      </c>
      <c r="O16" s="5">
        <v>42000.0</v>
      </c>
      <c r="P16" s="5">
        <f t="shared" si="4"/>
        <v>595000</v>
      </c>
      <c r="Q16" s="3"/>
      <c r="R16" s="18">
        <v>21100.0</v>
      </c>
      <c r="S16" s="3"/>
    </row>
    <row r="17">
      <c r="A17" s="1">
        <v>1998.0</v>
      </c>
      <c r="B17" s="5">
        <v>2300.0</v>
      </c>
      <c r="C17" s="5">
        <v>42000.0</v>
      </c>
      <c r="D17" s="5">
        <f t="shared" si="3"/>
        <v>595000</v>
      </c>
      <c r="E17" s="3"/>
      <c r="F17" s="18">
        <f>133+21100</f>
        <v>21233</v>
      </c>
      <c r="G17" s="3"/>
      <c r="H17" s="6" t="s">
        <v>22</v>
      </c>
      <c r="I17" s="6" t="s">
        <v>23</v>
      </c>
      <c r="J17" s="15" t="s">
        <v>29</v>
      </c>
      <c r="K17" s="12"/>
      <c r="L17" s="19" t="s">
        <v>31</v>
      </c>
      <c r="M17" s="22"/>
      <c r="N17" s="5">
        <v>2300.0</v>
      </c>
      <c r="O17" s="5">
        <v>42000.0</v>
      </c>
      <c r="P17" s="5">
        <f t="shared" si="4"/>
        <v>595000</v>
      </c>
      <c r="Q17" s="3"/>
      <c r="R17" s="18">
        <f>133+21100</f>
        <v>21233</v>
      </c>
      <c r="S17" s="3"/>
    </row>
    <row r="18">
      <c r="A18" s="1">
        <v>1999.0</v>
      </c>
      <c r="B18" s="5">
        <v>2300.0</v>
      </c>
      <c r="C18" s="23">
        <f t="shared" ref="C18:C19" si="5">42000+ 4300</f>
        <v>46300</v>
      </c>
      <c r="D18" s="5">
        <f t="shared" si="3"/>
        <v>595000</v>
      </c>
      <c r="E18" s="3"/>
      <c r="F18" s="18">
        <v>145.0</v>
      </c>
      <c r="G18" s="3"/>
      <c r="H18" s="6" t="s">
        <v>22</v>
      </c>
      <c r="I18" s="4" t="s">
        <v>32</v>
      </c>
      <c r="J18" s="15" t="s">
        <v>29</v>
      </c>
      <c r="K18" s="12"/>
      <c r="L18" s="19" t="s">
        <v>33</v>
      </c>
      <c r="M18" s="17"/>
      <c r="N18" s="5">
        <v>2300.0</v>
      </c>
      <c r="O18" s="23">
        <f t="shared" ref="O18:O19" si="6">42000+ 4300</f>
        <v>46300</v>
      </c>
      <c r="P18" s="5">
        <f t="shared" si="4"/>
        <v>595000</v>
      </c>
      <c r="Q18" s="3"/>
      <c r="R18" s="18">
        <f>145+21100</f>
        <v>21245</v>
      </c>
      <c r="S18" s="3"/>
    </row>
    <row r="19">
      <c r="A19" s="1">
        <v>2000.0</v>
      </c>
      <c r="B19" s="5">
        <v>2300.0</v>
      </c>
      <c r="C19" s="5">
        <f t="shared" si="5"/>
        <v>46300</v>
      </c>
      <c r="D19" s="5">
        <f t="shared" si="3"/>
        <v>595000</v>
      </c>
      <c r="E19" s="6">
        <f>308+2000</f>
        <v>2308</v>
      </c>
      <c r="F19" s="24">
        <f> 147 +16400</f>
        <v>16547</v>
      </c>
      <c r="G19" s="3"/>
      <c r="H19" s="6" t="s">
        <v>22</v>
      </c>
      <c r="I19" s="16" t="s">
        <v>32</v>
      </c>
      <c r="J19" s="15" t="s">
        <v>29</v>
      </c>
      <c r="K19" s="16" t="s">
        <v>34</v>
      </c>
      <c r="L19" s="19" t="s">
        <v>35</v>
      </c>
      <c r="M19" s="17"/>
      <c r="N19" s="5">
        <v>2300.0</v>
      </c>
      <c r="O19" s="5">
        <f t="shared" si="6"/>
        <v>46300</v>
      </c>
      <c r="P19" s="5">
        <f t="shared" si="4"/>
        <v>595000</v>
      </c>
      <c r="Q19" s="6">
        <f>308+2000</f>
        <v>2308</v>
      </c>
      <c r="R19" s="24">
        <f> 147 +16400</f>
        <v>16547</v>
      </c>
      <c r="S19" s="3"/>
    </row>
    <row r="20">
      <c r="A20" s="1">
        <v>2001.0</v>
      </c>
      <c r="B20" s="5">
        <v>2300.0</v>
      </c>
      <c r="C20" s="23">
        <f>42300+ 4300</f>
        <v>46600</v>
      </c>
      <c r="D20" s="5">
        <v>515000.0</v>
      </c>
      <c r="E20" s="3"/>
      <c r="F20" s="25">
        <f> 182 +16400</f>
        <v>16582</v>
      </c>
      <c r="G20" s="3"/>
      <c r="H20" s="6" t="s">
        <v>22</v>
      </c>
      <c r="I20" s="16" t="s">
        <v>32</v>
      </c>
      <c r="J20" s="7" t="s">
        <v>24</v>
      </c>
      <c r="K20" s="6"/>
      <c r="L20" s="19" t="s">
        <v>36</v>
      </c>
      <c r="M20" s="17"/>
      <c r="N20" s="5">
        <v>2300.0</v>
      </c>
      <c r="O20" s="23">
        <f>42300+ 4300</f>
        <v>46600</v>
      </c>
      <c r="P20" s="5">
        <v>515000.0</v>
      </c>
      <c r="Q20" s="3"/>
      <c r="R20" s="25">
        <f> 182 +16400</f>
        <v>16582</v>
      </c>
      <c r="S20" s="3"/>
    </row>
    <row r="21">
      <c r="A21" s="1">
        <v>2002.0</v>
      </c>
      <c r="B21" s="5">
        <v>2300.0</v>
      </c>
      <c r="C21" s="5">
        <f>42000+ 4300+ 9750</f>
        <v>56050</v>
      </c>
      <c r="D21" s="5">
        <v>515000.0</v>
      </c>
      <c r="E21" s="3"/>
      <c r="F21" s="18">
        <f>210+16000</f>
        <v>16210</v>
      </c>
      <c r="G21" s="3"/>
      <c r="H21" s="6" t="s">
        <v>22</v>
      </c>
      <c r="I21" s="16" t="s">
        <v>37</v>
      </c>
      <c r="J21" s="7" t="s">
        <v>24</v>
      </c>
      <c r="K21" s="12"/>
      <c r="L21" s="19" t="s">
        <v>38</v>
      </c>
      <c r="M21" s="17"/>
      <c r="N21" s="5">
        <v>2300.0</v>
      </c>
      <c r="O21" s="5">
        <f>42000+ 4300+ 9750</f>
        <v>56050</v>
      </c>
      <c r="P21" s="5">
        <v>515000.0</v>
      </c>
      <c r="Q21" s="3"/>
      <c r="R21" s="18">
        <f>210+16000</f>
        <v>16210</v>
      </c>
      <c r="S21" s="3"/>
    </row>
    <row r="22">
      <c r="A22" s="1">
        <v>2003.0</v>
      </c>
      <c r="B22" s="5">
        <v>2300.0</v>
      </c>
      <c r="C22" s="5">
        <f>42000+6000+ 9750</f>
        <v>57750</v>
      </c>
      <c r="D22" s="23">
        <f>81000+515000+20000</f>
        <v>616000</v>
      </c>
      <c r="E22" s="3"/>
      <c r="F22" s="18">
        <v>209.0</v>
      </c>
      <c r="G22" s="3"/>
      <c r="H22" s="6" t="s">
        <v>22</v>
      </c>
      <c r="I22" s="4" t="s">
        <v>39</v>
      </c>
      <c r="J22" s="15" t="s">
        <v>40</v>
      </c>
      <c r="K22" s="6"/>
      <c r="L22" s="19" t="s">
        <v>41</v>
      </c>
      <c r="M22" s="17"/>
      <c r="N22" s="5">
        <v>2300.0</v>
      </c>
      <c r="O22" s="5">
        <f>42000+6000+ 9750</f>
        <v>57750</v>
      </c>
      <c r="P22" s="23">
        <f>81000+515000+20000</f>
        <v>616000</v>
      </c>
      <c r="Q22" s="3"/>
      <c r="R22" s="18">
        <f>16500+209</f>
        <v>16709</v>
      </c>
      <c r="S22" s="3"/>
    </row>
    <row r="23">
      <c r="A23" s="1">
        <v>2004.0</v>
      </c>
      <c r="B23" s="5">
        <v>2300.0</v>
      </c>
      <c r="C23" s="5">
        <f>42000+ 7400+ 4300+ 9750+21000</f>
        <v>84450</v>
      </c>
      <c r="D23" s="5">
        <f>81000+515000+ 4200</f>
        <v>600200</v>
      </c>
      <c r="E23" s="3"/>
      <c r="F23" s="18">
        <v>224.0</v>
      </c>
      <c r="G23" s="3"/>
      <c r="H23" s="6" t="s">
        <v>22</v>
      </c>
      <c r="I23" s="4" t="s">
        <v>42</v>
      </c>
      <c r="J23" s="15" t="s">
        <v>43</v>
      </c>
      <c r="K23" s="12"/>
      <c r="L23" s="19" t="s">
        <v>41</v>
      </c>
      <c r="M23" s="17"/>
      <c r="N23" s="5">
        <v>2300.0</v>
      </c>
      <c r="O23" s="5">
        <f>42000+ 7400+ 4300+ 9750+21000</f>
        <v>84450</v>
      </c>
      <c r="P23" s="5">
        <f>81000+515000+ 4200</f>
        <v>600200</v>
      </c>
      <c r="Q23" s="3"/>
      <c r="R23" s="18">
        <f>17000+224</f>
        <v>17224</v>
      </c>
      <c r="S23" s="3"/>
    </row>
    <row r="24">
      <c r="A24" s="1">
        <v>2005.0</v>
      </c>
      <c r="B24" s="3"/>
      <c r="C24" s="23">
        <f>6300+6800+ 4300+ 9750+1160+21000</f>
        <v>49310</v>
      </c>
      <c r="D24" s="16">
        <f t="shared" ref="D24:D25" si="7">50000+81000+ 4200</f>
        <v>135200</v>
      </c>
      <c r="E24" s="3"/>
      <c r="F24" s="18">
        <v>208.0</v>
      </c>
      <c r="G24" s="3"/>
      <c r="H24" s="3"/>
      <c r="I24" s="4" t="s">
        <v>44</v>
      </c>
      <c r="J24" s="16" t="s">
        <v>45</v>
      </c>
      <c r="K24" s="8"/>
      <c r="L24" s="19" t="s">
        <v>41</v>
      </c>
      <c r="M24" s="13"/>
      <c r="N24" s="3"/>
      <c r="O24" s="23">
        <f>6300+6800+ 4300+ 9750+1160+21000</f>
        <v>49310</v>
      </c>
      <c r="P24" s="16">
        <f t="shared" ref="P24:P25" si="8">50000+81000+ 4200</f>
        <v>135200</v>
      </c>
      <c r="Q24" s="3"/>
      <c r="R24" s="18">
        <f>17500+208</f>
        <v>17708</v>
      </c>
      <c r="S24" s="3"/>
    </row>
    <row r="25">
      <c r="A25" s="4">
        <v>2006.0</v>
      </c>
      <c r="B25" s="3"/>
      <c r="C25" s="23">
        <f>6500+ 9750+21000</f>
        <v>37250</v>
      </c>
      <c r="D25" s="16">
        <f t="shared" si="7"/>
        <v>135200</v>
      </c>
      <c r="E25" s="3"/>
      <c r="F25" s="18">
        <v>195.0</v>
      </c>
      <c r="G25" s="3"/>
      <c r="H25" s="3"/>
      <c r="I25" s="4" t="s">
        <v>46</v>
      </c>
      <c r="J25" s="16" t="s">
        <v>45</v>
      </c>
      <c r="K25" s="6"/>
      <c r="L25" s="18" t="s">
        <v>41</v>
      </c>
      <c r="M25" s="17"/>
      <c r="N25" s="3"/>
      <c r="O25" s="23">
        <f>6500+ 9750+21000</f>
        <v>37250</v>
      </c>
      <c r="P25" s="16">
        <f t="shared" si="8"/>
        <v>135200</v>
      </c>
      <c r="Q25" s="3"/>
      <c r="R25" s="18">
        <f>18000+195</f>
        <v>18195</v>
      </c>
      <c r="S25" s="3"/>
    </row>
    <row r="26">
      <c r="A26" s="1">
        <v>2007.0</v>
      </c>
      <c r="B26" s="3"/>
      <c r="C26" s="1">
        <f>18000+9750+2700+80</f>
        <v>30530</v>
      </c>
      <c r="D26" s="16">
        <f>50000+81000+9100</f>
        <v>140100</v>
      </c>
      <c r="E26" s="3"/>
      <c r="F26" s="18">
        <f>185+20660</f>
        <v>20845</v>
      </c>
      <c r="G26" s="3"/>
      <c r="H26" s="3"/>
      <c r="I26" s="16" t="s">
        <v>47</v>
      </c>
      <c r="J26" s="16" t="s">
        <v>48</v>
      </c>
      <c r="K26" s="12"/>
      <c r="L26" s="19" t="s">
        <v>49</v>
      </c>
      <c r="M26" s="17"/>
      <c r="N26" s="3"/>
      <c r="O26" s="1">
        <f>18000+9750+2700+80</f>
        <v>30530</v>
      </c>
      <c r="P26" s="16">
        <f>50000+81000+9100</f>
        <v>140100</v>
      </c>
      <c r="Q26" s="3"/>
      <c r="R26" s="18">
        <f>185+20660</f>
        <v>20845</v>
      </c>
      <c r="S26" s="3"/>
    </row>
    <row r="27">
      <c r="A27" s="1">
        <v>2008.0</v>
      </c>
      <c r="B27" s="5">
        <v>2500.0</v>
      </c>
      <c r="C27" s="5">
        <v>12400.0</v>
      </c>
      <c r="D27" s="16">
        <v>90000.0</v>
      </c>
      <c r="E27" s="3"/>
      <c r="F27" s="18">
        <f>217+19040</f>
        <v>19257</v>
      </c>
      <c r="G27" s="3"/>
      <c r="H27" s="6" t="s">
        <v>22</v>
      </c>
      <c r="I27" s="4" t="s">
        <v>50</v>
      </c>
      <c r="J27" s="15" t="s">
        <v>51</v>
      </c>
      <c r="K27" s="26"/>
      <c r="L27" s="19" t="s">
        <v>52</v>
      </c>
      <c r="M27" s="17"/>
      <c r="N27" s="5">
        <v>2500.0</v>
      </c>
      <c r="O27" s="5">
        <v>12400.0</v>
      </c>
      <c r="P27" s="16">
        <v>90000.0</v>
      </c>
      <c r="Q27" s="3"/>
      <c r="R27" s="18">
        <f>217+19040</f>
        <v>19257</v>
      </c>
      <c r="S27" s="3"/>
    </row>
    <row r="28">
      <c r="A28" s="1">
        <v>2009.0</v>
      </c>
      <c r="B28" s="3"/>
      <c r="C28" s="5">
        <v>12400.0</v>
      </c>
      <c r="D28" s="16">
        <v>90000.0</v>
      </c>
      <c r="E28" s="3">
        <f>12000+3300+4400+2760+2400</f>
        <v>24860</v>
      </c>
      <c r="F28" s="18">
        <v>208.0</v>
      </c>
      <c r="G28" s="3"/>
      <c r="H28" s="3"/>
      <c r="I28" s="4" t="s">
        <v>50</v>
      </c>
      <c r="J28" s="15" t="s">
        <v>53</v>
      </c>
      <c r="K28" s="1" t="s">
        <v>54</v>
      </c>
      <c r="L28" s="18" t="s">
        <v>41</v>
      </c>
      <c r="M28" s="13"/>
      <c r="N28" s="3"/>
      <c r="O28" s="5">
        <v>12400.0</v>
      </c>
      <c r="P28" s="16">
        <v>90000.0</v>
      </c>
      <c r="Q28" s="3">
        <f>12000+3300+4400+2760+2400</f>
        <v>24860</v>
      </c>
      <c r="R28" s="18">
        <f>19750+208</f>
        <v>19958</v>
      </c>
      <c r="S28" s="3"/>
    </row>
    <row r="29">
      <c r="A29" s="1">
        <v>2010.0</v>
      </c>
      <c r="B29" s="3"/>
      <c r="C29" s="16">
        <f>12400+4500</f>
        <v>16900</v>
      </c>
      <c r="D29" s="16">
        <v>90000.0</v>
      </c>
      <c r="E29" s="5">
        <f>476+4400</f>
        <v>4876</v>
      </c>
      <c r="F29" s="25">
        <f>201+20720</f>
        <v>20921</v>
      </c>
      <c r="G29" s="3"/>
      <c r="H29" s="3"/>
      <c r="I29" s="16" t="s">
        <v>55</v>
      </c>
      <c r="J29" s="15" t="s">
        <v>51</v>
      </c>
      <c r="K29" s="16" t="s">
        <v>56</v>
      </c>
      <c r="L29" s="18" t="s">
        <v>57</v>
      </c>
      <c r="M29" s="13"/>
      <c r="N29" s="3"/>
      <c r="O29" s="16">
        <f>12400+4500</f>
        <v>16900</v>
      </c>
      <c r="P29" s="16">
        <v>90000.0</v>
      </c>
      <c r="Q29" s="5">
        <f>476+4400</f>
        <v>4876</v>
      </c>
      <c r="R29" s="25">
        <f>201+20720</f>
        <v>20921</v>
      </c>
      <c r="S29" s="3"/>
    </row>
    <row r="30">
      <c r="A30" s="1">
        <v>2011.0</v>
      </c>
      <c r="B30" s="3"/>
      <c r="C30" s="23">
        <v>12400.0</v>
      </c>
      <c r="D30" s="16">
        <v>90000.0</v>
      </c>
      <c r="E30" s="3"/>
      <c r="F30" s="18">
        <f>213+20790</f>
        <v>21003</v>
      </c>
      <c r="G30" s="3"/>
      <c r="H30" s="3"/>
      <c r="I30" s="4" t="s">
        <v>50</v>
      </c>
      <c r="J30" s="15" t="s">
        <v>51</v>
      </c>
      <c r="K30" s="3"/>
      <c r="L30" s="18" t="s">
        <v>58</v>
      </c>
      <c r="M30" s="13"/>
      <c r="N30" s="3"/>
      <c r="O30" s="23">
        <v>12400.0</v>
      </c>
      <c r="P30" s="16">
        <v>90000.0</v>
      </c>
      <c r="Q30" s="3"/>
      <c r="R30" s="18">
        <f>213+20790</f>
        <v>21003</v>
      </c>
      <c r="S30" s="3"/>
    </row>
    <row r="31">
      <c r="A31" s="1">
        <v>2012.0</v>
      </c>
      <c r="B31" s="3"/>
      <c r="C31" s="23">
        <v>12400.0</v>
      </c>
      <c r="D31" s="16">
        <v>90000.0</v>
      </c>
      <c r="E31" s="16">
        <v>5000.0</v>
      </c>
      <c r="F31" s="27">
        <v>229.0</v>
      </c>
      <c r="G31" s="3"/>
      <c r="H31" s="3"/>
      <c r="I31" s="4" t="s">
        <v>50</v>
      </c>
      <c r="J31" s="15" t="s">
        <v>51</v>
      </c>
      <c r="K31" s="16" t="s">
        <v>59</v>
      </c>
      <c r="L31" s="27" t="s">
        <v>41</v>
      </c>
      <c r="M31" s="13"/>
      <c r="N31" s="3"/>
      <c r="O31" s="23">
        <v>12400.0</v>
      </c>
      <c r="P31" s="16">
        <v>90000.0</v>
      </c>
      <c r="Q31" s="16">
        <v>5000.0</v>
      </c>
      <c r="R31" s="27">
        <f>20790+229</f>
        <v>21019</v>
      </c>
      <c r="S31" s="3"/>
    </row>
    <row r="32">
      <c r="A32" s="1">
        <v>2013.0</v>
      </c>
      <c r="B32" s="3"/>
      <c r="C32" s="23">
        <v>12400.0</v>
      </c>
      <c r="D32" s="16">
        <v>90000.0</v>
      </c>
      <c r="E32" s="3"/>
      <c r="F32" s="27">
        <v>249.0</v>
      </c>
      <c r="G32" s="3"/>
      <c r="H32" s="3"/>
      <c r="I32" s="4" t="s">
        <v>50</v>
      </c>
      <c r="J32" s="15" t="s">
        <v>51</v>
      </c>
      <c r="K32" s="3"/>
      <c r="L32" s="27" t="s">
        <v>60</v>
      </c>
      <c r="M32" s="13"/>
      <c r="N32" s="3"/>
      <c r="O32" s="23">
        <v>12400.0</v>
      </c>
      <c r="P32" s="16">
        <v>90000.0</v>
      </c>
      <c r="Q32" s="3"/>
      <c r="R32" s="27">
        <f>20790+249</f>
        <v>21039</v>
      </c>
      <c r="S32" s="3"/>
    </row>
    <row r="33">
      <c r="A33" s="1">
        <v>2014.0</v>
      </c>
      <c r="B33" s="3"/>
      <c r="C33" s="23">
        <v>10700.0</v>
      </c>
      <c r="D33" s="5">
        <f>104700+150000</f>
        <v>254700</v>
      </c>
      <c r="E33" s="3"/>
      <c r="F33" s="27">
        <v>245.0</v>
      </c>
      <c r="G33" s="3"/>
      <c r="H33" s="3"/>
      <c r="I33" s="4" t="s">
        <v>61</v>
      </c>
      <c r="J33" s="15" t="s">
        <v>62</v>
      </c>
      <c r="K33" s="3"/>
      <c r="L33" s="27" t="s">
        <v>60</v>
      </c>
      <c r="M33" s="13"/>
      <c r="N33" s="3"/>
      <c r="O33" s="23">
        <v>10700.0</v>
      </c>
      <c r="P33" s="5">
        <f>104700+150000</f>
        <v>254700</v>
      </c>
      <c r="Q33" s="3"/>
      <c r="R33" s="27">
        <f>20790+245</f>
        <v>21035</v>
      </c>
      <c r="S33" s="3"/>
    </row>
    <row r="34">
      <c r="A34" s="1">
        <v>2015.0</v>
      </c>
      <c r="B34" s="3"/>
      <c r="C34" s="23">
        <f>10000+10700+ 4200+1000</f>
        <v>25900</v>
      </c>
      <c r="D34" s="5">
        <f>104700+150000+64000+5100</f>
        <v>323800</v>
      </c>
      <c r="E34" s="3"/>
      <c r="F34" s="18">
        <f>257+23260+200</f>
        <v>23717</v>
      </c>
      <c r="G34" s="3"/>
      <c r="H34" s="3"/>
      <c r="I34" s="4" t="s">
        <v>63</v>
      </c>
      <c r="J34" s="15" t="s">
        <v>64</v>
      </c>
      <c r="K34" s="3"/>
      <c r="L34" s="18" t="s">
        <v>65</v>
      </c>
      <c r="M34" s="13"/>
      <c r="N34" s="3"/>
      <c r="O34" s="23">
        <f>10000+10700+ 4200+1000</f>
        <v>25900</v>
      </c>
      <c r="P34" s="5">
        <f>104700+150000+64000+5100</f>
        <v>323800</v>
      </c>
      <c r="Q34" s="3"/>
      <c r="R34" s="18">
        <f>257+23260+200</f>
        <v>23717</v>
      </c>
      <c r="S34" s="3"/>
    </row>
    <row r="35">
      <c r="A35" s="1">
        <v>2016.0</v>
      </c>
      <c r="B35" s="3"/>
      <c r="C35" s="23">
        <f>10500+10700</f>
        <v>21200</v>
      </c>
      <c r="D35" s="5">
        <f>104700+150000+64000</f>
        <v>318700</v>
      </c>
      <c r="E35" s="3"/>
      <c r="F35" s="18">
        <f>244+26640</f>
        <v>26884</v>
      </c>
      <c r="G35" s="3"/>
      <c r="H35" s="3"/>
      <c r="I35" s="4" t="s">
        <v>66</v>
      </c>
      <c r="J35" s="15" t="s">
        <v>67</v>
      </c>
      <c r="K35" s="3"/>
      <c r="L35" s="18" t="s">
        <v>68</v>
      </c>
      <c r="M35" s="13"/>
      <c r="N35" s="3"/>
      <c r="O35" s="23">
        <f>10500+10700</f>
        <v>21200</v>
      </c>
      <c r="P35" s="5">
        <f>104700+150000+64000</f>
        <v>318700</v>
      </c>
      <c r="Q35" s="3"/>
      <c r="R35" s="18">
        <f>244+26640</f>
        <v>26884</v>
      </c>
      <c r="S35" s="3"/>
    </row>
    <row r="36">
      <c r="A36" s="1">
        <v>2017.0</v>
      </c>
      <c r="B36" s="3"/>
      <c r="C36" s="23">
        <v>10700.0</v>
      </c>
      <c r="D36" s="5">
        <f t="shared" ref="D36:D38" si="9">104700+150000</f>
        <v>254700</v>
      </c>
      <c r="E36" s="3"/>
      <c r="F36" s="28">
        <v>224.0</v>
      </c>
      <c r="G36" s="3"/>
      <c r="H36" s="3"/>
      <c r="I36" s="4" t="s">
        <v>61</v>
      </c>
      <c r="J36" s="15" t="s">
        <v>62</v>
      </c>
      <c r="K36" s="3"/>
      <c r="L36" s="27" t="s">
        <v>41</v>
      </c>
      <c r="M36" s="13"/>
      <c r="N36" s="3"/>
      <c r="O36" s="23">
        <v>10700.0</v>
      </c>
      <c r="P36" s="5">
        <f t="shared" ref="P36:P38" si="10">104700+150000</f>
        <v>254700</v>
      </c>
      <c r="Q36" s="3"/>
      <c r="R36" s="28">
        <f>26640+224</f>
        <v>26864</v>
      </c>
      <c r="S36" s="3"/>
    </row>
    <row r="37">
      <c r="A37" s="1">
        <v>2018.0</v>
      </c>
      <c r="B37" s="3"/>
      <c r="C37" s="23">
        <v>10700.0</v>
      </c>
      <c r="D37" s="5">
        <f t="shared" si="9"/>
        <v>254700</v>
      </c>
      <c r="E37" s="3"/>
      <c r="F37" s="27">
        <v>211.0</v>
      </c>
      <c r="G37" s="3"/>
      <c r="H37" s="3"/>
      <c r="I37" s="6" t="s">
        <v>61</v>
      </c>
      <c r="J37" s="15" t="s">
        <v>62</v>
      </c>
      <c r="K37" s="3"/>
      <c r="L37" s="27" t="s">
        <v>41</v>
      </c>
      <c r="M37" s="13"/>
      <c r="N37" s="3"/>
      <c r="O37" s="23">
        <v>10700.0</v>
      </c>
      <c r="P37" s="5">
        <f t="shared" si="10"/>
        <v>254700</v>
      </c>
      <c r="Q37" s="3"/>
      <c r="R37" s="28">
        <f>25000+211</f>
        <v>25211</v>
      </c>
      <c r="S37" s="3"/>
    </row>
    <row r="38">
      <c r="A38" s="1">
        <v>2019.0</v>
      </c>
      <c r="B38" s="3"/>
      <c r="C38" s="3"/>
      <c r="D38" s="5">
        <f t="shared" si="9"/>
        <v>254700</v>
      </c>
      <c r="E38" s="5">
        <f>370+4600</f>
        <v>4970</v>
      </c>
      <c r="F38" s="27">
        <v>228.0</v>
      </c>
      <c r="G38" s="3"/>
      <c r="H38" s="3"/>
      <c r="I38" s="3"/>
      <c r="J38" s="15" t="s">
        <v>62</v>
      </c>
      <c r="K38" s="4" t="s">
        <v>69</v>
      </c>
      <c r="L38" s="27" t="s">
        <v>41</v>
      </c>
      <c r="M38" s="13"/>
      <c r="N38" s="3"/>
      <c r="O38" s="3"/>
      <c r="P38" s="5">
        <f t="shared" si="10"/>
        <v>254700</v>
      </c>
      <c r="Q38" s="5">
        <f>370+4600</f>
        <v>4970</v>
      </c>
      <c r="R38" s="27">
        <f>25000+228</f>
        <v>25228</v>
      </c>
      <c r="S38" s="3"/>
    </row>
    <row r="39">
      <c r="A39" s="1">
        <v>2020.0</v>
      </c>
      <c r="B39" s="3"/>
      <c r="C39" s="3"/>
      <c r="D39" s="3"/>
      <c r="E39" s="16">
        <f>6470+6470+4480</f>
        <v>17420</v>
      </c>
      <c r="F39" s="18">
        <f>2020+20720</f>
        <v>22740</v>
      </c>
      <c r="G39" s="3"/>
      <c r="H39" s="3"/>
      <c r="I39" s="3"/>
      <c r="J39" s="3"/>
      <c r="K39" s="16" t="s">
        <v>70</v>
      </c>
      <c r="L39" s="18" t="s">
        <v>71</v>
      </c>
      <c r="M39" s="13"/>
      <c r="N39" s="3"/>
      <c r="O39" s="3"/>
      <c r="P39" s="3"/>
      <c r="Q39" s="16">
        <f>6470+6470+4480</f>
        <v>17420</v>
      </c>
      <c r="R39" s="18">
        <f>2020+20720</f>
        <v>22740</v>
      </c>
      <c r="S39" s="3"/>
    </row>
    <row r="40">
      <c r="A40" s="1">
        <v>2021.0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11"/>
      <c r="N40" s="3"/>
      <c r="O40" s="3"/>
      <c r="P40" s="3"/>
      <c r="Q40" s="3"/>
      <c r="R40" s="3"/>
      <c r="S40" s="3"/>
    </row>
    <row r="41">
      <c r="A41" s="1">
        <v>2022.0</v>
      </c>
      <c r="B41" s="3"/>
      <c r="C41" s="3"/>
      <c r="D41" s="3"/>
      <c r="E41" s="3"/>
      <c r="F41" s="18">
        <v>16650.0</v>
      </c>
      <c r="G41" s="3"/>
      <c r="H41" s="3"/>
      <c r="I41" s="3"/>
      <c r="J41" s="3"/>
      <c r="K41" s="3"/>
      <c r="L41" s="18" t="s">
        <v>72</v>
      </c>
      <c r="M41" s="13"/>
      <c r="N41" s="3"/>
      <c r="O41" s="3"/>
      <c r="P41" s="3"/>
      <c r="Q41" s="3"/>
      <c r="R41" s="18">
        <v>16650.0</v>
      </c>
      <c r="S41" s="3"/>
    </row>
    <row r="42">
      <c r="A42" s="1">
        <v>2023.0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</row>
    <row r="43">
      <c r="A43" s="1">
        <v>2024.0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</row>
  </sheetData>
  <mergeCells count="4">
    <mergeCell ref="E12:G12"/>
    <mergeCell ref="E8:G8"/>
    <mergeCell ref="Q12:S12"/>
    <mergeCell ref="Q8:S8"/>
  </mergeCells>
  <drawing r:id="rId1"/>
</worksheet>
</file>