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T:\Journal Content Elements\SupMat\ea\ea.49.barry\"/>
    </mc:Choice>
  </mc:AlternateContent>
  <xr:revisionPtr revIDLastSave="0" documentId="8_{DF179B49-3B6E-40D7-8B3B-D170C84E78CE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description" sheetId="8" r:id="rId1"/>
    <sheet name="Global mass balance" sheetId="2" r:id="rId2"/>
    <sheet name="Subduction" sheetId="1" r:id="rId3"/>
    <sheet name="Best estimates slab" sheetId="5" r:id="rId4"/>
    <sheet name="Fig. 2" sheetId="4" r:id="rId5"/>
    <sheet name=" Fig3b " sheetId="6" r:id="rId6"/>
    <sheet name="Calculations" sheetId="3" r:id="rId7"/>
    <sheet name="halogen compilation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7" l="1"/>
  <c r="AQ29" i="7" s="1"/>
  <c r="R48" i="2" s="1"/>
  <c r="O48" i="2" s="1"/>
  <c r="H48" i="2" s="1"/>
  <c r="AR10" i="7"/>
  <c r="AV10" i="7"/>
  <c r="AW10" i="7" s="1"/>
  <c r="AV14" i="7"/>
  <c r="AV16" i="7" s="1"/>
  <c r="AW14" i="7"/>
  <c r="AQ16" i="7"/>
  <c r="AR16" i="7" s="1"/>
  <c r="D8" i="1"/>
  <c r="F9" i="3"/>
  <c r="C7" i="1" s="1"/>
  <c r="C8" i="1" s="1"/>
  <c r="F26" i="3"/>
  <c r="H26" i="3" s="1"/>
  <c r="C3" i="1" s="1"/>
  <c r="F27" i="3"/>
  <c r="H27" i="3" s="1"/>
  <c r="C4" i="1" s="1"/>
  <c r="D33" i="3"/>
  <c r="E72" i="3" s="1"/>
  <c r="D74" i="3"/>
  <c r="F74" i="3" s="1"/>
  <c r="E74" i="3"/>
  <c r="D47" i="3"/>
  <c r="D44" i="2"/>
  <c r="E30" i="4" s="1"/>
  <c r="F11" i="3"/>
  <c r="F13" i="3" s="1"/>
  <c r="F10" i="3"/>
  <c r="F15" i="3"/>
  <c r="E42" i="3"/>
  <c r="E47" i="3" s="1"/>
  <c r="C44" i="2" s="1"/>
  <c r="E13" i="4" s="1"/>
  <c r="F47" i="3"/>
  <c r="E44" i="2"/>
  <c r="E47" i="4" s="1"/>
  <c r="D72" i="3"/>
  <c r="D75" i="3"/>
  <c r="F75" i="3" s="1"/>
  <c r="E75" i="3"/>
  <c r="D66" i="3"/>
  <c r="D65" i="3"/>
  <c r="E66" i="3"/>
  <c r="E65" i="3" s="1"/>
  <c r="K90" i="3"/>
  <c r="D90" i="3"/>
  <c r="E90" i="3"/>
  <c r="K85" i="3"/>
  <c r="K84" i="3"/>
  <c r="K43" i="3"/>
  <c r="E43" i="3"/>
  <c r="C39" i="2" s="1"/>
  <c r="E8" i="4" s="1"/>
  <c r="D114" i="3"/>
  <c r="F114" i="3"/>
  <c r="E114" i="3"/>
  <c r="K119" i="3"/>
  <c r="K121" i="3" s="1"/>
  <c r="K86" i="3"/>
  <c r="K44" i="3"/>
  <c r="D44" i="3"/>
  <c r="D49" i="3" s="1"/>
  <c r="D37" i="2" s="1"/>
  <c r="E23" i="4" s="1"/>
  <c r="M48" i="3"/>
  <c r="N135" i="3"/>
  <c r="R47" i="2"/>
  <c r="O47" i="2"/>
  <c r="H47" i="2"/>
  <c r="K92" i="3"/>
  <c r="K120" i="3"/>
  <c r="K45" i="3"/>
  <c r="K87" i="3"/>
  <c r="K46" i="3"/>
  <c r="K122" i="3"/>
  <c r="M142" i="3"/>
  <c r="C13" i="6"/>
  <c r="S46" i="2"/>
  <c r="P46" i="2" s="1"/>
  <c r="I46" i="2" s="1"/>
  <c r="T46" i="2"/>
  <c r="Q46" i="2" s="1"/>
  <c r="J46" i="2" s="1"/>
  <c r="S47" i="2"/>
  <c r="P47" i="2" s="1"/>
  <c r="I47" i="2" s="1"/>
  <c r="T47" i="2"/>
  <c r="Q47" i="2" s="1"/>
  <c r="J47" i="2" s="1"/>
  <c r="H63" i="2"/>
  <c r="G20" i="5"/>
  <c r="G12" i="5"/>
  <c r="D12" i="5" s="1"/>
  <c r="G17" i="5"/>
  <c r="D17" i="5" s="1"/>
  <c r="C15" i="1" s="1"/>
  <c r="G19" i="5"/>
  <c r="D19" i="5" s="1"/>
  <c r="C17" i="1" s="1"/>
  <c r="C16" i="1"/>
  <c r="C12" i="1"/>
  <c r="C13" i="1"/>
  <c r="C14" i="1"/>
  <c r="C18" i="1"/>
  <c r="C19" i="1"/>
  <c r="C20" i="1"/>
  <c r="C21" i="1"/>
  <c r="C11" i="1"/>
  <c r="C10" i="6"/>
  <c r="AK28" i="7"/>
  <c r="AK27" i="7"/>
  <c r="AK29" i="7"/>
  <c r="AI28" i="7"/>
  <c r="AJ28" i="7"/>
  <c r="AH28" i="7"/>
  <c r="AH27" i="7"/>
  <c r="AI27" i="7"/>
  <c r="AH26" i="7"/>
  <c r="AJ27" i="7"/>
  <c r="AJ29" i="7"/>
  <c r="AI29" i="7"/>
  <c r="AI26" i="7"/>
  <c r="AI25" i="7"/>
  <c r="AI24" i="7"/>
  <c r="AI23" i="7"/>
  <c r="AI22" i="7"/>
  <c r="AK26" i="7"/>
  <c r="AJ26" i="7"/>
  <c r="AJ25" i="7"/>
  <c r="AK25" i="7"/>
  <c r="AH25" i="7"/>
  <c r="AJ24" i="7"/>
  <c r="AK24" i="7"/>
  <c r="AH24" i="7"/>
  <c r="AJ23" i="7"/>
  <c r="AK23" i="7"/>
  <c r="AH23" i="7"/>
  <c r="AJ22" i="7"/>
  <c r="AK22" i="7"/>
  <c r="AH22" i="7"/>
  <c r="AH29" i="7"/>
  <c r="T36" i="7"/>
  <c r="U34" i="7"/>
  <c r="T34" i="7"/>
  <c r="T33" i="7"/>
  <c r="T32" i="7"/>
  <c r="U32" i="7"/>
  <c r="T31" i="7"/>
  <c r="U31" i="7"/>
  <c r="T30" i="7"/>
  <c r="T29" i="7"/>
  <c r="U29" i="7"/>
  <c r="W36" i="7"/>
  <c r="V36" i="7"/>
  <c r="U36" i="7"/>
  <c r="V33" i="7"/>
  <c r="W33" i="7"/>
  <c r="U33" i="7"/>
  <c r="V32" i="7"/>
  <c r="W32" i="7"/>
  <c r="V31" i="7"/>
  <c r="W31" i="7"/>
  <c r="U30" i="7"/>
  <c r="V29" i="7"/>
  <c r="W29" i="7"/>
  <c r="W35" i="7"/>
  <c r="V35" i="7"/>
  <c r="U35" i="7"/>
  <c r="T35" i="7"/>
  <c r="W34" i="7"/>
  <c r="V34" i="7"/>
  <c r="W30" i="7"/>
  <c r="V30" i="7"/>
  <c r="H23" i="7"/>
  <c r="I23" i="7"/>
  <c r="J23" i="7"/>
  <c r="H24" i="7"/>
  <c r="I24" i="7"/>
  <c r="J24" i="7"/>
  <c r="H25" i="7"/>
  <c r="I25" i="7"/>
  <c r="J25" i="7"/>
  <c r="G25" i="7"/>
  <c r="G24" i="7"/>
  <c r="G23" i="7"/>
  <c r="J26" i="7"/>
  <c r="I26" i="7"/>
  <c r="H26" i="7"/>
  <c r="G26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E8" i="1"/>
  <c r="D73" i="3"/>
  <c r="F73" i="3" s="1"/>
  <c r="E73" i="3"/>
  <c r="C11" i="6"/>
  <c r="E18" i="1"/>
  <c r="F33" i="5"/>
  <c r="G33" i="5" s="1"/>
  <c r="F34" i="5"/>
  <c r="G34" i="5"/>
  <c r="D34" i="5" s="1"/>
  <c r="D17" i="1" s="1"/>
  <c r="G36" i="5"/>
  <c r="D36" i="5" s="1"/>
  <c r="G27" i="5"/>
  <c r="D27" i="5" s="1"/>
  <c r="C5" i="6"/>
  <c r="C6" i="6"/>
  <c r="D11" i="1"/>
  <c r="E11" i="1"/>
  <c r="C7" i="6"/>
  <c r="D12" i="1"/>
  <c r="E12" i="1"/>
  <c r="C8" i="6"/>
  <c r="D13" i="1"/>
  <c r="E13" i="1"/>
  <c r="C9" i="6"/>
  <c r="D14" i="1"/>
  <c r="E14" i="1"/>
  <c r="E15" i="1"/>
  <c r="D16" i="1"/>
  <c r="C12" i="6"/>
  <c r="E17" i="1"/>
  <c r="C15" i="6"/>
  <c r="E20" i="1"/>
  <c r="C16" i="6"/>
  <c r="E21" i="1"/>
  <c r="D19" i="1"/>
  <c r="E19" i="1"/>
  <c r="C14" i="6"/>
  <c r="G42" i="5"/>
  <c r="D42" i="5" s="1"/>
  <c r="M146" i="3"/>
  <c r="M144" i="3"/>
  <c r="F66" i="3"/>
  <c r="F65" i="3" s="1"/>
  <c r="M135" i="3"/>
  <c r="R63" i="2"/>
  <c r="D131" i="3"/>
  <c r="F62" i="3"/>
  <c r="F61" i="3"/>
  <c r="E61" i="3"/>
  <c r="D62" i="3"/>
  <c r="D61" i="3"/>
  <c r="G48" i="5"/>
  <c r="D48" i="5" s="1"/>
  <c r="E16" i="1" s="1"/>
  <c r="F6" i="4"/>
  <c r="G53" i="5"/>
  <c r="E53" i="5"/>
  <c r="G52" i="5"/>
  <c r="E52" i="5"/>
  <c r="G51" i="5"/>
  <c r="E51" i="5"/>
  <c r="G50" i="5"/>
  <c r="E50" i="5"/>
  <c r="G49" i="5"/>
  <c r="E49" i="5"/>
  <c r="G47" i="5"/>
  <c r="E47" i="5"/>
  <c r="G46" i="5"/>
  <c r="E46" i="5"/>
  <c r="G45" i="5"/>
  <c r="E45" i="5"/>
  <c r="G44" i="5"/>
  <c r="E44" i="5"/>
  <c r="G43" i="5"/>
  <c r="E43" i="5"/>
  <c r="G38" i="5"/>
  <c r="D38" i="5" s="1"/>
  <c r="D21" i="1" s="1"/>
  <c r="G37" i="5"/>
  <c r="D37" i="5" s="1"/>
  <c r="E36" i="5"/>
  <c r="G35" i="5"/>
  <c r="D35" i="5" s="1"/>
  <c r="E35" i="5" s="1"/>
  <c r="E33" i="5"/>
  <c r="G32" i="5"/>
  <c r="D32" i="5" s="1"/>
  <c r="G31" i="5"/>
  <c r="E31" i="5"/>
  <c r="G30" i="5"/>
  <c r="E30" i="5"/>
  <c r="G29" i="5"/>
  <c r="E29" i="5"/>
  <c r="G28" i="5"/>
  <c r="E28" i="5"/>
  <c r="G23" i="5"/>
  <c r="E23" i="5"/>
  <c r="G22" i="5"/>
  <c r="E22" i="5"/>
  <c r="G21" i="5"/>
  <c r="E21" i="5"/>
  <c r="E20" i="5"/>
  <c r="E19" i="5"/>
  <c r="G18" i="5"/>
  <c r="E18" i="5"/>
  <c r="E17" i="5"/>
  <c r="G16" i="5"/>
  <c r="E16" i="5"/>
  <c r="E15" i="5"/>
  <c r="F15" i="5" s="1"/>
  <c r="G15" i="5" s="1"/>
  <c r="G14" i="5"/>
  <c r="E14" i="5"/>
  <c r="E13" i="5"/>
  <c r="F13" i="5" s="1"/>
  <c r="G13" i="5" s="1"/>
  <c r="N48" i="3"/>
  <c r="O135" i="3"/>
  <c r="J63" i="2"/>
  <c r="F46" i="3"/>
  <c r="E42" i="2" s="1"/>
  <c r="E45" i="4" s="1"/>
  <c r="L122" i="3"/>
  <c r="L87" i="3"/>
  <c r="F45" i="3"/>
  <c r="E41" i="2"/>
  <c r="E44" i="4" s="1"/>
  <c r="L119" i="3"/>
  <c r="L121" i="3" s="1"/>
  <c r="L86" i="3"/>
  <c r="F44" i="3"/>
  <c r="E40" i="2"/>
  <c r="E43" i="4" s="1"/>
  <c r="L120" i="3"/>
  <c r="L85" i="3"/>
  <c r="F43" i="3"/>
  <c r="E39" i="2"/>
  <c r="E42" i="4"/>
  <c r="L84" i="3"/>
  <c r="E38" i="2"/>
  <c r="E41" i="4" s="1"/>
  <c r="F49" i="3"/>
  <c r="E37" i="2" s="1"/>
  <c r="E40" i="4" s="1"/>
  <c r="F40" i="4"/>
  <c r="L48" i="3"/>
  <c r="I63" i="2"/>
  <c r="D46" i="3"/>
  <c r="D42" i="2"/>
  <c r="E28" i="4" s="1"/>
  <c r="D45" i="3"/>
  <c r="D41" i="2" s="1"/>
  <c r="E27" i="4" s="1"/>
  <c r="D40" i="2"/>
  <c r="E26" i="4" s="1"/>
  <c r="D43" i="3"/>
  <c r="D39" i="2" s="1"/>
  <c r="E25" i="4" s="1"/>
  <c r="D38" i="2"/>
  <c r="E24" i="4" s="1"/>
  <c r="F23" i="4"/>
  <c r="F131" i="3"/>
  <c r="F132" i="3" s="1"/>
  <c r="E131" i="3"/>
  <c r="E132" i="3" s="1"/>
  <c r="D132" i="3"/>
  <c r="M138" i="3"/>
  <c r="F123" i="3"/>
  <c r="E123" i="3"/>
  <c r="D123" i="3"/>
  <c r="L116" i="3"/>
  <c r="D36" i="3"/>
  <c r="F33" i="3"/>
  <c r="H33" i="3"/>
  <c r="F29" i="3"/>
  <c r="H15" i="3"/>
  <c r="H11" i="3"/>
  <c r="H10" i="3"/>
  <c r="H9" i="3"/>
  <c r="X53" i="2"/>
  <c r="X63" i="2"/>
  <c r="U63" i="2"/>
  <c r="T63" i="2"/>
  <c r="S63" i="2"/>
  <c r="K63" i="2"/>
  <c r="L63" i="2" s="1"/>
  <c r="X34" i="2"/>
  <c r="X48" i="2"/>
  <c r="U48" i="2"/>
  <c r="K48" i="2"/>
  <c r="L48" i="2"/>
  <c r="Z47" i="2"/>
  <c r="U47" i="2"/>
  <c r="K47" i="2"/>
  <c r="L47" i="2" s="1"/>
  <c r="Y46" i="2"/>
  <c r="H13" i="2"/>
  <c r="H14" i="2" s="1"/>
  <c r="H32" i="2"/>
  <c r="Y17" i="2"/>
  <c r="C4" i="6" s="1"/>
  <c r="H12" i="2"/>
  <c r="F17" i="3" l="1"/>
  <c r="H13" i="3"/>
  <c r="AW16" i="7"/>
  <c r="T66" i="2" s="1"/>
  <c r="Q66" i="2" s="1"/>
  <c r="J66" i="2" s="1"/>
  <c r="R66" i="2"/>
  <c r="D15" i="1"/>
  <c r="E32" i="5"/>
  <c r="E37" i="5"/>
  <c r="D20" i="1"/>
  <c r="C10" i="1"/>
  <c r="E12" i="5"/>
  <c r="F72" i="3"/>
  <c r="E45" i="3"/>
  <c r="C41" i="2" s="1"/>
  <c r="E10" i="4" s="1"/>
  <c r="C38" i="2"/>
  <c r="E7" i="4" s="1"/>
  <c r="D23" i="1"/>
  <c r="D24" i="1" s="1"/>
  <c r="H40" i="4"/>
  <c r="E34" i="5"/>
  <c r="D52" i="1"/>
  <c r="D50" i="1"/>
  <c r="D47" i="1"/>
  <c r="D42" i="1"/>
  <c r="E46" i="3"/>
  <c r="C42" i="2" s="1"/>
  <c r="E11" i="4" s="1"/>
  <c r="E44" i="3"/>
  <c r="AV30" i="7"/>
  <c r="R68" i="2" s="1"/>
  <c r="D44" i="1"/>
  <c r="D48" i="1"/>
  <c r="D45" i="1"/>
  <c r="D43" i="1"/>
  <c r="T65" i="2"/>
  <c r="Q65" i="2" s="1"/>
  <c r="J65" i="2" s="1"/>
  <c r="AV29" i="7"/>
  <c r="R67" i="2" s="1"/>
  <c r="F31" i="3"/>
  <c r="H29" i="3"/>
  <c r="E27" i="5"/>
  <c r="D10" i="1"/>
  <c r="D41" i="1" s="1"/>
  <c r="Y47" i="2"/>
  <c r="X47" i="2"/>
  <c r="Z46" i="2"/>
  <c r="Z63" i="2"/>
  <c r="Z65" i="2"/>
  <c r="Y63" i="2"/>
  <c r="E38" i="5"/>
  <c r="E48" i="5"/>
  <c r="D79" i="3"/>
  <c r="G73" i="3"/>
  <c r="E79" i="3" s="1"/>
  <c r="Z66" i="2"/>
  <c r="D18" i="1"/>
  <c r="D49" i="1" s="1"/>
  <c r="E10" i="1"/>
  <c r="E42" i="5"/>
  <c r="E49" i="3"/>
  <c r="C37" i="2" s="1"/>
  <c r="C40" i="2"/>
  <c r="AW30" i="7"/>
  <c r="S65" i="2"/>
  <c r="P65" i="2" s="1"/>
  <c r="AW29" i="7"/>
  <c r="D23" i="3"/>
  <c r="F23" i="3" s="1"/>
  <c r="H17" i="3"/>
  <c r="H33" i="2"/>
  <c r="H34" i="2" s="1"/>
  <c r="D80" i="3"/>
  <c r="G74" i="3"/>
  <c r="E80" i="3" s="1"/>
  <c r="E87" i="3" s="1"/>
  <c r="S66" i="2"/>
  <c r="P66" i="2" s="1"/>
  <c r="H23" i="4"/>
  <c r="C23" i="1"/>
  <c r="C24" i="1" s="1"/>
  <c r="C45" i="1" s="1"/>
  <c r="C42" i="1"/>
  <c r="E23" i="1"/>
  <c r="E24" i="1" s="1"/>
  <c r="E25" i="1" s="1"/>
  <c r="D81" i="3"/>
  <c r="G75" i="3"/>
  <c r="E81" i="3" s="1"/>
  <c r="R65" i="2"/>
  <c r="AR30" i="7"/>
  <c r="AR29" i="7"/>
  <c r="R46" i="2"/>
  <c r="AQ30" i="7"/>
  <c r="D51" i="1" l="1"/>
  <c r="O66" i="2"/>
  <c r="U66" i="2"/>
  <c r="O68" i="2"/>
  <c r="U68" i="2"/>
  <c r="D78" i="3"/>
  <c r="G72" i="3"/>
  <c r="E78" i="3" s="1"/>
  <c r="U67" i="2"/>
  <c r="O67" i="2"/>
  <c r="D46" i="1"/>
  <c r="O46" i="2"/>
  <c r="U46" i="2"/>
  <c r="G24" i="1"/>
  <c r="C25" i="1"/>
  <c r="D25" i="1"/>
  <c r="I66" i="2"/>
  <c r="Y66" i="2"/>
  <c r="E84" i="3"/>
  <c r="E91" i="3"/>
  <c r="D84" i="3"/>
  <c r="E103" i="3"/>
  <c r="C17" i="2" s="1"/>
  <c r="D91" i="3"/>
  <c r="D87" i="3"/>
  <c r="F103" i="3"/>
  <c r="E17" i="2" s="1"/>
  <c r="C25" i="2"/>
  <c r="E25" i="2"/>
  <c r="D25" i="2"/>
  <c r="D103" i="3"/>
  <c r="D17" i="2" s="1"/>
  <c r="E49" i="1"/>
  <c r="C41" i="1"/>
  <c r="T68" i="2"/>
  <c r="Q68" i="2" s="1"/>
  <c r="S68" i="2"/>
  <c r="P68" i="2" s="1"/>
  <c r="E52" i="1"/>
  <c r="E42" i="1"/>
  <c r="E50" i="1"/>
  <c r="C50" i="1"/>
  <c r="C47" i="1"/>
  <c r="C47" i="2"/>
  <c r="E16" i="4" s="1"/>
  <c r="C48" i="2"/>
  <c r="E17" i="4" s="1"/>
  <c r="E46" i="2"/>
  <c r="E49" i="4" s="1"/>
  <c r="E47" i="2"/>
  <c r="E50" i="4" s="1"/>
  <c r="D46" i="2"/>
  <c r="E32" i="4" s="1"/>
  <c r="D47" i="2"/>
  <c r="E33" i="4" s="1"/>
  <c r="I44" i="2"/>
  <c r="P44" i="2" s="1"/>
  <c r="H41" i="2"/>
  <c r="I40" i="2"/>
  <c r="P40" i="2" s="1"/>
  <c r="J39" i="2"/>
  <c r="Q39" i="2" s="1"/>
  <c r="J44" i="2"/>
  <c r="Q44" i="2" s="1"/>
  <c r="H42" i="2"/>
  <c r="I41" i="2"/>
  <c r="P41" i="2" s="1"/>
  <c r="J40" i="2"/>
  <c r="Q40" i="2" s="1"/>
  <c r="H38" i="2"/>
  <c r="I37" i="2"/>
  <c r="P37" i="2" s="1"/>
  <c r="J41" i="2"/>
  <c r="Q41" i="2" s="1"/>
  <c r="I38" i="2"/>
  <c r="P38" i="2" s="1"/>
  <c r="H44" i="2"/>
  <c r="J42" i="2"/>
  <c r="Q42" i="2" s="1"/>
  <c r="I39" i="2"/>
  <c r="P39" i="2" s="1"/>
  <c r="J37" i="2"/>
  <c r="Q37" i="2" s="1"/>
  <c r="I42" i="2"/>
  <c r="P42" i="2" s="1"/>
  <c r="H39" i="2"/>
  <c r="J38" i="2"/>
  <c r="Q38" i="2" s="1"/>
  <c r="C52" i="1"/>
  <c r="G52" i="1" s="1"/>
  <c r="C46" i="1"/>
  <c r="C48" i="1"/>
  <c r="E46" i="1"/>
  <c r="E43" i="1"/>
  <c r="E47" i="1"/>
  <c r="S49" i="2"/>
  <c r="P49" i="2" s="1"/>
  <c r="T49" i="2"/>
  <c r="Q49" i="2" s="1"/>
  <c r="R49" i="2"/>
  <c r="S48" i="2"/>
  <c r="P48" i="2" s="1"/>
  <c r="T48" i="2"/>
  <c r="Q48" i="2" s="1"/>
  <c r="E108" i="3"/>
  <c r="C29" i="2" s="1"/>
  <c r="E106" i="3"/>
  <c r="C27" i="2" s="1"/>
  <c r="D108" i="3"/>
  <c r="D29" i="2" s="1"/>
  <c r="C26" i="2"/>
  <c r="E107" i="3"/>
  <c r="C28" i="2" s="1"/>
  <c r="E26" i="2"/>
  <c r="F107" i="3"/>
  <c r="E28" i="2" s="1"/>
  <c r="F106" i="3"/>
  <c r="E27" i="2" s="1"/>
  <c r="F108" i="3"/>
  <c r="E29" i="2" s="1"/>
  <c r="D106" i="3"/>
  <c r="D27" i="2" s="1"/>
  <c r="D107" i="3"/>
  <c r="D28" i="2" s="1"/>
  <c r="D26" i="2"/>
  <c r="C49" i="1"/>
  <c r="G49" i="1" s="1"/>
  <c r="C44" i="1"/>
  <c r="F18" i="3"/>
  <c r="D54" i="3"/>
  <c r="F54" i="3"/>
  <c r="S67" i="2"/>
  <c r="P67" i="2" s="1"/>
  <c r="T67" i="2"/>
  <c r="Q67" i="2" s="1"/>
  <c r="E9" i="4"/>
  <c r="H40" i="2"/>
  <c r="E44" i="1"/>
  <c r="C43" i="1"/>
  <c r="G43" i="1" s="1"/>
  <c r="E45" i="1"/>
  <c r="G45" i="1" s="1"/>
  <c r="O65" i="2"/>
  <c r="U65" i="2"/>
  <c r="G42" i="1"/>
  <c r="C51" i="1"/>
  <c r="H52" i="2"/>
  <c r="H53" i="2" s="1"/>
  <c r="H23" i="3"/>
  <c r="F24" i="3" s="1"/>
  <c r="I65" i="2"/>
  <c r="Y65" i="2"/>
  <c r="E6" i="4"/>
  <c r="H6" i="4" s="1"/>
  <c r="F4" i="6" s="1"/>
  <c r="H37" i="2"/>
  <c r="E51" i="1"/>
  <c r="E41" i="1"/>
  <c r="E48" i="1"/>
  <c r="H68" i="2" l="1"/>
  <c r="K68" i="2" s="1"/>
  <c r="L68" i="2" s="1"/>
  <c r="X68" i="2"/>
  <c r="G46" i="1"/>
  <c r="G50" i="1"/>
  <c r="C23" i="2"/>
  <c r="D23" i="2"/>
  <c r="E23" i="2"/>
  <c r="H66" i="2"/>
  <c r="K66" i="2" s="1"/>
  <c r="L66" i="2" s="1"/>
  <c r="X66" i="2"/>
  <c r="H67" i="2"/>
  <c r="K67" i="2" s="1"/>
  <c r="L67" i="2" s="1"/>
  <c r="X67" i="2"/>
  <c r="C45" i="4"/>
  <c r="D9" i="6"/>
  <c r="Q29" i="4"/>
  <c r="C28" i="4"/>
  <c r="C11" i="4"/>
  <c r="C66" i="2"/>
  <c r="F16" i="4" s="1"/>
  <c r="C67" i="2"/>
  <c r="F17" i="4" s="1"/>
  <c r="E63" i="2"/>
  <c r="F47" i="4" s="1"/>
  <c r="H47" i="4" s="1"/>
  <c r="H56" i="2"/>
  <c r="D63" i="2"/>
  <c r="F30" i="4" s="1"/>
  <c r="H30" i="4" s="1"/>
  <c r="C63" i="2"/>
  <c r="F13" i="4" s="1"/>
  <c r="H13" i="4" s="1"/>
  <c r="F11" i="6" s="1"/>
  <c r="C68" i="2"/>
  <c r="F18" i="4" s="1"/>
  <c r="D65" i="2"/>
  <c r="F32" i="4" s="1"/>
  <c r="E66" i="2"/>
  <c r="F50" i="4" s="1"/>
  <c r="H50" i="4" s="1"/>
  <c r="D66" i="2"/>
  <c r="F33" i="4" s="1"/>
  <c r="E65" i="2"/>
  <c r="F49" i="4" s="1"/>
  <c r="H49" i="4" s="1"/>
  <c r="I56" i="2"/>
  <c r="P56" i="2" s="1"/>
  <c r="J56" i="2"/>
  <c r="Q56" i="2" s="1"/>
  <c r="I67" i="2"/>
  <c r="D67" i="2" s="1"/>
  <c r="F34" i="4" s="1"/>
  <c r="Y67" i="2"/>
  <c r="G44" i="1"/>
  <c r="D32" i="4"/>
  <c r="G32" i="4" s="1"/>
  <c r="I26" i="2"/>
  <c r="P26" i="2" s="1"/>
  <c r="S26" i="2" s="1"/>
  <c r="D50" i="4"/>
  <c r="J27" i="2"/>
  <c r="Q27" i="2" s="1"/>
  <c r="T27" i="2" s="1"/>
  <c r="D15" i="4"/>
  <c r="H26" i="2"/>
  <c r="J48" i="2"/>
  <c r="E48" i="2" s="1"/>
  <c r="E51" i="4" s="1"/>
  <c r="Z48" i="2"/>
  <c r="I49" i="2"/>
  <c r="D49" i="2" s="1"/>
  <c r="E35" i="4" s="1"/>
  <c r="Y49" i="2"/>
  <c r="G48" i="1"/>
  <c r="K39" i="2"/>
  <c r="L39" i="2" s="1"/>
  <c r="O39" i="2"/>
  <c r="Z42" i="2"/>
  <c r="T42" i="2"/>
  <c r="S37" i="2"/>
  <c r="Y37" i="2"/>
  <c r="K42" i="2"/>
  <c r="L42" i="2" s="1"/>
  <c r="O42" i="2"/>
  <c r="O41" i="2"/>
  <c r="K41" i="2"/>
  <c r="L41" i="2" s="1"/>
  <c r="H33" i="4"/>
  <c r="D14" i="6"/>
  <c r="C50" i="4"/>
  <c r="C33" i="4"/>
  <c r="Q34" i="4"/>
  <c r="C16" i="4"/>
  <c r="G41" i="1"/>
  <c r="D48" i="4"/>
  <c r="J25" i="2"/>
  <c r="Q25" i="2" s="1"/>
  <c r="T25" i="2" s="1"/>
  <c r="D94" i="3"/>
  <c r="E94" i="3" s="1"/>
  <c r="C36" i="1"/>
  <c r="E66" i="5" s="1"/>
  <c r="F66" i="5" s="1"/>
  <c r="C32" i="1"/>
  <c r="E62" i="5" s="1"/>
  <c r="F62" i="5" s="1"/>
  <c r="C28" i="1"/>
  <c r="E58" i="5" s="1"/>
  <c r="F58" i="5" s="1"/>
  <c r="C27" i="1"/>
  <c r="E57" i="5" s="1"/>
  <c r="F57" i="5" s="1"/>
  <c r="C35" i="1"/>
  <c r="E65" i="5" s="1"/>
  <c r="F65" i="5" s="1"/>
  <c r="C33" i="1"/>
  <c r="E63" i="5" s="1"/>
  <c r="F63" i="5" s="1"/>
  <c r="C34" i="1"/>
  <c r="E64" i="5" s="1"/>
  <c r="F64" i="5" s="1"/>
  <c r="C29" i="1"/>
  <c r="E59" i="5" s="1"/>
  <c r="F59" i="5" s="1"/>
  <c r="C38" i="1"/>
  <c r="E68" i="5" s="1"/>
  <c r="F68" i="5" s="1"/>
  <c r="C31" i="1"/>
  <c r="E61" i="5" s="1"/>
  <c r="F61" i="5" s="1"/>
  <c r="C30" i="1"/>
  <c r="E60" i="5" s="1"/>
  <c r="F60" i="5" s="1"/>
  <c r="C37" i="1"/>
  <c r="E67" i="5" s="1"/>
  <c r="F67" i="5" s="1"/>
  <c r="G51" i="1"/>
  <c r="H65" i="2"/>
  <c r="K65" i="2" s="1"/>
  <c r="L65" i="2" s="1"/>
  <c r="X65" i="2"/>
  <c r="O40" i="2"/>
  <c r="K40" i="2"/>
  <c r="L40" i="2" s="1"/>
  <c r="F58" i="3"/>
  <c r="F59" i="3"/>
  <c r="F60" i="3" s="1"/>
  <c r="F56" i="3"/>
  <c r="F63" i="3" s="1"/>
  <c r="F64" i="3" s="1"/>
  <c r="F57" i="3"/>
  <c r="F55" i="3"/>
  <c r="D34" i="4"/>
  <c r="I28" i="2"/>
  <c r="P28" i="2" s="1"/>
  <c r="S28" i="2" s="1"/>
  <c r="J28" i="2"/>
  <c r="Q28" i="2" s="1"/>
  <c r="T28" i="2" s="1"/>
  <c r="D51" i="4"/>
  <c r="I29" i="2"/>
  <c r="P29" i="2" s="1"/>
  <c r="S29" i="2" s="1"/>
  <c r="D35" i="4"/>
  <c r="I48" i="2"/>
  <c r="D48" i="2" s="1"/>
  <c r="E34" i="4" s="1"/>
  <c r="Y48" i="2"/>
  <c r="D10" i="6"/>
  <c r="C12" i="4"/>
  <c r="Q30" i="4"/>
  <c r="C29" i="4"/>
  <c r="C46" i="4"/>
  <c r="Y42" i="2"/>
  <c r="S42" i="2"/>
  <c r="O44" i="2"/>
  <c r="K44" i="2"/>
  <c r="L44" i="2" s="1"/>
  <c r="K38" i="2"/>
  <c r="L38" i="2" s="1"/>
  <c r="O38" i="2"/>
  <c r="T44" i="2"/>
  <c r="Z44" i="2"/>
  <c r="S44" i="2"/>
  <c r="Y44" i="2"/>
  <c r="H32" i="4"/>
  <c r="D14" i="4"/>
  <c r="H25" i="2"/>
  <c r="H17" i="2"/>
  <c r="D6" i="4"/>
  <c r="G6" i="4" s="1"/>
  <c r="D56" i="3"/>
  <c r="D63" i="3" s="1"/>
  <c r="D64" i="3" s="1"/>
  <c r="D55" i="3"/>
  <c r="D57" i="3"/>
  <c r="D59" i="3"/>
  <c r="D60" i="3" s="1"/>
  <c r="D58" i="3"/>
  <c r="I27" i="2"/>
  <c r="P27" i="2" s="1"/>
  <c r="S27" i="2" s="1"/>
  <c r="D33" i="4"/>
  <c r="G33" i="4" s="1"/>
  <c r="D49" i="4"/>
  <c r="G49" i="4" s="1"/>
  <c r="J26" i="2"/>
  <c r="Q26" i="2" s="1"/>
  <c r="T26" i="2" s="1"/>
  <c r="D16" i="4"/>
  <c r="G16" i="4" s="1"/>
  <c r="H27" i="2"/>
  <c r="O49" i="2"/>
  <c r="U49" i="2"/>
  <c r="D16" i="6"/>
  <c r="C52" i="4"/>
  <c r="Q36" i="4"/>
  <c r="C18" i="4"/>
  <c r="C35" i="4"/>
  <c r="Z37" i="2"/>
  <c r="T37" i="2"/>
  <c r="Y38" i="2"/>
  <c r="S38" i="2"/>
  <c r="T40" i="2"/>
  <c r="Z40" i="2"/>
  <c r="Z39" i="2"/>
  <c r="T39" i="2"/>
  <c r="H17" i="4"/>
  <c r="F15" i="6" s="1"/>
  <c r="G47" i="1"/>
  <c r="I68" i="2"/>
  <c r="D68" i="2" s="1"/>
  <c r="F35" i="4" s="1"/>
  <c r="Y68" i="2"/>
  <c r="D23" i="4"/>
  <c r="G23" i="4" s="1"/>
  <c r="I17" i="2"/>
  <c r="P17" i="2" s="1"/>
  <c r="S17" i="2" s="1"/>
  <c r="D40" i="4"/>
  <c r="G40" i="4" s="1"/>
  <c r="J17" i="2"/>
  <c r="Q17" i="2" s="1"/>
  <c r="T17" i="2" s="1"/>
  <c r="C24" i="2"/>
  <c r="G84" i="3"/>
  <c r="D24" i="2"/>
  <c r="E24" i="2"/>
  <c r="C8" i="4"/>
  <c r="D6" i="6"/>
  <c r="Q26" i="4"/>
  <c r="C42" i="4"/>
  <c r="C25" i="4"/>
  <c r="O37" i="2"/>
  <c r="K37" i="2"/>
  <c r="L37" i="2" s="1"/>
  <c r="E129" i="3"/>
  <c r="C62" i="2" s="1"/>
  <c r="E127" i="3"/>
  <c r="C64" i="2" s="1"/>
  <c r="F115" i="3"/>
  <c r="D127" i="3"/>
  <c r="D64" i="2" s="1"/>
  <c r="E125" i="3"/>
  <c r="D129" i="3"/>
  <c r="D62" i="2" s="1"/>
  <c r="F129" i="3"/>
  <c r="E62" i="2" s="1"/>
  <c r="F127" i="3"/>
  <c r="E64" i="2" s="1"/>
  <c r="D125" i="3"/>
  <c r="F125" i="3"/>
  <c r="D115" i="3"/>
  <c r="E115" i="3"/>
  <c r="D7" i="6"/>
  <c r="Q27" i="4"/>
  <c r="C9" i="4"/>
  <c r="C43" i="4"/>
  <c r="C26" i="4"/>
  <c r="J67" i="2"/>
  <c r="E67" i="2" s="1"/>
  <c r="F51" i="4" s="1"/>
  <c r="Z67" i="2"/>
  <c r="E50" i="3"/>
  <c r="C43" i="2" s="1"/>
  <c r="D50" i="3"/>
  <c r="D43" i="2" s="1"/>
  <c r="F50" i="3"/>
  <c r="E43" i="2" s="1"/>
  <c r="E54" i="3"/>
  <c r="E48" i="3"/>
  <c r="C45" i="2" s="1"/>
  <c r="F48" i="3"/>
  <c r="E45" i="2" s="1"/>
  <c r="D48" i="3"/>
  <c r="D45" i="2" s="1"/>
  <c r="D13" i="6"/>
  <c r="E13" i="6" s="1"/>
  <c r="C15" i="4"/>
  <c r="C49" i="4"/>
  <c r="C32" i="4"/>
  <c r="Q33" i="4"/>
  <c r="D52" i="4"/>
  <c r="J29" i="2"/>
  <c r="Q29" i="2" s="1"/>
  <c r="T29" i="2" s="1"/>
  <c r="D17" i="4"/>
  <c r="G17" i="4" s="1"/>
  <c r="H28" i="2"/>
  <c r="D18" i="4"/>
  <c r="H29" i="2"/>
  <c r="J49" i="2"/>
  <c r="E49" i="2" s="1"/>
  <c r="E52" i="4" s="1"/>
  <c r="Z49" i="2"/>
  <c r="Z38" i="2"/>
  <c r="T38" i="2"/>
  <c r="S39" i="2"/>
  <c r="Y39" i="2"/>
  <c r="Z41" i="2"/>
  <c r="T41" i="2"/>
  <c r="Y41" i="2"/>
  <c r="S41" i="2"/>
  <c r="S40" i="2"/>
  <c r="Y40" i="2"/>
  <c r="H16" i="4"/>
  <c r="F14" i="6" s="1"/>
  <c r="J68" i="2"/>
  <c r="E68" i="2" s="1"/>
  <c r="F52" i="4" s="1"/>
  <c r="Z68" i="2"/>
  <c r="D31" i="4"/>
  <c r="I25" i="2"/>
  <c r="P25" i="2" s="1"/>
  <c r="S25" i="2" s="1"/>
  <c r="H46" i="2"/>
  <c r="X46" i="2"/>
  <c r="J23" i="2" l="1"/>
  <c r="Q23" i="2" s="1"/>
  <c r="T23" i="2" s="1"/>
  <c r="D46" i="4"/>
  <c r="I23" i="2"/>
  <c r="P23" i="2" s="1"/>
  <c r="S23" i="2" s="1"/>
  <c r="D29" i="4"/>
  <c r="H23" i="2"/>
  <c r="D12" i="4"/>
  <c r="E10" i="6" s="1"/>
  <c r="I45" i="2"/>
  <c r="P45" i="2" s="1"/>
  <c r="E31" i="4"/>
  <c r="I62" i="2"/>
  <c r="P62" i="2" s="1"/>
  <c r="F29" i="4"/>
  <c r="D13" i="4"/>
  <c r="G13" i="4" s="1"/>
  <c r="H24" i="2"/>
  <c r="K12" i="4"/>
  <c r="U12" i="4"/>
  <c r="M12" i="4"/>
  <c r="L12" i="4"/>
  <c r="W12" i="4"/>
  <c r="G35" i="4"/>
  <c r="X40" i="2"/>
  <c r="R40" i="2"/>
  <c r="U40" i="2" s="1"/>
  <c r="O26" i="2"/>
  <c r="R26" i="2" s="1"/>
  <c r="U26" i="2" s="1"/>
  <c r="K26" i="2"/>
  <c r="L26" i="2" s="1"/>
  <c r="E46" i="4"/>
  <c r="J43" i="2"/>
  <c r="Q43" i="2" s="1"/>
  <c r="C30" i="4"/>
  <c r="Q31" i="4"/>
  <c r="C13" i="4"/>
  <c r="D11" i="6"/>
  <c r="E11" i="6" s="1"/>
  <c r="G11" i="6" s="1"/>
  <c r="C47" i="4"/>
  <c r="E48" i="4"/>
  <c r="J45" i="2"/>
  <c r="Q45" i="2" s="1"/>
  <c r="E29" i="4"/>
  <c r="I43" i="2"/>
  <c r="P43" i="2" s="1"/>
  <c r="F12" i="4"/>
  <c r="H62" i="2"/>
  <c r="D47" i="4"/>
  <c r="G47" i="4" s="1"/>
  <c r="J24" i="2"/>
  <c r="Q24" i="2" s="1"/>
  <c r="T24" i="2" s="1"/>
  <c r="O27" i="2"/>
  <c r="R27" i="2" s="1"/>
  <c r="U27" i="2" s="1"/>
  <c r="K27" i="2"/>
  <c r="L27" i="2" s="1"/>
  <c r="G34" i="4"/>
  <c r="C40" i="4"/>
  <c r="D4" i="6"/>
  <c r="E4" i="6" s="1"/>
  <c r="G4" i="6" s="1"/>
  <c r="Q24" i="4"/>
  <c r="Q39" i="4" s="1"/>
  <c r="C6" i="4"/>
  <c r="C23" i="4"/>
  <c r="X39" i="2"/>
  <c r="R39" i="2"/>
  <c r="U39" i="2" s="1"/>
  <c r="H35" i="4"/>
  <c r="Z56" i="2"/>
  <c r="T56" i="2"/>
  <c r="Q44" i="4"/>
  <c r="Q42" i="4"/>
  <c r="F14" i="4"/>
  <c r="H64" i="2"/>
  <c r="H49" i="2"/>
  <c r="X49" i="2"/>
  <c r="O29" i="2"/>
  <c r="R29" i="2" s="1"/>
  <c r="U29" i="2" s="1"/>
  <c r="K29" i="2"/>
  <c r="L29" i="2" s="1"/>
  <c r="G52" i="4"/>
  <c r="W15" i="4"/>
  <c r="P15" i="4"/>
  <c r="V15" i="4"/>
  <c r="M15" i="4"/>
  <c r="U15" i="4"/>
  <c r="L15" i="4"/>
  <c r="R15" i="4"/>
  <c r="K15" i="4"/>
  <c r="E14" i="4"/>
  <c r="H45" i="2"/>
  <c r="H43" i="2"/>
  <c r="E12" i="4"/>
  <c r="E118" i="3"/>
  <c r="C58" i="2" s="1"/>
  <c r="C57" i="2"/>
  <c r="E120" i="3"/>
  <c r="C60" i="2" s="1"/>
  <c r="E121" i="3"/>
  <c r="C61" i="2" s="1"/>
  <c r="E119" i="3"/>
  <c r="C59" i="2" s="1"/>
  <c r="F48" i="4"/>
  <c r="J64" i="2"/>
  <c r="Q64" i="2" s="1"/>
  <c r="F31" i="4"/>
  <c r="G31" i="4" s="1"/>
  <c r="I64" i="2"/>
  <c r="P64" i="2" s="1"/>
  <c r="Q41" i="4"/>
  <c r="D30" i="4"/>
  <c r="G30" i="4" s="1"/>
  <c r="I24" i="2"/>
  <c r="P24" i="2" s="1"/>
  <c r="S24" i="2" s="1"/>
  <c r="E16" i="6"/>
  <c r="O17" i="2"/>
  <c r="R17" i="2" s="1"/>
  <c r="U17" i="2" s="1"/>
  <c r="K17" i="2"/>
  <c r="L17" i="2" s="1"/>
  <c r="X44" i="2"/>
  <c r="R44" i="2"/>
  <c r="U44" i="2" s="1"/>
  <c r="G51" i="4"/>
  <c r="E99" i="3"/>
  <c r="C21" i="2" s="1"/>
  <c r="C18" i="2"/>
  <c r="E100" i="3"/>
  <c r="C22" i="2" s="1"/>
  <c r="E97" i="3"/>
  <c r="C19" i="2" s="1"/>
  <c r="F100" i="3"/>
  <c r="E22" i="2" s="1"/>
  <c r="F99" i="3"/>
  <c r="E21" i="2" s="1"/>
  <c r="E18" i="2"/>
  <c r="E98" i="3"/>
  <c r="C20" i="2" s="1"/>
  <c r="F98" i="3"/>
  <c r="E20" i="2" s="1"/>
  <c r="D98" i="3"/>
  <c r="D20" i="2" s="1"/>
  <c r="D99" i="3"/>
  <c r="D21" i="2" s="1"/>
  <c r="D97" i="3"/>
  <c r="D19" i="2" s="1"/>
  <c r="D18" i="2"/>
  <c r="D100" i="3"/>
  <c r="D22" i="2" s="1"/>
  <c r="F97" i="3"/>
  <c r="E19" i="2" s="1"/>
  <c r="U16" i="4"/>
  <c r="R16" i="4"/>
  <c r="M16" i="4"/>
  <c r="W16" i="4"/>
  <c r="L16" i="4"/>
  <c r="K16" i="4"/>
  <c r="V16" i="4"/>
  <c r="Q16" i="4"/>
  <c r="E14" i="6"/>
  <c r="G14" i="6" s="1"/>
  <c r="X41" i="2"/>
  <c r="R41" i="2"/>
  <c r="U41" i="2" s="1"/>
  <c r="D8" i="6"/>
  <c r="C44" i="4"/>
  <c r="C10" i="4"/>
  <c r="Q28" i="4"/>
  <c r="Q43" i="4" s="1"/>
  <c r="C27" i="4"/>
  <c r="Y56" i="2"/>
  <c r="S56" i="2"/>
  <c r="O56" i="2"/>
  <c r="K56" i="2"/>
  <c r="L56" i="2" s="1"/>
  <c r="C65" i="2"/>
  <c r="F15" i="4" s="1"/>
  <c r="H52" i="4"/>
  <c r="K46" i="2"/>
  <c r="L46" i="2" s="1"/>
  <c r="C46" i="2"/>
  <c r="E15" i="4" s="1"/>
  <c r="H15" i="4" s="1"/>
  <c r="F13" i="6" s="1"/>
  <c r="G13" i="6" s="1"/>
  <c r="O28" i="2"/>
  <c r="R28" i="2" s="1"/>
  <c r="U28" i="2" s="1"/>
  <c r="K28" i="2"/>
  <c r="L28" i="2" s="1"/>
  <c r="Q48" i="4"/>
  <c r="E57" i="3"/>
  <c r="E58" i="3"/>
  <c r="E59" i="3"/>
  <c r="E60" i="3" s="1"/>
  <c r="E55" i="3"/>
  <c r="E56" i="3"/>
  <c r="E63" i="3" s="1"/>
  <c r="E64" i="3" s="1"/>
  <c r="D120" i="3"/>
  <c r="D60" i="2" s="1"/>
  <c r="D57" i="2"/>
  <c r="D121" i="3"/>
  <c r="D61" i="2" s="1"/>
  <c r="D119" i="3"/>
  <c r="D59" i="2" s="1"/>
  <c r="D118" i="3"/>
  <c r="D58" i="2" s="1"/>
  <c r="J62" i="2"/>
  <c r="Q62" i="2" s="1"/>
  <c r="F46" i="4"/>
  <c r="F118" i="3"/>
  <c r="E58" i="2" s="1"/>
  <c r="F121" i="3"/>
  <c r="E61" i="2" s="1"/>
  <c r="F119" i="3"/>
  <c r="E59" i="2" s="1"/>
  <c r="F120" i="3"/>
  <c r="E60" i="2" s="1"/>
  <c r="E57" i="2"/>
  <c r="R37" i="2"/>
  <c r="U37" i="2" s="1"/>
  <c r="X37" i="2"/>
  <c r="W18" i="4"/>
  <c r="L18" i="4"/>
  <c r="V18" i="4"/>
  <c r="K18" i="4"/>
  <c r="U18" i="4"/>
  <c r="P18" i="4"/>
  <c r="R18" i="4"/>
  <c r="M18" i="4"/>
  <c r="O25" i="2"/>
  <c r="R25" i="2" s="1"/>
  <c r="U25" i="2" s="1"/>
  <c r="K25" i="2"/>
  <c r="L25" i="2" s="1"/>
  <c r="R38" i="2"/>
  <c r="U38" i="2" s="1"/>
  <c r="X38" i="2"/>
  <c r="Q45" i="4"/>
  <c r="H34" i="4"/>
  <c r="D15" i="6"/>
  <c r="E15" i="6" s="1"/>
  <c r="G15" i="6" s="1"/>
  <c r="Q35" i="4"/>
  <c r="Q50" i="4" s="1"/>
  <c r="C51" i="4"/>
  <c r="C34" i="4"/>
  <c r="C17" i="4"/>
  <c r="Q49" i="4"/>
  <c r="R42" i="2"/>
  <c r="U42" i="2" s="1"/>
  <c r="X42" i="2"/>
  <c r="D12" i="6"/>
  <c r="E12" i="6" s="1"/>
  <c r="C31" i="4"/>
  <c r="Q32" i="4"/>
  <c r="Q47" i="4" s="1"/>
  <c r="C48" i="4"/>
  <c r="C14" i="4"/>
  <c r="H51" i="4"/>
  <c r="G50" i="4"/>
  <c r="P16" i="4" s="1"/>
  <c r="Q51" i="4" l="1"/>
  <c r="O23" i="2"/>
  <c r="R23" i="2" s="1"/>
  <c r="U23" i="2" s="1"/>
  <c r="K23" i="2"/>
  <c r="L23" i="2" s="1"/>
  <c r="V12" i="4"/>
  <c r="N11" i="6"/>
  <c r="M11" i="6"/>
  <c r="P11" i="6"/>
  <c r="I11" i="6"/>
  <c r="I30" i="6" s="1"/>
  <c r="J11" i="6"/>
  <c r="K11" i="6"/>
  <c r="L11" i="6"/>
  <c r="L30" i="6" s="1"/>
  <c r="O11" i="6"/>
  <c r="O30" i="6" s="1"/>
  <c r="I15" i="6"/>
  <c r="N15" i="6"/>
  <c r="M15" i="6"/>
  <c r="J15" i="6"/>
  <c r="P15" i="6"/>
  <c r="K15" i="6"/>
  <c r="L15" i="6"/>
  <c r="O15" i="6"/>
  <c r="I19" i="2"/>
  <c r="P19" i="2" s="1"/>
  <c r="S19" i="2" s="1"/>
  <c r="D25" i="4"/>
  <c r="H20" i="2"/>
  <c r="D9" i="4"/>
  <c r="D8" i="4"/>
  <c r="H19" i="2"/>
  <c r="F7" i="4"/>
  <c r="H7" i="4" s="1"/>
  <c r="F5" i="6" s="1"/>
  <c r="H57" i="2"/>
  <c r="O45" i="2"/>
  <c r="K45" i="2"/>
  <c r="L45" i="2" s="1"/>
  <c r="K49" i="2"/>
  <c r="L49" i="2" s="1"/>
  <c r="C49" i="2"/>
  <c r="E18" i="4" s="1"/>
  <c r="L6" i="4"/>
  <c r="V6" i="4"/>
  <c r="W6" i="4"/>
  <c r="P6" i="4"/>
  <c r="U6" i="4"/>
  <c r="M6" i="4"/>
  <c r="R6" i="4"/>
  <c r="K6" i="4"/>
  <c r="Q6" i="4"/>
  <c r="H48" i="4"/>
  <c r="P13" i="4"/>
  <c r="U13" i="4"/>
  <c r="R13" i="4"/>
  <c r="Q13" i="4"/>
  <c r="M13" i="4"/>
  <c r="V13" i="4"/>
  <c r="L13" i="4"/>
  <c r="W13" i="4"/>
  <c r="K13" i="4"/>
  <c r="S62" i="2"/>
  <c r="Y62" i="2"/>
  <c r="R14" i="4"/>
  <c r="M14" i="4"/>
  <c r="W14" i="4"/>
  <c r="L14" i="4"/>
  <c r="V14" i="4"/>
  <c r="K14" i="4"/>
  <c r="U14" i="4"/>
  <c r="V17" i="4"/>
  <c r="Q17" i="4"/>
  <c r="K17" i="4"/>
  <c r="U17" i="4"/>
  <c r="P17" i="4"/>
  <c r="R17" i="4"/>
  <c r="M17" i="4"/>
  <c r="L17" i="4"/>
  <c r="W17" i="4"/>
  <c r="F28" i="4"/>
  <c r="H28" i="4" s="1"/>
  <c r="I61" i="2"/>
  <c r="P61" i="2" s="1"/>
  <c r="F43" i="4"/>
  <c r="H43" i="4" s="1"/>
  <c r="J59" i="2"/>
  <c r="Q59" i="2" s="1"/>
  <c r="Z62" i="2"/>
  <c r="T62" i="2"/>
  <c r="I57" i="2"/>
  <c r="P57" i="2" s="1"/>
  <c r="F24" i="4"/>
  <c r="H24" i="4" s="1"/>
  <c r="R56" i="2"/>
  <c r="U56" i="2" s="1"/>
  <c r="X56" i="2"/>
  <c r="D42" i="4"/>
  <c r="J19" i="2"/>
  <c r="Q19" i="2" s="1"/>
  <c r="T19" i="2" s="1"/>
  <c r="D27" i="4"/>
  <c r="I21" i="2"/>
  <c r="P21" i="2" s="1"/>
  <c r="S21" i="2" s="1"/>
  <c r="D41" i="4"/>
  <c r="J18" i="2"/>
  <c r="Q18" i="2" s="1"/>
  <c r="T18" i="2" s="1"/>
  <c r="D11" i="4"/>
  <c r="H22" i="2"/>
  <c r="Y64" i="2"/>
  <c r="S64" i="2"/>
  <c r="F9" i="4"/>
  <c r="H9" i="4" s="1"/>
  <c r="F7" i="6" s="1"/>
  <c r="H59" i="2"/>
  <c r="F8" i="4"/>
  <c r="H8" i="4" s="1"/>
  <c r="F6" i="6" s="1"/>
  <c r="H58" i="2"/>
  <c r="H14" i="4"/>
  <c r="F12" i="6" s="1"/>
  <c r="G12" i="6" s="1"/>
  <c r="O64" i="2"/>
  <c r="K64" i="2"/>
  <c r="L64" i="2" s="1"/>
  <c r="Y43" i="2"/>
  <c r="S43" i="2"/>
  <c r="Q46" i="4"/>
  <c r="T43" i="2"/>
  <c r="Z43" i="2"/>
  <c r="K24" i="2"/>
  <c r="L24" i="2" s="1"/>
  <c r="O24" i="2"/>
  <c r="R24" i="2" s="1"/>
  <c r="U24" i="2" s="1"/>
  <c r="H31" i="4"/>
  <c r="F44" i="4"/>
  <c r="H44" i="4" s="1"/>
  <c r="J60" i="2"/>
  <c r="Q60" i="2" s="1"/>
  <c r="F45" i="4"/>
  <c r="H45" i="4" s="1"/>
  <c r="J61" i="2"/>
  <c r="Q61" i="2" s="1"/>
  <c r="F25" i="4"/>
  <c r="H25" i="4" s="1"/>
  <c r="I58" i="2"/>
  <c r="P58" i="2" s="1"/>
  <c r="F27" i="4"/>
  <c r="H27" i="4" s="1"/>
  <c r="I60" i="2"/>
  <c r="P60" i="2" s="1"/>
  <c r="W10" i="4"/>
  <c r="M10" i="4"/>
  <c r="D28" i="4"/>
  <c r="I22" i="2"/>
  <c r="P22" i="2" s="1"/>
  <c r="S22" i="2" s="1"/>
  <c r="D26" i="4"/>
  <c r="I20" i="2"/>
  <c r="P20" i="2" s="1"/>
  <c r="S20" i="2" s="1"/>
  <c r="D44" i="4"/>
  <c r="G44" i="4" s="1"/>
  <c r="P10" i="4" s="1"/>
  <c r="J21" i="2"/>
  <c r="Q21" i="2" s="1"/>
  <c r="T21" i="2" s="1"/>
  <c r="D7" i="4"/>
  <c r="H18" i="2"/>
  <c r="F11" i="4"/>
  <c r="H11" i="4" s="1"/>
  <c r="F9" i="6" s="1"/>
  <c r="H61" i="2"/>
  <c r="H12" i="4"/>
  <c r="F10" i="6" s="1"/>
  <c r="G10" i="6" s="1"/>
  <c r="G12" i="4"/>
  <c r="Q12" i="4" s="1"/>
  <c r="O4" i="6"/>
  <c r="N4" i="6"/>
  <c r="P4" i="6"/>
  <c r="J4" i="6"/>
  <c r="K4" i="6"/>
  <c r="I4" i="6"/>
  <c r="I23" i="6" s="1"/>
  <c r="M4" i="6"/>
  <c r="L4" i="6"/>
  <c r="O62" i="2"/>
  <c r="K62" i="2"/>
  <c r="L62" i="2" s="1"/>
  <c r="G29" i="4"/>
  <c r="R12" i="4" s="1"/>
  <c r="H29" i="4"/>
  <c r="H46" i="4"/>
  <c r="G46" i="4"/>
  <c r="P12" i="4" s="1"/>
  <c r="G48" i="4"/>
  <c r="P14" i="4" s="1"/>
  <c r="Y45" i="2"/>
  <c r="S45" i="2"/>
  <c r="F41" i="4"/>
  <c r="H41" i="4" s="1"/>
  <c r="J57" i="2"/>
  <c r="Q57" i="2" s="1"/>
  <c r="F42" i="4"/>
  <c r="H42" i="4" s="1"/>
  <c r="J58" i="2"/>
  <c r="Q58" i="2" s="1"/>
  <c r="I59" i="2"/>
  <c r="P59" i="2" s="1"/>
  <c r="F26" i="4"/>
  <c r="H26" i="4" s="1"/>
  <c r="P13" i="6"/>
  <c r="J13" i="6"/>
  <c r="N13" i="6"/>
  <c r="K13" i="6"/>
  <c r="O13" i="6"/>
  <c r="L13" i="6"/>
  <c r="I13" i="6"/>
  <c r="I32" i="6" s="1"/>
  <c r="M13" i="6"/>
  <c r="D24" i="4"/>
  <c r="G24" i="4" s="1"/>
  <c r="I18" i="2"/>
  <c r="P18" i="2" s="1"/>
  <c r="S18" i="2" s="1"/>
  <c r="D43" i="4"/>
  <c r="J20" i="2"/>
  <c r="Q20" i="2" s="1"/>
  <c r="T20" i="2" s="1"/>
  <c r="D45" i="4"/>
  <c r="J22" i="2"/>
  <c r="Q22" i="2" s="1"/>
  <c r="T22" i="2" s="1"/>
  <c r="D10" i="4"/>
  <c r="H21" i="2"/>
  <c r="Z64" i="2"/>
  <c r="T64" i="2"/>
  <c r="F10" i="4"/>
  <c r="H10" i="4" s="1"/>
  <c r="F8" i="6" s="1"/>
  <c r="H60" i="2"/>
  <c r="O43" i="2"/>
  <c r="K43" i="2"/>
  <c r="L43" i="2" s="1"/>
  <c r="G15" i="4"/>
  <c r="Q15" i="4" s="1"/>
  <c r="T45" i="2"/>
  <c r="Z45" i="2"/>
  <c r="G14" i="4"/>
  <c r="Q14" i="4" s="1"/>
  <c r="G10" i="4" l="1"/>
  <c r="Q10" i="4" s="1"/>
  <c r="J30" i="6"/>
  <c r="N30" i="6"/>
  <c r="L32" i="6"/>
  <c r="J32" i="6"/>
  <c r="Z58" i="2"/>
  <c r="T58" i="2"/>
  <c r="X62" i="2"/>
  <c r="R62" i="2"/>
  <c r="U62" i="2" s="1"/>
  <c r="K23" i="6"/>
  <c r="O23" i="6"/>
  <c r="G28" i="4"/>
  <c r="R11" i="4" s="1"/>
  <c r="W11" i="4"/>
  <c r="M11" i="4"/>
  <c r="L10" i="4"/>
  <c r="K58" i="2"/>
  <c r="L58" i="2" s="1"/>
  <c r="O58" i="2"/>
  <c r="T59" i="2"/>
  <c r="Z59" i="2"/>
  <c r="O20" i="2"/>
  <c r="R20" i="2" s="1"/>
  <c r="U20" i="2" s="1"/>
  <c r="K20" i="2"/>
  <c r="L20" i="2" s="1"/>
  <c r="R43" i="2"/>
  <c r="U43" i="2" s="1"/>
  <c r="X43" i="2"/>
  <c r="G45" i="4"/>
  <c r="P11" i="4" s="1"/>
  <c r="K11" i="4"/>
  <c r="O32" i="6"/>
  <c r="P32" i="6"/>
  <c r="L23" i="6"/>
  <c r="J23" i="6"/>
  <c r="O18" i="2"/>
  <c r="R18" i="2" s="1"/>
  <c r="U18" i="2" s="1"/>
  <c r="K18" i="2"/>
  <c r="L18" i="2" s="1"/>
  <c r="K10" i="4"/>
  <c r="V10" i="4"/>
  <c r="S60" i="2"/>
  <c r="Y60" i="2"/>
  <c r="Z61" i="2"/>
  <c r="T61" i="2"/>
  <c r="G41" i="4"/>
  <c r="G42" i="4"/>
  <c r="P8" i="4" s="1"/>
  <c r="K8" i="4"/>
  <c r="Y57" i="2"/>
  <c r="S57" i="2"/>
  <c r="O19" i="2"/>
  <c r="R19" i="2" s="1"/>
  <c r="U19" i="2" s="1"/>
  <c r="K19" i="2"/>
  <c r="L19" i="2" s="1"/>
  <c r="G25" i="4"/>
  <c r="R8" i="4" s="1"/>
  <c r="M8" i="4"/>
  <c r="P30" i="6"/>
  <c r="O60" i="2"/>
  <c r="K60" i="2"/>
  <c r="L60" i="2" s="1"/>
  <c r="O21" i="2"/>
  <c r="R21" i="2" s="1"/>
  <c r="U21" i="2" s="1"/>
  <c r="K21" i="2"/>
  <c r="L21" i="2" s="1"/>
  <c r="M32" i="6"/>
  <c r="K32" i="6"/>
  <c r="Z57" i="2"/>
  <c r="T57" i="2"/>
  <c r="M23" i="6"/>
  <c r="P23" i="6"/>
  <c r="L10" i="6"/>
  <c r="N10" i="6"/>
  <c r="P10" i="6"/>
  <c r="K10" i="6"/>
  <c r="O10" i="6"/>
  <c r="M10" i="6"/>
  <c r="I10" i="6"/>
  <c r="I29" i="6" s="1"/>
  <c r="J10" i="6"/>
  <c r="E5" i="6"/>
  <c r="G5" i="6" s="1"/>
  <c r="G7" i="4"/>
  <c r="G26" i="4"/>
  <c r="R9" i="4" s="1"/>
  <c r="M9" i="4"/>
  <c r="W9" i="4"/>
  <c r="X64" i="2"/>
  <c r="R64" i="2"/>
  <c r="U64" i="2" s="1"/>
  <c r="O59" i="2"/>
  <c r="K59" i="2"/>
  <c r="L59" i="2" s="1"/>
  <c r="O22" i="2"/>
  <c r="R22" i="2" s="1"/>
  <c r="U22" i="2" s="1"/>
  <c r="K22" i="2"/>
  <c r="L22" i="2" s="1"/>
  <c r="Y61" i="2"/>
  <c r="S61" i="2"/>
  <c r="R45" i="2"/>
  <c r="U45" i="2" s="1"/>
  <c r="X45" i="2"/>
  <c r="G8" i="4"/>
  <c r="Q8" i="4" s="1"/>
  <c r="L8" i="4"/>
  <c r="E6" i="6"/>
  <c r="G6" i="6" s="1"/>
  <c r="K30" i="6"/>
  <c r="M30" i="6"/>
  <c r="G43" i="4"/>
  <c r="P9" i="4" s="1"/>
  <c r="K9" i="4"/>
  <c r="N32" i="6"/>
  <c r="S59" i="2"/>
  <c r="Y59" i="2"/>
  <c r="N23" i="6"/>
  <c r="K61" i="2"/>
  <c r="L61" i="2" s="1"/>
  <c r="O61" i="2"/>
  <c r="S58" i="2"/>
  <c r="Y58" i="2"/>
  <c r="Z60" i="2"/>
  <c r="T60" i="2"/>
  <c r="I12" i="6"/>
  <c r="I31" i="6" s="1"/>
  <c r="L12" i="6"/>
  <c r="N12" i="6"/>
  <c r="P12" i="6"/>
  <c r="M12" i="6"/>
  <c r="M31" i="6" s="1"/>
  <c r="K12" i="6"/>
  <c r="O12" i="6"/>
  <c r="J12" i="6"/>
  <c r="G11" i="4"/>
  <c r="Q11" i="4" s="1"/>
  <c r="E9" i="6"/>
  <c r="G9" i="6" s="1"/>
  <c r="V11" i="4"/>
  <c r="L11" i="4"/>
  <c r="G27" i="4"/>
  <c r="R10" i="4" s="1"/>
  <c r="H18" i="4"/>
  <c r="F16" i="6" s="1"/>
  <c r="G16" i="6" s="1"/>
  <c r="G18" i="4"/>
  <c r="Q18" i="4" s="1"/>
  <c r="K57" i="2"/>
  <c r="L57" i="2" s="1"/>
  <c r="O57" i="2"/>
  <c r="G9" i="4"/>
  <c r="Q9" i="4" s="1"/>
  <c r="L9" i="4"/>
  <c r="V9" i="4"/>
  <c r="E7" i="6"/>
  <c r="G7" i="6" s="1"/>
  <c r="E8" i="6"/>
  <c r="G8" i="6" s="1"/>
  <c r="M29" i="6" l="1"/>
  <c r="N29" i="6"/>
  <c r="O29" i="6"/>
  <c r="L29" i="6"/>
  <c r="I7" i="6"/>
  <c r="I26" i="6" s="1"/>
  <c r="N7" i="6"/>
  <c r="N26" i="6" s="1"/>
  <c r="J7" i="6"/>
  <c r="J26" i="6" s="1"/>
  <c r="M7" i="6"/>
  <c r="M26" i="6" s="1"/>
  <c r="O7" i="6"/>
  <c r="O26" i="6" s="1"/>
  <c r="P7" i="6"/>
  <c r="P26" i="6" s="1"/>
  <c r="L7" i="6"/>
  <c r="L26" i="6" s="1"/>
  <c r="K7" i="6"/>
  <c r="K26" i="6" s="1"/>
  <c r="I6" i="6"/>
  <c r="I25" i="6" s="1"/>
  <c r="L6" i="6"/>
  <c r="L25" i="6" s="1"/>
  <c r="N6" i="6"/>
  <c r="N25" i="6" s="1"/>
  <c r="P6" i="6"/>
  <c r="P25" i="6" s="1"/>
  <c r="K6" i="6"/>
  <c r="K25" i="6" s="1"/>
  <c r="J6" i="6"/>
  <c r="J25" i="6" s="1"/>
  <c r="O6" i="6"/>
  <c r="O25" i="6" s="1"/>
  <c r="M6" i="6"/>
  <c r="M25" i="6" s="1"/>
  <c r="K5" i="6"/>
  <c r="M5" i="6"/>
  <c r="O5" i="6"/>
  <c r="I5" i="6"/>
  <c r="I24" i="6" s="1"/>
  <c r="N5" i="6"/>
  <c r="J5" i="6"/>
  <c r="P5" i="6"/>
  <c r="L5" i="6"/>
  <c r="L24" i="6" s="1"/>
  <c r="I9" i="6"/>
  <c r="I28" i="6" s="1"/>
  <c r="N9" i="6"/>
  <c r="N28" i="6" s="1"/>
  <c r="L9" i="6"/>
  <c r="L28" i="6" s="1"/>
  <c r="P9" i="6"/>
  <c r="P28" i="6" s="1"/>
  <c r="J9" i="6"/>
  <c r="J28" i="6" s="1"/>
  <c r="O9" i="6"/>
  <c r="O28" i="6" s="1"/>
  <c r="K9" i="6"/>
  <c r="K28" i="6" s="1"/>
  <c r="M9" i="6"/>
  <c r="M28" i="6" s="1"/>
  <c r="R57" i="2"/>
  <c r="U57" i="2" s="1"/>
  <c r="X57" i="2"/>
  <c r="K31" i="6"/>
  <c r="L31" i="6"/>
  <c r="P29" i="6"/>
  <c r="X60" i="2"/>
  <c r="R60" i="2"/>
  <c r="U60" i="2" s="1"/>
  <c r="X58" i="2"/>
  <c r="R58" i="2"/>
  <c r="U58" i="2" s="1"/>
  <c r="P31" i="6"/>
  <c r="R61" i="2"/>
  <c r="U61" i="2" s="1"/>
  <c r="X61" i="2"/>
  <c r="I8" i="6"/>
  <c r="I27" i="6" s="1"/>
  <c r="L8" i="6"/>
  <c r="L27" i="6" s="1"/>
  <c r="N8" i="6"/>
  <c r="N27" i="6" s="1"/>
  <c r="P8" i="6"/>
  <c r="P27" i="6" s="1"/>
  <c r="K8" i="6"/>
  <c r="K27" i="6" s="1"/>
  <c r="O8" i="6"/>
  <c r="O27" i="6" s="1"/>
  <c r="J8" i="6"/>
  <c r="J27" i="6" s="1"/>
  <c r="M8" i="6"/>
  <c r="M27" i="6" s="1"/>
  <c r="J31" i="6"/>
  <c r="L16" i="6"/>
  <c r="P16" i="6"/>
  <c r="J16" i="6"/>
  <c r="M16" i="6"/>
  <c r="I16" i="6"/>
  <c r="K16" i="6"/>
  <c r="N16" i="6"/>
  <c r="O16" i="6"/>
  <c r="O31" i="6"/>
  <c r="N31" i="6"/>
  <c r="X59" i="2"/>
  <c r="R59" i="2"/>
  <c r="U59" i="2" s="1"/>
  <c r="J29" i="6"/>
  <c r="K29" i="6"/>
  <c r="P24" i="6" l="1"/>
  <c r="O24" i="6"/>
  <c r="M24" i="6"/>
  <c r="J24" i="6"/>
  <c r="N24" i="6"/>
  <c r="K24" i="6"/>
</calcChain>
</file>

<file path=xl/sharedStrings.xml><?xml version="1.0" encoding="utf-8"?>
<sst xmlns="http://schemas.openxmlformats.org/spreadsheetml/2006/main" count="1066" uniqueCount="569">
  <si>
    <t>Determination of the BULK slab composition (mol/g) and flux of subduction (mol/g) for each volatile element</t>
  </si>
  <si>
    <t>trench length (cm)</t>
  </si>
  <si>
    <t>convergence rate (cm/yr)</t>
  </si>
  <si>
    <t>SLAB</t>
  </si>
  <si>
    <t>AOC</t>
  </si>
  <si>
    <t>SERP.</t>
  </si>
  <si>
    <t>SED.</t>
  </si>
  <si>
    <t>thickness (m)</t>
  </si>
  <si>
    <t>thickness (cm)</t>
  </si>
  <si>
    <t>density (g/cm3)</t>
  </si>
  <si>
    <t>concentrations (mol/g)</t>
  </si>
  <si>
    <r>
      <t>14</t>
    </r>
    <r>
      <rPr>
        <sz val="11"/>
        <color theme="1"/>
        <rFont val="Arial"/>
        <family val="2"/>
      </rPr>
      <t>N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</si>
  <si>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</si>
  <si>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</si>
  <si>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</si>
  <si>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</si>
  <si>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</si>
  <si>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</si>
  <si>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t>S</t>
  </si>
  <si>
    <t>Cl</t>
  </si>
  <si>
    <t>F</t>
  </si>
  <si>
    <t>Br</t>
  </si>
  <si>
    <t>I</t>
  </si>
  <si>
    <t>volume subducted per year (cm3)/yr</t>
  </si>
  <si>
    <t>mass subducted per year (g/yr)</t>
  </si>
  <si>
    <t>total:</t>
  </si>
  <si>
    <t>Mass fractions</t>
  </si>
  <si>
    <t>BULK slab concentration (mol/g)</t>
  </si>
  <si>
    <r>
      <t>14</t>
    </r>
    <r>
      <rPr>
        <sz val="11"/>
        <color theme="1"/>
        <rFont val="Arial"/>
        <family val="2"/>
      </rPr>
      <t>N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</si>
  <si>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</si>
  <si>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</si>
  <si>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</si>
  <si>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</si>
  <si>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</si>
  <si>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</si>
  <si>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t>no serpentinite</t>
  </si>
  <si>
    <t>total min</t>
  </si>
  <si>
    <t>Flux subduction (mol/yr)</t>
  </si>
  <si>
    <r>
      <t>14</t>
    </r>
    <r>
      <rPr>
        <sz val="11"/>
        <color theme="1"/>
        <rFont val="Arial"/>
        <family val="2"/>
      </rPr>
      <t>N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</si>
  <si>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</si>
  <si>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</si>
  <si>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</si>
  <si>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</si>
  <si>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</si>
  <si>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</si>
  <si>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t>Summary of the volatile outfluxes (mol/g), primary magma content (mol/g), mantle source content (mol/g) and total inventory (mol) of Arcs, DMM and PLM (based on calculatons reported in Tab "calculations")</t>
  </si>
  <si>
    <r>
      <t>14</t>
    </r>
    <r>
      <rPr>
        <b/>
        <sz val="11"/>
        <color theme="1"/>
        <rFont val="Arial"/>
        <family val="2"/>
      </rPr>
      <t>N</t>
    </r>
  </si>
  <si>
    <r>
      <t>3</t>
    </r>
    <r>
      <rPr>
        <b/>
        <sz val="11"/>
        <color theme="1"/>
        <rFont val="Arial"/>
        <family val="2"/>
      </rPr>
      <t>He</t>
    </r>
  </si>
  <si>
    <r>
      <t>22</t>
    </r>
    <r>
      <rPr>
        <b/>
        <sz val="11"/>
        <color theme="1"/>
        <rFont val="Arial"/>
        <family val="2"/>
      </rPr>
      <t>Ne</t>
    </r>
  </si>
  <si>
    <t>36Ar</t>
  </si>
  <si>
    <r>
      <t>84</t>
    </r>
    <r>
      <rPr>
        <b/>
        <sz val="11"/>
        <color theme="1"/>
        <rFont val="Arial"/>
        <family val="2"/>
      </rPr>
      <t>Kr</t>
    </r>
  </si>
  <si>
    <r>
      <t>130</t>
    </r>
    <r>
      <rPr>
        <b/>
        <sz val="11"/>
        <color theme="1"/>
        <rFont val="Arial"/>
        <family val="2"/>
      </rPr>
      <t>Xe</t>
    </r>
  </si>
  <si>
    <r>
      <t>H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O</t>
    </r>
  </si>
  <si>
    <r>
      <t>12</t>
    </r>
    <r>
      <rPr>
        <b/>
        <sz val="11"/>
        <color theme="1"/>
        <rFont val="Arial"/>
        <family val="2"/>
      </rPr>
      <t>C</t>
    </r>
  </si>
  <si>
    <t>FLUXES (mol/g)</t>
  </si>
  <si>
    <t>Primary magma content (mol/g)</t>
  </si>
  <si>
    <t>Mantle source content (mol/g)</t>
  </si>
  <si>
    <t>Inventory (mol)</t>
  </si>
  <si>
    <t>magma production (km2/km/yr)</t>
  </si>
  <si>
    <t>partial melting</t>
  </si>
  <si>
    <t>magma production (km3/yr)</t>
  </si>
  <si>
    <t>H2O partition coefficient (Workman and Hart 2005)</t>
  </si>
  <si>
    <t>magma production (g/yr)</t>
  </si>
  <si>
    <t>Flux Arcs (mol/yr)</t>
  </si>
  <si>
    <t>best</t>
  </si>
  <si>
    <t>min</t>
  </si>
  <si>
    <t>max</t>
  </si>
  <si>
    <t>Primary magma (mol/g)</t>
  </si>
  <si>
    <t>best (ppm)</t>
  </si>
  <si>
    <t>best (wt.%)</t>
  </si>
  <si>
    <t>ARC mantle source (mol/g)</t>
  </si>
  <si>
    <t>Surface</t>
  </si>
  <si>
    <t>mol</t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</si>
  <si>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</si>
  <si>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</si>
  <si>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</si>
  <si>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t>Cartigny and Marty 2013</t>
  </si>
  <si>
    <r>
      <t>14</t>
    </r>
    <r>
      <rPr>
        <sz val="11"/>
        <color theme="1"/>
        <rFont val="Arial"/>
        <family val="2"/>
      </rPr>
      <t>N</t>
    </r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</si>
  <si>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</si>
  <si>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</si>
  <si>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</si>
  <si>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t>Hilton et al. 2002</t>
  </si>
  <si>
    <r>
      <t>3</t>
    </r>
    <r>
      <rPr>
        <sz val="11"/>
        <color theme="1"/>
        <rFont val="Arial"/>
        <family val="2"/>
      </rPr>
      <t>He</t>
    </r>
  </si>
  <si>
    <t>22Ne</t>
  </si>
  <si>
    <t>Marty 2012</t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</si>
  <si>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</si>
  <si>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</si>
  <si>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</si>
  <si>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</si>
  <si>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</si>
  <si>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</si>
  <si>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</si>
  <si>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</si>
  <si>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</si>
  <si>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</si>
  <si>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</si>
  <si>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</si>
  <si>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</si>
  <si>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</si>
  <si>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</si>
  <si>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</si>
  <si>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Lécuyer et al. 1998</t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</si>
  <si>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</si>
  <si>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</si>
  <si>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r>
      <t>12</t>
    </r>
    <r>
      <rPr>
        <sz val="11"/>
        <color theme="1"/>
        <rFont val="Arial"/>
        <family val="2"/>
      </rPr>
      <t>C</t>
    </r>
  </si>
  <si>
    <r>
      <t>12</t>
    </r>
    <r>
      <rPr>
        <sz val="11"/>
        <color theme="1"/>
        <rFont val="Arial"/>
        <family val="2"/>
      </rPr>
      <t>C</t>
    </r>
  </si>
  <si>
    <t>Hirschmann &amp; Dasgupta 2009</t>
  </si>
  <si>
    <r>
      <t>12</t>
    </r>
    <r>
      <rPr>
        <sz val="11"/>
        <color theme="1"/>
        <rFont val="Arial"/>
        <family val="2"/>
      </rPr>
      <t>C</t>
    </r>
  </si>
  <si>
    <t>Chaussidon et al. 1989</t>
  </si>
  <si>
    <t>Kendrick et al. 2013</t>
  </si>
  <si>
    <t>mass DMM (g)</t>
  </si>
  <si>
    <t>Flux DMM (mol/yr)</t>
  </si>
  <si>
    <t>DMM source (mol/g)</t>
  </si>
  <si>
    <t>DMM source (mol)</t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</si>
  <si>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</si>
  <si>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</si>
  <si>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</si>
  <si>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</si>
  <si>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t>3He</t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</si>
  <si>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</si>
  <si>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</si>
  <si>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</si>
  <si>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</si>
  <si>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</si>
  <si>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</si>
  <si>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</si>
  <si>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</si>
  <si>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</si>
  <si>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</si>
  <si>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</si>
  <si>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</si>
  <si>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</si>
  <si>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</si>
  <si>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</si>
  <si>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</si>
  <si>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</si>
  <si>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</si>
  <si>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</si>
  <si>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</si>
  <si>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C</t>
  </si>
  <si>
    <r>
      <t>12</t>
    </r>
    <r>
      <rPr>
        <sz val="11"/>
        <color theme="1"/>
        <rFont val="Arial"/>
        <family val="2"/>
      </rPr>
      <t>C</t>
    </r>
  </si>
  <si>
    <r>
      <t>12</t>
    </r>
    <r>
      <rPr>
        <sz val="11"/>
        <color theme="1"/>
        <rFont val="Arial"/>
        <family val="2"/>
      </rPr>
      <t>C</t>
    </r>
  </si>
  <si>
    <r>
      <t>12</t>
    </r>
    <r>
      <rPr>
        <sz val="11"/>
        <color theme="1"/>
        <rFont val="Arial"/>
        <family val="2"/>
      </rPr>
      <t>C</t>
    </r>
  </si>
  <si>
    <t>mass PLM (g)</t>
  </si>
  <si>
    <t>Flux PLM (mol/yr)</t>
  </si>
  <si>
    <t>PLM source (mol/g)</t>
  </si>
  <si>
    <t>PLM source (mol)</t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</si>
  <si>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</si>
  <si>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</si>
  <si>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</si>
  <si>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</si>
  <si>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</si>
  <si>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</si>
  <si>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</si>
  <si>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</si>
  <si>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</si>
  <si>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</si>
  <si>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</si>
  <si>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</si>
  <si>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</si>
  <si>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t>84Kr</t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</si>
  <si>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</si>
  <si>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</si>
  <si>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</si>
  <si>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t>130Xe</t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</si>
  <si>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</si>
  <si>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</si>
  <si>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</si>
  <si>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</si>
  <si>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</si>
  <si>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</si>
  <si>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</si>
  <si>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12C</t>
  </si>
  <si>
    <r>
      <t>12</t>
    </r>
    <r>
      <rPr>
        <sz val="11"/>
        <color theme="1"/>
        <rFont val="Arial"/>
        <family val="2"/>
      </rPr>
      <t>C</t>
    </r>
  </si>
  <si>
    <r>
      <t>12</t>
    </r>
    <r>
      <rPr>
        <sz val="11"/>
        <color theme="1"/>
        <rFont val="Arial"/>
        <family val="2"/>
      </rPr>
      <t>C</t>
    </r>
  </si>
  <si>
    <r>
      <t>12</t>
    </r>
    <r>
      <rPr>
        <sz val="11"/>
        <color theme="1"/>
        <rFont val="Arial"/>
        <family val="2"/>
      </rPr>
      <t>C</t>
    </r>
  </si>
  <si>
    <t>Calculations used to build the tables reported in Tab "Global mass balance"</t>
  </si>
  <si>
    <t>Parameterization of the global mass balance</t>
  </si>
  <si>
    <t>Mid Ocean Ridges</t>
  </si>
  <si>
    <t>degree of partial melting</t>
  </si>
  <si>
    <t>required to produce a 6.4 km thick crust, considering the solidus is crossed ~1.8 GPa</t>
  </si>
  <si>
    <t>basalt density (g/cm3)</t>
  </si>
  <si>
    <t xml:space="preserve">average ocean crustal thickness </t>
  </si>
  <si>
    <t>(km)</t>
  </si>
  <si>
    <t>(m)</t>
  </si>
  <si>
    <t>(cm)</t>
  </si>
  <si>
    <t>active ridge length</t>
  </si>
  <si>
    <t>MOR spreading rate</t>
  </si>
  <si>
    <t>(mm/yr)</t>
  </si>
  <si>
    <t>(m/yr)</t>
  </si>
  <si>
    <t>(cm/yr)</t>
  </si>
  <si>
    <t>MORB production rate</t>
  </si>
  <si>
    <t>(m3/yr)</t>
  </si>
  <si>
    <t>(cm3/yr)</t>
  </si>
  <si>
    <t>Back arc basin basalt production</t>
  </si>
  <si>
    <t>(km3/yr)</t>
  </si>
  <si>
    <t>TOTAL MOR production</t>
  </si>
  <si>
    <t>(g/yr)</t>
  </si>
  <si>
    <t>PLM</t>
  </si>
  <si>
    <t>TOTAL PLM production</t>
  </si>
  <si>
    <t>subduction trench</t>
  </si>
  <si>
    <t>trench length</t>
  </si>
  <si>
    <t>convergence rate</t>
  </si>
  <si>
    <t>TOTAL AOC subducted</t>
  </si>
  <si>
    <t>Agreement MOR production vs. AOC subduction</t>
  </si>
  <si>
    <t>active arc</t>
  </si>
  <si>
    <t>length</t>
  </si>
  <si>
    <t>TOTAL ARC production</t>
  </si>
  <si>
    <t>km3/yr</t>
  </si>
  <si>
    <t>g/yr</t>
  </si>
  <si>
    <t>Reference</t>
  </si>
  <si>
    <t>Tool box</t>
  </si>
  <si>
    <t>MORB</t>
  </si>
  <si>
    <t>MOR 3He flux (mol/yr)</t>
  </si>
  <si>
    <t>Holzer et al. 2017</t>
  </si>
  <si>
    <t>Popping rock</t>
  </si>
  <si>
    <t>elemental ratios of noble gases in popping rocks (Moreira et al. 1998)</t>
  </si>
  <si>
    <t>MOR 22Ne flux (mol/yr)</t>
  </si>
  <si>
    <t>22Ne/3He</t>
  </si>
  <si>
    <t>MOR 36Ar flux (mol/yr)</t>
  </si>
  <si>
    <t>36Ar/3He</t>
  </si>
  <si>
    <t>MOR 84Kr flux (mol/yr)</t>
  </si>
  <si>
    <t>84Kr/3He</t>
  </si>
  <si>
    <t>MOR 130Xe flux (mol/yr)</t>
  </si>
  <si>
    <t>130Xe/3He</t>
  </si>
  <si>
    <t>MOR C flux (mol/yr)</t>
  </si>
  <si>
    <t>MOR S flux (mol/yr)</t>
  </si>
  <si>
    <t>S concentration in MORB (mol/g)</t>
  </si>
  <si>
    <t>Labidi et al. 2012</t>
  </si>
  <si>
    <t>MOR N flux (mol/yr)</t>
  </si>
  <si>
    <t>S concentration in MORB (ppm)</t>
  </si>
  <si>
    <t>MOR H2O flux (mol/yr)</t>
  </si>
  <si>
    <t>S/3He in MORB vesicles</t>
  </si>
  <si>
    <t>Kagoshima et al. 2014</t>
  </si>
  <si>
    <t>±</t>
  </si>
  <si>
    <t>3He concentration DMM (mol/g)</t>
  </si>
  <si>
    <t>22Ne concentration DMM  (mol/g)</t>
  </si>
  <si>
    <t>Br/Cl</t>
  </si>
  <si>
    <t>36Ar concentration DMM (mol/g)</t>
  </si>
  <si>
    <t>I/Cl</t>
  </si>
  <si>
    <t>84Kr concentration DMM (mol/g)</t>
  </si>
  <si>
    <t>130Xe concentration DMM (mol/g)</t>
  </si>
  <si>
    <t>C concentration DMM (mol/g)</t>
  </si>
  <si>
    <t>C/3He in MORB</t>
  </si>
  <si>
    <t>Marty and Zimmermann 1999; Resing et al. 2004</t>
  </si>
  <si>
    <t xml:space="preserve"> C concentration DMM (ppm)</t>
  </si>
  <si>
    <t>S concentration in DMM (mol/g)</t>
  </si>
  <si>
    <t>+</t>
  </si>
  <si>
    <t>-</t>
  </si>
  <si>
    <t>S concentration in DMM (ppm)</t>
  </si>
  <si>
    <t>Nielsen et al. 2014 (for reference)</t>
  </si>
  <si>
    <t>N/36Ar DMM</t>
  </si>
  <si>
    <t>Marty and Dauphas 2003</t>
  </si>
  <si>
    <t>N concentration DMM (mol/g)</t>
  </si>
  <si>
    <t>N concentration DMM (ppm)</t>
  </si>
  <si>
    <t>H2O concentration in DMM (mol/g)</t>
  </si>
  <si>
    <t>H2O concentration in DMM (ppm)</t>
  </si>
  <si>
    <t>ARC</t>
  </si>
  <si>
    <t>flux of volatiles (mol/km/yr)</t>
  </si>
  <si>
    <t>Fischer (2008)</t>
  </si>
  <si>
    <t>Shinohara (2013)</t>
  </si>
  <si>
    <t>mean</t>
  </si>
  <si>
    <t>See compilation by Taran and Kalacheva 2018</t>
  </si>
  <si>
    <t>H2O</t>
  </si>
  <si>
    <t>CO2</t>
  </si>
  <si>
    <t>Arc flux (mol/yr)</t>
  </si>
  <si>
    <t>noble gas elemental ratios at arcs</t>
  </si>
  <si>
    <t>3/36</t>
  </si>
  <si>
    <t>Matsumoto et al. 2001; Broadley et al. 2016</t>
  </si>
  <si>
    <t>84/36</t>
  </si>
  <si>
    <t>Holland and Ballentine 2006</t>
  </si>
  <si>
    <t>130/36</t>
  </si>
  <si>
    <t>22/36</t>
  </si>
  <si>
    <t>22/3</t>
  </si>
  <si>
    <t>36/3</t>
  </si>
  <si>
    <t>Hilton et al. (2002)</t>
  </si>
  <si>
    <t>Kagoshima et al. (2015)</t>
  </si>
  <si>
    <t>84/3</t>
  </si>
  <si>
    <t>3He/S in arcs</t>
  </si>
  <si>
    <t>130/3</t>
  </si>
  <si>
    <t>Arc 3He flux (mol/yr)</t>
  </si>
  <si>
    <t>N/S arcs</t>
  </si>
  <si>
    <t>Hilton et al. (2002): Nexcess computed from 40Ar excess</t>
  </si>
  <si>
    <t>F/Cl arcs</t>
  </si>
  <si>
    <t>Fischer 2008</t>
  </si>
  <si>
    <t>Arc 22Ne flux (mol/yr)</t>
  </si>
  <si>
    <t>Br/Cl arcs</t>
  </si>
  <si>
    <t>Pyle and Mather 2009</t>
  </si>
  <si>
    <t>Arc 36Ar flux (mol/yr)</t>
  </si>
  <si>
    <t>I/Cl arcs</t>
  </si>
  <si>
    <t>Arc 84Kr flux (mol/yr)</t>
  </si>
  <si>
    <t>Arc 130Xe flux (mol/yr)</t>
  </si>
  <si>
    <t>Arc N flux (mol/yr)</t>
  </si>
  <si>
    <t>Arc F flux (mol/yr)</t>
  </si>
  <si>
    <t>Arc Br flux (mol/yr)</t>
  </si>
  <si>
    <t>Arc I flux (mol/yr)</t>
  </si>
  <si>
    <t>3He concentration PLM (mol/g)</t>
  </si>
  <si>
    <t>PLM 3He flux (mol/yr)</t>
  </si>
  <si>
    <t>Ocean islands 3He flux (mol/yr)</t>
  </si>
  <si>
    <t>Porcelli and Ballentine 2002</t>
  </si>
  <si>
    <t>flux 3He from Yellowstone</t>
  </si>
  <si>
    <t>Lowenstern et al. 2014</t>
  </si>
  <si>
    <t>PLM 22Ne flux (mol/yr)</t>
  </si>
  <si>
    <t>PLM 36Ar flux (mol/yr)</t>
  </si>
  <si>
    <t>Mukhopadhyay 2012</t>
  </si>
  <si>
    <t>PLM 84Kr flux (mol/yr)</t>
  </si>
  <si>
    <t>PLM 130Xe flux (mol/yr)</t>
  </si>
  <si>
    <t>PLM N flux (mol/yr)</t>
  </si>
  <si>
    <t>PLM CO2 flux (mol/yr)</t>
  </si>
  <si>
    <t>84Kr/22Ne</t>
  </si>
  <si>
    <t>Trieloff et al. 2002</t>
  </si>
  <si>
    <t>PLM S flux (mol/yr)</t>
  </si>
  <si>
    <t xml:space="preserve">N2/3He </t>
  </si>
  <si>
    <t>Sano et al. (2001), Labidi et al. (2020)</t>
  </si>
  <si>
    <t>PLM H2O flux (mol/yr)</t>
  </si>
  <si>
    <t xml:space="preserve">N/36Ar </t>
  </si>
  <si>
    <t>CO2/3He PLM</t>
  </si>
  <si>
    <t>Marty and Tolstikhin 1998</t>
  </si>
  <si>
    <t>S concentration in OIB magma (mol/g)</t>
  </si>
  <si>
    <t>S concentration in OIB magma (ppm)</t>
  </si>
  <si>
    <t>flux S Yellowstone gas and water</t>
  </si>
  <si>
    <t>Lowenstern and Hurwitz 2008</t>
  </si>
  <si>
    <t>3He-scaled mantle source C mol/g</t>
  </si>
  <si>
    <t>3He-scaled mantle source C ppm</t>
  </si>
  <si>
    <t>mol/g</t>
  </si>
  <si>
    <t>Summary of the total volatile influxes and outfluxes based on the Tab "Global mass balance" and calculation of the data for Fig. 2</t>
  </si>
  <si>
    <t>IN/OUT arc (Fig.2a)</t>
  </si>
  <si>
    <t>IN/OUT total (Fig.2c)</t>
  </si>
  <si>
    <t>IN from SLAB</t>
  </si>
  <si>
    <t>OUT from arcs</t>
  </si>
  <si>
    <t>OUT from DMM</t>
  </si>
  <si>
    <t>OUT from PLM</t>
  </si>
  <si>
    <t>OUT total</t>
  </si>
  <si>
    <t>OUT total DMM PLM</t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</si>
  <si>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</si>
  <si>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</si>
  <si>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r>
      <t>14</t>
    </r>
    <r>
      <rPr>
        <sz val="11"/>
        <color theme="1"/>
        <rFont val="Arial"/>
        <family val="2"/>
      </rPr>
      <t>N</t>
    </r>
  </si>
  <si>
    <t>–</t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</si>
  <si>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</si>
  <si>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</si>
  <si>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3</t>
    </r>
    <r>
      <rPr>
        <sz val="11"/>
        <color theme="1"/>
        <rFont val="Arial"/>
        <family val="2"/>
      </rPr>
      <t>He</t>
    </r>
  </si>
  <si>
    <r>
      <t>22</t>
    </r>
    <r>
      <rPr>
        <sz val="11"/>
        <color theme="1"/>
        <rFont val="Arial"/>
        <family val="2"/>
      </rPr>
      <t>Ne</t>
    </r>
  </si>
  <si>
    <r>
      <t>22</t>
    </r>
    <r>
      <rPr>
        <sz val="11"/>
        <color theme="1"/>
        <rFont val="Arial"/>
        <family val="2"/>
      </rPr>
      <t>Ne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</si>
  <si>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</si>
  <si>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</si>
  <si>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</si>
  <si>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</si>
  <si>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</si>
  <si>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</si>
  <si>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</si>
  <si>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</si>
  <si>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</si>
  <si>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</si>
  <si>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</si>
  <si>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</si>
  <si>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</si>
  <si>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12C*</t>
  </si>
  <si>
    <r>
      <t>14</t>
    </r>
    <r>
      <rPr>
        <sz val="11"/>
        <color theme="1"/>
        <rFont val="Arial"/>
        <family val="2"/>
      </rPr>
      <t>N</t>
    </r>
  </si>
  <si>
    <r>
      <t>3</t>
    </r>
    <r>
      <rPr>
        <sz val="11"/>
        <color theme="1"/>
        <rFont val="Arial"/>
        <family val="2"/>
      </rPr>
      <t>He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</si>
  <si>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</si>
  <si>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</si>
  <si>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</si>
  <si>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</si>
  <si>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</si>
  <si>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</si>
  <si>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t>(IN SLAB/Surface inventory)X/N</t>
  </si>
  <si>
    <r>
      <t>14</t>
    </r>
    <r>
      <rPr>
        <sz val="11"/>
        <color theme="1"/>
        <rFont val="Arial"/>
        <family val="2"/>
      </rPr>
      <t>N</t>
    </r>
  </si>
  <si>
    <r>
      <t>3</t>
    </r>
    <r>
      <rPr>
        <sz val="11"/>
        <color theme="1"/>
        <rFont val="Arial"/>
        <family val="2"/>
      </rPr>
      <t>He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</si>
  <si>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</si>
  <si>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</si>
  <si>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</si>
  <si>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</si>
  <si>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</si>
  <si>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</si>
  <si>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t>Summary of the best estimates for the composition of the slab components</t>
  </si>
  <si>
    <t>Best estimates conversion table</t>
  </si>
  <si>
    <t>molar mass (g/mol)</t>
  </si>
  <si>
    <r>
      <t>14</t>
    </r>
    <r>
      <rPr>
        <b/>
        <sz val="11"/>
        <color theme="1"/>
        <rFont val="Arial"/>
        <family val="2"/>
      </rPr>
      <t>N</t>
    </r>
  </si>
  <si>
    <r>
      <t>22</t>
    </r>
    <r>
      <rPr>
        <b/>
        <sz val="11"/>
        <color theme="1"/>
        <rFont val="Arial"/>
        <family val="2"/>
      </rPr>
      <t>Ne</t>
    </r>
  </si>
  <si>
    <r>
      <t>36</t>
    </r>
    <r>
      <rPr>
        <b/>
        <sz val="11"/>
        <color theme="1"/>
        <rFont val="Arial"/>
        <family val="2"/>
      </rPr>
      <t>Ar</t>
    </r>
  </si>
  <si>
    <r>
      <t>84</t>
    </r>
    <r>
      <rPr>
        <b/>
        <sz val="11"/>
        <color theme="1"/>
        <rFont val="Arial"/>
        <family val="2"/>
      </rPr>
      <t>Kr</t>
    </r>
  </si>
  <si>
    <r>
      <t>130</t>
    </r>
    <r>
      <rPr>
        <b/>
        <sz val="11"/>
        <color theme="1"/>
        <rFont val="Arial"/>
        <family val="2"/>
      </rPr>
      <t>Xe</t>
    </r>
  </si>
  <si>
    <r>
      <t>H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O</t>
    </r>
  </si>
  <si>
    <r>
      <t>12</t>
    </r>
    <r>
      <rPr>
        <b/>
        <sz val="11"/>
        <color theme="1"/>
        <rFont val="Arial"/>
        <family val="2"/>
      </rPr>
      <t>C</t>
    </r>
  </si>
  <si>
    <r>
      <t>mol/g</t>
    </r>
    <r>
      <rPr>
        <sz val="12"/>
        <color theme="1"/>
        <rFont val="Calibri"/>
        <family val="2"/>
      </rPr>
      <t xml:space="preserve"> to</t>
    </r>
    <r>
      <rPr>
        <b/>
        <sz val="12"/>
        <color theme="1"/>
        <rFont val="Calibri"/>
        <family val="2"/>
      </rPr>
      <t xml:space="preserve"> ppm</t>
    </r>
  </si>
  <si>
    <r>
      <t>ppm</t>
    </r>
    <r>
      <rPr>
        <sz val="12"/>
        <color theme="1"/>
        <rFont val="Calibri"/>
        <family val="2"/>
      </rPr>
      <t xml:space="preserve"> to</t>
    </r>
    <r>
      <rPr>
        <b/>
        <sz val="12"/>
        <color theme="1"/>
        <rFont val="Calibri"/>
        <family val="2"/>
      </rPr>
      <t xml:space="preserve"> mol/g</t>
    </r>
  </si>
  <si>
    <t>ppm</t>
  </si>
  <si>
    <t>References</t>
  </si>
  <si>
    <r>
      <t>14</t>
    </r>
    <r>
      <rPr>
        <sz val="11"/>
        <color theme="1"/>
        <rFont val="Arial"/>
        <family val="2"/>
      </rPr>
      <t>N</t>
    </r>
  </si>
  <si>
    <t>Li et al. (2007)</t>
  </si>
  <si>
    <r>
      <t>22</t>
    </r>
    <r>
      <rPr>
        <sz val="11"/>
        <color theme="1"/>
        <rFont val="Arial"/>
        <family val="2"/>
      </rPr>
      <t>Ne</t>
    </r>
  </si>
  <si>
    <t>Chavrit et al. (2016)</t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</si>
  <si>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</si>
  <si>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</si>
  <si>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</si>
  <si>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</si>
  <si>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Jarrad (2003); Bach et al. (2003)</t>
  </si>
  <si>
    <r>
      <t>12</t>
    </r>
    <r>
      <rPr>
        <sz val="11"/>
        <color theme="1"/>
        <rFont val="Arial"/>
        <family val="2"/>
      </rPr>
      <t>C</t>
    </r>
  </si>
  <si>
    <t>Plank &amp; Manning (2019); Kelemen &amp; Manning (2015); Li et al. (2019)</t>
  </si>
  <si>
    <t>Alt (1995)</t>
  </si>
  <si>
    <t>Chavrit et al. (2016); Zhang et al. (2017); Kendrick (2019a; 2019b); Barnes and Cisneros (2012); Sano et al. (2018)</t>
  </si>
  <si>
    <r>
      <t>mol/g</t>
    </r>
    <r>
      <rPr>
        <sz val="12"/>
        <color theme="1"/>
        <rFont val="Calibri"/>
        <family val="2"/>
      </rPr>
      <t xml:space="preserve"> to</t>
    </r>
    <r>
      <rPr>
        <b/>
        <sz val="12"/>
        <color theme="1"/>
        <rFont val="Calibri"/>
        <family val="2"/>
      </rPr>
      <t xml:space="preserve"> ppm</t>
    </r>
  </si>
  <si>
    <r>
      <t>ppm</t>
    </r>
    <r>
      <rPr>
        <sz val="12"/>
        <color theme="1"/>
        <rFont val="Calibri"/>
        <family val="2"/>
      </rPr>
      <t xml:space="preserve"> to</t>
    </r>
    <r>
      <rPr>
        <b/>
        <sz val="12"/>
        <color theme="1"/>
        <rFont val="Calibri"/>
        <family val="2"/>
      </rPr>
      <t xml:space="preserve"> mol/g</t>
    </r>
  </si>
  <si>
    <t>Serpentinites</t>
  </si>
  <si>
    <r>
      <t>14</t>
    </r>
    <r>
      <rPr>
        <sz val="11"/>
        <color theme="1"/>
        <rFont val="Arial"/>
        <family val="2"/>
      </rPr>
      <t>N</t>
    </r>
  </si>
  <si>
    <t>Halama et aL. (2014)</t>
  </si>
  <si>
    <r>
      <t>22</t>
    </r>
    <r>
      <rPr>
        <sz val="11"/>
        <color theme="1"/>
        <rFont val="Arial"/>
        <family val="2"/>
      </rPr>
      <t>Ne</t>
    </r>
  </si>
  <si>
    <t>Kendrick et al. (2013)</t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</si>
  <si>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</si>
  <si>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</si>
  <si>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</si>
  <si>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</si>
  <si>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</si>
  <si>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t>Alt et al. (2012)</t>
  </si>
  <si>
    <t>Anselmi et al. (2000); Barnes and Sharp (2006); Kendrick et al. (2011; 2013); Kodolányi and Pettke (2011); Mével (2003); Sharp and Barnes (2004)</t>
  </si>
  <si>
    <r>
      <t>mol/g</t>
    </r>
    <r>
      <rPr>
        <sz val="12"/>
        <color theme="1"/>
        <rFont val="Calibri"/>
        <family val="2"/>
      </rPr>
      <t xml:space="preserve"> to</t>
    </r>
    <r>
      <rPr>
        <b/>
        <sz val="12"/>
        <color theme="1"/>
        <rFont val="Calibri"/>
        <family val="2"/>
      </rPr>
      <t xml:space="preserve"> ppm</t>
    </r>
  </si>
  <si>
    <r>
      <t>ppm</t>
    </r>
    <r>
      <rPr>
        <sz val="12"/>
        <color theme="1"/>
        <rFont val="Calibri"/>
        <family val="2"/>
      </rPr>
      <t xml:space="preserve"> to</t>
    </r>
    <r>
      <rPr>
        <b/>
        <sz val="12"/>
        <color theme="1"/>
        <rFont val="Calibri"/>
        <family val="2"/>
      </rPr>
      <t xml:space="preserve"> mol/g</t>
    </r>
  </si>
  <si>
    <t>Sediments</t>
  </si>
  <si>
    <r>
      <t>14</t>
    </r>
    <r>
      <rPr>
        <sz val="11"/>
        <color theme="1"/>
        <rFont val="Arial"/>
        <family val="2"/>
      </rPr>
      <t>N</t>
    </r>
  </si>
  <si>
    <t>Busigny et al. (2011),  Li and Bebout (2005)</t>
  </si>
  <si>
    <r>
      <t>22</t>
    </r>
    <r>
      <rPr>
        <sz val="11"/>
        <color theme="1"/>
        <rFont val="Arial"/>
        <family val="2"/>
      </rPr>
      <t>Ne</t>
    </r>
  </si>
  <si>
    <t>Matsuda and Nagoa (1986); Staudacher and Allègre (1988)</t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</si>
  <si>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</si>
  <si>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</si>
  <si>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</si>
  <si>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</si>
  <si>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t>Plank (2014)</t>
  </si>
  <si>
    <r>
      <t>12</t>
    </r>
    <r>
      <rPr>
        <sz val="11"/>
        <color theme="1"/>
        <rFont val="Arial"/>
        <family val="2"/>
      </rPr>
      <t>C</t>
    </r>
  </si>
  <si>
    <t>Berner and Raiswell (1984); Plank (2014); Plank and Manning (2019)</t>
  </si>
  <si>
    <t>Berner (1984)</t>
  </si>
  <si>
    <t>Barnes et al. (2008; 2009); John et al. (2011); Kendrick (2018); Muramatsu et al. (2007); Muramatsu and Wedepohl (1998)</t>
  </si>
  <si>
    <r>
      <t>mol/g</t>
    </r>
    <r>
      <rPr>
        <sz val="12"/>
        <color theme="1"/>
        <rFont val="Calibri"/>
        <family val="2"/>
      </rPr>
      <t xml:space="preserve"> to</t>
    </r>
    <r>
      <rPr>
        <b/>
        <sz val="12"/>
        <color theme="1"/>
        <rFont val="Calibri"/>
        <family val="2"/>
      </rPr>
      <t xml:space="preserve"> ppm</t>
    </r>
  </si>
  <si>
    <r>
      <t>14</t>
    </r>
    <r>
      <rPr>
        <sz val="11"/>
        <color theme="1"/>
        <rFont val="Arial"/>
        <family val="2"/>
      </rPr>
      <t>N</t>
    </r>
  </si>
  <si>
    <r>
      <t>22</t>
    </r>
    <r>
      <rPr>
        <sz val="11"/>
        <color theme="1"/>
        <rFont val="Arial"/>
        <family val="2"/>
      </rPr>
      <t>Ne</t>
    </r>
  </si>
  <si>
    <r>
      <t>36</t>
    </r>
    <r>
      <rPr>
        <sz val="11"/>
        <color theme="1"/>
        <rFont val="Arial"/>
        <family val="2"/>
      </rPr>
      <t>Ar</t>
    </r>
  </si>
  <si>
    <r>
      <t>84</t>
    </r>
    <r>
      <rPr>
        <sz val="11"/>
        <color theme="1"/>
        <rFont val="Arial"/>
        <family val="2"/>
      </rPr>
      <t>Kr</t>
    </r>
  </si>
  <si>
    <r>
      <t>130</t>
    </r>
    <r>
      <rPr>
        <sz val="11"/>
        <color theme="1"/>
        <rFont val="Arial"/>
        <family val="2"/>
      </rPr>
      <t>Xe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</si>
  <si>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</si>
  <si>
    <r>
      <t>12</t>
    </r>
    <r>
      <rPr>
        <sz val="11"/>
        <color theme="1"/>
        <rFont val="Arial"/>
        <family val="2"/>
      </rPr>
      <t>C</t>
    </r>
  </si>
  <si>
    <t>to fit the S content of the DMM at 195 ppm from Nielsen et al. 2014</t>
  </si>
  <si>
    <t>S partition coefficient</t>
  </si>
  <si>
    <t>Le Voyer et al. 2017</t>
  </si>
  <si>
    <t>partition coefficient H2O</t>
  </si>
  <si>
    <t>estimated from Ce, Workman and Hart 2005</t>
  </si>
  <si>
    <t>common mantle plume water content (ppm)</t>
  </si>
  <si>
    <t xml:space="preserve">DMM water content (ppm) </t>
  </si>
  <si>
    <t>Simons et al. 2002</t>
  </si>
  <si>
    <t>(mol/g)</t>
  </si>
  <si>
    <t>Dixon and Clague 2001</t>
  </si>
  <si>
    <t>Nichols et al. 2002</t>
  </si>
  <si>
    <t>net influx</t>
  </si>
  <si>
    <t>surface</t>
  </si>
  <si>
    <t>14N</t>
  </si>
  <si>
    <t>global influx</t>
  </si>
  <si>
    <t>total influx</t>
  </si>
  <si>
    <t>global outflux</t>
  </si>
  <si>
    <t>absolute flux per year</t>
  </si>
  <si>
    <t>Table used to build Fig. 3b</t>
  </si>
  <si>
    <t>+diffuse degassing</t>
  </si>
  <si>
    <r>
      <rPr>
        <sz val="12"/>
        <color theme="1"/>
        <rFont val="Calibri"/>
        <family val="2"/>
      </rPr>
      <t>H2O</t>
    </r>
    <r>
      <rPr>
        <sz val="12"/>
        <color theme="1"/>
        <rFont val="Calibri"/>
        <family val="2"/>
      </rPr>
      <t xml:space="preserve"> flux with </t>
    </r>
    <r>
      <rPr>
        <sz val="12"/>
        <color theme="1"/>
        <rFont val="Calibri"/>
        <family val="2"/>
      </rPr>
      <t>H2O</t>
    </r>
    <r>
      <rPr>
        <sz val="12"/>
        <color theme="1"/>
        <rFont val="Calibri"/>
        <family val="2"/>
      </rPr>
      <t xml:space="preserve">/S from </t>
    </r>
    <r>
      <rPr>
        <sz val="12"/>
        <color theme="1"/>
        <rFont val="Calibri"/>
        <family val="2"/>
      </rPr>
      <t>Fischer et al. 2019</t>
    </r>
  </si>
  <si>
    <t>μg/g</t>
  </si>
  <si>
    <t>ng/g</t>
  </si>
  <si>
    <t>ONLY FROM ODP DRILL CORES</t>
  </si>
  <si>
    <t>Data from</t>
  </si>
  <si>
    <t xml:space="preserve"> Kendrick et al 2019, EPSL</t>
  </si>
  <si>
    <t>Chavrit et al 2016</t>
  </si>
  <si>
    <t>n</t>
  </si>
  <si>
    <t>Zhang et al 2017</t>
  </si>
  <si>
    <t xml:space="preserve">min </t>
  </si>
  <si>
    <t xml:space="preserve"> Kendrick et al 2019, GCA</t>
  </si>
  <si>
    <t>Barnes and Cisneros 2012</t>
  </si>
  <si>
    <t>Sano et al 2018</t>
  </si>
  <si>
    <t xml:space="preserve">median </t>
  </si>
  <si>
    <t>mode</t>
  </si>
  <si>
    <t>&lt;20</t>
  </si>
  <si>
    <t>assumed values used for previous mass balance</t>
  </si>
  <si>
    <t>Barnes and Cisneros</t>
  </si>
  <si>
    <t xml:space="preserve">Chavrit et al </t>
  </si>
  <si>
    <t>Ito et al 1983</t>
  </si>
  <si>
    <t>--</t>
  </si>
  <si>
    <t>Straub and Layne 2003</t>
  </si>
  <si>
    <t>Barnes et al 2018</t>
  </si>
  <si>
    <t>IQR1</t>
  </si>
  <si>
    <t>IQR3</t>
  </si>
  <si>
    <t>serpentinites</t>
  </si>
  <si>
    <t>ONLY FROM SEAFLOOR SAMPLES</t>
  </si>
  <si>
    <t>wei et al. 2005</t>
  </si>
  <si>
    <t>abyssal</t>
  </si>
  <si>
    <t>Kendrick et al 2013</t>
  </si>
  <si>
    <t>Barnes and Sharp 2006</t>
  </si>
  <si>
    <t>passive margin</t>
  </si>
  <si>
    <t xml:space="preserve">forearc </t>
  </si>
  <si>
    <t>Note Chavrit uses some data from John et al 2011, but these are exhumed serpentinites</t>
  </si>
  <si>
    <t>John et al. 2011</t>
  </si>
  <si>
    <t>Pagé and Hattori, 2017</t>
  </si>
  <si>
    <t>(Iberia)</t>
  </si>
  <si>
    <t>Debret et al. 2014</t>
  </si>
  <si>
    <t>(hess deep)</t>
  </si>
  <si>
    <t>Stueber et al (1968)</t>
  </si>
  <si>
    <t>(MAR-Kane)</t>
  </si>
  <si>
    <t>(Tyrrhenian sea)</t>
  </si>
  <si>
    <t>(MAR-famous)</t>
  </si>
  <si>
    <t>(Guatemala)</t>
  </si>
  <si>
    <t>For data from Barnes and Sharp, structurally bound Cl</t>
  </si>
  <si>
    <t>* note that the value of 204 ppm for F comes from estimate of Mével C (2003)</t>
  </si>
  <si>
    <t>sediments</t>
  </si>
  <si>
    <t>ONLY FROM MARINE SEAFLOOR SEDIMENTS</t>
  </si>
  <si>
    <t>John et al 2010</t>
  </si>
  <si>
    <t>Muramatsu et al 2007</t>
  </si>
  <si>
    <t>barnes et al 2008</t>
  </si>
  <si>
    <t>Barnes et al 2009</t>
  </si>
  <si>
    <t>*commonly used values of 611 F and 640 Cl are baed on the avg conc in upper continental crust (Gao et al 1998; Wedepohl 1995)</t>
  </si>
  <si>
    <r>
      <t xml:space="preserve">CO2 flux with CO2/S from </t>
    </r>
    <r>
      <rPr>
        <sz val="12"/>
        <color theme="1"/>
        <rFont val="Calibri"/>
        <family val="2"/>
      </rPr>
      <t>Fischer et al. 2019</t>
    </r>
  </si>
  <si>
    <t>*effect of diffuse degassing taken into consideration</t>
  </si>
  <si>
    <t>er</t>
  </si>
  <si>
    <t xml:space="preserve">reference </t>
  </si>
  <si>
    <t>OIB</t>
  </si>
  <si>
    <t>Cl/K</t>
  </si>
  <si>
    <t>Kendrick et al., 2017</t>
  </si>
  <si>
    <t>K</t>
  </si>
  <si>
    <t>Arevalo et al., 2009</t>
  </si>
  <si>
    <t>Cl ppm</t>
  </si>
  <si>
    <t>Pr/F</t>
  </si>
  <si>
    <t>Pr</t>
  </si>
  <si>
    <t>Workman and Hart, 2005</t>
  </si>
  <si>
    <t>Jackson and Jellinek, 2013</t>
  </si>
  <si>
    <t>F ppm</t>
  </si>
  <si>
    <t>Br ppm</t>
  </si>
  <si>
    <t>I ppm</t>
  </si>
  <si>
    <t>Kendrick et al. (2017) values</t>
  </si>
  <si>
    <t>Kendrick et al. (2015)</t>
  </si>
  <si>
    <t>halogen estimates using the scaling to lithophile element of similar mantle incompatibility</t>
  </si>
  <si>
    <t>Tab "Subduction"</t>
  </si>
  <si>
    <t>Tab "Global mass balance"</t>
  </si>
  <si>
    <t>Tab "Best estimates slab"</t>
  </si>
  <si>
    <t>Subduction parameters (trench length, convergence rate and slab thickness) can be modified manually to investigate the respective roles of these parameters.</t>
  </si>
  <si>
    <t>Bulk slab</t>
  </si>
  <si>
    <t>Summarizes all the mantle outfluxes and concentrations that are used in our model, as well as how these are computed from one another.</t>
  </si>
  <si>
    <r>
      <t>14</t>
    </r>
    <r>
      <rPr>
        <sz val="12"/>
        <color theme="1"/>
        <rFont val="Arial"/>
        <family val="2"/>
      </rPr>
      <t>N</t>
    </r>
  </si>
  <si>
    <r>
      <t>3</t>
    </r>
    <r>
      <rPr>
        <sz val="12"/>
        <color theme="1"/>
        <rFont val="Arial"/>
        <family val="2"/>
      </rPr>
      <t>He</t>
    </r>
  </si>
  <si>
    <r>
      <t>22</t>
    </r>
    <r>
      <rPr>
        <sz val="12"/>
        <color theme="1"/>
        <rFont val="Arial"/>
        <family val="2"/>
      </rPr>
      <t>Ne</t>
    </r>
  </si>
  <si>
    <r>
      <t>36</t>
    </r>
    <r>
      <rPr>
        <sz val="12"/>
        <color theme="1"/>
        <rFont val="Arial"/>
        <family val="2"/>
      </rPr>
      <t>Ar</t>
    </r>
  </si>
  <si>
    <r>
      <t>84</t>
    </r>
    <r>
      <rPr>
        <sz val="12"/>
        <color theme="1"/>
        <rFont val="Arial"/>
        <family val="2"/>
      </rPr>
      <t>Kr</t>
    </r>
  </si>
  <si>
    <r>
      <t>130</t>
    </r>
    <r>
      <rPr>
        <sz val="12"/>
        <color theme="1"/>
        <rFont val="Arial"/>
        <family val="2"/>
      </rPr>
      <t>Xe</t>
    </r>
  </si>
  <si>
    <r>
      <t>H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O</t>
    </r>
  </si>
  <si>
    <r>
      <t>12</t>
    </r>
    <r>
      <rPr>
        <sz val="12"/>
        <color theme="1"/>
        <rFont val="Arial"/>
        <family val="2"/>
      </rPr>
      <t>C</t>
    </r>
  </si>
  <si>
    <r>
      <t>IN/OUT total (Fig.2</t>
    </r>
    <r>
      <rPr>
        <b/>
        <sz val="12"/>
        <color theme="1"/>
        <rFont val="Calibri"/>
        <family val="2"/>
      </rPr>
      <t>b</t>
    </r>
    <r>
      <rPr>
        <b/>
        <sz val="12"/>
        <color theme="1"/>
        <rFont val="Calibri"/>
        <family val="2"/>
      </rPr>
      <t>)</t>
    </r>
  </si>
  <si>
    <t>Tab "Fig. 2"</t>
  </si>
  <si>
    <t>Tab "Fig. 3b"</t>
  </si>
  <si>
    <t>Summarizes the fluxes and calculations that have been used to build Figure 3b.</t>
  </si>
  <si>
    <t>Time</t>
  </si>
  <si>
    <t>Estimates of past surface inventory contents</t>
  </si>
  <si>
    <t>must be ~100% to satisfy the mass balance</t>
  </si>
  <si>
    <t>Tab "Calculations"</t>
  </si>
  <si>
    <t>Presents all the parameterization of the global mass balance, as well as how fluxes and concentrations reported in tab "Global mass balance" have been determined.</t>
  </si>
  <si>
    <t>mantle</t>
  </si>
  <si>
    <t>Tab "halogen compilation"</t>
  </si>
  <si>
    <t>Most of these number are linked to the corresopnding calculations reported in tab "Calculations".</t>
  </si>
  <si>
    <t xml:space="preserve">This tab allows computing the bulk volatile content of the slab by adjusting the relative proportions of the different slab components, as well as their respective volatile contents.  </t>
  </si>
  <si>
    <t>Volatile concentrations in AOC,serpentinites and sediments are reported in the tab "Best estimates slab", along with appropriate references.</t>
  </si>
  <si>
    <t>Best estimates for the "total influx" (in yellow) are used in other tabs as subduction influxes.</t>
  </si>
  <si>
    <t>Summarizes the volatile concentrations of the different slab components, which are then used in tab "Subduction" to derive the bulk slab composition and global influxes.</t>
  </si>
  <si>
    <t>Summarizes the volatile fluxes and inventories that have been used to build Figure 2.</t>
  </si>
  <si>
    <t>Influxes are directly taken from the tab "Subduction"</t>
  </si>
  <si>
    <t>Outfluxes (minimum, best and maximum estimates) are taken from the tab "Global mass balance"</t>
  </si>
  <si>
    <t>Presents how halogen concentrations in the slab components and mantle reservoirs have been computed.</t>
  </si>
  <si>
    <t xml:space="preserve">This supplemental excel spreadsheet contains 7 tabs. Their working priciple and general contents are briefly outlined here below. </t>
  </si>
  <si>
    <t>Calculations corresponding to the results presented in Fig. 2a, 2b, 2c and Supplemental Fig. 2 are shown on the right side.</t>
  </si>
  <si>
    <t>Recycling efficiencies (Supplemental Fig.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</si>
</sst>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0.0%"/>
    <numFmt numFmtId="166" formatCode="0.0000"/>
    <numFmt numFmtId="167" formatCode="#,##0.000"/>
    <numFmt numFmtId="168" formatCode="0.00000"/>
  </numFmts>
  <fonts count="72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vertAlign val="superscript"/>
      <sz val="11"/>
      <color theme="1"/>
      <name val="Arial"/>
      <family val="2"/>
    </font>
    <font>
      <sz val="12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</font>
    <font>
      <b/>
      <sz val="11"/>
      <color rgb="FF000000"/>
      <name val="Arial"/>
      <family val="2"/>
    </font>
    <font>
      <i/>
      <sz val="12"/>
      <color theme="1"/>
      <name val="Calibri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rgb="FF000000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7E3794"/>
      <name val="Calibri"/>
      <family val="2"/>
    </font>
    <font>
      <i/>
      <sz val="12"/>
      <color rgb="FF000000"/>
      <name val="Arial"/>
      <family val="2"/>
    </font>
    <font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1"/>
      <color rgb="FFF7981D"/>
      <name val="Calibri"/>
      <family val="2"/>
    </font>
    <font>
      <sz val="12"/>
      <color rgb="FFF3F3F3"/>
      <name val="Calibri"/>
      <family val="2"/>
    </font>
    <font>
      <sz val="12"/>
      <color rgb="FFFF0000"/>
      <name val="Calibri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i/>
      <sz val="12"/>
      <color theme="1"/>
      <name val="Arial"/>
      <family val="2"/>
    </font>
    <font>
      <sz val="14"/>
      <color theme="1"/>
      <name val="Calibri"/>
      <family val="2"/>
    </font>
    <font>
      <b/>
      <sz val="14"/>
      <color rgb="FF000000"/>
      <name val="Calibri"/>
      <family val="2"/>
    </font>
    <font>
      <sz val="20"/>
      <color rgb="FF00000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theme="4"/>
      <name val="Arial"/>
      <family val="2"/>
    </font>
    <font>
      <sz val="11"/>
      <color theme="9"/>
      <name val="Arial"/>
      <family val="2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A8D08D"/>
        <bgColor rgb="FFA8D08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E7E6E6"/>
        <bgColor rgb="FFE7E6E6"/>
      </patternFill>
    </fill>
    <fill>
      <patternFill patternType="solid">
        <fgColor rgb="FFFADFC2"/>
        <bgColor rgb="FFFCE5CD"/>
      </patternFill>
    </fill>
    <fill>
      <patternFill patternType="solid">
        <fgColor rgb="FFF0F0F0"/>
        <bgColor indexed="64"/>
      </patternFill>
    </fill>
    <fill>
      <patternFill patternType="solid">
        <fgColor rgb="FFF0F0F0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6E5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A8D08D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41">
    <xf numFmtId="0" fontId="0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50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1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/>
    <xf numFmtId="11" fontId="3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1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11" fontId="2" fillId="7" borderId="1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1" fontId="3" fillId="7" borderId="1" xfId="0" applyNumberFormat="1" applyFont="1" applyFill="1" applyBorder="1" applyAlignment="1">
      <alignment horizontal="center"/>
    </xf>
    <xf numFmtId="11" fontId="4" fillId="0" borderId="0" xfId="0" applyNumberFormat="1" applyFont="1" applyAlignment="1"/>
    <xf numFmtId="11" fontId="2" fillId="0" borderId="0" xfId="0" applyNumberFormat="1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1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1" fontId="2" fillId="5" borderId="1" xfId="0" applyNumberFormat="1" applyFont="1" applyFill="1" applyBorder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1" fontId="1" fillId="9" borderId="1" xfId="0" applyNumberFormat="1" applyFont="1" applyFill="1" applyBorder="1" applyAlignment="1">
      <alignment horizontal="center"/>
    </xf>
    <xf numFmtId="10" fontId="4" fillId="0" borderId="0" xfId="0" applyNumberFormat="1" applyFont="1"/>
    <xf numFmtId="0" fontId="11" fillId="8" borderId="0" xfId="0" applyFont="1" applyFill="1" applyAlignment="1">
      <alignment horizontal="center"/>
    </xf>
    <xf numFmtId="0" fontId="2" fillId="0" borderId="0" xfId="0" applyFont="1"/>
    <xf numFmtId="0" fontId="11" fillId="10" borderId="0" xfId="0" applyFont="1" applyFill="1" applyAlignment="1">
      <alignment horizontal="center"/>
    </xf>
    <xf numFmtId="11" fontId="2" fillId="8" borderId="1" xfId="0" applyNumberFormat="1" applyFont="1" applyFill="1" applyBorder="1" applyAlignment="1">
      <alignment horizontal="center"/>
    </xf>
    <xf numFmtId="11" fontId="11" fillId="1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3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 vertical="center" wrapText="1"/>
    </xf>
    <xf numFmtId="0" fontId="16" fillId="11" borderId="13" xfId="0" applyFont="1" applyFill="1" applyBorder="1" applyAlignment="1">
      <alignment horizontal="center" vertical="center" wrapText="1"/>
    </xf>
    <xf numFmtId="2" fontId="5" fillId="11" borderId="14" xfId="0" applyNumberFormat="1" applyFont="1" applyFill="1" applyBorder="1" applyAlignment="1">
      <alignment horizontal="center"/>
    </xf>
    <xf numFmtId="2" fontId="2" fillId="11" borderId="15" xfId="0" applyNumberFormat="1" applyFont="1" applyFill="1" applyBorder="1" applyAlignment="1">
      <alignment horizontal="center"/>
    </xf>
    <xf numFmtId="2" fontId="3" fillId="11" borderId="15" xfId="0" applyNumberFormat="1" applyFont="1" applyFill="1" applyBorder="1" applyAlignment="1">
      <alignment horizontal="center"/>
    </xf>
    <xf numFmtId="2" fontId="2" fillId="11" borderId="1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center" vertical="center"/>
    </xf>
    <xf numFmtId="0" fontId="4" fillId="0" borderId="17" xfId="0" applyFont="1" applyBorder="1"/>
    <xf numFmtId="0" fontId="4" fillId="0" borderId="18" xfId="0" applyFont="1" applyBorder="1"/>
    <xf numFmtId="0" fontId="11" fillId="0" borderId="17" xfId="0" applyFont="1" applyBorder="1" applyAlignment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1" fillId="12" borderId="17" xfId="0" applyFont="1" applyFill="1" applyBorder="1" applyAlignment="1">
      <alignment horizontal="center"/>
    </xf>
    <xf numFmtId="4" fontId="4" fillId="12" borderId="0" xfId="0" applyNumberFormat="1" applyFont="1" applyFill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11" fontId="4" fillId="12" borderId="0" xfId="0" applyNumberFormat="1" applyFont="1" applyFill="1" applyAlignment="1">
      <alignment horizontal="center"/>
    </xf>
    <xf numFmtId="11" fontId="1" fillId="13" borderId="17" xfId="0" applyNumberFormat="1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8" fillId="14" borderId="17" xfId="0" applyFont="1" applyFill="1" applyBorder="1" applyAlignment="1">
      <alignment horizontal="center" vertical="center" wrapText="1"/>
    </xf>
    <xf numFmtId="11" fontId="2" fillId="15" borderId="0" xfId="0" applyNumberFormat="1" applyFont="1" applyFill="1" applyAlignment="1">
      <alignment horizontal="center" vertical="center"/>
    </xf>
    <xf numFmtId="11" fontId="2" fillId="15" borderId="18" xfId="0" applyNumberFormat="1" applyFont="1" applyFill="1" applyBorder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11" fontId="4" fillId="0" borderId="18" xfId="0" applyNumberFormat="1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14" borderId="21" xfId="0" applyFont="1" applyFill="1" applyBorder="1" applyAlignment="1">
      <alignment horizontal="center" vertical="center" wrapText="1"/>
    </xf>
    <xf numFmtId="11" fontId="3" fillId="14" borderId="22" xfId="0" applyNumberFormat="1" applyFont="1" applyFill="1" applyBorder="1" applyAlignment="1">
      <alignment horizontal="center"/>
    </xf>
    <xf numFmtId="0" fontId="18" fillId="16" borderId="17" xfId="0" applyFont="1" applyFill="1" applyBorder="1" applyAlignment="1">
      <alignment horizontal="center" vertical="center" wrapText="1"/>
    </xf>
    <xf numFmtId="11" fontId="3" fillId="15" borderId="0" xfId="0" applyNumberFormat="1" applyFont="1" applyFill="1" applyAlignment="1">
      <alignment horizontal="center" vertical="center"/>
    </xf>
    <xf numFmtId="11" fontId="3" fillId="15" borderId="18" xfId="0" applyNumberFormat="1" applyFont="1" applyFill="1" applyBorder="1" applyAlignment="1">
      <alignment horizontal="center" vertical="center"/>
    </xf>
    <xf numFmtId="0" fontId="21" fillId="17" borderId="21" xfId="0" applyFont="1" applyFill="1" applyBorder="1" applyAlignment="1">
      <alignment horizontal="center" vertical="center" wrapText="1"/>
    </xf>
    <xf numFmtId="11" fontId="3" fillId="17" borderId="22" xfId="0" applyNumberFormat="1" applyFont="1" applyFill="1" applyBorder="1" applyAlignment="1">
      <alignment horizontal="center"/>
    </xf>
    <xf numFmtId="0" fontId="18" fillId="16" borderId="17" xfId="0" applyFont="1" applyFill="1" applyBorder="1" applyAlignment="1">
      <alignment horizontal="center" vertical="center" wrapText="1"/>
    </xf>
    <xf numFmtId="11" fontId="22" fillId="15" borderId="0" xfId="0" applyNumberFormat="1" applyFont="1" applyFill="1" applyAlignment="1">
      <alignment horizontal="center" vertical="center" wrapText="1"/>
    </xf>
    <xf numFmtId="11" fontId="22" fillId="15" borderId="18" xfId="0" applyNumberFormat="1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/>
    </xf>
    <xf numFmtId="11" fontId="9" fillId="15" borderId="0" xfId="0" applyNumberFormat="1" applyFont="1" applyFill="1" applyAlignment="1">
      <alignment horizontal="center" vertical="center" wrapText="1"/>
    </xf>
    <xf numFmtId="11" fontId="9" fillId="15" borderId="18" xfId="0" applyNumberFormat="1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 wrapText="1"/>
    </xf>
    <xf numFmtId="11" fontId="3" fillId="17" borderId="20" xfId="0" applyNumberFormat="1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 vertical="center" wrapText="1"/>
    </xf>
    <xf numFmtId="11" fontId="3" fillId="14" borderId="22" xfId="0" applyNumberFormat="1" applyFont="1" applyFill="1" applyBorder="1" applyAlignment="1">
      <alignment horizontal="center"/>
    </xf>
    <xf numFmtId="0" fontId="24" fillId="17" borderId="23" xfId="0" applyFont="1" applyFill="1" applyBorder="1" applyAlignment="1">
      <alignment horizontal="center" vertical="center" wrapText="1"/>
    </xf>
    <xf numFmtId="11" fontId="3" fillId="17" borderId="24" xfId="0" applyNumberFormat="1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/>
    </xf>
    <xf numFmtId="0" fontId="16" fillId="16" borderId="17" xfId="0" applyFont="1" applyFill="1" applyBorder="1" applyAlignment="1">
      <alignment horizontal="center" vertical="center" wrapText="1"/>
    </xf>
    <xf numFmtId="0" fontId="9" fillId="17" borderId="21" xfId="0" applyFont="1" applyFill="1" applyBorder="1" applyAlignment="1">
      <alignment horizontal="center" vertical="center" wrapText="1"/>
    </xf>
    <xf numFmtId="11" fontId="3" fillId="17" borderId="22" xfId="0" applyNumberFormat="1" applyFont="1" applyFill="1" applyBorder="1" applyAlignment="1">
      <alignment horizontal="center"/>
    </xf>
    <xf numFmtId="0" fontId="16" fillId="14" borderId="17" xfId="0" applyFont="1" applyFill="1" applyBorder="1" applyAlignment="1">
      <alignment horizontal="center" vertical="center" wrapText="1"/>
    </xf>
    <xf numFmtId="11" fontId="3" fillId="0" borderId="22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18" fillId="0" borderId="17" xfId="0" applyFont="1" applyBorder="1" applyAlignment="1">
      <alignment horizontal="center" vertical="center" wrapText="1"/>
    </xf>
    <xf numFmtId="0" fontId="16" fillId="16" borderId="17" xfId="0" applyFont="1" applyFill="1" applyBorder="1" applyAlignment="1">
      <alignment horizontal="center" vertical="center" wrapText="1"/>
    </xf>
    <xf numFmtId="11" fontId="9" fillId="15" borderId="0" xfId="0" applyNumberFormat="1" applyFont="1" applyFill="1" applyAlignment="1">
      <alignment horizontal="center" vertical="center" wrapText="1"/>
    </xf>
    <xf numFmtId="0" fontId="11" fillId="18" borderId="17" xfId="0" applyFont="1" applyFill="1" applyBorder="1" applyAlignment="1">
      <alignment horizontal="center"/>
    </xf>
    <xf numFmtId="2" fontId="4" fillId="18" borderId="0" xfId="0" applyNumberFormat="1" applyFont="1" applyFill="1" applyAlignment="1">
      <alignment horizontal="center"/>
    </xf>
    <xf numFmtId="11" fontId="4" fillId="18" borderId="0" xfId="0" applyNumberFormat="1" applyFont="1" applyFill="1" applyAlignment="1">
      <alignment horizontal="center"/>
    </xf>
    <xf numFmtId="11" fontId="2" fillId="15" borderId="0" xfId="0" applyNumberFormat="1" applyFont="1" applyFill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0" fontId="16" fillId="14" borderId="14" xfId="0" applyFont="1" applyFill="1" applyBorder="1" applyAlignment="1">
      <alignment horizontal="center" vertical="center" wrapText="1"/>
    </xf>
    <xf numFmtId="11" fontId="2" fillId="15" borderId="15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 vertical="center"/>
    </xf>
    <xf numFmtId="11" fontId="4" fillId="0" borderId="15" xfId="0" applyNumberFormat="1" applyFont="1" applyBorder="1" applyAlignment="1">
      <alignment horizontal="center"/>
    </xf>
    <xf numFmtId="11" fontId="4" fillId="0" borderId="1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1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19" fillId="18" borderId="0" xfId="0" applyFont="1" applyFill="1" applyAlignment="1"/>
    <xf numFmtId="0" fontId="4" fillId="18" borderId="0" xfId="0" applyFont="1" applyFill="1"/>
    <xf numFmtId="0" fontId="4" fillId="18" borderId="0" xfId="0" applyFont="1" applyFill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18" xfId="0" applyFont="1" applyFill="1" applyBorder="1"/>
    <xf numFmtId="0" fontId="4" fillId="18" borderId="18" xfId="0" applyFont="1" applyFill="1" applyBorder="1" applyAlignment="1">
      <alignment horizontal="center"/>
    </xf>
    <xf numFmtId="11" fontId="4" fillId="18" borderId="0" xfId="0" applyNumberFormat="1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19" fillId="18" borderId="0" xfId="0" applyFont="1" applyFill="1" applyAlignment="1">
      <alignment horizontal="left"/>
    </xf>
    <xf numFmtId="0" fontId="4" fillId="18" borderId="0" xfId="0" applyFont="1" applyFill="1" applyAlignment="1">
      <alignment horizontal="left"/>
    </xf>
    <xf numFmtId="0" fontId="26" fillId="18" borderId="0" xfId="0" applyFont="1" applyFill="1" applyAlignment="1">
      <alignment horizontal="center"/>
    </xf>
    <xf numFmtId="0" fontId="19" fillId="0" borderId="0" xfId="0" applyFont="1" applyAlignment="1"/>
    <xf numFmtId="0" fontId="26" fillId="19" borderId="0" xfId="0" applyFont="1" applyFill="1" applyAlignment="1">
      <alignment horizontal="center"/>
    </xf>
    <xf numFmtId="0" fontId="11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10" fontId="4" fillId="19" borderId="0" xfId="0" applyNumberFormat="1" applyFont="1" applyFill="1" applyAlignment="1">
      <alignment horizontal="center"/>
    </xf>
    <xf numFmtId="0" fontId="1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8" borderId="15" xfId="0" applyFont="1" applyFill="1" applyBorder="1" applyAlignment="1">
      <alignment horizontal="center"/>
    </xf>
    <xf numFmtId="11" fontId="4" fillId="18" borderId="15" xfId="0" applyNumberFormat="1" applyFont="1" applyFill="1" applyBorder="1" applyAlignment="1">
      <alignment horizontal="center"/>
    </xf>
    <xf numFmtId="0" fontId="4" fillId="18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19" borderId="0" xfId="0" applyFont="1" applyFill="1"/>
    <xf numFmtId="0" fontId="4" fillId="19" borderId="0" xfId="0" applyFont="1" applyFill="1" applyAlignment="1">
      <alignment horizontal="center"/>
    </xf>
    <xf numFmtId="0" fontId="11" fillId="0" borderId="0" xfId="0" applyFont="1" applyAlignment="1"/>
    <xf numFmtId="11" fontId="4" fillId="18" borderId="17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3" fontId="4" fillId="13" borderId="0" xfId="0" applyNumberFormat="1" applyFont="1" applyFill="1" applyAlignment="1">
      <alignment horizontal="center"/>
    </xf>
    <xf numFmtId="0" fontId="4" fillId="18" borderId="17" xfId="0" applyFont="1" applyFill="1" applyBorder="1"/>
    <xf numFmtId="2" fontId="4" fillId="13" borderId="0" xfId="0" applyNumberFormat="1" applyFont="1" applyFill="1" applyAlignment="1">
      <alignment horizontal="center"/>
    </xf>
    <xf numFmtId="166" fontId="4" fillId="18" borderId="0" xfId="0" applyNumberFormat="1" applyFont="1" applyFill="1" applyAlignment="1">
      <alignment horizontal="center"/>
    </xf>
    <xf numFmtId="11" fontId="4" fillId="13" borderId="0" xfId="0" applyNumberFormat="1" applyFont="1" applyFill="1" applyAlignment="1">
      <alignment horizontal="center"/>
    </xf>
    <xf numFmtId="0" fontId="27" fillId="0" borderId="0" xfId="0" applyFont="1"/>
    <xf numFmtId="0" fontId="19" fillId="18" borderId="0" xfId="0" applyFont="1" applyFill="1" applyAlignment="1">
      <alignment horizontal="center"/>
    </xf>
    <xf numFmtId="0" fontId="4" fillId="18" borderId="17" xfId="0" applyFont="1" applyFill="1" applyBorder="1" applyAlignment="1">
      <alignment horizontal="center"/>
    </xf>
    <xf numFmtId="0" fontId="4" fillId="18" borderId="0" xfId="0" applyFont="1" applyFill="1" applyAlignment="1">
      <alignment horizontal="right"/>
    </xf>
    <xf numFmtId="11" fontId="4" fillId="13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19" fillId="13" borderId="0" xfId="0" applyFont="1" applyFill="1" applyAlignment="1">
      <alignment horizontal="center"/>
    </xf>
    <xf numFmtId="4" fontId="4" fillId="13" borderId="0" xfId="0" applyNumberFormat="1" applyFont="1" applyFill="1" applyAlignment="1">
      <alignment horizontal="center"/>
    </xf>
    <xf numFmtId="0" fontId="29" fillId="0" borderId="0" xfId="0" applyFont="1" applyAlignment="1"/>
    <xf numFmtId="11" fontId="2" fillId="13" borderId="0" xfId="0" applyNumberFormat="1" applyFont="1" applyFill="1" applyAlignment="1">
      <alignment horizontal="center"/>
    </xf>
    <xf numFmtId="0" fontId="2" fillId="0" borderId="0" xfId="0" applyFont="1" applyAlignment="1"/>
    <xf numFmtId="0" fontId="4" fillId="18" borderId="0" xfId="0" quotePrefix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0" fillId="0" borderId="0" xfId="0" applyFont="1" applyAlignment="1"/>
    <xf numFmtId="0" fontId="7" fillId="13" borderId="0" xfId="0" applyFont="1" applyFill="1" applyAlignment="1">
      <alignment horizontal="center"/>
    </xf>
    <xf numFmtId="0" fontId="7" fillId="19" borderId="0" xfId="0" applyFont="1" applyFill="1"/>
    <xf numFmtId="11" fontId="11" fillId="0" borderId="0" xfId="0" applyNumberFormat="1" applyFont="1" applyAlignment="1">
      <alignment horizontal="center"/>
    </xf>
    <xf numFmtId="0" fontId="28" fillId="18" borderId="0" xfId="0" applyFont="1" applyFill="1" applyAlignment="1"/>
    <xf numFmtId="0" fontId="4" fillId="13" borderId="0" xfId="0" applyFont="1" applyFill="1" applyAlignment="1">
      <alignment horizontal="center"/>
    </xf>
    <xf numFmtId="4" fontId="4" fillId="18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11" fontId="31" fillId="0" borderId="0" xfId="0" applyNumberFormat="1" applyFont="1"/>
    <xf numFmtId="4" fontId="4" fillId="13" borderId="0" xfId="0" applyNumberFormat="1" applyFont="1" applyFill="1" applyAlignment="1">
      <alignment horizontal="center"/>
    </xf>
    <xf numFmtId="167" fontId="4" fillId="18" borderId="0" xfId="0" applyNumberFormat="1" applyFont="1" applyFill="1" applyAlignment="1">
      <alignment horizontal="center"/>
    </xf>
    <xf numFmtId="0" fontId="11" fillId="0" borderId="0" xfId="0" applyFont="1" applyAlignment="1">
      <alignment horizontal="right"/>
    </xf>
    <xf numFmtId="0" fontId="1" fillId="13" borderId="0" xfId="0" applyFont="1" applyFill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11" fontId="4" fillId="18" borderId="11" xfId="0" applyNumberFormat="1" applyFont="1" applyFill="1" applyBorder="1" applyAlignment="1">
      <alignment horizontal="center"/>
    </xf>
    <xf numFmtId="0" fontId="4" fillId="18" borderId="12" xfId="0" applyFont="1" applyFill="1" applyBorder="1"/>
    <xf numFmtId="0" fontId="4" fillId="18" borderId="13" xfId="0" applyFont="1" applyFill="1" applyBorder="1"/>
    <xf numFmtId="0" fontId="19" fillId="18" borderId="0" xfId="0" applyFont="1" applyFill="1" applyAlignment="1">
      <alignment horizontal="right"/>
    </xf>
    <xf numFmtId="1" fontId="4" fillId="18" borderId="0" xfId="0" applyNumberFormat="1" applyFont="1" applyFill="1" applyAlignment="1">
      <alignment horizontal="center"/>
    </xf>
    <xf numFmtId="0" fontId="32" fillId="18" borderId="0" xfId="0" applyFont="1" applyFill="1"/>
    <xf numFmtId="0" fontId="32" fillId="18" borderId="18" xfId="0" applyFont="1" applyFill="1" applyBorder="1"/>
    <xf numFmtId="11" fontId="4" fillId="0" borderId="0" xfId="0" applyNumberFormat="1" applyFont="1"/>
    <xf numFmtId="0" fontId="19" fillId="18" borderId="0" xfId="0" applyFont="1" applyFill="1" applyAlignment="1">
      <alignment horizontal="left"/>
    </xf>
    <xf numFmtId="0" fontId="33" fillId="0" borderId="0" xfId="0" applyFont="1" applyAlignment="1">
      <alignment horizontal="center"/>
    </xf>
    <xf numFmtId="0" fontId="4" fillId="18" borderId="0" xfId="0" applyFont="1" applyFill="1" applyAlignment="1">
      <alignment horizontal="left"/>
    </xf>
    <xf numFmtId="11" fontId="4" fillId="18" borderId="0" xfId="0" applyNumberFormat="1" applyFont="1" applyFill="1"/>
    <xf numFmtId="11" fontId="22" fillId="13" borderId="0" xfId="0" applyNumberFormat="1" applyFont="1" applyFill="1" applyAlignment="1">
      <alignment horizontal="center"/>
    </xf>
    <xf numFmtId="4" fontId="22" fillId="1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18" borderId="12" xfId="0" applyFont="1" applyFill="1" applyBorder="1" applyAlignment="1">
      <alignment horizontal="center"/>
    </xf>
    <xf numFmtId="0" fontId="1" fillId="14" borderId="25" xfId="0" applyFont="1" applyFill="1" applyBorder="1" applyAlignment="1">
      <alignment horizontal="center"/>
    </xf>
    <xf numFmtId="0" fontId="1" fillId="14" borderId="20" xfId="0" applyFont="1" applyFill="1" applyBorder="1" applyAlignment="1">
      <alignment horizontal="center"/>
    </xf>
    <xf numFmtId="0" fontId="36" fillId="0" borderId="0" xfId="0" applyFont="1" applyAlignment="1">
      <alignment horizontal="center" vertical="center" wrapText="1"/>
    </xf>
    <xf numFmtId="0" fontId="37" fillId="14" borderId="19" xfId="0" applyFont="1" applyFill="1" applyBorder="1" applyAlignment="1">
      <alignment horizontal="center" vertical="center" wrapText="1"/>
    </xf>
    <xf numFmtId="2" fontId="3" fillId="18" borderId="26" xfId="0" applyNumberFormat="1" applyFont="1" applyFill="1" applyBorder="1" applyAlignment="1">
      <alignment horizontal="center"/>
    </xf>
    <xf numFmtId="2" fontId="3" fillId="18" borderId="24" xfId="0" applyNumberFormat="1" applyFont="1" applyFill="1" applyBorder="1" applyAlignment="1">
      <alignment horizontal="center"/>
    </xf>
    <xf numFmtId="0" fontId="38" fillId="14" borderId="23" xfId="0" applyFont="1" applyFill="1" applyBorder="1" applyAlignment="1">
      <alignment horizontal="center" vertical="center" wrapText="1"/>
    </xf>
    <xf numFmtId="2" fontId="5" fillId="18" borderId="26" xfId="0" applyNumberFormat="1" applyFont="1" applyFill="1" applyBorder="1" applyAlignment="1">
      <alignment horizontal="center"/>
    </xf>
    <xf numFmtId="2" fontId="5" fillId="18" borderId="24" xfId="0" applyNumberFormat="1" applyFont="1" applyFill="1" applyBorder="1" applyAlignment="1">
      <alignment horizontal="center"/>
    </xf>
    <xf numFmtId="2" fontId="5" fillId="18" borderId="26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9" fillId="0" borderId="0" xfId="0" applyFont="1" applyAlignment="1">
      <alignment horizontal="center" vertical="center" wrapText="1"/>
    </xf>
    <xf numFmtId="11" fontId="2" fillId="0" borderId="15" xfId="0" applyNumberFormat="1" applyFont="1" applyBorder="1" applyAlignment="1">
      <alignment horizontal="center"/>
    </xf>
    <xf numFmtId="0" fontId="9" fillId="14" borderId="30" xfId="0" applyFont="1" applyFill="1" applyBorder="1" applyAlignment="1">
      <alignment horizontal="center" vertical="center" wrapText="1"/>
    </xf>
    <xf numFmtId="2" fontId="3" fillId="18" borderId="28" xfId="0" applyNumberFormat="1" applyFont="1" applyFill="1" applyBorder="1" applyAlignment="1">
      <alignment horizontal="center"/>
    </xf>
    <xf numFmtId="2" fontId="3" fillId="18" borderId="3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5" fillId="18" borderId="11" xfId="0" applyFont="1" applyFill="1" applyBorder="1" applyAlignment="1">
      <alignment horizontal="center"/>
    </xf>
    <xf numFmtId="0" fontId="35" fillId="18" borderId="13" xfId="0" applyFont="1" applyFill="1" applyBorder="1" applyAlignment="1">
      <alignment horizontal="center"/>
    </xf>
    <xf numFmtId="11" fontId="2" fillId="0" borderId="18" xfId="0" applyNumberFormat="1" applyFont="1" applyBorder="1" applyAlignment="1">
      <alignment horizontal="center"/>
    </xf>
    <xf numFmtId="0" fontId="41" fillId="14" borderId="32" xfId="0" applyFont="1" applyFill="1" applyBorder="1" applyAlignment="1">
      <alignment horizontal="center" vertical="center" wrapText="1"/>
    </xf>
    <xf numFmtId="11" fontId="7" fillId="0" borderId="0" xfId="0" applyNumberFormat="1" applyFont="1" applyAlignment="1">
      <alignment horizontal="center"/>
    </xf>
    <xf numFmtId="0" fontId="42" fillId="14" borderId="33" xfId="0" applyFont="1" applyFill="1" applyBorder="1" applyAlignment="1">
      <alignment horizontal="center" vertical="center" wrapText="1"/>
    </xf>
    <xf numFmtId="11" fontId="2" fillId="0" borderId="17" xfId="0" applyNumberFormat="1" applyFont="1" applyBorder="1" applyAlignment="1">
      <alignment horizontal="center"/>
    </xf>
    <xf numFmtId="0" fontId="9" fillId="14" borderId="33" xfId="0" applyFont="1" applyFill="1" applyBorder="1" applyAlignment="1">
      <alignment horizontal="center" vertical="center" wrapText="1"/>
    </xf>
    <xf numFmtId="11" fontId="2" fillId="0" borderId="16" xfId="0" applyNumberFormat="1" applyFont="1" applyBorder="1" applyAlignment="1">
      <alignment horizontal="center"/>
    </xf>
    <xf numFmtId="0" fontId="9" fillId="14" borderId="34" xfId="0" applyFont="1" applyFill="1" applyBorder="1" applyAlignment="1">
      <alignment horizontal="center" vertical="center" wrapText="1"/>
    </xf>
    <xf numFmtId="11" fontId="2" fillId="0" borderId="14" xfId="0" applyNumberFormat="1" applyFont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44" fillId="21" borderId="39" xfId="0" applyFont="1" applyFill="1" applyBorder="1" applyAlignment="1">
      <alignment horizontal="center" vertical="center" wrapText="1"/>
    </xf>
    <xf numFmtId="0" fontId="16" fillId="21" borderId="20" xfId="0" applyFont="1" applyFill="1" applyBorder="1" applyAlignment="1">
      <alignment horizontal="center" vertical="center" wrapText="1"/>
    </xf>
    <xf numFmtId="0" fontId="3" fillId="0" borderId="0" xfId="0" applyFont="1" applyAlignment="1"/>
    <xf numFmtId="2" fontId="2" fillId="21" borderId="23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2" fontId="3" fillId="21" borderId="24" xfId="0" applyNumberFormat="1" applyFont="1" applyFill="1" applyBorder="1" applyAlignment="1">
      <alignment horizontal="center"/>
    </xf>
    <xf numFmtId="0" fontId="45" fillId="21" borderId="23" xfId="0" applyFont="1" applyFill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6" fillId="21" borderId="24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21" borderId="30" xfId="0" applyNumberFormat="1" applyFont="1" applyFill="1" applyBorder="1" applyAlignment="1">
      <alignment horizontal="center"/>
    </xf>
    <xf numFmtId="2" fontId="3" fillId="21" borderId="40" xfId="0" applyNumberFormat="1" applyFont="1" applyFill="1" applyBorder="1" applyAlignment="1">
      <alignment horizontal="center"/>
    </xf>
    <xf numFmtId="2" fontId="3" fillId="21" borderId="3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13" borderId="41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11" fontId="2" fillId="13" borderId="25" xfId="0" applyNumberFormat="1" applyFont="1" applyFill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11" fontId="3" fillId="0" borderId="11" xfId="0" applyNumberFormat="1" applyFont="1" applyBorder="1" applyAlignment="1">
      <alignment horizontal="center"/>
    </xf>
    <xf numFmtId="11" fontId="2" fillId="0" borderId="13" xfId="0" applyNumberFormat="1" applyFont="1" applyBorder="1" applyAlignment="1">
      <alignment horizontal="center"/>
    </xf>
    <xf numFmtId="0" fontId="47" fillId="0" borderId="17" xfId="0" applyFont="1" applyBorder="1" applyAlignment="1">
      <alignment horizontal="center" vertical="center" wrapText="1"/>
    </xf>
    <xf numFmtId="11" fontId="2" fillId="13" borderId="26" xfId="0" applyNumberFormat="1" applyFont="1" applyFill="1" applyBorder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11" fontId="3" fillId="13" borderId="26" xfId="0" applyNumberFormat="1" applyFont="1" applyFill="1" applyBorder="1" applyAlignment="1">
      <alignment horizontal="center"/>
    </xf>
    <xf numFmtId="11" fontId="3" fillId="0" borderId="17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11" fontId="2" fillId="13" borderId="28" xfId="0" applyNumberFormat="1" applyFont="1" applyFill="1" applyBorder="1" applyAlignment="1">
      <alignment horizontal="center"/>
    </xf>
    <xf numFmtId="11" fontId="3" fillId="0" borderId="14" xfId="0" applyNumberFormat="1" applyFont="1" applyBorder="1" applyAlignment="1">
      <alignment horizontal="center"/>
    </xf>
    <xf numFmtId="4" fontId="2" fillId="13" borderId="0" xfId="0" applyNumberFormat="1" applyFont="1" applyFill="1" applyAlignment="1">
      <alignment horizontal="center"/>
    </xf>
    <xf numFmtId="0" fontId="0" fillId="0" borderId="43" xfId="0" applyFont="1" applyBorder="1" applyAlignment="1"/>
    <xf numFmtId="11" fontId="0" fillId="0" borderId="0" xfId="0" applyNumberFormat="1" applyFont="1" applyAlignment="1"/>
    <xf numFmtId="0" fontId="25" fillId="12" borderId="16" xfId="0" applyFont="1" applyFill="1" applyBorder="1" applyAlignment="1">
      <alignment horizontal="center"/>
    </xf>
    <xf numFmtId="11" fontId="2" fillId="22" borderId="0" xfId="0" applyNumberFormat="1" applyFont="1" applyFill="1" applyAlignment="1">
      <alignment horizontal="center" vertical="center"/>
    </xf>
    <xf numFmtId="11" fontId="4" fillId="0" borderId="0" xfId="0" applyNumberFormat="1" applyFont="1" applyFill="1" applyAlignment="1">
      <alignment horizontal="center"/>
    </xf>
    <xf numFmtId="0" fontId="0" fillId="23" borderId="45" xfId="0" applyFont="1" applyFill="1" applyBorder="1" applyAlignment="1"/>
    <xf numFmtId="0" fontId="4" fillId="24" borderId="42" xfId="0" applyFont="1" applyFill="1" applyBorder="1"/>
    <xf numFmtId="0" fontId="4" fillId="24" borderId="42" xfId="0" applyFont="1" applyFill="1" applyBorder="1" applyAlignment="1">
      <alignment horizontal="center"/>
    </xf>
    <xf numFmtId="11" fontId="4" fillId="24" borderId="42" xfId="0" applyNumberFormat="1" applyFont="1" applyFill="1" applyBorder="1" applyAlignment="1">
      <alignment horizontal="center"/>
    </xf>
    <xf numFmtId="0" fontId="19" fillId="24" borderId="42" xfId="0" applyFont="1" applyFill="1" applyBorder="1" applyAlignment="1">
      <alignment horizontal="left"/>
    </xf>
    <xf numFmtId="0" fontId="0" fillId="23" borderId="42" xfId="0" applyFont="1" applyFill="1" applyBorder="1" applyAlignment="1"/>
    <xf numFmtId="0" fontId="0" fillId="23" borderId="42" xfId="0" applyFont="1" applyFill="1" applyBorder="1" applyAlignment="1">
      <alignment horizontal="center"/>
    </xf>
    <xf numFmtId="0" fontId="0" fillId="23" borderId="44" xfId="0" applyFont="1" applyFill="1" applyBorder="1" applyAlignment="1"/>
    <xf numFmtId="0" fontId="4" fillId="24" borderId="43" xfId="0" applyFont="1" applyFill="1" applyBorder="1"/>
    <xf numFmtId="0" fontId="0" fillId="23" borderId="43" xfId="0" applyFont="1" applyFill="1" applyBorder="1" applyAlignment="1"/>
    <xf numFmtId="0" fontId="0" fillId="23" borderId="46" xfId="0" applyFont="1" applyFill="1" applyBorder="1" applyAlignment="1"/>
    <xf numFmtId="0" fontId="4" fillId="24" borderId="45" xfId="0" applyFont="1" applyFill="1" applyBorder="1"/>
    <xf numFmtId="0" fontId="0" fillId="23" borderId="47" xfId="0" applyFont="1" applyFill="1" applyBorder="1" applyAlignment="1"/>
    <xf numFmtId="11" fontId="2" fillId="15" borderId="0" xfId="0" applyNumberFormat="1" applyFont="1" applyFill="1" applyAlignment="1">
      <alignment horizontal="center"/>
    </xf>
    <xf numFmtId="11" fontId="2" fillId="15" borderId="18" xfId="0" applyNumberFormat="1" applyFont="1" applyFill="1" applyBorder="1" applyAlignment="1">
      <alignment horizontal="center"/>
    </xf>
    <xf numFmtId="11" fontId="4" fillId="18" borderId="0" xfId="0" applyNumberFormat="1" applyFont="1" applyFill="1" applyAlignment="1">
      <alignment horizontal="left"/>
    </xf>
    <xf numFmtId="0" fontId="1" fillId="24" borderId="42" xfId="0" applyFont="1" applyFill="1" applyBorder="1" applyAlignment="1">
      <alignment horizontal="center"/>
    </xf>
    <xf numFmtId="0" fontId="2" fillId="24" borderId="42" xfId="0" applyFont="1" applyFill="1" applyBorder="1" applyAlignment="1">
      <alignment horizontal="left"/>
    </xf>
    <xf numFmtId="0" fontId="2" fillId="24" borderId="42" xfId="0" applyFont="1" applyFill="1" applyBorder="1" applyAlignment="1">
      <alignment horizontal="center"/>
    </xf>
    <xf numFmtId="0" fontId="35" fillId="23" borderId="42" xfId="0" applyFont="1" applyFill="1" applyBorder="1" applyAlignment="1">
      <alignment horizontal="center"/>
    </xf>
    <xf numFmtId="0" fontId="0" fillId="23" borderId="44" xfId="0" applyFont="1" applyFill="1" applyBorder="1" applyAlignment="1">
      <alignment horizontal="center"/>
    </xf>
    <xf numFmtId="0" fontId="28" fillId="18" borderId="0" xfId="0" applyFont="1" applyFill="1" applyAlignment="1">
      <alignment horizontal="left"/>
    </xf>
    <xf numFmtId="0" fontId="4" fillId="18" borderId="0" xfId="0" quotePrefix="1" applyFont="1" applyFill="1" applyAlignment="1">
      <alignment horizontal="left"/>
    </xf>
    <xf numFmtId="11" fontId="7" fillId="24" borderId="42" xfId="0" applyNumberFormat="1" applyFont="1" applyFill="1" applyBorder="1" applyAlignment="1">
      <alignment horizontal="left"/>
    </xf>
    <xf numFmtId="11" fontId="4" fillId="24" borderId="42" xfId="0" applyNumberFormat="1" applyFont="1" applyFill="1" applyBorder="1" applyAlignment="1">
      <alignment horizontal="left"/>
    </xf>
    <xf numFmtId="0" fontId="0" fillId="23" borderId="42" xfId="0" applyFont="1" applyFill="1" applyBorder="1" applyAlignment="1">
      <alignment horizontal="left"/>
    </xf>
    <xf numFmtId="0" fontId="52" fillId="23" borderId="42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11" fontId="53" fillId="25" borderId="42" xfId="0" applyNumberFormat="1" applyFont="1" applyFill="1" applyBorder="1" applyAlignment="1">
      <alignment horizontal="center" wrapText="1"/>
    </xf>
    <xf numFmtId="0" fontId="53" fillId="25" borderId="42" xfId="0" applyFont="1" applyFill="1" applyBorder="1" applyAlignment="1">
      <alignment horizontal="center" wrapText="1"/>
    </xf>
    <xf numFmtId="0" fontId="0" fillId="25" borderId="0" xfId="0" applyFont="1" applyFill="1" applyAlignment="1"/>
    <xf numFmtId="11" fontId="53" fillId="25" borderId="42" xfId="0" applyNumberFormat="1" applyFont="1" applyFill="1" applyBorder="1" applyAlignment="1">
      <alignment horizontal="center"/>
    </xf>
    <xf numFmtId="11" fontId="0" fillId="25" borderId="0" xfId="0" applyNumberFormat="1" applyFont="1" applyFill="1" applyAlignment="1">
      <alignment horizontal="center"/>
    </xf>
    <xf numFmtId="0" fontId="0" fillId="25" borderId="42" xfId="0" applyFont="1" applyFill="1" applyBorder="1" applyAlignment="1"/>
    <xf numFmtId="11" fontId="0" fillId="25" borderId="42" xfId="0" applyNumberFormat="1" applyFont="1" applyFill="1" applyBorder="1" applyAlignment="1"/>
    <xf numFmtId="11" fontId="0" fillId="25" borderId="42" xfId="0" applyNumberFormat="1" applyFont="1" applyFill="1" applyBorder="1" applyAlignment="1">
      <alignment horizontal="center"/>
    </xf>
    <xf numFmtId="11" fontId="35" fillId="25" borderId="42" xfId="0" applyNumberFormat="1" applyFont="1" applyFill="1" applyBorder="1" applyAlignment="1">
      <alignment horizontal="center" vertical="center" wrapText="1"/>
    </xf>
    <xf numFmtId="0" fontId="17" fillId="25" borderId="42" xfId="0" applyFont="1" applyFill="1" applyBorder="1" applyAlignment="1">
      <alignment horizontal="center" wrapText="1"/>
    </xf>
    <xf numFmtId="0" fontId="17" fillId="25" borderId="42" xfId="0" applyFont="1" applyFill="1" applyBorder="1" applyAlignment="1">
      <alignment horizontal="center"/>
    </xf>
    <xf numFmtId="0" fontId="35" fillId="25" borderId="42" xfId="0" applyFont="1" applyFill="1" applyBorder="1" applyAlignment="1"/>
    <xf numFmtId="168" fontId="0" fillId="25" borderId="42" xfId="0" applyNumberFormat="1" applyFont="1" applyFill="1" applyBorder="1" applyAlignment="1">
      <alignment horizontal="center"/>
    </xf>
    <xf numFmtId="0" fontId="0" fillId="26" borderId="0" xfId="0" applyFont="1" applyFill="1" applyAlignment="1"/>
    <xf numFmtId="0" fontId="54" fillId="25" borderId="42" xfId="0" applyFont="1" applyFill="1" applyBorder="1" applyAlignment="1">
      <alignment horizontal="center" vertical="center" wrapText="1"/>
    </xf>
    <xf numFmtId="0" fontId="17" fillId="25" borderId="42" xfId="0" applyFont="1" applyFill="1" applyBorder="1" applyAlignment="1">
      <alignment horizontal="center" vertical="center" wrapText="1"/>
    </xf>
    <xf numFmtId="0" fontId="0" fillId="0" borderId="0" xfId="0" applyFont="1" applyAlignment="1"/>
    <xf numFmtId="168" fontId="0" fillId="0" borderId="0" xfId="0" applyNumberFormat="1" applyFont="1" applyAlignment="1"/>
    <xf numFmtId="1" fontId="0" fillId="0" borderId="0" xfId="0" applyNumberFormat="1" applyFont="1" applyAlignment="1"/>
    <xf numFmtId="168" fontId="0" fillId="0" borderId="42" xfId="0" applyNumberFormat="1" applyFont="1" applyFill="1" applyBorder="1" applyAlignment="1">
      <alignment horizontal="center"/>
    </xf>
    <xf numFmtId="0" fontId="19" fillId="18" borderId="0" xfId="0" applyFont="1" applyFill="1" applyAlignment="1">
      <alignment horizontal="left"/>
    </xf>
    <xf numFmtId="0" fontId="4" fillId="18" borderId="33" xfId="0" applyFont="1" applyFill="1" applyBorder="1"/>
    <xf numFmtId="0" fontId="4" fillId="18" borderId="24" xfId="0" applyFont="1" applyFill="1" applyBorder="1"/>
    <xf numFmtId="0" fontId="4" fillId="27" borderId="17" xfId="0" applyFont="1" applyFill="1" applyBorder="1"/>
    <xf numFmtId="0" fontId="4" fillId="27" borderId="0" xfId="0" applyFont="1" applyFill="1"/>
    <xf numFmtId="0" fontId="4" fillId="27" borderId="0" xfId="0" applyFont="1" applyFill="1" applyAlignment="1">
      <alignment horizontal="center"/>
    </xf>
    <xf numFmtId="0" fontId="4" fillId="27" borderId="0" xfId="0" quotePrefix="1" applyFont="1" applyFill="1" applyAlignment="1">
      <alignment horizontal="center"/>
    </xf>
    <xf numFmtId="11" fontId="4" fillId="27" borderId="0" xfId="0" applyNumberFormat="1" applyFont="1" applyFill="1" applyAlignment="1">
      <alignment horizontal="center"/>
    </xf>
    <xf numFmtId="0" fontId="19" fillId="27" borderId="0" xfId="0" applyFont="1" applyFill="1" applyAlignment="1"/>
    <xf numFmtId="0" fontId="0" fillId="28" borderId="0" xfId="0" applyFont="1" applyFill="1" applyAlignment="1"/>
    <xf numFmtId="0" fontId="0" fillId="0" borderId="48" xfId="0" applyFont="1" applyFill="1" applyBorder="1" applyAlignment="1"/>
    <xf numFmtId="0" fontId="4" fillId="0" borderId="42" xfId="0" applyFont="1" applyFill="1" applyBorder="1"/>
    <xf numFmtId="0" fontId="4" fillId="0" borderId="48" xfId="0" applyFont="1" applyFill="1" applyBorder="1"/>
    <xf numFmtId="0" fontId="4" fillId="29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11" fontId="2" fillId="29" borderId="0" xfId="0" applyNumberFormat="1" applyFont="1" applyFill="1" applyAlignment="1">
      <alignment horizontal="center"/>
    </xf>
    <xf numFmtId="0" fontId="0" fillId="29" borderId="0" xfId="0" quotePrefix="1" applyFont="1" applyFill="1" applyAlignment="1"/>
    <xf numFmtId="0" fontId="0" fillId="0" borderId="0" xfId="0"/>
    <xf numFmtId="0" fontId="55" fillId="0" borderId="0" xfId="0" applyFont="1" applyFill="1" applyAlignment="1">
      <alignment horizontal="center"/>
    </xf>
    <xf numFmtId="11" fontId="4" fillId="0" borderId="0" xfId="0" applyNumberFormat="1" applyFont="1" applyFill="1" applyAlignment="1"/>
    <xf numFmtId="11" fontId="53" fillId="32" borderId="42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0" fontId="0" fillId="0" borderId="0" xfId="0" applyNumberFormat="1" applyFont="1" applyAlignment="1"/>
    <xf numFmtId="0" fontId="1" fillId="0" borderId="0" xfId="0" applyFont="1" applyAlignment="1">
      <alignment horizontal="left"/>
    </xf>
    <xf numFmtId="11" fontId="2" fillId="0" borderId="17" xfId="0" applyNumberFormat="1" applyFont="1" applyFill="1" applyBorder="1" applyAlignment="1">
      <alignment horizontal="center"/>
    </xf>
    <xf numFmtId="11" fontId="2" fillId="33" borderId="0" xfId="0" applyNumberFormat="1" applyFont="1" applyFill="1" applyAlignment="1">
      <alignment horizontal="center"/>
    </xf>
    <xf numFmtId="11" fontId="2" fillId="34" borderId="0" xfId="0" applyNumberFormat="1" applyFont="1" applyFill="1" applyAlignment="1">
      <alignment horizontal="center" vertical="center"/>
    </xf>
    <xf numFmtId="0" fontId="17" fillId="0" borderId="4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0" borderId="42" xfId="0" applyFont="1" applyFill="1" applyBorder="1" applyAlignment="1"/>
    <xf numFmtId="0" fontId="4" fillId="35" borderId="17" xfId="0" applyFont="1" applyFill="1" applyBorder="1"/>
    <xf numFmtId="0" fontId="0" fillId="35" borderId="42" xfId="0" applyFont="1" applyFill="1" applyBorder="1" applyAlignment="1"/>
    <xf numFmtId="0" fontId="0" fillId="35" borderId="42" xfId="0" applyFont="1" applyFill="1" applyBorder="1" applyAlignment="1">
      <alignment horizontal="left"/>
    </xf>
    <xf numFmtId="0" fontId="19" fillId="35" borderId="17" xfId="0" applyFont="1" applyFill="1" applyBorder="1" applyAlignment="1"/>
    <xf numFmtId="0" fontId="30" fillId="35" borderId="42" xfId="0" applyFont="1" applyFill="1" applyBorder="1" applyAlignment="1">
      <alignment horizontal="left"/>
    </xf>
    <xf numFmtId="0" fontId="0" fillId="35" borderId="0" xfId="0" applyFont="1" applyFill="1" applyAlignment="1"/>
    <xf numFmtId="11" fontId="9" fillId="15" borderId="45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11" fontId="4" fillId="0" borderId="18" xfId="0" applyNumberFormat="1" applyFont="1" applyBorder="1"/>
    <xf numFmtId="0" fontId="16" fillId="0" borderId="42" xfId="0" applyFont="1" applyBorder="1" applyAlignment="1">
      <alignment horizontal="center" vertical="center"/>
    </xf>
    <xf numFmtId="0" fontId="9" fillId="0" borderId="0" xfId="0" applyFont="1" applyAlignment="1"/>
    <xf numFmtId="0" fontId="59" fillId="0" borderId="42" xfId="0" applyFont="1" applyFill="1" applyBorder="1" applyAlignment="1">
      <alignment horizontal="left" vertical="center"/>
    </xf>
    <xf numFmtId="0" fontId="16" fillId="0" borderId="44" xfId="0" applyFont="1" applyBorder="1" applyAlignment="1">
      <alignment horizontal="center" vertical="center"/>
    </xf>
    <xf numFmtId="0" fontId="59" fillId="0" borderId="42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1" fontId="9" fillId="0" borderId="42" xfId="0" applyNumberFormat="1" applyFont="1" applyBorder="1" applyAlignment="1">
      <alignment horizontal="center"/>
    </xf>
    <xf numFmtId="0" fontId="60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61" fillId="0" borderId="0" xfId="0" applyFont="1" applyAlignment="1">
      <alignment horizontal="center"/>
    </xf>
    <xf numFmtId="1" fontId="9" fillId="0" borderId="44" xfId="0" applyNumberFormat="1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44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1" fontId="60" fillId="0" borderId="0" xfId="0" applyNumberFormat="1" applyFont="1" applyAlignment="1">
      <alignment horizontal="center"/>
    </xf>
    <xf numFmtId="0" fontId="63" fillId="0" borderId="42" xfId="0" applyFont="1" applyBorder="1" applyAlignment="1">
      <alignment horizontal="center" vertical="center" wrapText="1"/>
    </xf>
    <xf numFmtId="2" fontId="58" fillId="0" borderId="42" xfId="0" applyNumberFormat="1" applyFont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0" borderId="0" xfId="0" applyFont="1" applyAlignment="1">
      <alignment horizontal="center"/>
    </xf>
    <xf numFmtId="1" fontId="5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60" fillId="0" borderId="0" xfId="0" applyFont="1" applyFill="1" applyAlignment="1">
      <alignment horizontal="center"/>
    </xf>
    <xf numFmtId="0" fontId="64" fillId="0" borderId="0" xfId="0" applyFont="1" applyAlignment="1">
      <alignment horizontal="center"/>
    </xf>
    <xf numFmtId="0" fontId="9" fillId="0" borderId="44" xfId="0" applyFont="1" applyBorder="1"/>
    <xf numFmtId="0" fontId="9" fillId="0" borderId="42" xfId="0" applyFont="1" applyBorder="1" applyAlignment="1">
      <alignment horizontal="center"/>
    </xf>
    <xf numFmtId="0" fontId="58" fillId="0" borderId="0" xfId="0" applyFont="1" applyAlignment="1">
      <alignment horizontal="right"/>
    </xf>
    <xf numFmtId="2" fontId="58" fillId="0" borderId="0" xfId="0" applyNumberFormat="1" applyFont="1" applyFill="1" applyAlignment="1">
      <alignment horizontal="center"/>
    </xf>
    <xf numFmtId="0" fontId="9" fillId="0" borderId="48" xfId="0" applyFont="1" applyBorder="1" applyAlignment="1">
      <alignment horizontal="center"/>
    </xf>
    <xf numFmtId="2" fontId="63" fillId="0" borderId="0" xfId="0" applyNumberFormat="1" applyFont="1" applyAlignment="1">
      <alignment horizontal="center"/>
    </xf>
    <xf numFmtId="0" fontId="22" fillId="0" borderId="42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9" fillId="0" borderId="42" xfId="0" applyFont="1" applyBorder="1"/>
    <xf numFmtId="0" fontId="9" fillId="0" borderId="42" xfId="0" applyFont="1" applyBorder="1" applyAlignment="1">
      <alignment horizontal="left"/>
    </xf>
    <xf numFmtId="0" fontId="9" fillId="0" borderId="42" xfId="0" applyFont="1" applyFill="1" applyBorder="1" applyAlignment="1">
      <alignment horizontal="left"/>
    </xf>
    <xf numFmtId="0" fontId="9" fillId="0" borderId="48" xfId="0" applyFont="1" applyBorder="1" applyAlignment="1"/>
    <xf numFmtId="0" fontId="9" fillId="0" borderId="49" xfId="0" applyFont="1" applyBorder="1" applyAlignment="1"/>
    <xf numFmtId="0" fontId="9" fillId="0" borderId="50" xfId="0" applyFont="1" applyBorder="1" applyAlignment="1"/>
    <xf numFmtId="0" fontId="9" fillId="0" borderId="43" xfId="0" applyFont="1" applyBorder="1"/>
    <xf numFmtId="0" fontId="9" fillId="0" borderId="45" xfId="0" applyFont="1" applyBorder="1"/>
    <xf numFmtId="0" fontId="60" fillId="0" borderId="42" xfId="0" applyFont="1" applyFill="1" applyBorder="1" applyAlignment="1">
      <alignment horizontal="center"/>
    </xf>
    <xf numFmtId="0" fontId="9" fillId="0" borderId="46" xfId="0" applyFont="1" applyBorder="1"/>
    <xf numFmtId="0" fontId="60" fillId="0" borderId="44" xfId="0" applyFont="1" applyFill="1" applyBorder="1" applyAlignment="1">
      <alignment horizontal="center"/>
    </xf>
    <xf numFmtId="0" fontId="9" fillId="0" borderId="44" xfId="0" applyFont="1" applyFill="1" applyBorder="1" applyAlignment="1">
      <alignment horizontal="center"/>
    </xf>
    <xf numFmtId="0" fontId="9" fillId="0" borderId="47" xfId="0" applyFont="1" applyBorder="1"/>
    <xf numFmtId="0" fontId="66" fillId="26" borderId="0" xfId="0" applyFont="1" applyFill="1" applyAlignment="1"/>
    <xf numFmtId="0" fontId="57" fillId="0" borderId="0" xfId="0" applyFont="1" applyAlignment="1"/>
    <xf numFmtId="0" fontId="67" fillId="0" borderId="0" xfId="0" applyFont="1" applyAlignment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11" fontId="1" fillId="36" borderId="1" xfId="0" applyNumberFormat="1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12" borderId="25" xfId="0" applyFont="1" applyFill="1" applyBorder="1" applyAlignment="1">
      <alignment horizontal="center"/>
    </xf>
    <xf numFmtId="0" fontId="26" fillId="12" borderId="25" xfId="0" applyFont="1" applyFill="1" applyBorder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12" borderId="26" xfId="0" applyNumberFormat="1" applyFont="1" applyFill="1" applyBorder="1" applyAlignment="1">
      <alignment horizontal="center"/>
    </xf>
    <xf numFmtId="11" fontId="0" fillId="12" borderId="27" xfId="0" applyNumberFormat="1" applyFont="1" applyFill="1" applyBorder="1" applyAlignment="1">
      <alignment horizontal="center"/>
    </xf>
    <xf numFmtId="11" fontId="0" fillId="18" borderId="26" xfId="0" applyNumberFormat="1" applyFont="1" applyFill="1" applyBorder="1" applyAlignment="1">
      <alignment horizontal="center"/>
    </xf>
    <xf numFmtId="11" fontId="5" fillId="0" borderId="0" xfId="0" applyNumberFormat="1" applyFont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11" fontId="0" fillId="12" borderId="28" xfId="0" applyNumberFormat="1" applyFont="1" applyFill="1" applyBorder="1" applyAlignment="1">
      <alignment horizontal="center"/>
    </xf>
    <xf numFmtId="11" fontId="0" fillId="12" borderId="29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35" fillId="14" borderId="25" xfId="0" applyFont="1" applyFill="1" applyBorder="1" applyAlignment="1">
      <alignment horizontal="center"/>
    </xf>
    <xf numFmtId="11" fontId="0" fillId="0" borderId="18" xfId="0" applyNumberFormat="1" applyFont="1" applyBorder="1" applyAlignment="1">
      <alignment horizontal="center"/>
    </xf>
    <xf numFmtId="11" fontId="0" fillId="14" borderId="24" xfId="0" applyNumberFormat="1" applyFont="1" applyFill="1" applyBorder="1" applyAlignment="1">
      <alignment horizontal="center"/>
    </xf>
    <xf numFmtId="11" fontId="0" fillId="0" borderId="16" xfId="0" applyNumberFormat="1" applyFont="1" applyBorder="1" applyAlignment="1">
      <alignment horizontal="center"/>
    </xf>
    <xf numFmtId="11" fontId="0" fillId="14" borderId="31" xfId="0" applyNumberFormat="1" applyFont="1" applyFill="1" applyBorder="1" applyAlignment="1">
      <alignment horizontal="center"/>
    </xf>
    <xf numFmtId="0" fontId="68" fillId="18" borderId="11" xfId="0" applyFont="1" applyFill="1" applyBorder="1" applyAlignment="1">
      <alignment horizontal="center" vertical="center" wrapText="1"/>
    </xf>
    <xf numFmtId="0" fontId="68" fillId="18" borderId="17" xfId="0" applyFont="1" applyFill="1" applyBorder="1" applyAlignment="1">
      <alignment horizontal="center" vertical="center" wrapText="1"/>
    </xf>
    <xf numFmtId="0" fontId="0" fillId="18" borderId="17" xfId="0" applyFont="1" applyFill="1" applyBorder="1" applyAlignment="1">
      <alignment horizontal="center" vertical="center" wrapText="1"/>
    </xf>
    <xf numFmtId="0" fontId="0" fillId="18" borderId="14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/>
    </xf>
    <xf numFmtId="0" fontId="67" fillId="0" borderId="0" xfId="0" applyFont="1" applyAlignment="1">
      <alignment horizontal="center"/>
    </xf>
    <xf numFmtId="0" fontId="71" fillId="0" borderId="42" xfId="0" applyFont="1" applyBorder="1" applyAlignment="1">
      <alignment horizontal="center"/>
    </xf>
    <xf numFmtId="0" fontId="11" fillId="12" borderId="11" xfId="0" applyFont="1" applyFill="1" applyBorder="1" applyAlignment="1">
      <alignment horizontal="center"/>
    </xf>
    <xf numFmtId="0" fontId="7" fillId="0" borderId="12" xfId="0" applyFont="1" applyBorder="1"/>
    <xf numFmtId="0" fontId="2" fillId="12" borderId="17" xfId="0" applyFont="1" applyFill="1" applyBorder="1" applyAlignment="1">
      <alignment horizontal="center"/>
    </xf>
    <xf numFmtId="0" fontId="0" fillId="0" borderId="0" xfId="0" applyFont="1" applyAlignment="1"/>
    <xf numFmtId="0" fontId="2" fillId="12" borderId="14" xfId="0" applyFont="1" applyFill="1" applyBorder="1" applyAlignment="1">
      <alignment horizontal="center"/>
    </xf>
    <xf numFmtId="0" fontId="7" fillId="0" borderId="15" xfId="0" applyFont="1" applyBorder="1"/>
    <xf numFmtId="0" fontId="12" fillId="2" borderId="0" xfId="0" applyFont="1" applyFill="1" applyAlignment="1">
      <alignment horizontal="left" vertical="center"/>
    </xf>
    <xf numFmtId="11" fontId="17" fillId="12" borderId="11" xfId="0" applyNumberFormat="1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7" fillId="0" borderId="16" xfId="0" applyFont="1" applyBorder="1"/>
    <xf numFmtId="0" fontId="1" fillId="2" borderId="0" xfId="0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6" xfId="0" applyFont="1" applyBorder="1"/>
    <xf numFmtId="0" fontId="2" fillId="9" borderId="8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10" xfId="0" applyFont="1" applyBorder="1"/>
    <xf numFmtId="0" fontId="2" fillId="8" borderId="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7" fillId="0" borderId="17" xfId="0" applyFont="1" applyBorder="1"/>
    <xf numFmtId="0" fontId="3" fillId="0" borderId="17" xfId="0" applyFont="1" applyBorder="1"/>
    <xf numFmtId="0" fontId="2" fillId="0" borderId="17" xfId="0" applyFont="1" applyBorder="1"/>
    <xf numFmtId="0" fontId="1" fillId="8" borderId="35" xfId="0" applyFont="1" applyFill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1" fillId="21" borderId="38" xfId="0" applyFont="1" applyFill="1" applyBorder="1" applyAlignment="1">
      <alignment horizontal="center" vertical="center"/>
    </xf>
    <xf numFmtId="0" fontId="7" fillId="0" borderId="27" xfId="0" applyFont="1" applyBorder="1"/>
    <xf numFmtId="0" fontId="7" fillId="0" borderId="29" xfId="0" applyFont="1" applyBorder="1"/>
    <xf numFmtId="0" fontId="1" fillId="0" borderId="35" xfId="0" applyFont="1" applyBorder="1" applyAlignment="1">
      <alignment horizontal="center" shrinkToFit="1"/>
    </xf>
    <xf numFmtId="0" fontId="2" fillId="0" borderId="11" xfId="0" applyFont="1" applyBorder="1"/>
    <xf numFmtId="0" fontId="2" fillId="0" borderId="17" xfId="0" applyFont="1" applyBorder="1" applyAlignment="1">
      <alignment vertical="center"/>
    </xf>
    <xf numFmtId="0" fontId="3" fillId="0" borderId="11" xfId="0" applyFont="1" applyBorder="1" applyAlignment="1"/>
    <xf numFmtId="11" fontId="2" fillId="0" borderId="17" xfId="0" applyNumberFormat="1" applyFont="1" applyBorder="1" applyAlignment="1">
      <alignment horizontal="center"/>
    </xf>
    <xf numFmtId="0" fontId="7" fillId="0" borderId="18" xfId="0" applyFont="1" applyBorder="1"/>
    <xf numFmtId="11" fontId="3" fillId="0" borderId="14" xfId="0" applyNumberFormat="1" applyFont="1" applyBorder="1" applyAlignment="1">
      <alignment horizontal="center"/>
    </xf>
    <xf numFmtId="11" fontId="3" fillId="0" borderId="17" xfId="0" applyNumberFormat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0" fontId="12" fillId="19" borderId="35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17" fillId="15" borderId="11" xfId="0" applyFont="1" applyFill="1" applyBorder="1" applyAlignment="1">
      <alignment horizontal="center" vertical="center"/>
    </xf>
    <xf numFmtId="0" fontId="11" fillId="15" borderId="17" xfId="0" applyFont="1" applyFill="1" applyBorder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0" fontId="11" fillId="20" borderId="11" xfId="0" applyFont="1" applyFill="1" applyBorder="1" applyAlignment="1">
      <alignment horizontal="center"/>
    </xf>
    <xf numFmtId="0" fontId="19" fillId="18" borderId="17" xfId="0" applyFont="1" applyFill="1" applyBorder="1" applyAlignment="1">
      <alignment horizontal="right"/>
    </xf>
    <xf numFmtId="0" fontId="19" fillId="18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9" fillId="18" borderId="0" xfId="0" applyFont="1" applyFill="1" applyAlignment="1">
      <alignment horizontal="left"/>
    </xf>
    <xf numFmtId="0" fontId="4" fillId="18" borderId="0" xfId="0" applyFont="1" applyFill="1" applyAlignment="1">
      <alignment horizontal="center"/>
    </xf>
    <xf numFmtId="0" fontId="70" fillId="31" borderId="44" xfId="0" applyFont="1" applyFill="1" applyBorder="1" applyAlignment="1">
      <alignment horizontal="center"/>
    </xf>
    <xf numFmtId="0" fontId="65" fillId="0" borderId="44" xfId="0" applyFont="1" applyBorder="1" applyAlignment="1">
      <alignment horizontal="center"/>
    </xf>
    <xf numFmtId="0" fontId="66" fillId="30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16" fillId="0" borderId="42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/>
    </xf>
    <xf numFmtId="0" fontId="16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66" fillId="0" borderId="0" xfId="0" applyFont="1" applyAlignme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7"/>
  <sheetViews>
    <sheetView tabSelected="1" workbookViewId="0"/>
  </sheetViews>
  <sheetFormatPr defaultColWidth="11.53515625" defaultRowHeight="15.5" x14ac:dyDescent="0.35"/>
  <cols>
    <col min="1" max="1" width="10.69140625" style="349"/>
  </cols>
  <sheetData>
    <row r="3" spans="2:17" ht="23" x14ac:dyDescent="0.5">
      <c r="C3" s="418" t="s">
        <v>566</v>
      </c>
      <c r="D3" s="418"/>
      <c r="E3" s="418"/>
      <c r="F3" s="418"/>
      <c r="G3" s="418"/>
      <c r="H3" s="418"/>
      <c r="I3" s="418"/>
      <c r="J3" s="418"/>
      <c r="K3" s="418"/>
      <c r="L3" s="418"/>
      <c r="M3" s="321"/>
      <c r="N3" s="321"/>
      <c r="O3" s="321"/>
      <c r="P3" s="321"/>
      <c r="Q3" s="321"/>
    </row>
    <row r="5" spans="2:17" s="349" customFormat="1" x14ac:dyDescent="0.35"/>
    <row r="6" spans="2:17" s="349" customFormat="1" ht="20" x14ac:dyDescent="0.4">
      <c r="B6" s="447">
        <v>1</v>
      </c>
      <c r="C6" s="420" t="s">
        <v>533</v>
      </c>
    </row>
    <row r="7" spans="2:17" ht="17.5" x14ac:dyDescent="0.35">
      <c r="B7" s="350"/>
      <c r="C7" s="419" t="s">
        <v>537</v>
      </c>
    </row>
    <row r="8" spans="2:17" s="349" customFormat="1" ht="17.5" x14ac:dyDescent="0.35">
      <c r="B8" s="350"/>
      <c r="C8" s="419" t="s">
        <v>557</v>
      </c>
    </row>
    <row r="9" spans="2:17" x14ac:dyDescent="0.35">
      <c r="B9" s="350"/>
    </row>
    <row r="10" spans="2:17" x14ac:dyDescent="0.35">
      <c r="B10" s="350"/>
    </row>
    <row r="11" spans="2:17" ht="20" x14ac:dyDescent="0.4">
      <c r="B11" s="447">
        <v>2</v>
      </c>
      <c r="C11" s="420" t="s">
        <v>532</v>
      </c>
    </row>
    <row r="12" spans="2:17" ht="17.5" x14ac:dyDescent="0.35">
      <c r="B12" s="350"/>
      <c r="C12" s="419" t="s">
        <v>558</v>
      </c>
    </row>
    <row r="13" spans="2:17" ht="17.5" x14ac:dyDescent="0.35">
      <c r="B13" s="350"/>
      <c r="C13" s="419" t="s">
        <v>559</v>
      </c>
    </row>
    <row r="14" spans="2:17" ht="17.5" x14ac:dyDescent="0.35">
      <c r="B14" s="350"/>
      <c r="C14" s="419" t="s">
        <v>535</v>
      </c>
    </row>
    <row r="15" spans="2:17" ht="17.5" x14ac:dyDescent="0.35">
      <c r="B15" s="350"/>
      <c r="C15" s="419" t="s">
        <v>560</v>
      </c>
    </row>
    <row r="16" spans="2:17" x14ac:dyDescent="0.35">
      <c r="B16" s="350"/>
    </row>
    <row r="17" spans="2:6" x14ac:dyDescent="0.35">
      <c r="B17" s="350"/>
    </row>
    <row r="18" spans="2:6" ht="20" x14ac:dyDescent="0.4">
      <c r="B18" s="448">
        <v>3</v>
      </c>
      <c r="C18" s="420" t="s">
        <v>534</v>
      </c>
    </row>
    <row r="19" spans="2:6" ht="17.5" x14ac:dyDescent="0.35">
      <c r="B19" s="350"/>
      <c r="C19" s="419" t="s">
        <v>561</v>
      </c>
    </row>
    <row r="20" spans="2:6" x14ac:dyDescent="0.35">
      <c r="B20" s="350"/>
      <c r="F20" s="305"/>
    </row>
    <row r="21" spans="2:6" x14ac:dyDescent="0.35">
      <c r="B21" s="350"/>
      <c r="F21" s="305"/>
    </row>
    <row r="22" spans="2:6" ht="20" x14ac:dyDescent="0.4">
      <c r="B22" s="448">
        <v>4</v>
      </c>
      <c r="C22" s="420" t="s">
        <v>547</v>
      </c>
      <c r="F22" s="421"/>
    </row>
    <row r="23" spans="2:6" ht="17.5" x14ac:dyDescent="0.35">
      <c r="B23" s="350"/>
      <c r="C23" s="419" t="s">
        <v>562</v>
      </c>
      <c r="F23" s="422"/>
    </row>
    <row r="24" spans="2:6" ht="17.5" x14ac:dyDescent="0.35">
      <c r="B24" s="350"/>
      <c r="C24" s="419" t="s">
        <v>563</v>
      </c>
      <c r="F24" s="305"/>
    </row>
    <row r="25" spans="2:6" ht="17.5" x14ac:dyDescent="0.35">
      <c r="B25" s="350"/>
      <c r="C25" s="419" t="s">
        <v>564</v>
      </c>
      <c r="F25" s="306"/>
    </row>
    <row r="26" spans="2:6" ht="17.5" x14ac:dyDescent="0.35">
      <c r="B26" s="350"/>
      <c r="C26" s="419" t="s">
        <v>567</v>
      </c>
      <c r="F26" s="306"/>
    </row>
    <row r="27" spans="2:6" x14ac:dyDescent="0.35">
      <c r="B27" s="350"/>
      <c r="F27" s="305"/>
    </row>
    <row r="28" spans="2:6" ht="20" x14ac:dyDescent="0.4">
      <c r="B28" s="448">
        <v>5</v>
      </c>
      <c r="C28" s="420" t="s">
        <v>548</v>
      </c>
      <c r="F28" s="305"/>
    </row>
    <row r="29" spans="2:6" ht="17.5" x14ac:dyDescent="0.35">
      <c r="B29" s="350"/>
      <c r="C29" s="419" t="s">
        <v>549</v>
      </c>
      <c r="F29" s="305"/>
    </row>
    <row r="30" spans="2:6" x14ac:dyDescent="0.35">
      <c r="B30" s="350"/>
    </row>
    <row r="31" spans="2:6" x14ac:dyDescent="0.35">
      <c r="B31" s="350"/>
    </row>
    <row r="32" spans="2:6" ht="20" x14ac:dyDescent="0.4">
      <c r="B32" s="448">
        <v>6</v>
      </c>
      <c r="C32" s="420" t="s">
        <v>553</v>
      </c>
    </row>
    <row r="33" spans="2:3" ht="17.5" x14ac:dyDescent="0.35">
      <c r="B33" s="350"/>
      <c r="C33" s="419" t="s">
        <v>554</v>
      </c>
    </row>
    <row r="34" spans="2:3" x14ac:dyDescent="0.35">
      <c r="B34" s="350"/>
    </row>
    <row r="35" spans="2:3" x14ac:dyDescent="0.35">
      <c r="B35" s="350"/>
    </row>
    <row r="36" spans="2:3" ht="20" x14ac:dyDescent="0.4">
      <c r="B36" s="448">
        <v>7</v>
      </c>
      <c r="C36" s="420" t="s">
        <v>556</v>
      </c>
    </row>
    <row r="37" spans="2:3" ht="17.5" x14ac:dyDescent="0.35">
      <c r="C37" s="419" t="s">
        <v>565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68"/>
  <sheetViews>
    <sheetView topLeftCell="N1" workbookViewId="0">
      <selection activeCell="R57" sqref="R57"/>
    </sheetView>
  </sheetViews>
  <sheetFormatPr defaultColWidth="11.3046875" defaultRowHeight="15" customHeight="1" x14ac:dyDescent="0.35"/>
  <cols>
    <col min="2" max="2" width="15.69140625" customWidth="1"/>
    <col min="3" max="3" width="15.3046875" customWidth="1"/>
    <col min="7" max="7" width="25" customWidth="1"/>
    <col min="14" max="14" width="22.4609375" customWidth="1"/>
    <col min="23" max="23" width="22.84375" customWidth="1"/>
  </cols>
  <sheetData>
    <row r="1" spans="1:26" ht="15" customHeight="1" x14ac:dyDescent="0.35">
      <c r="A1" s="455" t="s">
        <v>45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6" ht="15" customHeight="1" x14ac:dyDescent="0.35">
      <c r="A2" s="40"/>
      <c r="B2" s="40"/>
      <c r="C2" s="41"/>
    </row>
    <row r="3" spans="1:26" ht="15" customHeight="1" x14ac:dyDescent="0.35">
      <c r="A3" s="40"/>
      <c r="B3" s="40"/>
      <c r="C3" s="41"/>
    </row>
    <row r="4" spans="1:26" ht="15" customHeight="1" x14ac:dyDescent="0.35">
      <c r="A4" s="40"/>
      <c r="C4" s="42" t="s">
        <v>46</v>
      </c>
      <c r="D4" s="43" t="s">
        <v>47</v>
      </c>
      <c r="E4" s="43" t="s">
        <v>48</v>
      </c>
      <c r="F4" s="44" t="s">
        <v>49</v>
      </c>
      <c r="G4" s="43" t="s">
        <v>50</v>
      </c>
      <c r="H4" s="43" t="s">
        <v>51</v>
      </c>
      <c r="I4" s="45" t="s">
        <v>52</v>
      </c>
      <c r="J4" s="43" t="s">
        <v>53</v>
      </c>
      <c r="K4" s="45" t="s">
        <v>18</v>
      </c>
      <c r="L4" s="45" t="s">
        <v>19</v>
      </c>
      <c r="M4" s="45" t="s">
        <v>20</v>
      </c>
      <c r="N4" s="45" t="s">
        <v>21</v>
      </c>
      <c r="O4" s="46" t="s">
        <v>22</v>
      </c>
    </row>
    <row r="5" spans="1:26" ht="15" customHeight="1" x14ac:dyDescent="0.35">
      <c r="A5" s="40"/>
      <c r="C5" s="47">
        <v>14.0067</v>
      </c>
      <c r="D5" s="48">
        <v>3.0160293</v>
      </c>
      <c r="E5" s="48">
        <v>21.991</v>
      </c>
      <c r="F5" s="49">
        <v>35.967550000000003</v>
      </c>
      <c r="G5" s="48">
        <v>83.911497999999995</v>
      </c>
      <c r="H5" s="48">
        <v>129.90350900000001</v>
      </c>
      <c r="I5" s="49">
        <v>18.015000000000001</v>
      </c>
      <c r="J5" s="48">
        <v>12.01</v>
      </c>
      <c r="K5" s="49">
        <v>32.064999999999998</v>
      </c>
      <c r="L5" s="48">
        <v>35.453000000000003</v>
      </c>
      <c r="M5" s="48">
        <v>18.998403</v>
      </c>
      <c r="N5" s="48">
        <v>79.903999999999996</v>
      </c>
      <c r="O5" s="50">
        <v>126.90447</v>
      </c>
    </row>
    <row r="6" spans="1:26" ht="15" customHeight="1" x14ac:dyDescent="0.35">
      <c r="A6" s="40"/>
    </row>
    <row r="7" spans="1:26" ht="15" customHeight="1" x14ac:dyDescent="0.35">
      <c r="A7" s="51"/>
    </row>
    <row r="8" spans="1:26" ht="15" customHeight="1" x14ac:dyDescent="0.35">
      <c r="A8" s="51"/>
      <c r="F8" s="52"/>
      <c r="G8" s="52"/>
      <c r="Y8" s="53"/>
    </row>
    <row r="9" spans="1:26" ht="15" customHeight="1" x14ac:dyDescent="0.35">
      <c r="A9" s="40"/>
      <c r="B9" s="456" t="s">
        <v>54</v>
      </c>
      <c r="C9" s="450"/>
      <c r="D9" s="450"/>
      <c r="E9" s="457"/>
      <c r="F9" s="52"/>
      <c r="G9" s="456" t="s">
        <v>55</v>
      </c>
      <c r="H9" s="450"/>
      <c r="I9" s="450"/>
      <c r="J9" s="450"/>
      <c r="K9" s="450"/>
      <c r="L9" s="457"/>
      <c r="N9" s="456" t="s">
        <v>56</v>
      </c>
      <c r="O9" s="450"/>
      <c r="P9" s="450"/>
      <c r="Q9" s="450"/>
      <c r="R9" s="450"/>
      <c r="S9" s="450"/>
      <c r="T9" s="450"/>
      <c r="U9" s="457"/>
      <c r="W9" s="456" t="s">
        <v>57</v>
      </c>
      <c r="X9" s="450"/>
      <c r="Y9" s="450"/>
      <c r="Z9" s="457"/>
    </row>
    <row r="10" spans="1:26" ht="15" customHeight="1" x14ac:dyDescent="0.35">
      <c r="A10" s="40"/>
      <c r="B10" s="458"/>
      <c r="C10" s="454"/>
      <c r="D10" s="454"/>
      <c r="E10" s="459"/>
      <c r="G10" s="458"/>
      <c r="H10" s="454"/>
      <c r="I10" s="454"/>
      <c r="J10" s="454"/>
      <c r="K10" s="454"/>
      <c r="L10" s="459"/>
      <c r="N10" s="458"/>
      <c r="O10" s="454"/>
      <c r="P10" s="454"/>
      <c r="Q10" s="454"/>
      <c r="R10" s="454"/>
      <c r="S10" s="454"/>
      <c r="T10" s="454"/>
      <c r="U10" s="459"/>
      <c r="W10" s="458"/>
      <c r="X10" s="454"/>
      <c r="Y10" s="454"/>
      <c r="Z10" s="459"/>
    </row>
    <row r="11" spans="1:26" ht="15" customHeight="1" x14ac:dyDescent="0.35">
      <c r="A11" s="40"/>
      <c r="B11" s="54"/>
      <c r="E11" s="55"/>
      <c r="G11" s="56"/>
      <c r="H11" s="39"/>
      <c r="L11" s="55"/>
      <c r="N11" s="54"/>
      <c r="Q11" s="53"/>
      <c r="R11" s="53"/>
      <c r="U11" s="55"/>
      <c r="W11" s="57"/>
      <c r="X11" s="39"/>
      <c r="Y11" s="39"/>
      <c r="Z11" s="58"/>
    </row>
    <row r="12" spans="1:26" ht="15" customHeight="1" x14ac:dyDescent="0.35">
      <c r="A12" s="40"/>
      <c r="B12" s="54"/>
      <c r="E12" s="55"/>
      <c r="G12" s="59" t="s">
        <v>58</v>
      </c>
      <c r="H12" s="60">
        <f>1000000*H13/41048</f>
        <v>125</v>
      </c>
      <c r="L12" s="55"/>
      <c r="N12" s="449" t="s">
        <v>59</v>
      </c>
      <c r="O12" s="450"/>
      <c r="P12" s="450"/>
      <c r="Q12" s="61">
        <v>0.15</v>
      </c>
      <c r="U12" s="55"/>
      <c r="W12" s="57"/>
      <c r="X12" s="39"/>
      <c r="Y12" s="39"/>
      <c r="Z12" s="58"/>
    </row>
    <row r="13" spans="1:26" ht="15" customHeight="1" x14ac:dyDescent="0.35">
      <c r="A13" s="40"/>
      <c r="B13" s="62"/>
      <c r="C13" s="41"/>
      <c r="E13" s="55"/>
      <c r="G13" s="59" t="s">
        <v>60</v>
      </c>
      <c r="H13" s="60">
        <f>5.131</f>
        <v>5.1310000000000002</v>
      </c>
      <c r="L13" s="55"/>
      <c r="N13" s="451" t="s">
        <v>61</v>
      </c>
      <c r="O13" s="452"/>
      <c r="P13" s="452"/>
      <c r="Q13" s="63">
        <v>2.1999999999999999E-2</v>
      </c>
      <c r="U13" s="55"/>
      <c r="W13" s="57"/>
      <c r="X13" s="39"/>
      <c r="Y13" s="39"/>
      <c r="Z13" s="58"/>
    </row>
    <row r="14" spans="1:26" ht="15" customHeight="1" x14ac:dyDescent="0.35">
      <c r="A14" s="40"/>
      <c r="B14" s="62"/>
      <c r="C14" s="41"/>
      <c r="E14" s="55"/>
      <c r="G14" s="59" t="s">
        <v>62</v>
      </c>
      <c r="H14" s="64">
        <f>H13*1000000000000000*3</f>
        <v>1.5393E+16</v>
      </c>
      <c r="L14" s="55"/>
      <c r="N14" s="453" t="s">
        <v>440</v>
      </c>
      <c r="O14" s="454"/>
      <c r="P14" s="454"/>
      <c r="Q14" s="274">
        <v>0.08</v>
      </c>
      <c r="R14" s="136" t="s">
        <v>439</v>
      </c>
      <c r="U14" s="55"/>
      <c r="W14" s="57"/>
      <c r="X14" s="39"/>
      <c r="Y14" s="39"/>
      <c r="Z14" s="58"/>
    </row>
    <row r="15" spans="1:26" ht="15" customHeight="1" x14ac:dyDescent="0.35">
      <c r="A15" s="40"/>
      <c r="B15" s="62"/>
      <c r="C15" s="41"/>
      <c r="E15" s="55"/>
      <c r="G15" s="54"/>
      <c r="L15" s="55"/>
      <c r="N15" s="54"/>
      <c r="U15" s="55"/>
      <c r="W15" s="57"/>
      <c r="X15" s="39"/>
      <c r="Y15" s="39"/>
      <c r="Z15" s="58"/>
    </row>
    <row r="16" spans="1:26" ht="15" customHeight="1" x14ac:dyDescent="0.35">
      <c r="A16" s="40"/>
      <c r="B16" s="65" t="s">
        <v>63</v>
      </c>
      <c r="C16" s="66" t="s">
        <v>64</v>
      </c>
      <c r="D16" s="66" t="s">
        <v>65</v>
      </c>
      <c r="E16" s="67" t="s">
        <v>66</v>
      </c>
      <c r="G16" s="65" t="s">
        <v>67</v>
      </c>
      <c r="H16" s="66" t="s">
        <v>64</v>
      </c>
      <c r="I16" s="66" t="s">
        <v>65</v>
      </c>
      <c r="J16" s="66" t="s">
        <v>66</v>
      </c>
      <c r="K16" s="66" t="s">
        <v>68</v>
      </c>
      <c r="L16" s="67" t="s">
        <v>69</v>
      </c>
      <c r="N16" s="65" t="s">
        <v>70</v>
      </c>
      <c r="O16" s="66" t="s">
        <v>64</v>
      </c>
      <c r="P16" s="66" t="s">
        <v>65</v>
      </c>
      <c r="Q16" s="66" t="s">
        <v>66</v>
      </c>
      <c r="R16" s="66" t="s">
        <v>68</v>
      </c>
      <c r="S16" s="66" t="s">
        <v>65</v>
      </c>
      <c r="T16" s="66" t="s">
        <v>66</v>
      </c>
      <c r="U16" s="67" t="s">
        <v>69</v>
      </c>
      <c r="W16" s="57"/>
      <c r="X16" s="68" t="s">
        <v>71</v>
      </c>
      <c r="Y16" s="69" t="s">
        <v>72</v>
      </c>
      <c r="Z16" s="58"/>
    </row>
    <row r="17" spans="1:26" ht="15" customHeight="1" x14ac:dyDescent="0.35">
      <c r="A17" s="40"/>
      <c r="B17" s="70" t="s">
        <v>73</v>
      </c>
      <c r="C17" s="71">
        <f>Calculations!E103</f>
        <v>67224990534.081551</v>
      </c>
      <c r="D17" s="71">
        <f>Calculations!D103</f>
        <v>65047875223.313271</v>
      </c>
      <c r="E17" s="72">
        <f>Calculations!F103</f>
        <v>69402105844.849823</v>
      </c>
      <c r="G17" s="70" t="s">
        <v>74</v>
      </c>
      <c r="H17" s="71">
        <f>C17/$H$14</f>
        <v>4.3672442366063505E-6</v>
      </c>
      <c r="I17" s="71">
        <f t="shared" ref="I17:I29" si="0">D17/$H$14</f>
        <v>4.2258088237064422E-6</v>
      </c>
      <c r="J17" s="71">
        <f t="shared" ref="J17:J29" si="1">E17/$H$14</f>
        <v>4.5086796495062579E-6</v>
      </c>
      <c r="K17" s="73">
        <f>H17*$C$5*1000000</f>
        <v>61.17067984887418</v>
      </c>
      <c r="L17" s="74">
        <f t="shared" ref="L17:L29" si="2">K17/10000</f>
        <v>6.1170679848874176E-3</v>
      </c>
      <c r="N17" s="70" t="s">
        <v>75</v>
      </c>
      <c r="O17" s="71">
        <f t="shared" ref="O17:Q22" si="3">H17*$Q$12</f>
        <v>6.5508663549095257E-7</v>
      </c>
      <c r="P17" s="71">
        <f t="shared" si="3"/>
        <v>6.3387132355596631E-7</v>
      </c>
      <c r="Q17" s="71">
        <f t="shared" si="3"/>
        <v>6.7630194742593863E-7</v>
      </c>
      <c r="R17" s="73">
        <f>O17*$C$5*1000000</f>
        <v>9.1756019773311266</v>
      </c>
      <c r="S17" s="73">
        <f>P17*$C$5*1000000</f>
        <v>8.8784454676513533</v>
      </c>
      <c r="T17" s="73">
        <f>Q17*$C$5*1000000</f>
        <v>9.4727584870108963</v>
      </c>
      <c r="U17" s="74">
        <f t="shared" ref="U17:U29" si="4">R17/10000</f>
        <v>9.1756019773311264E-4</v>
      </c>
      <c r="W17" s="75" t="s">
        <v>76</v>
      </c>
      <c r="X17" s="76" t="s">
        <v>77</v>
      </c>
      <c r="Y17" s="77">
        <f>357000000000000000000</f>
        <v>3.57E+20</v>
      </c>
      <c r="Z17" s="58"/>
    </row>
    <row r="18" spans="1:26" ht="15" customHeight="1" x14ac:dyDescent="0.35">
      <c r="A18" s="40"/>
      <c r="B18" s="78" t="s">
        <v>78</v>
      </c>
      <c r="C18" s="79">
        <f>Calculations!D94</f>
        <v>73.851739433122646</v>
      </c>
      <c r="D18" s="79">
        <f>Calculations!D94-Calculations!E94</f>
        <v>50.889433895092921</v>
      </c>
      <c r="E18" s="80">
        <f>Calculations!D94+Calculations!E94</f>
        <v>96.81404497115237</v>
      </c>
      <c r="G18" s="78" t="s">
        <v>79</v>
      </c>
      <c r="H18" s="71">
        <f t="shared" ref="H18:H29" si="5">C18/$H$14</f>
        <v>4.7977482903347395E-15</v>
      </c>
      <c r="I18" s="71">
        <f t="shared" si="0"/>
        <v>3.3060114269533502E-15</v>
      </c>
      <c r="J18" s="71">
        <f t="shared" si="1"/>
        <v>6.2894851537161285E-15</v>
      </c>
      <c r="K18" s="73">
        <f>H18*$D$5*1000000</f>
        <v>1.4470149417674482E-8</v>
      </c>
      <c r="L18" s="74">
        <f t="shared" si="2"/>
        <v>1.4470149417674481E-12</v>
      </c>
      <c r="N18" s="78" t="s">
        <v>80</v>
      </c>
      <c r="O18" s="71">
        <f t="shared" si="3"/>
        <v>7.1966224355021095E-16</v>
      </c>
      <c r="P18" s="71">
        <f t="shared" si="3"/>
        <v>4.9590171404300248E-16</v>
      </c>
      <c r="Q18" s="71">
        <f t="shared" si="3"/>
        <v>9.4342277305741932E-16</v>
      </c>
      <c r="R18" s="73">
        <f>O18*$D$5*1000000</f>
        <v>2.170522412651172E-9</v>
      </c>
      <c r="S18" s="73">
        <f>P18*$D$5*1000000</f>
        <v>1.495654099473917E-9</v>
      </c>
      <c r="T18" s="73">
        <f>Q18*$D$5*1000000</f>
        <v>2.8453907258284272E-9</v>
      </c>
      <c r="U18" s="74">
        <f t="shared" si="4"/>
        <v>2.1705224126511721E-13</v>
      </c>
      <c r="W18" s="75" t="s">
        <v>81</v>
      </c>
      <c r="X18" s="81" t="s">
        <v>82</v>
      </c>
      <c r="Y18" s="82">
        <v>91400000000000</v>
      </c>
      <c r="Z18" s="58"/>
    </row>
    <row r="19" spans="1:26" ht="15" customHeight="1" x14ac:dyDescent="0.35">
      <c r="A19" s="40"/>
      <c r="B19" s="83" t="s">
        <v>83</v>
      </c>
      <c r="C19" s="84">
        <f>Calculations!E97</f>
        <v>2668.1918762934638</v>
      </c>
      <c r="D19" s="84">
        <f>Calculations!D97</f>
        <v>991.35106190025363</v>
      </c>
      <c r="E19" s="85">
        <f>Calculations!F97</f>
        <v>5109.6105605631956</v>
      </c>
      <c r="G19" s="83" t="s">
        <v>83</v>
      </c>
      <c r="H19" s="71">
        <f t="shared" si="5"/>
        <v>1.7333800274757772E-13</v>
      </c>
      <c r="I19" s="71">
        <f t="shared" si="0"/>
        <v>6.4402719541366441E-14</v>
      </c>
      <c r="J19" s="71">
        <f t="shared" si="1"/>
        <v>3.3194377707810015E-13</v>
      </c>
      <c r="K19" s="73">
        <f>H19*$E$5*1000000</f>
        <v>3.8118760184219816E-6</v>
      </c>
      <c r="L19" s="74">
        <f t="shared" si="2"/>
        <v>3.8118760184219814E-10</v>
      </c>
      <c r="N19" s="83" t="s">
        <v>83</v>
      </c>
      <c r="O19" s="71">
        <f t="shared" si="3"/>
        <v>2.6000700412136656E-14</v>
      </c>
      <c r="P19" s="71">
        <f t="shared" si="3"/>
        <v>9.6604079312049652E-15</v>
      </c>
      <c r="Q19" s="71">
        <f t="shared" si="3"/>
        <v>4.9791566561715019E-14</v>
      </c>
      <c r="R19" s="73">
        <f>O19*$E$5*1000000</f>
        <v>5.7178140276329723E-7</v>
      </c>
      <c r="S19" s="73">
        <f>P19*$E$5*1000000</f>
        <v>2.1244203081512839E-7</v>
      </c>
      <c r="T19" s="73">
        <f>Q19*$E$5*1000000</f>
        <v>1.0949663402586749E-6</v>
      </c>
      <c r="U19" s="74">
        <f t="shared" si="4"/>
        <v>5.7178140276329722E-11</v>
      </c>
      <c r="W19" s="86" t="s">
        <v>84</v>
      </c>
      <c r="X19" s="76" t="s">
        <v>85</v>
      </c>
      <c r="Y19" s="77">
        <v>136000000000000</v>
      </c>
      <c r="Z19" s="58"/>
    </row>
    <row r="20" spans="1:26" ht="15" customHeight="1" x14ac:dyDescent="0.35">
      <c r="A20" s="40"/>
      <c r="B20" s="78" t="s">
        <v>86</v>
      </c>
      <c r="C20" s="87">
        <f>Calculations!E98</f>
        <v>23823.141752620206</v>
      </c>
      <c r="D20" s="87">
        <f>Calculations!D98</f>
        <v>10061.386514118267</v>
      </c>
      <c r="E20" s="88">
        <f>Calculations!F98</f>
        <v>43319.499831004701</v>
      </c>
      <c r="G20" s="78" t="s">
        <v>87</v>
      </c>
      <c r="H20" s="71">
        <f>C20/$H$14</f>
        <v>1.5476607388176578E-12</v>
      </c>
      <c r="I20" s="71">
        <f t="shared" si="0"/>
        <v>6.5363389294603178E-13</v>
      </c>
      <c r="J20" s="71">
        <f t="shared" si="1"/>
        <v>2.8142337316315663E-12</v>
      </c>
      <c r="K20" s="73">
        <f>H20*$F$5*1000000</f>
        <v>5.5665565006461054E-5</v>
      </c>
      <c r="L20" s="74">
        <f t="shared" si="2"/>
        <v>5.5665565006461054E-9</v>
      </c>
      <c r="N20" s="78" t="s">
        <v>88</v>
      </c>
      <c r="O20" s="71">
        <f t="shared" si="3"/>
        <v>2.3214911082264869E-13</v>
      </c>
      <c r="P20" s="71">
        <f t="shared" si="3"/>
        <v>9.8045083941904759E-14</v>
      </c>
      <c r="Q20" s="71">
        <f t="shared" si="3"/>
        <v>4.2213505974473492E-13</v>
      </c>
      <c r="R20" s="73">
        <f>O20*$F$5*1000000</f>
        <v>8.3498347509691591E-6</v>
      </c>
      <c r="S20" s="73">
        <f>P20*$F$5*1000000</f>
        <v>3.5264414589346569E-6</v>
      </c>
      <c r="T20" s="73">
        <f>Q20*$F$5*1000000</f>
        <v>1.5183163868121743E-5</v>
      </c>
      <c r="U20" s="74">
        <f t="shared" si="4"/>
        <v>8.3498347509691591E-10</v>
      </c>
      <c r="W20" s="86" t="s">
        <v>84</v>
      </c>
      <c r="X20" s="81" t="s">
        <v>89</v>
      </c>
      <c r="Y20" s="82">
        <v>5730000000000000</v>
      </c>
      <c r="Z20" s="58"/>
    </row>
    <row r="21" spans="1:26" ht="15" customHeight="1" x14ac:dyDescent="0.35">
      <c r="A21" s="40"/>
      <c r="B21" s="78" t="s">
        <v>90</v>
      </c>
      <c r="C21" s="84">
        <f>Calculations!E99</f>
        <v>1324.5666814456833</v>
      </c>
      <c r="D21" s="87">
        <f>Calculations!D99</f>
        <v>531.02092603299184</v>
      </c>
      <c r="E21" s="88">
        <f>Calculations!F99</f>
        <v>2462.5785516734891</v>
      </c>
      <c r="G21" s="78" t="s">
        <v>91</v>
      </c>
      <c r="H21" s="71">
        <f t="shared" si="5"/>
        <v>8.6049937078261769E-14</v>
      </c>
      <c r="I21" s="71">
        <f t="shared" si="0"/>
        <v>3.4497559022477218E-14</v>
      </c>
      <c r="J21" s="71">
        <f t="shared" si="1"/>
        <v>1.5998041653176699E-13</v>
      </c>
      <c r="K21" s="73">
        <f>H21*$G$5*1000000</f>
        <v>7.2205791230426885E-6</v>
      </c>
      <c r="L21" s="74">
        <f t="shared" si="2"/>
        <v>7.2205791230426885E-10</v>
      </c>
      <c r="N21" s="78" t="s">
        <v>92</v>
      </c>
      <c r="O21" s="71">
        <f t="shared" si="3"/>
        <v>1.2907490561739264E-14</v>
      </c>
      <c r="P21" s="71">
        <f t="shared" si="3"/>
        <v>5.1746338533715824E-15</v>
      </c>
      <c r="Q21" s="71">
        <f t="shared" si="3"/>
        <v>2.3997062479765046E-14</v>
      </c>
      <c r="R21" s="73">
        <f>O21*$G$5*1000000</f>
        <v>1.083086868456403E-6</v>
      </c>
      <c r="S21" s="73">
        <f>P21*$G$5*1000000</f>
        <v>4.3421127823792181E-7</v>
      </c>
      <c r="T21" s="73">
        <f>Q21*$G$5*1000000</f>
        <v>2.0136294602766797E-6</v>
      </c>
      <c r="U21" s="74">
        <f t="shared" si="4"/>
        <v>1.083086868456403E-10</v>
      </c>
      <c r="W21" s="86" t="s">
        <v>84</v>
      </c>
      <c r="X21" s="76" t="s">
        <v>93</v>
      </c>
      <c r="Y21" s="77">
        <v>118000000000000</v>
      </c>
      <c r="Z21" s="58"/>
    </row>
    <row r="22" spans="1:26" ht="15" customHeight="1" x14ac:dyDescent="0.35">
      <c r="A22" s="40"/>
      <c r="B22" s="78" t="s">
        <v>94</v>
      </c>
      <c r="C22" s="84">
        <f>Calculations!E100</f>
        <v>24.895183131488118</v>
      </c>
      <c r="D22" s="84">
        <f>Calculations!D100</f>
        <v>10.351778185959963</v>
      </c>
      <c r="E22" s="88">
        <f>Calculations!F100</f>
        <v>45.577777720007305</v>
      </c>
      <c r="G22" s="78" t="s">
        <v>95</v>
      </c>
      <c r="H22" s="71">
        <f t="shared" si="5"/>
        <v>1.6173054720644526E-15</v>
      </c>
      <c r="I22" s="71">
        <f t="shared" si="0"/>
        <v>6.7249907009419626E-16</v>
      </c>
      <c r="J22" s="71">
        <f t="shared" si="1"/>
        <v>2.9609418384984932E-15</v>
      </c>
      <c r="K22" s="73">
        <f>H22*$H$5*1000000</f>
        <v>2.1009365594607388E-7</v>
      </c>
      <c r="L22" s="74">
        <f t="shared" si="2"/>
        <v>2.1009365594607389E-11</v>
      </c>
      <c r="N22" s="78" t="s">
        <v>96</v>
      </c>
      <c r="O22" s="71">
        <f t="shared" si="3"/>
        <v>2.425958208096679E-16</v>
      </c>
      <c r="P22" s="71">
        <f t="shared" si="3"/>
        <v>1.0087486051412943E-16</v>
      </c>
      <c r="Q22" s="71">
        <f t="shared" si="3"/>
        <v>4.4414127577477394E-16</v>
      </c>
      <c r="R22" s="73">
        <f>O22*$H$5*1000000</f>
        <v>3.1514048391911083E-8</v>
      </c>
      <c r="S22" s="73">
        <f>P22*$H$5*1000000</f>
        <v>1.3103998350670959E-8</v>
      </c>
      <c r="T22" s="73">
        <f>Q22*$H$5*1000000</f>
        <v>5.7695510214879836E-8</v>
      </c>
      <c r="U22" s="74">
        <f t="shared" si="4"/>
        <v>3.1514048391911082E-12</v>
      </c>
      <c r="W22" s="86" t="s">
        <v>84</v>
      </c>
      <c r="X22" s="89" t="s">
        <v>97</v>
      </c>
      <c r="Y22" s="90">
        <v>646000000000</v>
      </c>
      <c r="Z22" s="58"/>
    </row>
    <row r="23" spans="1:26" ht="15" customHeight="1" x14ac:dyDescent="0.35">
      <c r="A23" s="40"/>
      <c r="B23" s="70" t="s">
        <v>98</v>
      </c>
      <c r="C23" s="87">
        <f>Calculations!D78</f>
        <v>29561910000000.004</v>
      </c>
      <c r="D23" s="87">
        <f>Calculations!D78-Calculations!E78</f>
        <v>26672400000000.008</v>
      </c>
      <c r="E23" s="88">
        <f>Calculations!D78+Calculations!E78</f>
        <v>32451420000000</v>
      </c>
      <c r="G23" s="70" t="s">
        <v>99</v>
      </c>
      <c r="H23" s="71">
        <f>C23/$H$14</f>
        <v>1.9204774897680767E-3</v>
      </c>
      <c r="I23" s="71">
        <f t="shared" si="0"/>
        <v>1.7327616449035281E-3</v>
      </c>
      <c r="J23" s="71">
        <f t="shared" si="1"/>
        <v>2.1081933346326254E-3</v>
      </c>
      <c r="K23" s="73">
        <f>H23*$I$5*1000000</f>
        <v>34597.401978171903</v>
      </c>
      <c r="L23" s="74">
        <f t="shared" si="2"/>
        <v>3.4597401978171902</v>
      </c>
      <c r="N23" s="70" t="s">
        <v>100</v>
      </c>
      <c r="O23" s="79">
        <f>H23*($Q$13*(1-$Q$12)+$Q$12)</f>
        <v>3.2398455252387451E-4</v>
      </c>
      <c r="P23" s="79">
        <f>I23*($Q$13*(1-$Q$12)+$Q$12)</f>
        <v>2.9231688949522518E-4</v>
      </c>
      <c r="Q23" s="79">
        <f>J23*($Q$13*(1-$Q$12)+$Q$12)</f>
        <v>3.5565221555252388E-4</v>
      </c>
      <c r="R23" s="73">
        <f>O23*$I$5*1000000</f>
        <v>5836.5817137175991</v>
      </c>
      <c r="S23" s="73">
        <f>P23*$I$5*1000000</f>
        <v>5266.0887642564812</v>
      </c>
      <c r="T23" s="73">
        <f>Q23*$I$5*1000000</f>
        <v>6407.0746631787179</v>
      </c>
      <c r="U23" s="74">
        <f t="shared" si="4"/>
        <v>0.5836581713717599</v>
      </c>
      <c r="W23" s="75" t="s">
        <v>101</v>
      </c>
      <c r="X23" s="91" t="s">
        <v>102</v>
      </c>
      <c r="Y23" s="92">
        <v>1.07E+23</v>
      </c>
      <c r="Z23" s="58"/>
    </row>
    <row r="24" spans="1:26" ht="15" customHeight="1" x14ac:dyDescent="0.35">
      <c r="A24" s="40"/>
      <c r="B24" s="78" t="s">
        <v>103</v>
      </c>
      <c r="C24" s="87">
        <f>Calculations!D84</f>
        <v>866647059233.43225</v>
      </c>
      <c r="D24" s="87">
        <f>Calculations!D84-Calculations!E84</f>
        <v>763519900772.77686</v>
      </c>
      <c r="E24" s="88">
        <f>Calculations!D84+Calculations!E84</f>
        <v>969774217694.08765</v>
      </c>
      <c r="G24" s="78" t="s">
        <v>104</v>
      </c>
      <c r="H24" s="71">
        <f>C24/$H$14</f>
        <v>5.630137460101554E-5</v>
      </c>
      <c r="I24" s="71">
        <f t="shared" si="0"/>
        <v>4.960176059070856E-5</v>
      </c>
      <c r="J24" s="71">
        <f t="shared" si="1"/>
        <v>6.3000988611322525E-5</v>
      </c>
      <c r="K24" s="73">
        <f>H24*$J$5*1000000</f>
        <v>676.17950895819661</v>
      </c>
      <c r="L24" s="74">
        <f t="shared" si="2"/>
        <v>6.7617950895819665E-2</v>
      </c>
      <c r="N24" s="78" t="s">
        <v>105</v>
      </c>
      <c r="O24" s="71">
        <f>H24*$Q$12</f>
        <v>8.4452061901523303E-6</v>
      </c>
      <c r="P24" s="71">
        <f>I24*$Q$12</f>
        <v>7.4402640886062841E-6</v>
      </c>
      <c r="Q24" s="71">
        <f>J24*$Q$12</f>
        <v>9.4501482916983781E-6</v>
      </c>
      <c r="R24" s="73">
        <f>O24*$J$5*1000000</f>
        <v>101.42692634372948</v>
      </c>
      <c r="S24" s="73">
        <f>P24*$J$5*1000000</f>
        <v>89.357571704161472</v>
      </c>
      <c r="T24" s="73">
        <f>Q24*$J$5*1000000</f>
        <v>113.49628098329751</v>
      </c>
      <c r="U24" s="74">
        <f t="shared" si="4"/>
        <v>1.0142692634372948E-2</v>
      </c>
      <c r="W24" s="86" t="s">
        <v>106</v>
      </c>
      <c r="X24" s="93" t="s">
        <v>107</v>
      </c>
      <c r="Y24" s="94">
        <v>7.74E+21</v>
      </c>
      <c r="Z24" s="58"/>
    </row>
    <row r="25" spans="1:26" ht="15" customHeight="1" x14ac:dyDescent="0.35">
      <c r="A25" s="40"/>
      <c r="B25" s="95" t="s">
        <v>18</v>
      </c>
      <c r="C25" s="87">
        <f>Calculations!D80</f>
        <v>330781320318.10388</v>
      </c>
      <c r="D25" s="87">
        <f>Calculations!D80-Calculations!E80</f>
        <v>320068800000</v>
      </c>
      <c r="E25" s="88">
        <f>Calculations!D80+Calculations!E80</f>
        <v>341493840636.20776</v>
      </c>
      <c r="G25" s="95" t="s">
        <v>18</v>
      </c>
      <c r="H25" s="71">
        <f t="shared" si="5"/>
        <v>2.1489074275196769E-5</v>
      </c>
      <c r="I25" s="71">
        <f t="shared" si="0"/>
        <v>2.0793139738842329E-5</v>
      </c>
      <c r="J25" s="71">
        <f t="shared" si="1"/>
        <v>2.2185008811551208E-5</v>
      </c>
      <c r="K25" s="73">
        <f>H25*$K$5*1000000</f>
        <v>689.04716663418435</v>
      </c>
      <c r="L25" s="74">
        <f t="shared" si="2"/>
        <v>6.8904716663418436E-2</v>
      </c>
      <c r="N25" s="95" t="s">
        <v>18</v>
      </c>
      <c r="O25" s="71">
        <f>H25*($Q$14*(1-$Q$12)+$Q$12)</f>
        <v>4.6846181919928959E-6</v>
      </c>
      <c r="P25" s="71">
        <f>I25*($Q$14*(1-$Q$12)+$Q$12)</f>
        <v>4.532904463067628E-6</v>
      </c>
      <c r="Q25" s="71">
        <f>J25*($Q$14*(1-$Q$12)+$Q$12)</f>
        <v>4.8363319209181637E-6</v>
      </c>
      <c r="R25" s="73">
        <f>O25*$K$5*1000000</f>
        <v>150.21228232625219</v>
      </c>
      <c r="S25" s="73">
        <f>P25*$K$5*1000000</f>
        <v>145.34758160826348</v>
      </c>
      <c r="T25" s="73">
        <f>Q25*$K$5*1000000</f>
        <v>155.0769830442409</v>
      </c>
      <c r="U25" s="74">
        <f t="shared" si="4"/>
        <v>1.5021228232625219E-2</v>
      </c>
      <c r="W25" s="96" t="s">
        <v>108</v>
      </c>
      <c r="X25" s="91" t="s">
        <v>18</v>
      </c>
      <c r="Y25" s="92">
        <v>6.8E+20</v>
      </c>
      <c r="Z25" s="58"/>
    </row>
    <row r="26" spans="1:26" ht="15" customHeight="1" x14ac:dyDescent="0.35">
      <c r="A26" s="40"/>
      <c r="B26" s="97" t="s">
        <v>19</v>
      </c>
      <c r="C26" s="87">
        <f>Calculations!D81</f>
        <v>226715400000</v>
      </c>
      <c r="D26" s="87">
        <f>Calculations!D81-Calculations!E81</f>
        <v>155589000000</v>
      </c>
      <c r="E26" s="88">
        <f>Calculations!D81+Calculations!E81</f>
        <v>297841800000</v>
      </c>
      <c r="G26" s="97" t="s">
        <v>19</v>
      </c>
      <c r="H26" s="71">
        <f>C26/$H$14</f>
        <v>1.4728473981679984E-5</v>
      </c>
      <c r="I26" s="71">
        <f t="shared" si="0"/>
        <v>1.0107776261937244E-5</v>
      </c>
      <c r="J26" s="71">
        <f t="shared" si="1"/>
        <v>1.9349171701422724E-5</v>
      </c>
      <c r="K26" s="73">
        <f>H26*$L$5*1000000</f>
        <v>522.16858807250048</v>
      </c>
      <c r="L26" s="74">
        <f t="shared" si="2"/>
        <v>5.2216858807250049E-2</v>
      </c>
      <c r="N26" s="97" t="s">
        <v>19</v>
      </c>
      <c r="O26" s="71">
        <f t="shared" ref="O26:Q29" si="6">H26*$Q$12</f>
        <v>2.2092710972519976E-6</v>
      </c>
      <c r="P26" s="71">
        <f t="shared" si="6"/>
        <v>1.5161664392905866E-6</v>
      </c>
      <c r="Q26" s="71">
        <f t="shared" si="6"/>
        <v>2.9023757552134084E-6</v>
      </c>
      <c r="R26" s="73">
        <f>O26*$L$5*1000000</f>
        <v>78.325288210875087</v>
      </c>
      <c r="S26" s="73">
        <f>P26*$L$5*1000000</f>
        <v>53.752648772169167</v>
      </c>
      <c r="T26" s="73">
        <f>Q26*$L$5*1000000</f>
        <v>102.89792764958098</v>
      </c>
      <c r="U26" s="74">
        <f t="shared" si="4"/>
        <v>7.8325288210875088E-3</v>
      </c>
      <c r="W26" s="75" t="s">
        <v>109</v>
      </c>
      <c r="X26" s="98" t="s">
        <v>19</v>
      </c>
      <c r="Y26" s="99">
        <v>1.72E+21</v>
      </c>
      <c r="Z26" s="58"/>
    </row>
    <row r="27" spans="1:26" ht="15" customHeight="1" x14ac:dyDescent="0.35">
      <c r="A27" s="40"/>
      <c r="B27" s="100" t="s">
        <v>20</v>
      </c>
      <c r="C27" s="87">
        <f>Calculations!E106</f>
        <v>17666135064.935066</v>
      </c>
      <c r="D27" s="87">
        <f>Calculations!D106</f>
        <v>12123818181.818182</v>
      </c>
      <c r="E27" s="88">
        <f>Calculations!F106</f>
        <v>23208451948.051949</v>
      </c>
      <c r="G27" s="100" t="s">
        <v>20</v>
      </c>
      <c r="H27" s="71">
        <f t="shared" si="5"/>
        <v>1.1476732972737651E-6</v>
      </c>
      <c r="I27" s="71">
        <f t="shared" si="0"/>
        <v>7.8761892950160342E-7</v>
      </c>
      <c r="J27" s="71">
        <f t="shared" si="1"/>
        <v>1.5077276650459266E-6</v>
      </c>
      <c r="K27" s="73">
        <f>H27*$M$5*1000000</f>
        <v>21.803959813945792</v>
      </c>
      <c r="L27" s="74">
        <f t="shared" si="2"/>
        <v>2.1803959813945792E-3</v>
      </c>
      <c r="N27" s="100" t="s">
        <v>20</v>
      </c>
      <c r="O27" s="71">
        <f t="shared" si="6"/>
        <v>1.7215099459106477E-7</v>
      </c>
      <c r="P27" s="71">
        <f t="shared" si="6"/>
        <v>1.181428394252405E-7</v>
      </c>
      <c r="Q27" s="71">
        <f t="shared" si="6"/>
        <v>2.2615914975688899E-7</v>
      </c>
      <c r="R27" s="73">
        <f>O27*$M$5*1000000</f>
        <v>3.2705939720918686</v>
      </c>
      <c r="S27" s="73">
        <f>P27*$M$5*1000000</f>
        <v>2.2445252749650075</v>
      </c>
      <c r="T27" s="73">
        <f>Q27*$M$5*1000000</f>
        <v>4.2966626692187289</v>
      </c>
      <c r="U27" s="74">
        <f t="shared" si="4"/>
        <v>3.2705939720918686E-4</v>
      </c>
      <c r="W27" s="75" t="s">
        <v>109</v>
      </c>
      <c r="X27" s="91" t="s">
        <v>20</v>
      </c>
      <c r="Y27" s="92">
        <v>8.07E+20</v>
      </c>
      <c r="Z27" s="58"/>
    </row>
    <row r="28" spans="1:26" ht="15" customHeight="1" x14ac:dyDescent="0.35">
      <c r="A28" s="40"/>
      <c r="B28" s="97" t="s">
        <v>21</v>
      </c>
      <c r="C28" s="87">
        <f>Calculations!E107</f>
        <v>527245116.27906978</v>
      </c>
      <c r="D28" s="87">
        <f>Calculations!D107</f>
        <v>180917441.86046511</v>
      </c>
      <c r="E28" s="88">
        <f>Calculations!F107</f>
        <v>1038983023.255814</v>
      </c>
      <c r="G28" s="97" t="s">
        <v>21</v>
      </c>
      <c r="H28" s="71">
        <f t="shared" si="5"/>
        <v>3.4252265073674386E-8</v>
      </c>
      <c r="I28" s="71">
        <f t="shared" si="0"/>
        <v>1.1753228211554935E-8</v>
      </c>
      <c r="J28" s="71">
        <f t="shared" si="1"/>
        <v>6.7497110586358347E-8</v>
      </c>
      <c r="K28" s="73">
        <f>H28*$N$5*1000000</f>
        <v>2.7368929884468782</v>
      </c>
      <c r="L28" s="74">
        <f t="shared" si="2"/>
        <v>2.7368929884468785E-4</v>
      </c>
      <c r="N28" s="97" t="s">
        <v>21</v>
      </c>
      <c r="O28" s="71">
        <f t="shared" si="6"/>
        <v>5.1378397610511574E-9</v>
      </c>
      <c r="P28" s="71">
        <f t="shared" si="6"/>
        <v>1.7629842317332402E-9</v>
      </c>
      <c r="Q28" s="71">
        <f t="shared" si="6"/>
        <v>1.0124566587953751E-8</v>
      </c>
      <c r="R28" s="73">
        <f>O28*$N$5*1000000</f>
        <v>0.41053394826703166</v>
      </c>
      <c r="S28" s="73">
        <f>P28*$N$5*1000000</f>
        <v>0.14086949205241281</v>
      </c>
      <c r="T28" s="73">
        <f>Q28*$N$5*1000000</f>
        <v>0.80899336864385651</v>
      </c>
      <c r="U28" s="74">
        <f t="shared" si="4"/>
        <v>4.1053394826703166E-5</v>
      </c>
      <c r="W28" s="75" t="s">
        <v>109</v>
      </c>
      <c r="X28" s="98" t="s">
        <v>21</v>
      </c>
      <c r="Y28" s="101">
        <v>2.18E+18</v>
      </c>
      <c r="Z28" s="58"/>
    </row>
    <row r="29" spans="1:26" ht="15" customHeight="1" x14ac:dyDescent="0.35">
      <c r="A29" s="40"/>
      <c r="B29" s="100" t="s">
        <v>22</v>
      </c>
      <c r="C29" s="87">
        <f>Calculations!E108</f>
        <v>65905639.534883723</v>
      </c>
      <c r="D29" s="87">
        <f>Calculations!D108</f>
        <v>18091744.186046507</v>
      </c>
      <c r="E29" s="88">
        <f>Calculations!F108</f>
        <v>138531069.76744187</v>
      </c>
      <c r="G29" s="100" t="s">
        <v>22</v>
      </c>
      <c r="H29" s="71">
        <f t="shared" si="5"/>
        <v>4.2815331342092983E-9</v>
      </c>
      <c r="I29" s="71">
        <f t="shared" si="0"/>
        <v>1.1753228211554931E-9</v>
      </c>
      <c r="J29" s="71">
        <f t="shared" si="1"/>
        <v>8.9996147448477798E-9</v>
      </c>
      <c r="K29" s="73">
        <f>H29*$O$5*1000000</f>
        <v>0.54334569318426995</v>
      </c>
      <c r="L29" s="74">
        <f t="shared" si="2"/>
        <v>5.4334569318426995E-5</v>
      </c>
      <c r="N29" s="100" t="s">
        <v>22</v>
      </c>
      <c r="O29" s="71">
        <f t="shared" si="6"/>
        <v>6.4222997013139468E-10</v>
      </c>
      <c r="P29" s="71">
        <f t="shared" si="6"/>
        <v>1.7629842317332396E-10</v>
      </c>
      <c r="Q29" s="71">
        <f t="shared" si="6"/>
        <v>1.3499422117271669E-9</v>
      </c>
      <c r="R29" s="73">
        <f>O29*$O$5*1000000</f>
        <v>8.1501853977640468E-2</v>
      </c>
      <c r="S29" s="73">
        <f>P29*$O$5*1000000</f>
        <v>2.2373057954646395E-2</v>
      </c>
      <c r="T29" s="73">
        <f>Q29*$O$5*1000000</f>
        <v>0.17131370090986392</v>
      </c>
      <c r="U29" s="74">
        <f t="shared" si="4"/>
        <v>8.1501853977640472E-6</v>
      </c>
      <c r="W29" s="75" t="s">
        <v>109</v>
      </c>
      <c r="X29" s="91" t="s">
        <v>22</v>
      </c>
      <c r="Y29" s="92">
        <v>1.48E+17</v>
      </c>
      <c r="Z29" s="58"/>
    </row>
    <row r="30" spans="1:26" ht="15" customHeight="1" x14ac:dyDescent="0.35">
      <c r="A30" s="40"/>
      <c r="B30" s="102"/>
      <c r="C30" s="103"/>
      <c r="E30" s="55"/>
      <c r="G30" s="54"/>
      <c r="L30" s="55"/>
      <c r="N30" s="54"/>
      <c r="U30" s="55"/>
      <c r="W30" s="57"/>
      <c r="X30" s="39"/>
      <c r="Y30" s="39"/>
      <c r="Z30" s="58"/>
    </row>
    <row r="31" spans="1:26" ht="15" customHeight="1" x14ac:dyDescent="0.35">
      <c r="A31" s="40"/>
      <c r="B31" s="102"/>
      <c r="C31" s="103"/>
      <c r="D31" s="273"/>
      <c r="E31" s="367"/>
      <c r="G31" s="56"/>
      <c r="L31" s="55"/>
      <c r="N31" s="54"/>
      <c r="U31" s="55"/>
      <c r="W31" s="57"/>
      <c r="X31" s="39"/>
      <c r="Y31" s="39"/>
      <c r="Z31" s="58"/>
    </row>
    <row r="32" spans="1:26" ht="15" customHeight="1" x14ac:dyDescent="0.35">
      <c r="A32" s="40"/>
      <c r="B32" s="102"/>
      <c r="C32" s="103"/>
      <c r="D32" s="273"/>
      <c r="E32" s="367"/>
      <c r="G32" s="59" t="s">
        <v>58</v>
      </c>
      <c r="H32" s="60">
        <f>1000000*H13/67338</f>
        <v>76.197689269060561</v>
      </c>
      <c r="L32" s="55"/>
      <c r="N32" s="54"/>
      <c r="U32" s="55"/>
      <c r="W32" s="57"/>
      <c r="X32" s="39"/>
      <c r="Y32" s="39"/>
      <c r="Z32" s="58"/>
    </row>
    <row r="33" spans="1:29" ht="15" customHeight="1" x14ac:dyDescent="0.35">
      <c r="A33" s="40"/>
      <c r="B33" s="102"/>
      <c r="C33" s="103"/>
      <c r="D33" s="273"/>
      <c r="E33" s="367"/>
      <c r="G33" s="59" t="s">
        <v>60</v>
      </c>
      <c r="H33" s="60">
        <f>Calculations!F17*0.000000001</f>
        <v>20.091685120000001</v>
      </c>
      <c r="L33" s="55"/>
      <c r="N33" s="59" t="s">
        <v>59</v>
      </c>
      <c r="O33" s="104">
        <v>0.11</v>
      </c>
      <c r="U33" s="55"/>
      <c r="W33" s="272"/>
      <c r="Y33" s="39"/>
      <c r="Z33" s="58"/>
    </row>
    <row r="34" spans="1:29" ht="15" customHeight="1" x14ac:dyDescent="0.35">
      <c r="A34" s="40"/>
      <c r="B34" s="102"/>
      <c r="C34" s="103"/>
      <c r="D34" s="273"/>
      <c r="E34" s="367"/>
      <c r="G34" s="59" t="s">
        <v>62</v>
      </c>
      <c r="H34" s="64">
        <f>H33*1000000000000000*3</f>
        <v>6.027505536E+16</v>
      </c>
      <c r="L34" s="55"/>
      <c r="N34" s="54"/>
      <c r="U34" s="55"/>
      <c r="W34" s="59" t="s">
        <v>110</v>
      </c>
      <c r="X34" s="104">
        <f>4.01E+27*90/100</f>
        <v>3.609E+27</v>
      </c>
      <c r="Y34" s="39"/>
      <c r="Z34" s="58"/>
      <c r="AC34" s="273"/>
    </row>
    <row r="35" spans="1:29" ht="15" customHeight="1" x14ac:dyDescent="0.35">
      <c r="A35" s="40"/>
      <c r="B35" s="102"/>
      <c r="C35" s="103"/>
      <c r="E35" s="55"/>
      <c r="G35" s="54"/>
      <c r="L35" s="55"/>
      <c r="N35" s="54"/>
      <c r="U35" s="55"/>
      <c r="W35" s="57"/>
      <c r="X35" s="39"/>
      <c r="Y35" s="39"/>
      <c r="Z35" s="58"/>
    </row>
    <row r="36" spans="1:29" ht="15" customHeight="1" x14ac:dyDescent="0.35">
      <c r="A36" s="40"/>
      <c r="B36" s="65" t="s">
        <v>111</v>
      </c>
      <c r="C36" s="66" t="s">
        <v>64</v>
      </c>
      <c r="D36" s="66" t="s">
        <v>65</v>
      </c>
      <c r="E36" s="67" t="s">
        <v>66</v>
      </c>
      <c r="G36" s="65" t="s">
        <v>67</v>
      </c>
      <c r="H36" s="66" t="s">
        <v>64</v>
      </c>
      <c r="I36" s="66" t="s">
        <v>65</v>
      </c>
      <c r="J36" s="66" t="s">
        <v>66</v>
      </c>
      <c r="K36" s="66" t="s">
        <v>68</v>
      </c>
      <c r="L36" s="67" t="s">
        <v>69</v>
      </c>
      <c r="N36" s="65" t="s">
        <v>112</v>
      </c>
      <c r="O36" s="66" t="s">
        <v>64</v>
      </c>
      <c r="P36" s="66" t="s">
        <v>65</v>
      </c>
      <c r="Q36" s="66" t="s">
        <v>66</v>
      </c>
      <c r="R36" s="66" t="s">
        <v>68</v>
      </c>
      <c r="S36" s="66" t="s">
        <v>65</v>
      </c>
      <c r="T36" s="66" t="s">
        <v>66</v>
      </c>
      <c r="U36" s="67" t="s">
        <v>69</v>
      </c>
      <c r="W36" s="65" t="s">
        <v>113</v>
      </c>
      <c r="X36" s="66" t="s">
        <v>64</v>
      </c>
      <c r="Y36" s="66" t="s">
        <v>65</v>
      </c>
      <c r="Z36" s="67" t="s">
        <v>66</v>
      </c>
    </row>
    <row r="37" spans="1:29" ht="15" customHeight="1" x14ac:dyDescent="0.35">
      <c r="A37" s="40"/>
      <c r="B37" s="70" t="s">
        <v>114</v>
      </c>
      <c r="C37" s="87">
        <f>Calculations!E49</f>
        <v>15756750000</v>
      </c>
      <c r="D37" s="87">
        <f>Calculations!D49</f>
        <v>8352000000</v>
      </c>
      <c r="E37" s="88">
        <f>Calculations!F49</f>
        <v>26838750000</v>
      </c>
      <c r="G37" s="70" t="s">
        <v>115</v>
      </c>
      <c r="H37" s="71">
        <f t="shared" ref="H37:H45" si="7">C37/$H$34</f>
        <v>2.6141411079410746E-7</v>
      </c>
      <c r="I37" s="71">
        <f t="shared" ref="I37:I45" si="8">D37/$H$34</f>
        <v>1.3856478355957829E-7</v>
      </c>
      <c r="J37" s="71">
        <f t="shared" ref="J37:J45" si="9">E37/$H$34</f>
        <v>4.4527126254305939E-7</v>
      </c>
      <c r="K37" s="73">
        <f>H37*$C$5*1000000</f>
        <v>3.6615490256598249</v>
      </c>
      <c r="L37" s="74">
        <f t="shared" ref="L37:L49" si="10">K37/10000</f>
        <v>3.661549025659825E-4</v>
      </c>
      <c r="N37" s="70" t="s">
        <v>116</v>
      </c>
      <c r="O37" s="71">
        <f t="shared" ref="O37:Q42" si="11">H37*$O$33</f>
        <v>2.8755552187351822E-8</v>
      </c>
      <c r="P37" s="71">
        <f t="shared" si="11"/>
        <v>1.5242126191553611E-8</v>
      </c>
      <c r="Q37" s="71">
        <f t="shared" si="11"/>
        <v>4.8979838879736532E-8</v>
      </c>
      <c r="R37" s="73">
        <f>O37*$C$5*1000000</f>
        <v>0.40277039282258081</v>
      </c>
      <c r="S37" s="73">
        <f>P37*$C$5*1000000</f>
        <v>0.21349188892723397</v>
      </c>
      <c r="T37" s="73">
        <f>Q37*$C$5*1000000</f>
        <v>0.68604590923680575</v>
      </c>
      <c r="U37" s="74">
        <f t="shared" ref="U37:U49" si="12">R37/10000</f>
        <v>4.0277039282258084E-5</v>
      </c>
      <c r="W37" s="70" t="s">
        <v>117</v>
      </c>
      <c r="X37" s="71">
        <f t="shared" ref="X37:X49" si="13">O37*$X$34</f>
        <v>1.0377878784415272E+20</v>
      </c>
      <c r="Y37" s="71">
        <f t="shared" ref="Y37:Y49" si="14">P37*$X$34</f>
        <v>5.5008833425316987E+19</v>
      </c>
      <c r="Z37" s="72">
        <f t="shared" ref="Z37:Z49" si="15">Q37*$X$34</f>
        <v>1.7676823851696914E+20</v>
      </c>
    </row>
    <row r="38" spans="1:29" ht="15" customHeight="1" x14ac:dyDescent="0.35">
      <c r="A38" s="40"/>
      <c r="B38" s="105" t="s">
        <v>118</v>
      </c>
      <c r="C38" s="87">
        <f>Calculations!E42</f>
        <v>745</v>
      </c>
      <c r="D38" s="87">
        <f>Calculations!D42</f>
        <v>640</v>
      </c>
      <c r="E38" s="88">
        <f>Calculations!F42</f>
        <v>850</v>
      </c>
      <c r="G38" s="78" t="s">
        <v>119</v>
      </c>
      <c r="H38" s="71">
        <f t="shared" si="7"/>
        <v>1.2360005238492078E-14</v>
      </c>
      <c r="I38" s="71">
        <f t="shared" si="8"/>
        <v>1.0617991077362322E-14</v>
      </c>
      <c r="J38" s="71">
        <f t="shared" si="9"/>
        <v>1.4102019399621833E-14</v>
      </c>
      <c r="K38" s="73">
        <f>H38*$D$5*1000000</f>
        <v>3.7278137947445592E-8</v>
      </c>
      <c r="L38" s="74">
        <f t="shared" si="10"/>
        <v>3.7278137947445591E-12</v>
      </c>
      <c r="N38" s="78" t="s">
        <v>120</v>
      </c>
      <c r="O38" s="71">
        <f t="shared" si="11"/>
        <v>1.3596005762341287E-15</v>
      </c>
      <c r="P38" s="71">
        <f t="shared" si="11"/>
        <v>1.1679790185098554E-15</v>
      </c>
      <c r="Q38" s="71">
        <f t="shared" si="11"/>
        <v>1.5512221339584017E-15</v>
      </c>
      <c r="R38" s="73">
        <f>O38*$D$5*1000000</f>
        <v>4.100595174219016E-9</v>
      </c>
      <c r="S38" s="73">
        <f>P38*$D$5*1000000</f>
        <v>3.5226589416109667E-9</v>
      </c>
      <c r="T38" s="73">
        <f>Q38*$D$5*1000000</f>
        <v>4.6785314068270645E-9</v>
      </c>
      <c r="U38" s="74">
        <f t="shared" si="12"/>
        <v>4.1005951742190159E-13</v>
      </c>
      <c r="W38" s="78" t="s">
        <v>121</v>
      </c>
      <c r="X38" s="71">
        <f t="shared" si="13"/>
        <v>4906798479628.9707</v>
      </c>
      <c r="Y38" s="71">
        <f t="shared" si="14"/>
        <v>4215236277802.0684</v>
      </c>
      <c r="Z38" s="72">
        <f t="shared" si="15"/>
        <v>5598360681455.8721</v>
      </c>
    </row>
    <row r="39" spans="1:29" ht="15" customHeight="1" x14ac:dyDescent="0.35">
      <c r="A39" s="40"/>
      <c r="B39" s="78" t="s">
        <v>122</v>
      </c>
      <c r="C39" s="87">
        <f>Calculations!E43</f>
        <v>152.0408163265306</v>
      </c>
      <c r="D39" s="87">
        <f>Calculations!D43</f>
        <v>130.61224489795916</v>
      </c>
      <c r="E39" s="88">
        <f>Calculations!F43</f>
        <v>173.46938775510202</v>
      </c>
      <c r="G39" s="83" t="s">
        <v>83</v>
      </c>
      <c r="H39" s="71">
        <f t="shared" si="7"/>
        <v>2.5224500486718527E-15</v>
      </c>
      <c r="I39" s="71">
        <f t="shared" si="8"/>
        <v>2.1669369545637388E-15</v>
      </c>
      <c r="J39" s="71">
        <f t="shared" si="9"/>
        <v>2.8779631427799657E-15</v>
      </c>
      <c r="K39" s="73">
        <f>H39*$E$5*1000000</f>
        <v>5.5471199020342709E-8</v>
      </c>
      <c r="L39" s="74">
        <f t="shared" si="10"/>
        <v>5.5471199020342708E-12</v>
      </c>
      <c r="N39" s="83" t="s">
        <v>83</v>
      </c>
      <c r="O39" s="71">
        <f t="shared" si="11"/>
        <v>2.774695053539038E-16</v>
      </c>
      <c r="P39" s="71">
        <f t="shared" si="11"/>
        <v>2.3836306500201128E-16</v>
      </c>
      <c r="Q39" s="71">
        <f t="shared" si="11"/>
        <v>3.1657594570579622E-16</v>
      </c>
      <c r="R39" s="73">
        <f>O39*$E$5*1000000</f>
        <v>6.1018318922376983E-9</v>
      </c>
      <c r="S39" s="73">
        <f>P39*$E$5*1000000</f>
        <v>5.2418421624592302E-9</v>
      </c>
      <c r="T39" s="73">
        <f>Q39*$E$5*1000000</f>
        <v>6.9618216220161647E-9</v>
      </c>
      <c r="U39" s="74">
        <f t="shared" si="12"/>
        <v>6.1018318922376983E-13</v>
      </c>
      <c r="W39" s="83" t="s">
        <v>83</v>
      </c>
      <c r="X39" s="71">
        <f t="shared" si="13"/>
        <v>1001387444822.2388</v>
      </c>
      <c r="Y39" s="71">
        <f t="shared" si="14"/>
        <v>860252301592.25867</v>
      </c>
      <c r="Z39" s="72">
        <f t="shared" si="15"/>
        <v>1142522588052.2185</v>
      </c>
    </row>
    <row r="40" spans="1:29" ht="15" customHeight="1" x14ac:dyDescent="0.35">
      <c r="A40" s="40"/>
      <c r="B40" s="78" t="s">
        <v>123</v>
      </c>
      <c r="C40" s="87">
        <f>Calculations!E44</f>
        <v>1862.5</v>
      </c>
      <c r="D40" s="87">
        <f>Calculations!D44</f>
        <v>1600</v>
      </c>
      <c r="E40" s="88">
        <f>Calculations!F44</f>
        <v>2125</v>
      </c>
      <c r="G40" s="78" t="s">
        <v>124</v>
      </c>
      <c r="H40" s="71">
        <f t="shared" si="7"/>
        <v>3.0900013096230192E-14</v>
      </c>
      <c r="I40" s="71">
        <f t="shared" si="8"/>
        <v>2.6544977693405804E-14</v>
      </c>
      <c r="J40" s="71">
        <f t="shared" si="9"/>
        <v>3.5255048499054583E-14</v>
      </c>
      <c r="K40" s="73">
        <f>H40*$F$5*1000000</f>
        <v>1.1113977660393144E-6</v>
      </c>
      <c r="L40" s="74">
        <f t="shared" si="10"/>
        <v>1.1113977660393144E-10</v>
      </c>
      <c r="N40" s="78" t="s">
        <v>125</v>
      </c>
      <c r="O40" s="71">
        <f t="shared" si="11"/>
        <v>3.3990014405853209E-15</v>
      </c>
      <c r="P40" s="71">
        <f t="shared" si="11"/>
        <v>2.9199475462746384E-15</v>
      </c>
      <c r="Q40" s="71">
        <f t="shared" si="11"/>
        <v>3.8780553348960043E-15</v>
      </c>
      <c r="R40" s="73">
        <f>O40*$F$5*1000000</f>
        <v>1.2225375426432458E-7</v>
      </c>
      <c r="S40" s="73">
        <f>P40*$F$5*1000000</f>
        <v>1.0502335936801037E-7</v>
      </c>
      <c r="T40" s="73">
        <f>Q40*$F$5*1000000</f>
        <v>1.3948414916063878E-7</v>
      </c>
      <c r="U40" s="74">
        <f t="shared" si="12"/>
        <v>1.2225375426432458E-11</v>
      </c>
      <c r="W40" s="78" t="s">
        <v>126</v>
      </c>
      <c r="X40" s="71">
        <f t="shared" si="13"/>
        <v>12266996199072.424</v>
      </c>
      <c r="Y40" s="71">
        <f t="shared" si="14"/>
        <v>10538090694505.17</v>
      </c>
      <c r="Z40" s="72">
        <f t="shared" si="15"/>
        <v>13995901703639.68</v>
      </c>
    </row>
    <row r="41" spans="1:29" ht="15" customHeight="1" x14ac:dyDescent="0.35">
      <c r="A41" s="40"/>
      <c r="B41" s="78" t="s">
        <v>127</v>
      </c>
      <c r="C41" s="87">
        <f>Calculations!E45</f>
        <v>52.836879432624116</v>
      </c>
      <c r="D41" s="87">
        <f>Calculations!D45</f>
        <v>45.390070921985817</v>
      </c>
      <c r="E41" s="88">
        <f>Calculations!F45</f>
        <v>60.283687943262414</v>
      </c>
      <c r="G41" s="78" t="s">
        <v>128</v>
      </c>
      <c r="H41" s="71">
        <f t="shared" si="7"/>
        <v>8.7659611620511194E-16</v>
      </c>
      <c r="I41" s="71">
        <f t="shared" si="8"/>
        <v>7.5304901257888812E-16</v>
      </c>
      <c r="J41" s="71">
        <f t="shared" si="9"/>
        <v>1.0001432198313357E-15</v>
      </c>
      <c r="K41" s="73">
        <f>H41*$G$5*1000000</f>
        <v>7.3556493251753017E-8</v>
      </c>
      <c r="L41" s="74">
        <f t="shared" si="10"/>
        <v>7.3556493251753018E-12</v>
      </c>
      <c r="N41" s="78" t="s">
        <v>129</v>
      </c>
      <c r="O41" s="71">
        <f t="shared" si="11"/>
        <v>9.6425572782562314E-17</v>
      </c>
      <c r="P41" s="71">
        <f t="shared" si="11"/>
        <v>8.2835391383677692E-17</v>
      </c>
      <c r="Q41" s="71">
        <f t="shared" si="11"/>
        <v>1.1001575418144694E-16</v>
      </c>
      <c r="R41" s="73">
        <f>O41*$G$5*1000000</f>
        <v>8.0912142576928317E-9</v>
      </c>
      <c r="S41" s="73">
        <f>P41*$G$5*1000000</f>
        <v>6.9508417784206872E-9</v>
      </c>
      <c r="T41" s="73">
        <f>Q41*$G$5*1000000</f>
        <v>9.2315867369649762E-9</v>
      </c>
      <c r="U41" s="74">
        <f t="shared" si="12"/>
        <v>8.0912142576928312E-13</v>
      </c>
      <c r="W41" s="78" t="s">
        <v>130</v>
      </c>
      <c r="X41" s="71">
        <f t="shared" si="13"/>
        <v>347999892172.2674</v>
      </c>
      <c r="Y41" s="71">
        <f t="shared" si="14"/>
        <v>298952927503.69281</v>
      </c>
      <c r="Z41" s="72">
        <f t="shared" si="15"/>
        <v>397046856840.84198</v>
      </c>
    </row>
    <row r="42" spans="1:29" ht="15" customHeight="1" x14ac:dyDescent="0.35">
      <c r="A42" s="40"/>
      <c r="B42" s="78" t="s">
        <v>131</v>
      </c>
      <c r="C42" s="87">
        <f>Calculations!E46</f>
        <v>0.98026315789473684</v>
      </c>
      <c r="D42" s="87">
        <f>Calculations!D46</f>
        <v>0.84210526315789469</v>
      </c>
      <c r="E42" s="88">
        <f>Calculations!F46</f>
        <v>1.118421052631579</v>
      </c>
      <c r="G42" s="78" t="s">
        <v>132</v>
      </c>
      <c r="H42" s="71">
        <f t="shared" si="7"/>
        <v>1.6263164787489576E-17</v>
      </c>
      <c r="I42" s="71">
        <f t="shared" si="8"/>
        <v>1.3971040891266211E-17</v>
      </c>
      <c r="J42" s="71">
        <f t="shared" si="9"/>
        <v>1.855528868371294E-17</v>
      </c>
      <c r="K42" s="73">
        <f>H42*$H$5*1000000</f>
        <v>2.1126421733401353E-9</v>
      </c>
      <c r="L42" s="74">
        <f t="shared" si="10"/>
        <v>2.1126421733401352E-13</v>
      </c>
      <c r="N42" s="78" t="s">
        <v>133</v>
      </c>
      <c r="O42" s="71">
        <f t="shared" si="11"/>
        <v>1.7889481266238532E-18</v>
      </c>
      <c r="P42" s="71">
        <f t="shared" si="11"/>
        <v>1.5368144980392834E-18</v>
      </c>
      <c r="Q42" s="71">
        <f t="shared" si="11"/>
        <v>2.0410817552084236E-18</v>
      </c>
      <c r="R42" s="73">
        <f>O42*$H$5*1000000</f>
        <v>2.3239063906741491E-10</v>
      </c>
      <c r="S42" s="73">
        <f>P42*$H$5*1000000</f>
        <v>1.9963759597737654E-10</v>
      </c>
      <c r="T42" s="73">
        <f>Q42*$H$5*1000000</f>
        <v>2.6514368215745328E-10</v>
      </c>
      <c r="U42" s="74">
        <f t="shared" si="12"/>
        <v>2.323906390674149E-14</v>
      </c>
      <c r="W42" s="78" t="s">
        <v>134</v>
      </c>
      <c r="X42" s="71">
        <f t="shared" si="13"/>
        <v>6456313788.985486</v>
      </c>
      <c r="Y42" s="71">
        <f t="shared" si="14"/>
        <v>5546363523.4237738</v>
      </c>
      <c r="Z42" s="72">
        <f t="shared" si="15"/>
        <v>7366264054.5472012</v>
      </c>
    </row>
    <row r="43" spans="1:29" ht="15" customHeight="1" x14ac:dyDescent="0.35">
      <c r="A43" s="40"/>
      <c r="B43" s="70" t="s">
        <v>135</v>
      </c>
      <c r="C43" s="87">
        <f>Calculations!E50</f>
        <v>6145289300846.2998</v>
      </c>
      <c r="D43" s="87">
        <f>Calculations!D50</f>
        <v>4389492357747.3564</v>
      </c>
      <c r="E43" s="88">
        <f>Calculations!F50</f>
        <v>7901086243945.2441</v>
      </c>
      <c r="G43" s="70" t="s">
        <v>136</v>
      </c>
      <c r="H43" s="275">
        <f>C43/$H$34</f>
        <v>1.0195410463155649E-4</v>
      </c>
      <c r="I43" s="275">
        <f t="shared" si="8"/>
        <v>7.2824360451111768E-5</v>
      </c>
      <c r="J43" s="275">
        <f t="shared" si="9"/>
        <v>1.3108384881200123E-4</v>
      </c>
      <c r="K43" s="276">
        <f>H43*$I$5*1000000</f>
        <v>1836.7031949374903</v>
      </c>
      <c r="L43" s="74">
        <f t="shared" si="10"/>
        <v>0.18367031949374901</v>
      </c>
      <c r="N43" s="70" t="s">
        <v>137</v>
      </c>
      <c r="O43" s="275">
        <f>H43*($Q$13*(1-$O$33)+$O$33)</f>
        <v>1.3211212878157091E-5</v>
      </c>
      <c r="P43" s="275">
        <f>I43*($Q$13*(1-$O$33)+$O$33)</f>
        <v>9.4365806272550625E-6</v>
      </c>
      <c r="Q43" s="275">
        <f>J43*($Q$13*(1-$O$33)+$O$33)</f>
        <v>1.6985845129059119E-5</v>
      </c>
      <c r="R43" s="276">
        <f>O43*$I$5*1000000</f>
        <v>238</v>
      </c>
      <c r="S43" s="73">
        <f>P43*$I$5*1000000</f>
        <v>169.99999999999997</v>
      </c>
      <c r="T43" s="73">
        <f>Q43*$I$5*1000000</f>
        <v>306.00000000000006</v>
      </c>
      <c r="U43" s="74">
        <f t="shared" si="12"/>
        <v>2.3800000000000002E-2</v>
      </c>
      <c r="W43" s="70" t="s">
        <v>138</v>
      </c>
      <c r="X43" s="71">
        <f t="shared" si="13"/>
        <v>4.7679267277268943E+22</v>
      </c>
      <c r="Y43" s="71">
        <f t="shared" si="14"/>
        <v>3.4056619483763522E+22</v>
      </c>
      <c r="Z43" s="72">
        <f t="shared" si="15"/>
        <v>6.1301915070774364E+22</v>
      </c>
    </row>
    <row r="44" spans="1:29" ht="15" customHeight="1" x14ac:dyDescent="0.35">
      <c r="A44" s="40"/>
      <c r="B44" s="106" t="s">
        <v>139</v>
      </c>
      <c r="C44" s="87">
        <f>Calculations!E47</f>
        <v>1639000000000</v>
      </c>
      <c r="D44" s="87">
        <f>Calculations!D47</f>
        <v>1024000000000</v>
      </c>
      <c r="E44" s="88">
        <f>Calculations!F47</f>
        <v>2380000000000</v>
      </c>
      <c r="G44" s="78" t="s">
        <v>140</v>
      </c>
      <c r="H44" s="71">
        <f t="shared" si="7"/>
        <v>2.7192011524682572E-5</v>
      </c>
      <c r="I44" s="71">
        <f t="shared" si="8"/>
        <v>1.6988785723779714E-5</v>
      </c>
      <c r="J44" s="71">
        <f t="shared" si="9"/>
        <v>3.9485654318941137E-5</v>
      </c>
      <c r="K44" s="73">
        <f>H44*$J$5*1000000</f>
        <v>326.57605841143766</v>
      </c>
      <c r="L44" s="74">
        <f t="shared" si="10"/>
        <v>3.2657605841143765E-2</v>
      </c>
      <c r="N44" s="78" t="s">
        <v>141</v>
      </c>
      <c r="O44" s="71">
        <f>H44*$O$33</f>
        <v>2.9911212677150828E-6</v>
      </c>
      <c r="P44" s="71">
        <f>I44*$O$33</f>
        <v>1.8687664296157685E-6</v>
      </c>
      <c r="Q44" s="71">
        <f>J44*$O$33</f>
        <v>4.3434219750835255E-6</v>
      </c>
      <c r="R44" s="73">
        <f>O44*$J$5*1000000</f>
        <v>35.923366425258145</v>
      </c>
      <c r="S44" s="73">
        <f>P44*$J$5*1000000</f>
        <v>22.44388481968538</v>
      </c>
      <c r="T44" s="73">
        <f>Q44*$J$5*1000000</f>
        <v>52.164497920753142</v>
      </c>
      <c r="U44" s="74">
        <f t="shared" si="12"/>
        <v>3.5923366425258145E-3</v>
      </c>
      <c r="W44" s="78" t="s">
        <v>142</v>
      </c>
      <c r="X44" s="71">
        <f t="shared" si="13"/>
        <v>1.0794956655183733E+22</v>
      </c>
      <c r="Y44" s="71">
        <f t="shared" si="14"/>
        <v>6.7443780444833081E+21</v>
      </c>
      <c r="Z44" s="72">
        <f t="shared" si="15"/>
        <v>1.5675409908076443E+22</v>
      </c>
    </row>
    <row r="45" spans="1:29" ht="15" customHeight="1" x14ac:dyDescent="0.35">
      <c r="A45" s="40"/>
      <c r="B45" s="100" t="s">
        <v>18</v>
      </c>
      <c r="C45" s="107">
        <f>Calculations!E48</f>
        <v>2021327182597.8481</v>
      </c>
      <c r="D45" s="107">
        <f>Calculations!D48</f>
        <v>1811388323467.9561</v>
      </c>
      <c r="E45" s="88">
        <f>Calculations!F48</f>
        <v>2262766041727.7412</v>
      </c>
      <c r="G45" s="95" t="s">
        <v>18</v>
      </c>
      <c r="H45" s="71">
        <f t="shared" si="7"/>
        <v>3.3535053108209179E-5</v>
      </c>
      <c r="I45" s="71">
        <f t="shared" si="8"/>
        <v>3.0052039150345397E-5</v>
      </c>
      <c r="J45" s="71">
        <f t="shared" si="9"/>
        <v>3.75406713144119E-5</v>
      </c>
      <c r="K45" s="73">
        <f>H45*$K$5*1000000</f>
        <v>1075.3014779147272</v>
      </c>
      <c r="L45" s="74">
        <f t="shared" si="10"/>
        <v>0.10753014779147273</v>
      </c>
      <c r="N45" s="95" t="s">
        <v>18</v>
      </c>
      <c r="O45" s="71">
        <f>H45*($Q$14*(1-$O$33)+$O$33)</f>
        <v>6.0765516232075035E-6</v>
      </c>
      <c r="P45" s="71">
        <f>I45*($Q$14*(1-$O$33)+$O$33)</f>
        <v>5.4454294940425855E-6</v>
      </c>
      <c r="Q45" s="71">
        <f>J45*($Q$14*(1-$O$33)+$O$33)</f>
        <v>6.8023696421714362E-6</v>
      </c>
      <c r="R45" s="73">
        <f>O45*$K$5*1000000</f>
        <v>194.84462779814859</v>
      </c>
      <c r="S45" s="73">
        <f>P45*$K$5*1000000</f>
        <v>174.6076967264755</v>
      </c>
      <c r="T45" s="73">
        <f>Q45*$K$5*1000000</f>
        <v>218.11798257622706</v>
      </c>
      <c r="U45" s="74">
        <f t="shared" si="12"/>
        <v>1.948446277981486E-2</v>
      </c>
      <c r="W45" s="95" t="s">
        <v>18</v>
      </c>
      <c r="X45" s="71">
        <f t="shared" si="13"/>
        <v>2.193027480815588E+22</v>
      </c>
      <c r="Y45" s="71">
        <f t="shared" si="14"/>
        <v>1.9652555043999689E+22</v>
      </c>
      <c r="Z45" s="72">
        <f t="shared" si="15"/>
        <v>2.4549752038596714E+22</v>
      </c>
    </row>
    <row r="46" spans="1:29" ht="15" customHeight="1" x14ac:dyDescent="0.35">
      <c r="A46" s="40"/>
      <c r="B46" s="97" t="s">
        <v>19</v>
      </c>
      <c r="C46" s="107">
        <f t="shared" ref="C46:C48" si="16">$H$34*H46</f>
        <v>92734896690.36853</v>
      </c>
      <c r="D46" s="107">
        <f t="shared" ref="D46:D48" si="17">$H$34*I46</f>
        <v>74710472637.868958</v>
      </c>
      <c r="E46" s="365">
        <f t="shared" ref="E46:E48" si="18">$H$34*J46</f>
        <v>110759320742.86813</v>
      </c>
      <c r="G46" s="97" t="s">
        <v>19</v>
      </c>
      <c r="H46" s="111">
        <f>O46/$O$33</f>
        <v>1.5385286025288278E-6</v>
      </c>
      <c r="I46" s="111">
        <f>P46/$O$33</f>
        <v>1.2394923935225228E-6</v>
      </c>
      <c r="J46" s="111">
        <f t="shared" ref="I46:J49" si="19">Q46/$O$33</f>
        <v>1.8375648115351335E-6</v>
      </c>
      <c r="K46" s="73">
        <f>H46*$L$5*1000000</f>
        <v>54.54545454545454</v>
      </c>
      <c r="L46" s="74">
        <f t="shared" si="10"/>
        <v>5.4545454545454541E-3</v>
      </c>
      <c r="N46" s="97" t="s">
        <v>19</v>
      </c>
      <c r="O46" s="355">
        <f>R46/L5/1000000</f>
        <v>1.6923814627817107E-7</v>
      </c>
      <c r="P46" s="355">
        <f>S46/L5/1000000</f>
        <v>1.3634416328747751E-7</v>
      </c>
      <c r="Q46" s="355">
        <f>T46/L5/1000000</f>
        <v>2.0213212926886469E-7</v>
      </c>
      <c r="R46" s="276">
        <f>'halogen compilation'!AQ10</f>
        <v>6</v>
      </c>
      <c r="S46" s="276">
        <f>'halogen compilation'!AQ10-'halogen compilation'!AR10</f>
        <v>4.83380962103094</v>
      </c>
      <c r="T46" s="276">
        <f>'halogen compilation'!AQ10+'halogen compilation'!AR10</f>
        <v>7.16619037896906</v>
      </c>
      <c r="U46" s="74">
        <f>R46/10000</f>
        <v>5.9999999999999995E-4</v>
      </c>
      <c r="W46" s="97" t="s">
        <v>19</v>
      </c>
      <c r="X46" s="71">
        <f>O46*$X$34</f>
        <v>6.1078046991791935E+20</v>
      </c>
      <c r="Y46" s="71">
        <f t="shared" si="14"/>
        <v>4.9206608530450632E+20</v>
      </c>
      <c r="Z46" s="72">
        <f t="shared" si="15"/>
        <v>7.294948545313327E+20</v>
      </c>
    </row>
    <row r="47" spans="1:29" ht="15" customHeight="1" x14ac:dyDescent="0.35">
      <c r="A47" s="40"/>
      <c r="B47" s="100" t="s">
        <v>20</v>
      </c>
      <c r="C47" s="107">
        <f t="shared" si="16"/>
        <v>342644904357.4873</v>
      </c>
      <c r="D47" s="107">
        <f t="shared" si="17"/>
        <v>280023525508.13885</v>
      </c>
      <c r="E47" s="365">
        <f t="shared" si="18"/>
        <v>405266283206.83582</v>
      </c>
      <c r="G47" s="100" t="s">
        <v>20</v>
      </c>
      <c r="H47" s="111">
        <f t="shared" ref="H47:H48" si="20">O47/$O$33</f>
        <v>5.6846883393304167E-6</v>
      </c>
      <c r="I47" s="111">
        <f t="shared" si="19"/>
        <v>4.6457613989014984E-6</v>
      </c>
      <c r="J47" s="111">
        <f t="shared" si="19"/>
        <v>6.7236152797593349E-6</v>
      </c>
      <c r="K47" s="73">
        <f>H47*$M$5*1000000</f>
        <v>108.00000000000001</v>
      </c>
      <c r="L47" s="74">
        <f t="shared" si="10"/>
        <v>1.0800000000000001E-2</v>
      </c>
      <c r="N47" s="100" t="s">
        <v>20</v>
      </c>
      <c r="O47" s="355">
        <f>R47/M5/1000000</f>
        <v>6.2531571732634582E-7</v>
      </c>
      <c r="P47" s="355">
        <f>S47/M5/1000000</f>
        <v>5.1103375387916482E-7</v>
      </c>
      <c r="Q47" s="355">
        <f>T47/M5/1000000</f>
        <v>7.3959768077352683E-7</v>
      </c>
      <c r="R47" s="276">
        <f>'halogen compilation'!AQ16</f>
        <v>11.88</v>
      </c>
      <c r="S47" s="276">
        <f>'halogen compilation'!AQ16-'halogen compilation'!AR16</f>
        <v>9.7088252027991864</v>
      </c>
      <c r="T47" s="276">
        <f>'halogen compilation'!AQ16+'halogen compilation'!AR16</f>
        <v>14.051174797200815</v>
      </c>
      <c r="U47" s="74">
        <f t="shared" si="12"/>
        <v>1.188E-3</v>
      </c>
      <c r="W47" s="100" t="s">
        <v>20</v>
      </c>
      <c r="X47" s="71">
        <f t="shared" si="13"/>
        <v>2.2567644238307821E+21</v>
      </c>
      <c r="Y47" s="71">
        <f t="shared" si="14"/>
        <v>1.8443208177499059E+21</v>
      </c>
      <c r="Z47" s="72">
        <f t="shared" si="15"/>
        <v>2.6692080299116583E+21</v>
      </c>
    </row>
    <row r="48" spans="1:29" ht="15" customHeight="1" x14ac:dyDescent="0.35">
      <c r="A48" s="40"/>
      <c r="B48" s="97" t="s">
        <v>21</v>
      </c>
      <c r="C48" s="107">
        <f t="shared" si="16"/>
        <v>115208810.8056941</v>
      </c>
      <c r="D48" s="107">
        <f t="shared" si="17"/>
        <v>81878572.278584331</v>
      </c>
      <c r="E48" s="365">
        <f t="shared" si="18"/>
        <v>148539049.33280391</v>
      </c>
      <c r="G48" s="97" t="s">
        <v>21</v>
      </c>
      <c r="H48" s="111">
        <f t="shared" si="20"/>
        <v>1.9113845705755998E-9</v>
      </c>
      <c r="I48" s="111">
        <f t="shared" si="19"/>
        <v>1.3584155466893349E-9</v>
      </c>
      <c r="J48" s="111">
        <f t="shared" si="19"/>
        <v>2.4643535944618649E-9</v>
      </c>
      <c r="K48" s="73">
        <f>H48*$N$5*1000000</f>
        <v>0.15272727272727274</v>
      </c>
      <c r="L48" s="74">
        <f t="shared" si="10"/>
        <v>1.5272727272727273E-5</v>
      </c>
      <c r="N48" s="97" t="s">
        <v>21</v>
      </c>
      <c r="O48" s="355">
        <f>R48/N5/1000000</f>
        <v>2.1025230276331598E-10</v>
      </c>
      <c r="P48" s="355">
        <f>S48/N5/1000000</f>
        <v>1.4942571013582684E-10</v>
      </c>
      <c r="Q48" s="355">
        <f>T48/N5/1000000</f>
        <v>2.7107889539080515E-10</v>
      </c>
      <c r="R48" s="276">
        <f>'halogen compilation'!AQ29</f>
        <v>1.6799999999999999E-2</v>
      </c>
      <c r="S48" s="276">
        <f>'halogen compilation'!AQ29-'halogen compilation'!AR29</f>
        <v>1.1939711942693106E-2</v>
      </c>
      <c r="T48" s="276">
        <f>'halogen compilation'!AQ29+'halogen compilation'!AR29</f>
        <v>2.1660288057306892E-2</v>
      </c>
      <c r="U48" s="74">
        <f t="shared" si="12"/>
        <v>1.6799999999999998E-6</v>
      </c>
      <c r="W48" s="97" t="s">
        <v>21</v>
      </c>
      <c r="X48" s="71">
        <f t="shared" si="13"/>
        <v>7.5880056067280742E+17</v>
      </c>
      <c r="Y48" s="71">
        <f t="shared" si="14"/>
        <v>5.392773878801991E+17</v>
      </c>
      <c r="Z48" s="72">
        <f t="shared" si="15"/>
        <v>9.7832373346541581E+17</v>
      </c>
    </row>
    <row r="49" spans="1:26" ht="15" customHeight="1" x14ac:dyDescent="0.35">
      <c r="A49" s="40"/>
      <c r="B49" s="100" t="s">
        <v>22</v>
      </c>
      <c r="C49" s="87">
        <f>$H$34*H49</f>
        <v>1554427.6536659282</v>
      </c>
      <c r="D49" s="107">
        <f t="shared" ref="D49:E49" si="21">$H$34*I49</f>
        <v>720556.13372304232</v>
      </c>
      <c r="E49" s="365">
        <f t="shared" si="21"/>
        <v>2388299.1736088148</v>
      </c>
      <c r="G49" s="100" t="s">
        <v>22</v>
      </c>
      <c r="H49" s="71">
        <f>O49/$O$33</f>
        <v>2.5788904620359493E-11</v>
      </c>
      <c r="I49" s="111">
        <f t="shared" si="19"/>
        <v>1.1954466560328056E-11</v>
      </c>
      <c r="J49" s="111">
        <f t="shared" si="19"/>
        <v>3.9623342680390942E-11</v>
      </c>
      <c r="K49" s="73">
        <f>H49*$O$5*1000000</f>
        <v>3.2727272727272731E-3</v>
      </c>
      <c r="L49" s="74">
        <f t="shared" si="10"/>
        <v>3.2727272727272728E-7</v>
      </c>
      <c r="N49" s="100" t="s">
        <v>22</v>
      </c>
      <c r="O49" s="355">
        <f>R49/O5/1000000</f>
        <v>2.8367795082395441E-12</v>
      </c>
      <c r="P49" s="355">
        <f>S49/O5/1000000</f>
        <v>1.3149913216360861E-12</v>
      </c>
      <c r="Q49" s="355">
        <f>T49/O5/1000000</f>
        <v>4.3585676948430034E-12</v>
      </c>
      <c r="R49" s="276">
        <f>'halogen compilation'!AQ30</f>
        <v>3.6000000000000002E-4</v>
      </c>
      <c r="S49" s="276">
        <f>'halogen compilation'!AQ30-'halogen compilation'!AR30</f>
        <v>1.6687827672682702E-4</v>
      </c>
      <c r="T49" s="276">
        <f>'halogen compilation'!AQ30+'halogen compilation'!AR30</f>
        <v>5.5312172327317308E-4</v>
      </c>
      <c r="U49" s="74">
        <f t="shared" si="12"/>
        <v>3.6000000000000005E-8</v>
      </c>
      <c r="W49" s="100" t="s">
        <v>22</v>
      </c>
      <c r="X49" s="71">
        <f t="shared" si="13"/>
        <v>1.0237937245236514E+16</v>
      </c>
      <c r="Y49" s="71">
        <f t="shared" si="14"/>
        <v>4745803679784635</v>
      </c>
      <c r="Z49" s="72">
        <f t="shared" si="15"/>
        <v>1.57300708106884E+16</v>
      </c>
    </row>
    <row r="50" spans="1:26" ht="15" customHeight="1" x14ac:dyDescent="0.35">
      <c r="A50" s="40"/>
      <c r="B50" s="102"/>
      <c r="C50" s="103"/>
      <c r="E50" s="55"/>
      <c r="G50" s="54"/>
      <c r="L50" s="55"/>
      <c r="N50" s="54"/>
      <c r="U50" s="55"/>
      <c r="W50" s="57"/>
      <c r="X50" s="39"/>
      <c r="Y50" s="39"/>
      <c r="Z50" s="58"/>
    </row>
    <row r="51" spans="1:26" ht="15" customHeight="1" x14ac:dyDescent="0.35">
      <c r="A51" s="40"/>
      <c r="B51" s="102"/>
      <c r="C51" s="103"/>
      <c r="D51" s="273"/>
      <c r="E51" s="367"/>
      <c r="G51" s="54"/>
      <c r="L51" s="55"/>
      <c r="N51" s="54"/>
      <c r="U51" s="55"/>
      <c r="W51" s="57"/>
      <c r="X51" s="39"/>
      <c r="Y51" s="73"/>
      <c r="Z51" s="58"/>
    </row>
    <row r="52" spans="1:26" ht="15" customHeight="1" x14ac:dyDescent="0.35">
      <c r="A52" s="40"/>
      <c r="B52" s="102"/>
      <c r="C52" s="103"/>
      <c r="D52" s="273"/>
      <c r="E52" s="367"/>
      <c r="G52" s="108" t="s">
        <v>60</v>
      </c>
      <c r="H52" s="109">
        <f>Calculations!F23*0.000000001</f>
        <v>1.2055011072000001</v>
      </c>
      <c r="L52" s="55"/>
      <c r="N52" s="59" t="s">
        <v>59</v>
      </c>
      <c r="O52" s="104">
        <v>0.09</v>
      </c>
      <c r="U52" s="55"/>
      <c r="W52" s="272"/>
      <c r="Y52" s="39"/>
      <c r="Z52" s="58"/>
    </row>
    <row r="53" spans="1:26" ht="15" customHeight="1" x14ac:dyDescent="0.35">
      <c r="A53" s="40"/>
      <c r="B53" s="54"/>
      <c r="D53" s="273"/>
      <c r="E53" s="367"/>
      <c r="G53" s="108" t="s">
        <v>62</v>
      </c>
      <c r="H53" s="110">
        <f>H52*1000000000000000*3</f>
        <v>3616503321600001</v>
      </c>
      <c r="L53" s="55"/>
      <c r="N53" s="54"/>
      <c r="U53" s="55"/>
      <c r="W53" s="59" t="s">
        <v>143</v>
      </c>
      <c r="X53" s="104">
        <f>4.01E+27*10/100</f>
        <v>4.0099999999999996E+26</v>
      </c>
      <c r="Y53" s="39"/>
      <c r="Z53" s="58"/>
    </row>
    <row r="54" spans="1:26" ht="15" customHeight="1" x14ac:dyDescent="0.35">
      <c r="A54" s="40"/>
      <c r="B54" s="54"/>
      <c r="C54" s="8"/>
      <c r="D54" s="273"/>
      <c r="E54" s="367"/>
      <c r="G54" s="54"/>
      <c r="L54" s="55"/>
      <c r="N54" s="54"/>
      <c r="U54" s="55"/>
      <c r="W54" s="57"/>
      <c r="X54" s="39"/>
      <c r="Y54" s="39"/>
      <c r="Z54" s="58"/>
    </row>
    <row r="55" spans="1:26" ht="15" customHeight="1" x14ac:dyDescent="0.35">
      <c r="A55" s="40"/>
      <c r="B55" s="65" t="s">
        <v>144</v>
      </c>
      <c r="C55" s="66" t="s">
        <v>64</v>
      </c>
      <c r="D55" s="66" t="s">
        <v>65</v>
      </c>
      <c r="E55" s="67" t="s">
        <v>66</v>
      </c>
      <c r="G55" s="65" t="s">
        <v>67</v>
      </c>
      <c r="H55" s="66" t="s">
        <v>64</v>
      </c>
      <c r="I55" s="66" t="s">
        <v>65</v>
      </c>
      <c r="J55" s="66" t="s">
        <v>66</v>
      </c>
      <c r="K55" s="66" t="s">
        <v>68</v>
      </c>
      <c r="L55" s="67" t="s">
        <v>69</v>
      </c>
      <c r="N55" s="65" t="s">
        <v>145</v>
      </c>
      <c r="O55" s="66" t="s">
        <v>64</v>
      </c>
      <c r="P55" s="66" t="s">
        <v>65</v>
      </c>
      <c r="Q55" s="66" t="s">
        <v>66</v>
      </c>
      <c r="R55" s="66" t="s">
        <v>68</v>
      </c>
      <c r="S55" s="66" t="s">
        <v>65</v>
      </c>
      <c r="T55" s="66" t="s">
        <v>66</v>
      </c>
      <c r="U55" s="67" t="s">
        <v>69</v>
      </c>
      <c r="W55" s="65" t="s">
        <v>146</v>
      </c>
      <c r="X55" s="66" t="s">
        <v>64</v>
      </c>
      <c r="Y55" s="66" t="s">
        <v>65</v>
      </c>
      <c r="Z55" s="67" t="s">
        <v>66</v>
      </c>
    </row>
    <row r="56" spans="1:26" ht="15" customHeight="1" x14ac:dyDescent="0.35">
      <c r="A56" s="40"/>
      <c r="B56" s="70" t="s">
        <v>147</v>
      </c>
      <c r="C56" s="107">
        <v>7760000000.8558102</v>
      </c>
      <c r="D56" s="107">
        <v>3720000000</v>
      </c>
      <c r="E56" s="85">
        <v>11750000000</v>
      </c>
      <c r="G56" s="70" t="s">
        <v>148</v>
      </c>
      <c r="H56" s="71">
        <f>C56/$H$53</f>
        <v>2.1457190304536089E-6</v>
      </c>
      <c r="I56" s="71">
        <f t="shared" ref="H56:J60" si="22">D56/$H$53</f>
        <v>1.0286178856194748E-6</v>
      </c>
      <c r="J56" s="71">
        <f t="shared" si="22"/>
        <v>3.2489946655991472E-6</v>
      </c>
      <c r="K56" s="73">
        <f>H56*$C$5*1000000</f>
        <v>30.054442743854562</v>
      </c>
      <c r="L56" s="74">
        <f t="shared" ref="L56:L68" si="23">K56/10000</f>
        <v>3.0054442743854561E-3</v>
      </c>
      <c r="N56" s="70" t="s">
        <v>149</v>
      </c>
      <c r="O56" s="71">
        <f>H56*$O$52</f>
        <v>1.9311471274082479E-7</v>
      </c>
      <c r="P56" s="71">
        <f t="shared" ref="O56:Q61" si="24">I56*$O$52</f>
        <v>9.2575609705752728E-8</v>
      </c>
      <c r="Q56" s="71">
        <f t="shared" si="24"/>
        <v>2.9240951990392324E-7</v>
      </c>
      <c r="R56" s="73">
        <f>O56*$C$5*1000000</f>
        <v>2.7048998469469105</v>
      </c>
      <c r="S56" s="73">
        <f>P56*$C$5*1000000</f>
        <v>1.2966787924655667</v>
      </c>
      <c r="T56" s="73">
        <f>Q56*$C$5*1000000</f>
        <v>4.0956924224382814</v>
      </c>
      <c r="U56" s="74">
        <f t="shared" ref="U56:U68" si="25">R56/10000</f>
        <v>2.7048998469469108E-4</v>
      </c>
      <c r="W56" s="70" t="s">
        <v>150</v>
      </c>
      <c r="X56" s="71">
        <f t="shared" ref="X56:Z61" si="26">O56*$X$53</f>
        <v>7.7438999809070727E+19</v>
      </c>
      <c r="Y56" s="71">
        <f t="shared" si="26"/>
        <v>3.7122819492006838E+19</v>
      </c>
      <c r="Z56" s="72">
        <f t="shared" si="26"/>
        <v>1.1725621748147321E+20</v>
      </c>
    </row>
    <row r="57" spans="1:26" ht="15" customHeight="1" x14ac:dyDescent="0.35">
      <c r="A57" s="40"/>
      <c r="B57" s="78" t="s">
        <v>151</v>
      </c>
      <c r="C57" s="87">
        <f>Calculations!E115</f>
        <v>935.46819099563493</v>
      </c>
      <c r="D57" s="87">
        <f>Calculations!D115</f>
        <v>551.25804112242781</v>
      </c>
      <c r="E57" s="88">
        <f>Calculations!F115</f>
        <v>1319.6783408688423</v>
      </c>
      <c r="G57" s="78" t="s">
        <v>152</v>
      </c>
      <c r="H57" s="71">
        <f t="shared" si="22"/>
        <v>2.5866648190489378E-13</v>
      </c>
      <c r="I57" s="71">
        <f t="shared" si="22"/>
        <v>1.5242846255109815E-13</v>
      </c>
      <c r="J57" s="71">
        <f t="shared" si="22"/>
        <v>3.6490450125868951E-13</v>
      </c>
      <c r="K57" s="73">
        <f>H57*$D$5*1000000</f>
        <v>7.8014568835307953E-7</v>
      </c>
      <c r="L57" s="74">
        <f t="shared" si="23"/>
        <v>7.8014568835307957E-11</v>
      </c>
      <c r="N57" s="78" t="s">
        <v>153</v>
      </c>
      <c r="O57" s="71">
        <f t="shared" si="24"/>
        <v>2.3279983371440439E-14</v>
      </c>
      <c r="P57" s="71">
        <f t="shared" si="24"/>
        <v>1.3718561629598833E-14</v>
      </c>
      <c r="Q57" s="71">
        <f t="shared" si="24"/>
        <v>3.2841405113282056E-14</v>
      </c>
      <c r="R57" s="73">
        <f>O57*$D$5*1000000</f>
        <v>7.0213111951777148E-8</v>
      </c>
      <c r="S57" s="73">
        <f>P57*$D$5*1000000</f>
        <v>4.1375583828725828E-8</v>
      </c>
      <c r="T57" s="73">
        <f>Q57*$D$5*1000000</f>
        <v>9.9050640074828501E-8</v>
      </c>
      <c r="U57" s="74">
        <f t="shared" si="25"/>
        <v>7.0213111951777151E-12</v>
      </c>
      <c r="W57" s="78" t="s">
        <v>154</v>
      </c>
      <c r="X57" s="71">
        <f t="shared" si="26"/>
        <v>9335273331947.6152</v>
      </c>
      <c r="Y57" s="71">
        <f t="shared" si="26"/>
        <v>5501143213469.1318</v>
      </c>
      <c r="Z57" s="72">
        <f t="shared" si="26"/>
        <v>13169403450426.104</v>
      </c>
    </row>
    <row r="58" spans="1:26" ht="15" customHeight="1" x14ac:dyDescent="0.35">
      <c r="A58" s="40"/>
      <c r="B58" s="78" t="s">
        <v>155</v>
      </c>
      <c r="C58" s="87">
        <f>Calculations!E118</f>
        <v>314.97245488068512</v>
      </c>
      <c r="D58" s="87">
        <f>Calculations!D118</f>
        <v>176.2345878499072</v>
      </c>
      <c r="E58" s="88">
        <f>Calculations!F118</f>
        <v>466.77736098479602</v>
      </c>
      <c r="G58" s="83" t="s">
        <v>83</v>
      </c>
      <c r="H58" s="71">
        <f t="shared" si="22"/>
        <v>8.7093091550469276E-14</v>
      </c>
      <c r="I58" s="71">
        <f t="shared" si="22"/>
        <v>4.8730658367524489E-14</v>
      </c>
      <c r="J58" s="71">
        <f t="shared" si="22"/>
        <v>1.2906869411591913E-13</v>
      </c>
      <c r="K58" s="73">
        <f>H58*$E$5*1000000</f>
        <v>1.9152641762863697E-6</v>
      </c>
      <c r="L58" s="74">
        <f t="shared" si="23"/>
        <v>1.9152641762863698E-10</v>
      </c>
      <c r="N58" s="83" t="s">
        <v>83</v>
      </c>
      <c r="O58" s="71">
        <f t="shared" si="24"/>
        <v>7.8383782395422348E-15</v>
      </c>
      <c r="P58" s="71">
        <f t="shared" si="24"/>
        <v>4.3857592530772042E-15</v>
      </c>
      <c r="Q58" s="71">
        <f t="shared" si="24"/>
        <v>1.1616182470432721E-14</v>
      </c>
      <c r="R58" s="73">
        <f>O58*$E$5*1000000</f>
        <v>1.723737758657733E-7</v>
      </c>
      <c r="S58" s="73">
        <f>P58*$E$5*1000000</f>
        <v>9.6447231734420798E-8</v>
      </c>
      <c r="T58" s="73">
        <f>Q58*$E$5*1000000</f>
        <v>2.5545146870728596E-7</v>
      </c>
      <c r="U58" s="74">
        <f t="shared" si="25"/>
        <v>1.7237377586577329E-11</v>
      </c>
      <c r="W58" s="83" t="s">
        <v>83</v>
      </c>
      <c r="X58" s="71">
        <f t="shared" si="26"/>
        <v>3143189674056.436</v>
      </c>
      <c r="Y58" s="71">
        <f t="shared" si="26"/>
        <v>1758689460483.9587</v>
      </c>
      <c r="Z58" s="72">
        <f t="shared" si="26"/>
        <v>4658089170643.5205</v>
      </c>
    </row>
    <row r="59" spans="1:26" ht="15" customHeight="1" x14ac:dyDescent="0.35">
      <c r="A59" s="40"/>
      <c r="B59" s="78" t="s">
        <v>156</v>
      </c>
      <c r="C59" s="87">
        <f>Calculations!E119</f>
        <v>1140.8148670678474</v>
      </c>
      <c r="D59" s="87">
        <f>Calculations!D119</f>
        <v>557.48879827967107</v>
      </c>
      <c r="E59" s="88">
        <f>Calculations!F119</f>
        <v>1884.133264774076</v>
      </c>
      <c r="G59" s="78" t="s">
        <v>157</v>
      </c>
      <c r="H59" s="71">
        <f t="shared" si="22"/>
        <v>3.1544692915230948E-13</v>
      </c>
      <c r="I59" s="71">
        <f t="shared" si="22"/>
        <v>1.5415133036101534E-13</v>
      </c>
      <c r="J59" s="71">
        <f t="shared" si="22"/>
        <v>5.2098203630033005E-13</v>
      </c>
      <c r="K59" s="73">
        <f>H59*$F$5*1000000</f>
        <v>1.1345853196632148E-5</v>
      </c>
      <c r="L59" s="74">
        <f t="shared" si="23"/>
        <v>1.1345853196632148E-9</v>
      </c>
      <c r="N59" s="78" t="s">
        <v>158</v>
      </c>
      <c r="O59" s="71">
        <f t="shared" si="24"/>
        <v>2.8390223623707852E-14</v>
      </c>
      <c r="P59" s="71">
        <f t="shared" si="24"/>
        <v>1.3873619732491381E-14</v>
      </c>
      <c r="Q59" s="71">
        <f t="shared" si="24"/>
        <v>4.6888383267029704E-14</v>
      </c>
      <c r="R59" s="73">
        <f>O59*$F$5*1000000</f>
        <v>1.0211267876968935E-6</v>
      </c>
      <c r="S59" s="73">
        <f>P59*$F$5*1000000</f>
        <v>4.9900011140937038E-7</v>
      </c>
      <c r="T59" s="73">
        <f>Q59*$F$5*1000000</f>
        <v>1.6864602695760545E-6</v>
      </c>
      <c r="U59" s="74">
        <f t="shared" si="25"/>
        <v>1.0211267876968935E-10</v>
      </c>
      <c r="W59" s="78" t="s">
        <v>159</v>
      </c>
      <c r="X59" s="71">
        <f t="shared" si="26"/>
        <v>11384479673106.848</v>
      </c>
      <c r="Y59" s="71">
        <f t="shared" si="26"/>
        <v>5563321512729.043</v>
      </c>
      <c r="Z59" s="72">
        <f t="shared" si="26"/>
        <v>18802241690078.91</v>
      </c>
    </row>
    <row r="60" spans="1:26" ht="15" customHeight="1" x14ac:dyDescent="0.35">
      <c r="A60" s="40"/>
      <c r="B60" s="83" t="s">
        <v>160</v>
      </c>
      <c r="C60" s="87">
        <f>Calculations!E120</f>
        <v>103.94091011062609</v>
      </c>
      <c r="D60" s="87">
        <f>Calculations!D120</f>
        <v>51.468452445535554</v>
      </c>
      <c r="E60" s="88">
        <f>Calculations!F120</f>
        <v>170.04949767194549</v>
      </c>
      <c r="G60" s="78" t="s">
        <v>161</v>
      </c>
      <c r="H60" s="71">
        <f t="shared" si="22"/>
        <v>2.874072021165486E-14</v>
      </c>
      <c r="I60" s="71">
        <f t="shared" si="22"/>
        <v>1.4231551271675606E-14</v>
      </c>
      <c r="J60" s="71">
        <f t="shared" si="22"/>
        <v>4.7020417942465148E-14</v>
      </c>
      <c r="K60" s="73">
        <f>H60*$G$5*1000000</f>
        <v>2.4116768865588363E-6</v>
      </c>
      <c r="L60" s="74">
        <f t="shared" si="23"/>
        <v>2.4116768865588362E-10</v>
      </c>
      <c r="N60" s="78" t="s">
        <v>162</v>
      </c>
      <c r="O60" s="71">
        <f t="shared" si="24"/>
        <v>2.5866648190489375E-15</v>
      </c>
      <c r="P60" s="71">
        <f t="shared" si="24"/>
        <v>1.2808396144508045E-15</v>
      </c>
      <c r="Q60" s="71">
        <f t="shared" si="24"/>
        <v>4.2318376148218628E-15</v>
      </c>
      <c r="R60" s="73">
        <f>O60*$G$5*1000000</f>
        <v>2.1705091979029527E-7</v>
      </c>
      <c r="S60" s="73">
        <f>P60*$G$5*1000000</f>
        <v>1.0747717074630945E-7</v>
      </c>
      <c r="T60" s="73">
        <f>Q60*$G$5*1000000</f>
        <v>3.5509983355244947E-7</v>
      </c>
      <c r="U60" s="74">
        <f t="shared" si="25"/>
        <v>2.1705091979029526E-11</v>
      </c>
      <c r="W60" s="78" t="s">
        <v>163</v>
      </c>
      <c r="X60" s="71">
        <f t="shared" si="26"/>
        <v>1037252592438.6238</v>
      </c>
      <c r="Y60" s="71">
        <f t="shared" si="26"/>
        <v>513616685394.77258</v>
      </c>
      <c r="Z60" s="72">
        <f t="shared" si="26"/>
        <v>1696966883543.5669</v>
      </c>
    </row>
    <row r="61" spans="1:26" ht="15" customHeight="1" x14ac:dyDescent="0.35">
      <c r="A61" s="40"/>
      <c r="B61" s="83" t="s">
        <v>164</v>
      </c>
      <c r="C61" s="87">
        <f>Calculations!E121</f>
        <v>1.4830593271882018</v>
      </c>
      <c r="D61" s="87">
        <f>Calculations!D121</f>
        <v>0.6230703573732751</v>
      </c>
      <c r="E61" s="88">
        <f>Calculations!F121</f>
        <v>2.6927532851406468</v>
      </c>
      <c r="G61" s="78" t="s">
        <v>165</v>
      </c>
      <c r="H61" s="71">
        <f t="shared" ref="H61:J62" si="27">C61/$H$53</f>
        <v>4.1008100789800238E-16</v>
      </c>
      <c r="I61" s="71">
        <f t="shared" si="27"/>
        <v>1.7228529935308297E-16</v>
      </c>
      <c r="J61" s="71">
        <f t="shared" si="27"/>
        <v>7.4457370716566301E-16</v>
      </c>
      <c r="K61" s="73">
        <f>H61*$H$5*1000000</f>
        <v>5.3270961900207226E-8</v>
      </c>
      <c r="L61" s="74">
        <f t="shared" si="23"/>
        <v>5.3270961900207227E-12</v>
      </c>
      <c r="N61" s="78" t="s">
        <v>166</v>
      </c>
      <c r="O61" s="71">
        <f t="shared" si="24"/>
        <v>3.6907290710820214E-17</v>
      </c>
      <c r="P61" s="71">
        <f t="shared" si="24"/>
        <v>1.5505676941777467E-17</v>
      </c>
      <c r="Q61" s="71">
        <f t="shared" si="24"/>
        <v>6.7011633644909668E-17</v>
      </c>
      <c r="R61" s="73">
        <f>O61*$H$5*1000000</f>
        <v>4.7943865710186508E-9</v>
      </c>
      <c r="S61" s="73">
        <f>P61*$H$5*1000000</f>
        <v>2.0142418441572817E-9</v>
      </c>
      <c r="T61" s="73">
        <f>Q61*$H$5*1000000</f>
        <v>8.7050463542962271E-9</v>
      </c>
      <c r="U61" s="74">
        <f t="shared" si="25"/>
        <v>4.7943865710186512E-13</v>
      </c>
      <c r="W61" s="78" t="s">
        <v>167</v>
      </c>
      <c r="X61" s="71">
        <f t="shared" si="26"/>
        <v>14799823575.038904</v>
      </c>
      <c r="Y61" s="71">
        <f t="shared" si="26"/>
        <v>6217776453.6527634</v>
      </c>
      <c r="Z61" s="72">
        <f t="shared" si="26"/>
        <v>26871665091.608776</v>
      </c>
    </row>
    <row r="62" spans="1:26" ht="15" customHeight="1" x14ac:dyDescent="0.35">
      <c r="A62" s="40"/>
      <c r="B62" s="70" t="s">
        <v>168</v>
      </c>
      <c r="C62" s="87">
        <f>Calculations!E129</f>
        <v>1277264969369.7356</v>
      </c>
      <c r="D62" s="290">
        <f>Calculations!D129</f>
        <v>729865696782.70581</v>
      </c>
      <c r="E62" s="291">
        <f>Calculations!F129</f>
        <v>1678691102600.2239</v>
      </c>
      <c r="G62" s="70" t="s">
        <v>169</v>
      </c>
      <c r="H62" s="71">
        <f>C62/$H$53</f>
        <v>3.5317677208841948E-4</v>
      </c>
      <c r="I62" s="111">
        <f t="shared" si="27"/>
        <v>2.0181529833623963E-4</v>
      </c>
      <c r="J62" s="111">
        <f t="shared" si="27"/>
        <v>4.6417518617335131E-4</v>
      </c>
      <c r="K62" s="73">
        <f>H62*$I$5*1000000</f>
        <v>6362.4795491728773</v>
      </c>
      <c r="L62" s="74">
        <f t="shared" si="23"/>
        <v>0.63624795491728769</v>
      </c>
      <c r="N62" s="70" t="s">
        <v>170</v>
      </c>
      <c r="O62" s="71">
        <f>H62*($Q$13*(1-$O$52)+$O$52)</f>
        <v>3.8856508465167908E-5</v>
      </c>
      <c r="P62" s="111">
        <f>I62*($Q$13*(1-$O$52)+$O$52)</f>
        <v>2.2203719122953081E-5</v>
      </c>
      <c r="Q62" s="111">
        <f>J62*($Q$13*(1-$O$52)+$O$52)</f>
        <v>5.1068553982792107E-5</v>
      </c>
      <c r="R62" s="73">
        <f>O62*$I$5*1000000</f>
        <v>699.99999999999989</v>
      </c>
      <c r="S62" s="112">
        <f>P62*$I$5*1000000</f>
        <v>399.99999999999977</v>
      </c>
      <c r="T62" s="112">
        <f>Q62*$I$5*1000000</f>
        <v>919.99999999999977</v>
      </c>
      <c r="U62" s="74">
        <f t="shared" si="25"/>
        <v>6.9999999999999993E-2</v>
      </c>
      <c r="W62" s="70" t="s">
        <v>171</v>
      </c>
      <c r="X62" s="71">
        <f>O62*$X$53</f>
        <v>1.558145989453233E+22</v>
      </c>
      <c r="Y62" s="111">
        <f>P62*$X$53</f>
        <v>8.9036913683041847E+21</v>
      </c>
      <c r="Z62" s="111">
        <f>Q62*$X$53</f>
        <v>2.0478490147099632E+22</v>
      </c>
    </row>
    <row r="63" spans="1:26" ht="15" customHeight="1" x14ac:dyDescent="0.35">
      <c r="A63" s="40"/>
      <c r="B63" s="83" t="s">
        <v>172</v>
      </c>
      <c r="C63" s="87">
        <f>$H$53*H63</f>
        <v>392611888279.93652</v>
      </c>
      <c r="D63" s="87">
        <f>$H$53*I63</f>
        <v>346959343131.10663</v>
      </c>
      <c r="E63" s="88">
        <f>$H$53*J63</f>
        <v>438264433428.76636</v>
      </c>
      <c r="G63" s="78" t="s">
        <v>173</v>
      </c>
      <c r="H63" s="71">
        <f>O63/$O$52</f>
        <v>1.0856118558913379E-4</v>
      </c>
      <c r="I63" s="71">
        <f>P63/$O$52</f>
        <v>9.5937791915978675E-5</v>
      </c>
      <c r="J63" s="71">
        <f>Q63/$O$52</f>
        <v>1.2118457926228889E-4</v>
      </c>
      <c r="K63" s="73">
        <f>H63*$J$5*1000000</f>
        <v>1303.8198389254967</v>
      </c>
      <c r="L63" s="74">
        <f t="shared" si="23"/>
        <v>0.13038198389254968</v>
      </c>
      <c r="N63" s="78" t="s">
        <v>174</v>
      </c>
      <c r="O63" s="111">
        <v>9.7705067030220408E-6</v>
      </c>
      <c r="P63" s="111">
        <v>8.6344012724380806E-6</v>
      </c>
      <c r="Q63" s="111">
        <v>1.0906612133605999E-5</v>
      </c>
      <c r="R63" s="73">
        <f>O63*$J$5*1000000</f>
        <v>117.34378550329471</v>
      </c>
      <c r="S63" s="73">
        <f>P63*$J$5*1000000</f>
        <v>103.69915928198135</v>
      </c>
      <c r="T63" s="73">
        <f>Q63*$J$5*1000000</f>
        <v>130.98841172460806</v>
      </c>
      <c r="U63" s="74">
        <f t="shared" si="25"/>
        <v>1.1734378550329471E-2</v>
      </c>
      <c r="W63" s="78" t="s">
        <v>175</v>
      </c>
      <c r="X63" s="71">
        <f t="shared" ref="X63:X68" si="28">O63*$X$53</f>
        <v>3.9179731879118378E+21</v>
      </c>
      <c r="Y63" s="71">
        <f t="shared" ref="Y63:Z68" si="29">P63*$X$53</f>
        <v>3.46239491024767E+21</v>
      </c>
      <c r="Z63" s="72">
        <f t="shared" si="29"/>
        <v>4.3735514655760051E+21</v>
      </c>
    </row>
    <row r="64" spans="1:26" ht="15" customHeight="1" x14ac:dyDescent="0.35">
      <c r="A64" s="40"/>
      <c r="B64" s="100" t="s">
        <v>18</v>
      </c>
      <c r="C64" s="87">
        <f>Calculations!E127</f>
        <v>197376604172.77408</v>
      </c>
      <c r="D64" s="87">
        <f>Calculations!D127</f>
        <v>169179946433.80634</v>
      </c>
      <c r="E64" s="88">
        <f>Calculations!F127</f>
        <v>225573261911.74179</v>
      </c>
      <c r="G64" s="95" t="s">
        <v>18</v>
      </c>
      <c r="H64" s="71">
        <f>C64/$H$53</f>
        <v>5.4576641197567434E-5</v>
      </c>
      <c r="I64" s="71">
        <f>D64/$H$53</f>
        <v>4.6779978169343512E-5</v>
      </c>
      <c r="J64" s="71">
        <f>E64/$H$53</f>
        <v>6.2373304225791349E-5</v>
      </c>
      <c r="K64" s="73">
        <f>H64*$K$5*1000000</f>
        <v>1749.9999999999995</v>
      </c>
      <c r="L64" s="74">
        <f t="shared" si="23"/>
        <v>0.17499999999999996</v>
      </c>
      <c r="N64" s="95" t="s">
        <v>18</v>
      </c>
      <c r="O64" s="71">
        <f>H64*($Q$14*(1-O52)+$O$52)</f>
        <v>8.8850771869639776E-6</v>
      </c>
      <c r="P64" s="71">
        <f>I64*($Q$14*(1-O53)+$O$52)</f>
        <v>7.9525962887883971E-6</v>
      </c>
      <c r="Q64" s="71">
        <f>J64*($Q$14*(1-P53)+$O$52)</f>
        <v>1.0603461718384529E-5</v>
      </c>
      <c r="R64" s="73">
        <f>O64*$K$5*1000000</f>
        <v>284.89999999999992</v>
      </c>
      <c r="S64" s="73">
        <f>P64*$K$5*1000000</f>
        <v>254.99999999999991</v>
      </c>
      <c r="T64" s="73">
        <f>Q64*$K$5*1000000</f>
        <v>339.99999999999994</v>
      </c>
      <c r="U64" s="74">
        <f t="shared" si="25"/>
        <v>2.8489999999999991E-2</v>
      </c>
      <c r="W64" s="95" t="s">
        <v>18</v>
      </c>
      <c r="X64" s="71">
        <f t="shared" si="28"/>
        <v>3.5629159519725546E+21</v>
      </c>
      <c r="Y64" s="71">
        <f t="shared" si="29"/>
        <v>3.1889911118041469E+21</v>
      </c>
      <c r="Z64" s="72">
        <f t="shared" si="29"/>
        <v>4.2519881490721957E+21</v>
      </c>
    </row>
    <row r="65" spans="1:26" ht="15" customHeight="1" x14ac:dyDescent="0.35">
      <c r="A65" s="40"/>
      <c r="B65" s="97" t="s">
        <v>19</v>
      </c>
      <c r="C65" s="71">
        <f t="shared" ref="C65:E68" si="30">$H$53*H65</f>
        <v>32642683635.009735</v>
      </c>
      <c r="D65" s="71">
        <f t="shared" si="30"/>
        <v>26298086368.529881</v>
      </c>
      <c r="E65" s="72">
        <f t="shared" si="30"/>
        <v>38987280901.489601</v>
      </c>
      <c r="G65" s="97" t="s">
        <v>19</v>
      </c>
      <c r="H65" s="71">
        <f>O65/$O$52</f>
        <v>9.0260344681691243E-6</v>
      </c>
      <c r="I65" s="71">
        <f t="shared" ref="H65:J68" si="31">P65/$O$52</f>
        <v>7.2716887086654667E-6</v>
      </c>
      <c r="J65" s="71">
        <f t="shared" si="31"/>
        <v>1.0780380227672784E-5</v>
      </c>
      <c r="K65" s="73">
        <f>H65*$L$5*1000000</f>
        <v>320</v>
      </c>
      <c r="L65" s="74">
        <f t="shared" si="23"/>
        <v>3.2000000000000001E-2</v>
      </c>
      <c r="N65" s="97" t="s">
        <v>19</v>
      </c>
      <c r="O65" s="71">
        <f>R65/($L$5*1000000)</f>
        <v>8.123431021352212E-7</v>
      </c>
      <c r="P65" s="71">
        <f>S65/($L$5*1000000)</f>
        <v>6.5445198377989196E-7</v>
      </c>
      <c r="Q65" s="71">
        <f>T65/($L$5*1000000)</f>
        <v>9.7023422049055054E-7</v>
      </c>
      <c r="R65" s="73">
        <f>'halogen compilation'!AV10</f>
        <v>28.799999999999997</v>
      </c>
      <c r="S65" s="112">
        <f>'halogen compilation'!AV10-'halogen compilation'!AW10</f>
        <v>23.202286180948509</v>
      </c>
      <c r="T65" s="112">
        <f>'halogen compilation'!AV10+'halogen compilation'!AW10</f>
        <v>34.397713819051489</v>
      </c>
      <c r="U65" s="74">
        <f t="shared" si="25"/>
        <v>2.8799999999999997E-3</v>
      </c>
      <c r="W65" s="97" t="s">
        <v>19</v>
      </c>
      <c r="X65" s="71">
        <f>O65*$X$53</f>
        <v>3.2574958395622366E+20</v>
      </c>
      <c r="Y65" s="71">
        <f t="shared" si="29"/>
        <v>2.6243524549573666E+20</v>
      </c>
      <c r="Z65" s="72">
        <f t="shared" si="29"/>
        <v>3.8906392241671071E+20</v>
      </c>
    </row>
    <row r="66" spans="1:26" ht="15" customHeight="1" x14ac:dyDescent="0.35">
      <c r="A66" s="40"/>
      <c r="B66" s="100" t="s">
        <v>20</v>
      </c>
      <c r="C66" s="71">
        <f t="shared" si="30"/>
        <v>45685987247.665001</v>
      </c>
      <c r="D66" s="71">
        <f t="shared" si="30"/>
        <v>41039712118.447411</v>
      </c>
      <c r="E66" s="72">
        <f t="shared" si="30"/>
        <v>50332262376.882591</v>
      </c>
      <c r="G66" s="100" t="s">
        <v>20</v>
      </c>
      <c r="H66" s="71">
        <f t="shared" si="31"/>
        <v>1.2632640754067596E-5</v>
      </c>
      <c r="I66" s="71">
        <f t="shared" si="31"/>
        <v>1.1347898361749814E-5</v>
      </c>
      <c r="J66" s="71">
        <f t="shared" si="31"/>
        <v>1.3917383146385378E-5</v>
      </c>
      <c r="K66" s="73">
        <f>H66*$M$5*1000000</f>
        <v>240.00000000000009</v>
      </c>
      <c r="L66" s="74">
        <f t="shared" si="23"/>
        <v>2.4000000000000007E-2</v>
      </c>
      <c r="N66" s="100" t="s">
        <v>20</v>
      </c>
      <c r="O66" s="71">
        <f>R66/($M$5*1000000)</f>
        <v>1.1369376678660836E-6</v>
      </c>
      <c r="P66" s="71">
        <f>S66/($M$5*1000000)</f>
        <v>1.0213108525574833E-6</v>
      </c>
      <c r="Q66" s="71">
        <f>T66/($M$5*1000000)</f>
        <v>1.2525644831746839E-6</v>
      </c>
      <c r="R66" s="73">
        <f>'halogen compilation'!AV16</f>
        <v>21.600000000000005</v>
      </c>
      <c r="S66" s="112">
        <f>'halogen compilation'!AV16-'halogen compilation'!AW16</f>
        <v>19.403275165160647</v>
      </c>
      <c r="T66" s="112">
        <f>'halogen compilation'!AV16+'halogen compilation'!AW16</f>
        <v>23.796724834839363</v>
      </c>
      <c r="U66" s="74">
        <f t="shared" si="25"/>
        <v>2.1600000000000005E-3</v>
      </c>
      <c r="W66" s="100" t="s">
        <v>20</v>
      </c>
      <c r="X66" s="71">
        <f t="shared" si="28"/>
        <v>4.5591200481429946E+20</v>
      </c>
      <c r="Y66" s="71">
        <f t="shared" si="29"/>
        <v>4.0954565187555072E+20</v>
      </c>
      <c r="Z66" s="72">
        <f t="shared" si="29"/>
        <v>5.022783577530482E+20</v>
      </c>
    </row>
    <row r="67" spans="1:26" ht="15" customHeight="1" x14ac:dyDescent="0.35">
      <c r="A67" s="40"/>
      <c r="B67" s="97" t="s">
        <v>21</v>
      </c>
      <c r="C67" s="71">
        <f t="shared" si="30"/>
        <v>40553501.403604336</v>
      </c>
      <c r="D67" s="71">
        <f t="shared" si="30"/>
        <v>28821257.442061689</v>
      </c>
      <c r="E67" s="72">
        <f t="shared" si="30"/>
        <v>52285745.365146972</v>
      </c>
      <c r="G67" s="97" t="s">
        <v>21</v>
      </c>
      <c r="H67" s="71">
        <f t="shared" si="31"/>
        <v>1.1213456147376851E-8</v>
      </c>
      <c r="I67" s="71">
        <f t="shared" si="31"/>
        <v>7.969371207244098E-9</v>
      </c>
      <c r="J67" s="71">
        <f t="shared" si="31"/>
        <v>1.4457541087509605E-8</v>
      </c>
      <c r="K67" s="73">
        <f>H67*$N$5*1000000</f>
        <v>0.89599999999999991</v>
      </c>
      <c r="L67" s="74">
        <f t="shared" si="23"/>
        <v>8.9599999999999996E-5</v>
      </c>
      <c r="N67" s="97" t="s">
        <v>21</v>
      </c>
      <c r="O67" s="71">
        <f>R67/($N$5*1000000)</f>
        <v>1.0092110532639166E-9</v>
      </c>
      <c r="P67" s="71">
        <f>S67/($N$5*1000000)</f>
        <v>7.1724340865196877E-10</v>
      </c>
      <c r="Q67" s="71">
        <f>T67/($N$5*1000000)</f>
        <v>1.3011786978758643E-9</v>
      </c>
      <c r="R67" s="73">
        <f>'halogen compilation'!AV29</f>
        <v>8.0639999999999989E-2</v>
      </c>
      <c r="S67" s="73">
        <f>'halogen compilation'!AV29-'halogen compilation'!AW29</f>
        <v>5.7310617324926913E-2</v>
      </c>
      <c r="T67" s="73">
        <f>'halogen compilation'!AV29+'halogen compilation'!AW29</f>
        <v>0.10396938267507307</v>
      </c>
      <c r="U67" s="74">
        <f t="shared" si="25"/>
        <v>8.0639999999999994E-6</v>
      </c>
      <c r="W67" s="97" t="s">
        <v>21</v>
      </c>
      <c r="X67" s="71">
        <f t="shared" si="28"/>
        <v>4.0469363235883053E+17</v>
      </c>
      <c r="Y67" s="71">
        <f t="shared" si="29"/>
        <v>2.8761460686943946E+17</v>
      </c>
      <c r="Z67" s="72">
        <f t="shared" si="29"/>
        <v>5.2177265784822157E+17</v>
      </c>
    </row>
    <row r="68" spans="1:26" ht="15" customHeight="1" x14ac:dyDescent="0.35">
      <c r="A68" s="40"/>
      <c r="B68" s="113" t="s">
        <v>22</v>
      </c>
      <c r="C68" s="114">
        <f>$H$53*H68</f>
        <v>547158.53409040684</v>
      </c>
      <c r="D68" s="114">
        <f t="shared" si="30"/>
        <v>253635.75907051092</v>
      </c>
      <c r="E68" s="115">
        <f t="shared" si="30"/>
        <v>840681.30911030283</v>
      </c>
      <c r="G68" s="113" t="s">
        <v>22</v>
      </c>
      <c r="H68" s="114">
        <f>O68/$O$52</f>
        <v>1.5129490710610902E-10</v>
      </c>
      <c r="I68" s="114">
        <f t="shared" si="31"/>
        <v>7.013287048725791E-11</v>
      </c>
      <c r="J68" s="114">
        <f t="shared" si="31"/>
        <v>2.3245694372496013E-10</v>
      </c>
      <c r="K68" s="116">
        <f>H68*$O$5*1000000</f>
        <v>1.9199999999999998E-2</v>
      </c>
      <c r="L68" s="117">
        <f t="shared" si="23"/>
        <v>1.9199999999999998E-6</v>
      </c>
      <c r="N68" s="113" t="s">
        <v>22</v>
      </c>
      <c r="O68" s="114">
        <f>R68/($O$5*1000000)</f>
        <v>1.3616541639549812E-11</v>
      </c>
      <c r="P68" s="114">
        <f>S68/($O$5*1000000)</f>
        <v>6.3119583438532119E-12</v>
      </c>
      <c r="Q68" s="114">
        <f>T68/($O$5*1000000)</f>
        <v>2.0921124935246412E-11</v>
      </c>
      <c r="R68" s="116">
        <f>'halogen compilation'!AV30</f>
        <v>1.7279999999999999E-3</v>
      </c>
      <c r="S68" s="116">
        <f>'halogen compilation'!AV30-'halogen compilation'!AW30</f>
        <v>8.0101572828876965E-4</v>
      </c>
      <c r="T68" s="116">
        <f>'halogen compilation'!AV30+'halogen compilation'!AW30</f>
        <v>2.6549842717112303E-3</v>
      </c>
      <c r="U68" s="117">
        <f t="shared" si="25"/>
        <v>1.7279999999999999E-7</v>
      </c>
      <c r="W68" s="113" t="s">
        <v>22</v>
      </c>
      <c r="X68" s="114">
        <f t="shared" si="28"/>
        <v>5460233197459474</v>
      </c>
      <c r="Y68" s="114">
        <f t="shared" si="29"/>
        <v>2531095295885137.5</v>
      </c>
      <c r="Z68" s="115">
        <f t="shared" si="29"/>
        <v>8389371099033810</v>
      </c>
    </row>
    <row r="69" spans="1:26" ht="15" customHeight="1" x14ac:dyDescent="0.35">
      <c r="A69" s="40"/>
      <c r="B69" s="40"/>
      <c r="C69" s="41"/>
    </row>
    <row r="70" spans="1:26" ht="15" customHeight="1" x14ac:dyDescent="0.35">
      <c r="A70" s="40"/>
      <c r="B70" s="40"/>
      <c r="C70" s="41"/>
      <c r="D70" s="273"/>
      <c r="E70" s="367"/>
      <c r="Y70" s="273"/>
      <c r="Z70" s="273"/>
    </row>
    <row r="71" spans="1:26" ht="15" customHeight="1" x14ac:dyDescent="0.35">
      <c r="A71" s="40"/>
      <c r="B71" s="40"/>
      <c r="C71" s="41"/>
      <c r="D71" s="273"/>
      <c r="E71" s="367"/>
      <c r="O71" s="273"/>
      <c r="P71" s="273"/>
      <c r="Q71" s="112"/>
      <c r="Y71" s="273"/>
      <c r="Z71" s="273"/>
    </row>
    <row r="72" spans="1:26" ht="15" customHeight="1" x14ac:dyDescent="0.35">
      <c r="A72" s="40"/>
      <c r="B72" s="40"/>
      <c r="C72" s="41"/>
      <c r="D72" s="273"/>
      <c r="E72" s="367"/>
      <c r="O72" s="273"/>
      <c r="P72" s="273"/>
      <c r="Q72" s="112"/>
      <c r="Y72" s="273"/>
      <c r="Z72" s="273"/>
    </row>
    <row r="73" spans="1:26" ht="15" customHeight="1" x14ac:dyDescent="0.35">
      <c r="A73" s="40"/>
      <c r="B73" s="40"/>
      <c r="C73" s="41"/>
      <c r="D73" s="273"/>
      <c r="E73" s="367"/>
      <c r="I73" s="273"/>
      <c r="O73" s="273"/>
      <c r="P73" s="273"/>
      <c r="Q73" s="112"/>
      <c r="Y73" s="273"/>
      <c r="Z73" s="273"/>
    </row>
    <row r="74" spans="1:26" ht="15" customHeight="1" x14ac:dyDescent="0.35">
      <c r="A74" s="40"/>
      <c r="B74" s="40"/>
      <c r="C74" s="41"/>
      <c r="O74" s="273"/>
      <c r="P74" s="273"/>
      <c r="Q74" s="112"/>
    </row>
    <row r="75" spans="1:26" ht="15" customHeight="1" x14ac:dyDescent="0.35">
      <c r="A75" s="40"/>
      <c r="B75" s="40"/>
      <c r="C75" s="41"/>
      <c r="O75" s="273"/>
      <c r="P75" s="273"/>
      <c r="Q75" s="112"/>
    </row>
    <row r="76" spans="1:26" ht="15" customHeight="1" x14ac:dyDescent="0.35">
      <c r="A76" s="40"/>
      <c r="B76" s="40"/>
      <c r="C76" s="41"/>
      <c r="O76" s="273"/>
      <c r="P76" s="273"/>
      <c r="Q76" s="112"/>
    </row>
    <row r="77" spans="1:26" ht="15" customHeight="1" x14ac:dyDescent="0.35">
      <c r="A77" s="40"/>
      <c r="B77" s="40"/>
      <c r="C77" s="41"/>
      <c r="O77" s="273"/>
      <c r="P77" s="273"/>
      <c r="Q77" s="112"/>
    </row>
    <row r="78" spans="1:26" ht="15" customHeight="1" x14ac:dyDescent="0.35">
      <c r="A78" s="40"/>
      <c r="B78" s="40"/>
      <c r="C78" s="41"/>
      <c r="O78" s="273"/>
      <c r="P78" s="273"/>
      <c r="Q78" s="112"/>
    </row>
    <row r="79" spans="1:26" ht="15" customHeight="1" x14ac:dyDescent="0.35">
      <c r="A79" s="40"/>
      <c r="B79" s="40"/>
      <c r="C79" s="41"/>
      <c r="O79" s="273"/>
      <c r="P79" s="273"/>
      <c r="Q79" s="112"/>
    </row>
    <row r="80" spans="1:26" ht="15" customHeight="1" x14ac:dyDescent="0.35">
      <c r="A80" s="40"/>
      <c r="B80" s="40"/>
      <c r="C80" s="41"/>
      <c r="O80" s="273"/>
      <c r="P80" s="273"/>
      <c r="Q80" s="112"/>
    </row>
    <row r="81" spans="1:3" ht="15" customHeight="1" x14ac:dyDescent="0.35">
      <c r="A81" s="40"/>
      <c r="B81" s="40"/>
      <c r="C81" s="41"/>
    </row>
    <row r="82" spans="1:3" ht="15" customHeight="1" x14ac:dyDescent="0.35">
      <c r="A82" s="40"/>
      <c r="B82" s="40"/>
      <c r="C82" s="41"/>
    </row>
    <row r="83" spans="1:3" ht="15" customHeight="1" x14ac:dyDescent="0.35">
      <c r="A83" s="40"/>
      <c r="B83" s="40"/>
      <c r="C83" s="41"/>
    </row>
    <row r="84" spans="1:3" ht="15" customHeight="1" x14ac:dyDescent="0.35">
      <c r="A84" s="40"/>
      <c r="B84" s="40"/>
      <c r="C84" s="41"/>
    </row>
    <row r="85" spans="1:3" ht="15" customHeight="1" x14ac:dyDescent="0.35">
      <c r="A85" s="40"/>
      <c r="B85" s="40"/>
      <c r="C85" s="41"/>
    </row>
    <row r="86" spans="1:3" ht="15" customHeight="1" x14ac:dyDescent="0.35">
      <c r="A86" s="40"/>
      <c r="B86" s="40"/>
      <c r="C86" s="41"/>
    </row>
    <row r="87" spans="1:3" ht="15" customHeight="1" x14ac:dyDescent="0.35">
      <c r="A87" s="40"/>
      <c r="B87" s="40"/>
      <c r="C87" s="41"/>
    </row>
    <row r="88" spans="1:3" ht="15" customHeight="1" x14ac:dyDescent="0.35">
      <c r="A88" s="40"/>
      <c r="B88" s="40"/>
      <c r="C88" s="41"/>
    </row>
    <row r="89" spans="1:3" ht="15" customHeight="1" x14ac:dyDescent="0.35">
      <c r="A89" s="40"/>
      <c r="B89" s="40"/>
      <c r="C89" s="41"/>
    </row>
    <row r="90" spans="1:3" ht="15" customHeight="1" x14ac:dyDescent="0.35">
      <c r="A90" s="40"/>
      <c r="B90" s="40"/>
      <c r="C90" s="41"/>
    </row>
    <row r="91" spans="1:3" ht="15" customHeight="1" x14ac:dyDescent="0.35">
      <c r="A91" s="40"/>
      <c r="B91" s="40"/>
      <c r="C91" s="41"/>
    </row>
    <row r="92" spans="1:3" ht="15" customHeight="1" x14ac:dyDescent="0.35">
      <c r="A92" s="40"/>
      <c r="B92" s="40"/>
      <c r="C92" s="41"/>
    </row>
    <row r="93" spans="1:3" ht="15" customHeight="1" x14ac:dyDescent="0.35">
      <c r="A93" s="40"/>
      <c r="B93" s="40"/>
      <c r="C93" s="41"/>
    </row>
    <row r="94" spans="1:3" ht="15" customHeight="1" x14ac:dyDescent="0.35">
      <c r="A94" s="40"/>
      <c r="B94" s="40"/>
      <c r="C94" s="41"/>
    </row>
    <row r="95" spans="1:3" ht="15" customHeight="1" x14ac:dyDescent="0.35">
      <c r="A95" s="40"/>
      <c r="B95" s="40"/>
      <c r="C95" s="41"/>
    </row>
    <row r="96" spans="1:3" ht="15" customHeight="1" x14ac:dyDescent="0.35">
      <c r="A96" s="40"/>
      <c r="B96" s="40"/>
      <c r="C96" s="41"/>
    </row>
    <row r="97" spans="1:3" ht="15" customHeight="1" x14ac:dyDescent="0.35">
      <c r="A97" s="40"/>
      <c r="B97" s="40"/>
      <c r="C97" s="41"/>
    </row>
    <row r="98" spans="1:3" ht="15" customHeight="1" x14ac:dyDescent="0.35">
      <c r="A98" s="40"/>
      <c r="B98" s="40"/>
      <c r="C98" s="41"/>
    </row>
    <row r="99" spans="1:3" ht="15" customHeight="1" x14ac:dyDescent="0.35">
      <c r="A99" s="40"/>
      <c r="B99" s="40"/>
      <c r="C99" s="41"/>
    </row>
    <row r="100" spans="1:3" ht="15" customHeight="1" x14ac:dyDescent="0.35">
      <c r="A100" s="40"/>
      <c r="B100" s="40"/>
      <c r="C100" s="41"/>
    </row>
    <row r="101" spans="1:3" ht="15" customHeight="1" x14ac:dyDescent="0.35">
      <c r="A101" s="40"/>
      <c r="B101" s="40"/>
      <c r="C101" s="41"/>
    </row>
    <row r="102" spans="1:3" ht="15" customHeight="1" x14ac:dyDescent="0.35">
      <c r="A102" s="40"/>
      <c r="B102" s="40"/>
      <c r="C102" s="41"/>
    </row>
    <row r="103" spans="1:3" ht="15" customHeight="1" x14ac:dyDescent="0.35">
      <c r="A103" s="40"/>
      <c r="B103" s="40"/>
      <c r="C103" s="41"/>
    </row>
    <row r="104" spans="1:3" ht="15" customHeight="1" x14ac:dyDescent="0.35">
      <c r="A104" s="40"/>
      <c r="B104" s="40"/>
      <c r="C104" s="41"/>
    </row>
    <row r="105" spans="1:3" ht="15" customHeight="1" x14ac:dyDescent="0.35">
      <c r="A105" s="40"/>
      <c r="B105" s="40"/>
      <c r="C105" s="41"/>
    </row>
    <row r="106" spans="1:3" ht="15" customHeight="1" x14ac:dyDescent="0.35">
      <c r="A106" s="40"/>
      <c r="B106" s="40"/>
      <c r="C106" s="41"/>
    </row>
    <row r="107" spans="1:3" ht="15" customHeight="1" x14ac:dyDescent="0.35">
      <c r="A107" s="40"/>
      <c r="B107" s="40"/>
      <c r="C107" s="41"/>
    </row>
    <row r="108" spans="1:3" ht="15" customHeight="1" x14ac:dyDescent="0.35">
      <c r="A108" s="40"/>
      <c r="B108" s="40"/>
      <c r="C108" s="41"/>
    </row>
    <row r="109" spans="1:3" ht="15" customHeight="1" x14ac:dyDescent="0.35">
      <c r="A109" s="40"/>
      <c r="B109" s="40"/>
      <c r="C109" s="41"/>
    </row>
    <row r="110" spans="1:3" ht="15" customHeight="1" x14ac:dyDescent="0.35">
      <c r="A110" s="40"/>
      <c r="B110" s="40"/>
      <c r="C110" s="41"/>
    </row>
    <row r="111" spans="1:3" ht="15" customHeight="1" x14ac:dyDescent="0.35">
      <c r="A111" s="40"/>
      <c r="B111" s="40"/>
      <c r="C111" s="41"/>
    </row>
    <row r="112" spans="1:3" ht="15" customHeight="1" x14ac:dyDescent="0.35">
      <c r="A112" s="40"/>
      <c r="B112" s="40"/>
      <c r="C112" s="41"/>
    </row>
    <row r="113" spans="1:3" ht="15" customHeight="1" x14ac:dyDescent="0.35">
      <c r="A113" s="40"/>
      <c r="B113" s="40"/>
      <c r="C113" s="41"/>
    </row>
    <row r="114" spans="1:3" ht="15" customHeight="1" x14ac:dyDescent="0.35">
      <c r="A114" s="40"/>
      <c r="B114" s="40"/>
      <c r="C114" s="41"/>
    </row>
    <row r="115" spans="1:3" ht="15" customHeight="1" x14ac:dyDescent="0.35">
      <c r="A115" s="40"/>
      <c r="B115" s="40"/>
      <c r="C115" s="41"/>
    </row>
    <row r="116" spans="1:3" ht="15" customHeight="1" x14ac:dyDescent="0.35">
      <c r="A116" s="40"/>
      <c r="B116" s="40"/>
      <c r="C116" s="41"/>
    </row>
    <row r="117" spans="1:3" ht="15" customHeight="1" x14ac:dyDescent="0.35">
      <c r="A117" s="40"/>
      <c r="B117" s="40"/>
      <c r="C117" s="41"/>
    </row>
    <row r="118" spans="1:3" ht="15" customHeight="1" x14ac:dyDescent="0.35">
      <c r="A118" s="40"/>
      <c r="B118" s="40"/>
      <c r="C118" s="41"/>
    </row>
    <row r="119" spans="1:3" ht="15" customHeight="1" x14ac:dyDescent="0.35">
      <c r="A119" s="40"/>
      <c r="B119" s="40"/>
      <c r="C119" s="41"/>
    </row>
    <row r="120" spans="1:3" ht="15" customHeight="1" x14ac:dyDescent="0.35">
      <c r="A120" s="40"/>
      <c r="B120" s="40"/>
      <c r="C120" s="41"/>
    </row>
    <row r="121" spans="1:3" ht="15" customHeight="1" x14ac:dyDescent="0.35">
      <c r="A121" s="40"/>
      <c r="B121" s="40"/>
      <c r="C121" s="41"/>
    </row>
    <row r="122" spans="1:3" ht="15" customHeight="1" x14ac:dyDescent="0.35">
      <c r="A122" s="40"/>
      <c r="B122" s="40"/>
      <c r="C122" s="41"/>
    </row>
    <row r="123" spans="1:3" ht="15" customHeight="1" x14ac:dyDescent="0.35">
      <c r="A123" s="40"/>
      <c r="B123" s="40"/>
      <c r="C123" s="41"/>
    </row>
    <row r="124" spans="1:3" ht="15" customHeight="1" x14ac:dyDescent="0.35">
      <c r="A124" s="40"/>
      <c r="B124" s="40"/>
      <c r="C124" s="41"/>
    </row>
    <row r="125" spans="1:3" ht="15" customHeight="1" x14ac:dyDescent="0.35">
      <c r="A125" s="40"/>
      <c r="B125" s="40"/>
      <c r="C125" s="41"/>
    </row>
    <row r="126" spans="1:3" ht="15" customHeight="1" x14ac:dyDescent="0.35">
      <c r="A126" s="40"/>
      <c r="B126" s="40"/>
      <c r="C126" s="41"/>
    </row>
    <row r="127" spans="1:3" ht="15" customHeight="1" x14ac:dyDescent="0.35">
      <c r="A127" s="40"/>
      <c r="B127" s="40"/>
      <c r="C127" s="41"/>
    </row>
    <row r="128" spans="1:3" ht="15" customHeight="1" x14ac:dyDescent="0.35">
      <c r="A128" s="40"/>
      <c r="B128" s="40"/>
      <c r="C128" s="41"/>
    </row>
    <row r="129" spans="1:3" ht="15" customHeight="1" x14ac:dyDescent="0.35">
      <c r="A129" s="40"/>
      <c r="B129" s="40"/>
      <c r="C129" s="41"/>
    </row>
    <row r="130" spans="1:3" ht="15" customHeight="1" x14ac:dyDescent="0.35">
      <c r="A130" s="40"/>
      <c r="B130" s="40"/>
      <c r="C130" s="41"/>
    </row>
    <row r="131" spans="1:3" ht="15" customHeight="1" x14ac:dyDescent="0.35">
      <c r="A131" s="40"/>
      <c r="B131" s="40"/>
      <c r="C131" s="41"/>
    </row>
    <row r="132" spans="1:3" ht="15" customHeight="1" x14ac:dyDescent="0.35">
      <c r="A132" s="40"/>
      <c r="B132" s="40"/>
      <c r="C132" s="41"/>
    </row>
    <row r="133" spans="1:3" ht="15" customHeight="1" x14ac:dyDescent="0.35">
      <c r="A133" s="40"/>
      <c r="B133" s="40"/>
      <c r="C133" s="41"/>
    </row>
    <row r="134" spans="1:3" ht="15" customHeight="1" x14ac:dyDescent="0.35">
      <c r="A134" s="40"/>
      <c r="B134" s="40"/>
      <c r="C134" s="41"/>
    </row>
    <row r="135" spans="1:3" ht="15" customHeight="1" x14ac:dyDescent="0.35">
      <c r="A135" s="40"/>
      <c r="B135" s="40"/>
      <c r="C135" s="41"/>
    </row>
    <row r="136" spans="1:3" ht="15" customHeight="1" x14ac:dyDescent="0.35">
      <c r="A136" s="40"/>
      <c r="B136" s="40"/>
      <c r="C136" s="41"/>
    </row>
    <row r="137" spans="1:3" ht="15" customHeight="1" x14ac:dyDescent="0.35">
      <c r="A137" s="40"/>
      <c r="B137" s="40"/>
      <c r="C137" s="41"/>
    </row>
    <row r="138" spans="1:3" ht="15" customHeight="1" x14ac:dyDescent="0.35">
      <c r="A138" s="40"/>
      <c r="B138" s="40"/>
      <c r="C138" s="41"/>
    </row>
    <row r="139" spans="1:3" ht="15" customHeight="1" x14ac:dyDescent="0.35">
      <c r="A139" s="40"/>
      <c r="B139" s="40"/>
      <c r="C139" s="41"/>
    </row>
    <row r="140" spans="1:3" ht="15" customHeight="1" x14ac:dyDescent="0.35">
      <c r="A140" s="40"/>
      <c r="B140" s="40"/>
      <c r="C140" s="41"/>
    </row>
    <row r="141" spans="1:3" ht="15" customHeight="1" x14ac:dyDescent="0.35">
      <c r="A141" s="40"/>
      <c r="B141" s="40"/>
      <c r="C141" s="41"/>
    </row>
    <row r="142" spans="1:3" ht="15" customHeight="1" x14ac:dyDescent="0.35">
      <c r="A142" s="40"/>
      <c r="B142" s="40"/>
      <c r="C142" s="41"/>
    </row>
    <row r="143" spans="1:3" ht="15" customHeight="1" x14ac:dyDescent="0.35">
      <c r="A143" s="40"/>
      <c r="B143" s="40"/>
      <c r="C143" s="41"/>
    </row>
    <row r="144" spans="1:3" ht="15" customHeight="1" x14ac:dyDescent="0.35">
      <c r="A144" s="40"/>
      <c r="B144" s="40"/>
      <c r="C144" s="41"/>
    </row>
    <row r="145" spans="1:3" ht="15" customHeight="1" x14ac:dyDescent="0.35">
      <c r="A145" s="40"/>
      <c r="B145" s="40"/>
      <c r="C145" s="41"/>
    </row>
    <row r="146" spans="1:3" ht="15" customHeight="1" x14ac:dyDescent="0.35">
      <c r="A146" s="40"/>
      <c r="B146" s="40"/>
      <c r="C146" s="41"/>
    </row>
    <row r="147" spans="1:3" ht="15" customHeight="1" x14ac:dyDescent="0.35">
      <c r="A147" s="40"/>
      <c r="B147" s="40"/>
      <c r="C147" s="41"/>
    </row>
    <row r="148" spans="1:3" ht="15" customHeight="1" x14ac:dyDescent="0.35">
      <c r="A148" s="40"/>
      <c r="B148" s="40"/>
      <c r="C148" s="41"/>
    </row>
    <row r="149" spans="1:3" ht="15" customHeight="1" x14ac:dyDescent="0.35">
      <c r="A149" s="40"/>
      <c r="B149" s="40"/>
      <c r="C149" s="41"/>
    </row>
    <row r="150" spans="1:3" ht="15" customHeight="1" x14ac:dyDescent="0.35">
      <c r="A150" s="40"/>
      <c r="B150" s="40"/>
      <c r="C150" s="41"/>
    </row>
    <row r="151" spans="1:3" ht="15" customHeight="1" x14ac:dyDescent="0.35">
      <c r="A151" s="40"/>
      <c r="B151" s="40"/>
      <c r="C151" s="41"/>
    </row>
    <row r="152" spans="1:3" ht="15" customHeight="1" x14ac:dyDescent="0.35">
      <c r="A152" s="40"/>
      <c r="B152" s="40"/>
      <c r="C152" s="41"/>
    </row>
    <row r="153" spans="1:3" ht="15" customHeight="1" x14ac:dyDescent="0.35">
      <c r="A153" s="40"/>
      <c r="B153" s="40"/>
      <c r="C153" s="41"/>
    </row>
    <row r="154" spans="1:3" ht="15" customHeight="1" x14ac:dyDescent="0.35">
      <c r="A154" s="40"/>
      <c r="B154" s="40"/>
      <c r="C154" s="41"/>
    </row>
    <row r="155" spans="1:3" ht="15" customHeight="1" x14ac:dyDescent="0.35">
      <c r="A155" s="40"/>
      <c r="B155" s="40"/>
      <c r="C155" s="41"/>
    </row>
    <row r="156" spans="1:3" ht="15" customHeight="1" x14ac:dyDescent="0.35">
      <c r="A156" s="40"/>
      <c r="B156" s="40"/>
      <c r="C156" s="41"/>
    </row>
    <row r="157" spans="1:3" ht="15" customHeight="1" x14ac:dyDescent="0.35">
      <c r="A157" s="40"/>
      <c r="B157" s="40"/>
      <c r="C157" s="41"/>
    </row>
    <row r="158" spans="1:3" ht="15" customHeight="1" x14ac:dyDescent="0.35">
      <c r="A158" s="40"/>
      <c r="B158" s="40"/>
      <c r="C158" s="41"/>
    </row>
    <row r="159" spans="1:3" ht="15" customHeight="1" x14ac:dyDescent="0.35">
      <c r="A159" s="40"/>
      <c r="B159" s="40"/>
      <c r="C159" s="41"/>
    </row>
    <row r="160" spans="1:3" ht="15" customHeight="1" x14ac:dyDescent="0.35">
      <c r="A160" s="40"/>
      <c r="B160" s="40"/>
      <c r="C160" s="41"/>
    </row>
    <row r="161" spans="1:3" ht="15" customHeight="1" x14ac:dyDescent="0.35">
      <c r="A161" s="40"/>
      <c r="B161" s="40"/>
      <c r="C161" s="41"/>
    </row>
    <row r="162" spans="1:3" ht="15" customHeight="1" x14ac:dyDescent="0.35">
      <c r="A162" s="40"/>
      <c r="B162" s="40"/>
      <c r="C162" s="41"/>
    </row>
    <row r="163" spans="1:3" ht="15" customHeight="1" x14ac:dyDescent="0.35">
      <c r="A163" s="40"/>
      <c r="B163" s="40"/>
      <c r="C163" s="41"/>
    </row>
    <row r="164" spans="1:3" ht="15" customHeight="1" x14ac:dyDescent="0.35">
      <c r="A164" s="40"/>
      <c r="B164" s="40"/>
      <c r="C164" s="41"/>
    </row>
    <row r="165" spans="1:3" ht="15" customHeight="1" x14ac:dyDescent="0.35">
      <c r="A165" s="40"/>
      <c r="B165" s="40"/>
      <c r="C165" s="41"/>
    </row>
    <row r="166" spans="1:3" ht="15" customHeight="1" x14ac:dyDescent="0.35">
      <c r="A166" s="40"/>
      <c r="B166" s="40"/>
      <c r="C166" s="41"/>
    </row>
    <row r="167" spans="1:3" ht="15" customHeight="1" x14ac:dyDescent="0.35">
      <c r="A167" s="40"/>
      <c r="B167" s="40"/>
      <c r="C167" s="41"/>
    </row>
    <row r="168" spans="1:3" ht="15" customHeight="1" x14ac:dyDescent="0.35">
      <c r="A168" s="40"/>
      <c r="B168" s="40"/>
      <c r="C168" s="41"/>
    </row>
    <row r="169" spans="1:3" ht="15" customHeight="1" x14ac:dyDescent="0.35">
      <c r="A169" s="40"/>
      <c r="B169" s="40"/>
      <c r="C169" s="41"/>
    </row>
    <row r="170" spans="1:3" ht="15" customHeight="1" x14ac:dyDescent="0.35">
      <c r="A170" s="40"/>
      <c r="B170" s="40"/>
      <c r="C170" s="41"/>
    </row>
    <row r="171" spans="1:3" ht="15" customHeight="1" x14ac:dyDescent="0.35">
      <c r="A171" s="40"/>
      <c r="B171" s="40"/>
      <c r="C171" s="41"/>
    </row>
    <row r="172" spans="1:3" ht="15" customHeight="1" x14ac:dyDescent="0.35">
      <c r="A172" s="40"/>
      <c r="B172" s="40"/>
      <c r="C172" s="41"/>
    </row>
    <row r="173" spans="1:3" ht="15" customHeight="1" x14ac:dyDescent="0.35">
      <c r="A173" s="40"/>
      <c r="B173" s="40"/>
      <c r="C173" s="41"/>
    </row>
    <row r="174" spans="1:3" ht="15" customHeight="1" x14ac:dyDescent="0.35">
      <c r="A174" s="40"/>
      <c r="B174" s="40"/>
      <c r="C174" s="41"/>
    </row>
    <row r="175" spans="1:3" ht="15" customHeight="1" x14ac:dyDescent="0.35">
      <c r="A175" s="40"/>
      <c r="B175" s="40"/>
      <c r="C175" s="41"/>
    </row>
    <row r="176" spans="1:3" ht="15" customHeight="1" x14ac:dyDescent="0.35">
      <c r="A176" s="40"/>
      <c r="B176" s="40"/>
      <c r="C176" s="41"/>
    </row>
    <row r="177" spans="1:3" ht="15" customHeight="1" x14ac:dyDescent="0.35">
      <c r="A177" s="40"/>
      <c r="B177" s="40"/>
      <c r="C177" s="41"/>
    </row>
    <row r="178" spans="1:3" ht="15" customHeight="1" x14ac:dyDescent="0.35">
      <c r="A178" s="40"/>
      <c r="B178" s="40"/>
      <c r="C178" s="41"/>
    </row>
    <row r="179" spans="1:3" ht="15" customHeight="1" x14ac:dyDescent="0.35">
      <c r="A179" s="40"/>
      <c r="B179" s="40"/>
      <c r="C179" s="41"/>
    </row>
    <row r="180" spans="1:3" ht="15" customHeight="1" x14ac:dyDescent="0.35">
      <c r="A180" s="40"/>
      <c r="B180" s="40"/>
      <c r="C180" s="41"/>
    </row>
    <row r="181" spans="1:3" ht="15" customHeight="1" x14ac:dyDescent="0.35">
      <c r="A181" s="40"/>
      <c r="B181" s="40"/>
      <c r="C181" s="41"/>
    </row>
    <row r="182" spans="1:3" ht="15" customHeight="1" x14ac:dyDescent="0.35">
      <c r="A182" s="40"/>
      <c r="B182" s="40"/>
      <c r="C182" s="41"/>
    </row>
    <row r="183" spans="1:3" ht="15" customHeight="1" x14ac:dyDescent="0.35">
      <c r="A183" s="40"/>
      <c r="B183" s="40"/>
      <c r="C183" s="41"/>
    </row>
    <row r="184" spans="1:3" ht="15" customHeight="1" x14ac:dyDescent="0.35">
      <c r="A184" s="40"/>
      <c r="B184" s="40"/>
      <c r="C184" s="41"/>
    </row>
    <row r="185" spans="1:3" ht="15" customHeight="1" x14ac:dyDescent="0.35">
      <c r="A185" s="40"/>
      <c r="B185" s="40"/>
      <c r="C185" s="41"/>
    </row>
    <row r="186" spans="1:3" ht="15" customHeight="1" x14ac:dyDescent="0.35">
      <c r="A186" s="40"/>
      <c r="B186" s="40"/>
      <c r="C186" s="41"/>
    </row>
    <row r="187" spans="1:3" ht="15" customHeight="1" x14ac:dyDescent="0.35">
      <c r="A187" s="40"/>
      <c r="B187" s="40"/>
      <c r="C187" s="41"/>
    </row>
    <row r="188" spans="1:3" ht="15" customHeight="1" x14ac:dyDescent="0.35">
      <c r="A188" s="40"/>
      <c r="B188" s="40"/>
      <c r="C188" s="41"/>
    </row>
    <row r="189" spans="1:3" ht="15" customHeight="1" x14ac:dyDescent="0.35">
      <c r="A189" s="40"/>
      <c r="B189" s="40"/>
      <c r="C189" s="41"/>
    </row>
    <row r="190" spans="1:3" ht="15" customHeight="1" x14ac:dyDescent="0.35">
      <c r="A190" s="40"/>
      <c r="B190" s="40"/>
      <c r="C190" s="41"/>
    </row>
    <row r="191" spans="1:3" ht="15" customHeight="1" x14ac:dyDescent="0.35">
      <c r="A191" s="40"/>
      <c r="B191" s="40"/>
      <c r="C191" s="41"/>
    </row>
    <row r="192" spans="1:3" ht="15" customHeight="1" x14ac:dyDescent="0.35">
      <c r="A192" s="40"/>
      <c r="B192" s="40"/>
      <c r="C192" s="41"/>
    </row>
    <row r="193" spans="1:3" ht="15" customHeight="1" x14ac:dyDescent="0.35">
      <c r="A193" s="40"/>
      <c r="B193" s="40"/>
      <c r="C193" s="41"/>
    </row>
    <row r="194" spans="1:3" ht="15" customHeight="1" x14ac:dyDescent="0.35">
      <c r="A194" s="40"/>
      <c r="B194" s="40"/>
      <c r="C194" s="41"/>
    </row>
    <row r="195" spans="1:3" ht="15" customHeight="1" x14ac:dyDescent="0.35">
      <c r="A195" s="40"/>
      <c r="B195" s="40"/>
      <c r="C195" s="41"/>
    </row>
    <row r="196" spans="1:3" ht="15" customHeight="1" x14ac:dyDescent="0.35">
      <c r="A196" s="40"/>
      <c r="B196" s="40"/>
      <c r="C196" s="41"/>
    </row>
    <row r="197" spans="1:3" ht="15" customHeight="1" x14ac:dyDescent="0.35">
      <c r="A197" s="40"/>
      <c r="B197" s="40"/>
      <c r="C197" s="41"/>
    </row>
    <row r="198" spans="1:3" ht="15" customHeight="1" x14ac:dyDescent="0.35">
      <c r="A198" s="40"/>
      <c r="B198" s="40"/>
      <c r="C198" s="41"/>
    </row>
    <row r="199" spans="1:3" ht="15" customHeight="1" x14ac:dyDescent="0.35">
      <c r="A199" s="40"/>
      <c r="B199" s="40"/>
      <c r="C199" s="41"/>
    </row>
    <row r="200" spans="1:3" ht="15" customHeight="1" x14ac:dyDescent="0.35">
      <c r="A200" s="40"/>
      <c r="B200" s="40"/>
      <c r="C200" s="41"/>
    </row>
    <row r="201" spans="1:3" ht="15" customHeight="1" x14ac:dyDescent="0.35">
      <c r="A201" s="40"/>
      <c r="B201" s="40"/>
      <c r="C201" s="41"/>
    </row>
    <row r="202" spans="1:3" ht="15" customHeight="1" x14ac:dyDescent="0.35">
      <c r="A202" s="40"/>
      <c r="B202" s="40"/>
      <c r="C202" s="41"/>
    </row>
    <row r="203" spans="1:3" ht="15" customHeight="1" x14ac:dyDescent="0.35">
      <c r="A203" s="40"/>
      <c r="B203" s="40"/>
      <c r="C203" s="41"/>
    </row>
    <row r="204" spans="1:3" ht="15" customHeight="1" x14ac:dyDescent="0.35">
      <c r="A204" s="40"/>
      <c r="B204" s="40"/>
      <c r="C204" s="41"/>
    </row>
    <row r="205" spans="1:3" ht="15" customHeight="1" x14ac:dyDescent="0.35">
      <c r="A205" s="40"/>
      <c r="B205" s="40"/>
      <c r="C205" s="41"/>
    </row>
    <row r="206" spans="1:3" ht="15" customHeight="1" x14ac:dyDescent="0.35">
      <c r="A206" s="40"/>
      <c r="B206" s="40"/>
      <c r="C206" s="41"/>
    </row>
    <row r="207" spans="1:3" ht="15" customHeight="1" x14ac:dyDescent="0.35">
      <c r="A207" s="40"/>
      <c r="B207" s="40"/>
      <c r="C207" s="41"/>
    </row>
    <row r="208" spans="1:3" ht="15" customHeight="1" x14ac:dyDescent="0.35">
      <c r="A208" s="40"/>
      <c r="B208" s="40"/>
      <c r="C208" s="41"/>
    </row>
    <row r="209" spans="1:3" ht="15" customHeight="1" x14ac:dyDescent="0.35">
      <c r="A209" s="40"/>
      <c r="B209" s="40"/>
      <c r="C209" s="41"/>
    </row>
    <row r="210" spans="1:3" ht="15" customHeight="1" x14ac:dyDescent="0.35">
      <c r="A210" s="40"/>
      <c r="B210" s="40"/>
      <c r="C210" s="41"/>
    </row>
    <row r="211" spans="1:3" ht="15" customHeight="1" x14ac:dyDescent="0.35">
      <c r="A211" s="40"/>
      <c r="B211" s="40"/>
      <c r="C211" s="41"/>
    </row>
    <row r="212" spans="1:3" ht="15" customHeight="1" x14ac:dyDescent="0.35">
      <c r="A212" s="40"/>
      <c r="B212" s="40"/>
      <c r="C212" s="41"/>
    </row>
    <row r="213" spans="1:3" ht="15" customHeight="1" x14ac:dyDescent="0.35">
      <c r="A213" s="40"/>
      <c r="B213" s="40"/>
      <c r="C213" s="41"/>
    </row>
    <row r="214" spans="1:3" ht="15" customHeight="1" x14ac:dyDescent="0.35">
      <c r="A214" s="40"/>
      <c r="B214" s="40"/>
      <c r="C214" s="41"/>
    </row>
    <row r="215" spans="1:3" ht="15" customHeight="1" x14ac:dyDescent="0.35">
      <c r="A215" s="40"/>
      <c r="B215" s="40"/>
      <c r="C215" s="41"/>
    </row>
    <row r="216" spans="1:3" ht="15" customHeight="1" x14ac:dyDescent="0.35">
      <c r="A216" s="40"/>
      <c r="B216" s="40"/>
      <c r="C216" s="41"/>
    </row>
    <row r="217" spans="1:3" ht="15" customHeight="1" x14ac:dyDescent="0.35">
      <c r="A217" s="40"/>
      <c r="B217" s="40"/>
      <c r="C217" s="41"/>
    </row>
    <row r="218" spans="1:3" ht="15" customHeight="1" x14ac:dyDescent="0.35">
      <c r="A218" s="40"/>
      <c r="B218" s="40"/>
      <c r="C218" s="41"/>
    </row>
    <row r="219" spans="1:3" ht="15" customHeight="1" x14ac:dyDescent="0.35">
      <c r="A219" s="40"/>
      <c r="B219" s="40"/>
      <c r="C219" s="41"/>
    </row>
    <row r="220" spans="1:3" ht="15" customHeight="1" x14ac:dyDescent="0.35">
      <c r="A220" s="40"/>
      <c r="B220" s="40"/>
      <c r="C220" s="41"/>
    </row>
    <row r="221" spans="1:3" ht="15" customHeight="1" x14ac:dyDescent="0.35">
      <c r="A221" s="40"/>
      <c r="B221" s="40"/>
      <c r="C221" s="41"/>
    </row>
    <row r="222" spans="1:3" ht="15" customHeight="1" x14ac:dyDescent="0.35">
      <c r="A222" s="40"/>
      <c r="B222" s="40"/>
      <c r="C222" s="41"/>
    </row>
    <row r="223" spans="1:3" ht="15" customHeight="1" x14ac:dyDescent="0.35">
      <c r="A223" s="40"/>
      <c r="B223" s="40"/>
      <c r="C223" s="41"/>
    </row>
    <row r="224" spans="1:3" ht="15" customHeight="1" x14ac:dyDescent="0.35">
      <c r="A224" s="40"/>
      <c r="B224" s="40"/>
      <c r="C224" s="41"/>
    </row>
    <row r="225" spans="1:3" ht="15" customHeight="1" x14ac:dyDescent="0.35">
      <c r="A225" s="40"/>
      <c r="B225" s="40"/>
      <c r="C225" s="41"/>
    </row>
    <row r="226" spans="1:3" ht="15" customHeight="1" x14ac:dyDescent="0.35">
      <c r="A226" s="40"/>
      <c r="B226" s="40"/>
      <c r="C226" s="41"/>
    </row>
    <row r="227" spans="1:3" ht="15" customHeight="1" x14ac:dyDescent="0.35">
      <c r="A227" s="40"/>
      <c r="B227" s="40"/>
      <c r="C227" s="41"/>
    </row>
    <row r="228" spans="1:3" ht="15" customHeight="1" x14ac:dyDescent="0.35">
      <c r="A228" s="40"/>
      <c r="B228" s="40"/>
      <c r="C228" s="41"/>
    </row>
    <row r="229" spans="1:3" ht="15" customHeight="1" x14ac:dyDescent="0.35">
      <c r="A229" s="40"/>
      <c r="B229" s="40"/>
      <c r="C229" s="41"/>
    </row>
    <row r="230" spans="1:3" ht="15" customHeight="1" x14ac:dyDescent="0.35">
      <c r="A230" s="40"/>
      <c r="B230" s="40"/>
      <c r="C230" s="41"/>
    </row>
    <row r="231" spans="1:3" ht="15" customHeight="1" x14ac:dyDescent="0.35">
      <c r="A231" s="40"/>
      <c r="B231" s="40"/>
      <c r="C231" s="41"/>
    </row>
    <row r="232" spans="1:3" ht="15" customHeight="1" x14ac:dyDescent="0.35">
      <c r="A232" s="40"/>
      <c r="B232" s="40"/>
      <c r="C232" s="41"/>
    </row>
    <row r="233" spans="1:3" ht="15" customHeight="1" x14ac:dyDescent="0.35">
      <c r="A233" s="40"/>
      <c r="B233" s="40"/>
      <c r="C233" s="41"/>
    </row>
    <row r="234" spans="1:3" ht="15" customHeight="1" x14ac:dyDescent="0.35">
      <c r="A234" s="40"/>
      <c r="B234" s="40"/>
      <c r="C234" s="41"/>
    </row>
    <row r="235" spans="1:3" ht="15" customHeight="1" x14ac:dyDescent="0.35">
      <c r="A235" s="40"/>
      <c r="B235" s="40"/>
      <c r="C235" s="41"/>
    </row>
    <row r="236" spans="1:3" ht="15" customHeight="1" x14ac:dyDescent="0.35">
      <c r="A236" s="40"/>
      <c r="B236" s="40"/>
      <c r="C236" s="41"/>
    </row>
    <row r="237" spans="1:3" ht="15" customHeight="1" x14ac:dyDescent="0.35">
      <c r="A237" s="40"/>
      <c r="B237" s="40"/>
      <c r="C237" s="41"/>
    </row>
    <row r="238" spans="1:3" ht="15" customHeight="1" x14ac:dyDescent="0.35">
      <c r="A238" s="40"/>
      <c r="B238" s="40"/>
      <c r="C238" s="41"/>
    </row>
    <row r="239" spans="1:3" ht="15" customHeight="1" x14ac:dyDescent="0.35">
      <c r="A239" s="40"/>
      <c r="B239" s="40"/>
      <c r="C239" s="41"/>
    </row>
    <row r="240" spans="1:3" ht="15" customHeight="1" x14ac:dyDescent="0.35">
      <c r="A240" s="40"/>
      <c r="B240" s="40"/>
      <c r="C240" s="41"/>
    </row>
    <row r="241" spans="1:3" ht="15" customHeight="1" x14ac:dyDescent="0.35">
      <c r="A241" s="40"/>
      <c r="B241" s="40"/>
      <c r="C241" s="41"/>
    </row>
    <row r="242" spans="1:3" ht="15" customHeight="1" x14ac:dyDescent="0.35">
      <c r="A242" s="40"/>
      <c r="B242" s="40"/>
      <c r="C242" s="41"/>
    </row>
    <row r="243" spans="1:3" ht="15" customHeight="1" x14ac:dyDescent="0.35">
      <c r="A243" s="40"/>
      <c r="B243" s="40"/>
      <c r="C243" s="41"/>
    </row>
    <row r="244" spans="1:3" ht="15" customHeight="1" x14ac:dyDescent="0.35">
      <c r="A244" s="40"/>
      <c r="B244" s="40"/>
      <c r="C244" s="41"/>
    </row>
    <row r="245" spans="1:3" ht="15" customHeight="1" x14ac:dyDescent="0.35">
      <c r="A245" s="40"/>
      <c r="B245" s="40"/>
      <c r="C245" s="41"/>
    </row>
    <row r="246" spans="1:3" ht="15" customHeight="1" x14ac:dyDescent="0.35">
      <c r="A246" s="40"/>
      <c r="B246" s="40"/>
      <c r="C246" s="41"/>
    </row>
    <row r="247" spans="1:3" ht="15" customHeight="1" x14ac:dyDescent="0.35">
      <c r="A247" s="40"/>
      <c r="B247" s="40"/>
      <c r="C247" s="41"/>
    </row>
    <row r="248" spans="1:3" ht="15" customHeight="1" x14ac:dyDescent="0.35">
      <c r="A248" s="40"/>
      <c r="B248" s="40"/>
      <c r="C248" s="41"/>
    </row>
    <row r="249" spans="1:3" ht="15" customHeight="1" x14ac:dyDescent="0.35">
      <c r="A249" s="40"/>
      <c r="B249" s="40"/>
      <c r="C249" s="41"/>
    </row>
    <row r="250" spans="1:3" ht="15" customHeight="1" x14ac:dyDescent="0.35">
      <c r="A250" s="40"/>
      <c r="B250" s="40"/>
      <c r="C250" s="41"/>
    </row>
    <row r="251" spans="1:3" ht="15" customHeight="1" x14ac:dyDescent="0.35">
      <c r="A251" s="40"/>
      <c r="B251" s="40"/>
      <c r="C251" s="41"/>
    </row>
    <row r="252" spans="1:3" ht="15" customHeight="1" x14ac:dyDescent="0.35">
      <c r="A252" s="40"/>
      <c r="B252" s="40"/>
      <c r="C252" s="41"/>
    </row>
    <row r="253" spans="1:3" ht="15" customHeight="1" x14ac:dyDescent="0.35">
      <c r="A253" s="40"/>
      <c r="B253" s="40"/>
      <c r="C253" s="41"/>
    </row>
    <row r="254" spans="1:3" ht="15" customHeight="1" x14ac:dyDescent="0.35">
      <c r="A254" s="40"/>
      <c r="B254" s="40"/>
      <c r="C254" s="41"/>
    </row>
    <row r="255" spans="1:3" ht="15" customHeight="1" x14ac:dyDescent="0.35">
      <c r="A255" s="40"/>
      <c r="B255" s="40"/>
      <c r="C255" s="41"/>
    </row>
    <row r="256" spans="1:3" ht="15" customHeight="1" x14ac:dyDescent="0.35">
      <c r="A256" s="40"/>
      <c r="B256" s="40"/>
      <c r="C256" s="41"/>
    </row>
    <row r="257" spans="1:3" ht="15" customHeight="1" x14ac:dyDescent="0.35">
      <c r="A257" s="40"/>
      <c r="B257" s="40"/>
      <c r="C257" s="41"/>
    </row>
    <row r="258" spans="1:3" ht="15" customHeight="1" x14ac:dyDescent="0.35">
      <c r="A258" s="40"/>
      <c r="B258" s="40"/>
      <c r="C258" s="41"/>
    </row>
    <row r="259" spans="1:3" ht="15" customHeight="1" x14ac:dyDescent="0.35">
      <c r="A259" s="40"/>
      <c r="B259" s="40"/>
      <c r="C259" s="41"/>
    </row>
    <row r="260" spans="1:3" ht="15" customHeight="1" x14ac:dyDescent="0.35">
      <c r="A260" s="40"/>
      <c r="B260" s="40"/>
      <c r="C260" s="41"/>
    </row>
    <row r="261" spans="1:3" ht="15" customHeight="1" x14ac:dyDescent="0.35">
      <c r="A261" s="40"/>
      <c r="B261" s="40"/>
      <c r="C261" s="41"/>
    </row>
    <row r="262" spans="1:3" ht="15" customHeight="1" x14ac:dyDescent="0.35">
      <c r="A262" s="40"/>
      <c r="B262" s="40"/>
      <c r="C262" s="41"/>
    </row>
    <row r="263" spans="1:3" ht="15" customHeight="1" x14ac:dyDescent="0.35">
      <c r="A263" s="40"/>
      <c r="B263" s="40"/>
      <c r="C263" s="41"/>
    </row>
    <row r="264" spans="1:3" ht="15" customHeight="1" x14ac:dyDescent="0.35">
      <c r="A264" s="40"/>
      <c r="B264" s="40"/>
      <c r="C264" s="41"/>
    </row>
    <row r="265" spans="1:3" ht="15" customHeight="1" x14ac:dyDescent="0.35">
      <c r="A265" s="40"/>
      <c r="B265" s="40"/>
      <c r="C265" s="41"/>
    </row>
    <row r="266" spans="1:3" ht="15" customHeight="1" x14ac:dyDescent="0.35">
      <c r="A266" s="40"/>
      <c r="B266" s="40"/>
      <c r="C266" s="41"/>
    </row>
    <row r="267" spans="1:3" ht="15" customHeight="1" x14ac:dyDescent="0.35">
      <c r="A267" s="40"/>
      <c r="B267" s="40"/>
      <c r="C267" s="41"/>
    </row>
    <row r="268" spans="1:3" ht="15" customHeight="1" x14ac:dyDescent="0.35">
      <c r="A268" s="40"/>
      <c r="B268" s="40"/>
      <c r="C268" s="41"/>
    </row>
    <row r="269" spans="1:3" ht="15" customHeight="1" x14ac:dyDescent="0.35">
      <c r="A269" s="40"/>
      <c r="B269" s="40"/>
      <c r="C269" s="41"/>
    </row>
    <row r="270" spans="1:3" ht="15" customHeight="1" x14ac:dyDescent="0.35">
      <c r="A270" s="40"/>
      <c r="B270" s="40"/>
      <c r="C270" s="41"/>
    </row>
    <row r="271" spans="1:3" ht="15" customHeight="1" x14ac:dyDescent="0.35">
      <c r="A271" s="40"/>
      <c r="B271" s="40"/>
      <c r="C271" s="41"/>
    </row>
    <row r="272" spans="1:3" ht="15" customHeight="1" x14ac:dyDescent="0.35">
      <c r="A272" s="40"/>
      <c r="B272" s="40"/>
      <c r="C272" s="41"/>
    </row>
    <row r="273" spans="1:3" ht="15" customHeight="1" x14ac:dyDescent="0.35">
      <c r="A273" s="40"/>
      <c r="B273" s="40"/>
      <c r="C273" s="41"/>
    </row>
    <row r="274" spans="1:3" ht="15" customHeight="1" x14ac:dyDescent="0.35">
      <c r="A274" s="40"/>
      <c r="B274" s="40"/>
      <c r="C274" s="41"/>
    </row>
    <row r="275" spans="1:3" ht="15" customHeight="1" x14ac:dyDescent="0.35">
      <c r="A275" s="40"/>
      <c r="B275" s="40"/>
      <c r="C275" s="41"/>
    </row>
    <row r="276" spans="1:3" ht="15" customHeight="1" x14ac:dyDescent="0.35">
      <c r="A276" s="40"/>
      <c r="B276" s="40"/>
      <c r="C276" s="41"/>
    </row>
    <row r="277" spans="1:3" ht="15" customHeight="1" x14ac:dyDescent="0.35">
      <c r="A277" s="40"/>
      <c r="B277" s="40"/>
      <c r="C277" s="41"/>
    </row>
    <row r="278" spans="1:3" ht="15" customHeight="1" x14ac:dyDescent="0.35">
      <c r="A278" s="40"/>
      <c r="B278" s="40"/>
      <c r="C278" s="41"/>
    </row>
    <row r="279" spans="1:3" ht="15" customHeight="1" x14ac:dyDescent="0.35">
      <c r="A279" s="40"/>
      <c r="B279" s="40"/>
      <c r="C279" s="41"/>
    </row>
    <row r="280" spans="1:3" ht="15" customHeight="1" x14ac:dyDescent="0.35">
      <c r="A280" s="40"/>
      <c r="B280" s="40"/>
      <c r="C280" s="41"/>
    </row>
    <row r="281" spans="1:3" ht="15" customHeight="1" x14ac:dyDescent="0.35">
      <c r="A281" s="40"/>
      <c r="B281" s="40"/>
      <c r="C281" s="41"/>
    </row>
    <row r="282" spans="1:3" ht="15" customHeight="1" x14ac:dyDescent="0.35">
      <c r="A282" s="40"/>
      <c r="B282" s="40"/>
      <c r="C282" s="41"/>
    </row>
    <row r="283" spans="1:3" ht="15" customHeight="1" x14ac:dyDescent="0.35">
      <c r="A283" s="40"/>
      <c r="B283" s="40"/>
      <c r="C283" s="41"/>
    </row>
    <row r="284" spans="1:3" ht="15" customHeight="1" x14ac:dyDescent="0.35">
      <c r="A284" s="40"/>
      <c r="B284" s="40"/>
      <c r="C284" s="41"/>
    </row>
    <row r="285" spans="1:3" ht="15" customHeight="1" x14ac:dyDescent="0.35">
      <c r="A285" s="40"/>
      <c r="B285" s="40"/>
      <c r="C285" s="41"/>
    </row>
    <row r="286" spans="1:3" ht="15" customHeight="1" x14ac:dyDescent="0.35">
      <c r="A286" s="40"/>
      <c r="B286" s="40"/>
      <c r="C286" s="41"/>
    </row>
    <row r="287" spans="1:3" ht="15" customHeight="1" x14ac:dyDescent="0.35">
      <c r="A287" s="40"/>
      <c r="B287" s="40"/>
      <c r="C287" s="41"/>
    </row>
    <row r="288" spans="1:3" ht="15" customHeight="1" x14ac:dyDescent="0.35">
      <c r="A288" s="40"/>
      <c r="B288" s="40"/>
      <c r="C288" s="41"/>
    </row>
    <row r="289" spans="1:3" ht="15" customHeight="1" x14ac:dyDescent="0.35">
      <c r="A289" s="40"/>
      <c r="B289" s="40"/>
      <c r="C289" s="41"/>
    </row>
    <row r="290" spans="1:3" ht="15" customHeight="1" x14ac:dyDescent="0.35">
      <c r="A290" s="40"/>
      <c r="B290" s="40"/>
      <c r="C290" s="41"/>
    </row>
    <row r="291" spans="1:3" ht="15" customHeight="1" x14ac:dyDescent="0.35">
      <c r="A291" s="40"/>
      <c r="B291" s="40"/>
      <c r="C291" s="41"/>
    </row>
    <row r="292" spans="1:3" ht="15" customHeight="1" x14ac:dyDescent="0.35">
      <c r="A292" s="40"/>
      <c r="B292" s="40"/>
      <c r="C292" s="41"/>
    </row>
    <row r="293" spans="1:3" ht="15" customHeight="1" x14ac:dyDescent="0.35">
      <c r="A293" s="40"/>
      <c r="B293" s="40"/>
      <c r="C293" s="41"/>
    </row>
    <row r="294" spans="1:3" ht="15" customHeight="1" x14ac:dyDescent="0.35">
      <c r="A294" s="40"/>
      <c r="B294" s="40"/>
      <c r="C294" s="41"/>
    </row>
    <row r="295" spans="1:3" ht="15" customHeight="1" x14ac:dyDescent="0.35">
      <c r="A295" s="40"/>
      <c r="B295" s="40"/>
      <c r="C295" s="41"/>
    </row>
    <row r="296" spans="1:3" ht="15" customHeight="1" x14ac:dyDescent="0.35">
      <c r="A296" s="40"/>
      <c r="B296" s="40"/>
      <c r="C296" s="41"/>
    </row>
    <row r="297" spans="1:3" ht="15" customHeight="1" x14ac:dyDescent="0.35">
      <c r="A297" s="40"/>
      <c r="B297" s="40"/>
      <c r="C297" s="41"/>
    </row>
    <row r="298" spans="1:3" ht="15" customHeight="1" x14ac:dyDescent="0.35">
      <c r="A298" s="40"/>
      <c r="B298" s="40"/>
      <c r="C298" s="41"/>
    </row>
    <row r="299" spans="1:3" ht="15" customHeight="1" x14ac:dyDescent="0.35">
      <c r="A299" s="40"/>
      <c r="B299" s="40"/>
      <c r="C299" s="41"/>
    </row>
    <row r="300" spans="1:3" ht="15" customHeight="1" x14ac:dyDescent="0.35">
      <c r="A300" s="40"/>
      <c r="B300" s="40"/>
      <c r="C300" s="41"/>
    </row>
    <row r="301" spans="1:3" ht="15" customHeight="1" x14ac:dyDescent="0.35">
      <c r="A301" s="40"/>
      <c r="B301" s="40"/>
      <c r="C301" s="41"/>
    </row>
    <row r="302" spans="1:3" ht="15" customHeight="1" x14ac:dyDescent="0.35">
      <c r="A302" s="40"/>
      <c r="B302" s="40"/>
      <c r="C302" s="41"/>
    </row>
    <row r="303" spans="1:3" ht="15" customHeight="1" x14ac:dyDescent="0.35">
      <c r="A303" s="40"/>
      <c r="B303" s="40"/>
      <c r="C303" s="41"/>
    </row>
    <row r="304" spans="1:3" ht="15" customHeight="1" x14ac:dyDescent="0.35">
      <c r="A304" s="40"/>
      <c r="B304" s="40"/>
      <c r="C304" s="41"/>
    </row>
    <row r="305" spans="1:3" ht="15" customHeight="1" x14ac:dyDescent="0.35">
      <c r="A305" s="40"/>
      <c r="B305" s="40"/>
      <c r="C305" s="41"/>
    </row>
    <row r="306" spans="1:3" ht="15" customHeight="1" x14ac:dyDescent="0.35">
      <c r="A306" s="40"/>
      <c r="B306" s="40"/>
      <c r="C306" s="41"/>
    </row>
    <row r="307" spans="1:3" ht="15" customHeight="1" x14ac:dyDescent="0.35">
      <c r="A307" s="40"/>
      <c r="B307" s="40"/>
      <c r="C307" s="41"/>
    </row>
    <row r="308" spans="1:3" ht="15" customHeight="1" x14ac:dyDescent="0.35">
      <c r="A308" s="40"/>
      <c r="B308" s="40"/>
      <c r="C308" s="41"/>
    </row>
    <row r="309" spans="1:3" ht="15" customHeight="1" x14ac:dyDescent="0.35">
      <c r="A309" s="40"/>
      <c r="B309" s="40"/>
      <c r="C309" s="41"/>
    </row>
    <row r="310" spans="1:3" ht="15" customHeight="1" x14ac:dyDescent="0.35">
      <c r="A310" s="40"/>
      <c r="B310" s="40"/>
      <c r="C310" s="41"/>
    </row>
    <row r="311" spans="1:3" ht="15" customHeight="1" x14ac:dyDescent="0.35">
      <c r="A311" s="40"/>
      <c r="B311" s="40"/>
      <c r="C311" s="41"/>
    </row>
    <row r="312" spans="1:3" ht="15" customHeight="1" x14ac:dyDescent="0.35">
      <c r="A312" s="40"/>
      <c r="B312" s="40"/>
      <c r="C312" s="41"/>
    </row>
    <row r="313" spans="1:3" ht="15" customHeight="1" x14ac:dyDescent="0.35">
      <c r="A313" s="40"/>
      <c r="B313" s="40"/>
      <c r="C313" s="41"/>
    </row>
    <row r="314" spans="1:3" ht="15" customHeight="1" x14ac:dyDescent="0.35">
      <c r="A314" s="40"/>
      <c r="B314" s="40"/>
      <c r="C314" s="41"/>
    </row>
    <row r="315" spans="1:3" ht="15" customHeight="1" x14ac:dyDescent="0.35">
      <c r="A315" s="40"/>
      <c r="B315" s="40"/>
      <c r="C315" s="41"/>
    </row>
    <row r="316" spans="1:3" ht="15" customHeight="1" x14ac:dyDescent="0.35">
      <c r="A316" s="40"/>
      <c r="B316" s="40"/>
      <c r="C316" s="41"/>
    </row>
    <row r="317" spans="1:3" ht="15" customHeight="1" x14ac:dyDescent="0.35">
      <c r="A317" s="40"/>
      <c r="B317" s="40"/>
      <c r="C317" s="41"/>
    </row>
    <row r="318" spans="1:3" ht="15" customHeight="1" x14ac:dyDescent="0.35">
      <c r="A318" s="40"/>
      <c r="B318" s="40"/>
      <c r="C318" s="41"/>
    </row>
    <row r="319" spans="1:3" ht="15" customHeight="1" x14ac:dyDescent="0.35">
      <c r="A319" s="40"/>
      <c r="B319" s="40"/>
      <c r="C319" s="41"/>
    </row>
    <row r="320" spans="1:3" ht="15" customHeight="1" x14ac:dyDescent="0.35">
      <c r="A320" s="40"/>
      <c r="B320" s="40"/>
      <c r="C320" s="41"/>
    </row>
    <row r="321" spans="1:3" ht="15" customHeight="1" x14ac:dyDescent="0.35">
      <c r="A321" s="40"/>
      <c r="B321" s="40"/>
      <c r="C321" s="41"/>
    </row>
    <row r="322" spans="1:3" ht="15" customHeight="1" x14ac:dyDescent="0.35">
      <c r="A322" s="40"/>
      <c r="B322" s="40"/>
      <c r="C322" s="41"/>
    </row>
    <row r="323" spans="1:3" ht="15" customHeight="1" x14ac:dyDescent="0.35">
      <c r="A323" s="40"/>
      <c r="B323" s="40"/>
      <c r="C323" s="41"/>
    </row>
    <row r="324" spans="1:3" ht="15" customHeight="1" x14ac:dyDescent="0.35">
      <c r="A324" s="40"/>
      <c r="B324" s="40"/>
      <c r="C324" s="41"/>
    </row>
    <row r="325" spans="1:3" ht="15" customHeight="1" x14ac:dyDescent="0.35">
      <c r="A325" s="40"/>
      <c r="B325" s="40"/>
      <c r="C325" s="41"/>
    </row>
    <row r="326" spans="1:3" ht="15" customHeight="1" x14ac:dyDescent="0.35">
      <c r="A326" s="40"/>
      <c r="B326" s="40"/>
      <c r="C326" s="41"/>
    </row>
    <row r="327" spans="1:3" ht="15" customHeight="1" x14ac:dyDescent="0.35">
      <c r="A327" s="40"/>
      <c r="B327" s="40"/>
      <c r="C327" s="41"/>
    </row>
    <row r="328" spans="1:3" ht="15" customHeight="1" x14ac:dyDescent="0.35">
      <c r="A328" s="40"/>
      <c r="B328" s="40"/>
      <c r="C328" s="41"/>
    </row>
    <row r="329" spans="1:3" ht="15" customHeight="1" x14ac:dyDescent="0.35">
      <c r="A329" s="40"/>
      <c r="B329" s="40"/>
      <c r="C329" s="41"/>
    </row>
    <row r="330" spans="1:3" ht="15" customHeight="1" x14ac:dyDescent="0.35">
      <c r="A330" s="40"/>
      <c r="B330" s="40"/>
      <c r="C330" s="41"/>
    </row>
    <row r="331" spans="1:3" ht="15" customHeight="1" x14ac:dyDescent="0.35">
      <c r="A331" s="40"/>
      <c r="B331" s="40"/>
      <c r="C331" s="41"/>
    </row>
    <row r="332" spans="1:3" ht="15" customHeight="1" x14ac:dyDescent="0.35">
      <c r="A332" s="40"/>
      <c r="B332" s="40"/>
      <c r="C332" s="41"/>
    </row>
    <row r="333" spans="1:3" ht="15" customHeight="1" x14ac:dyDescent="0.35">
      <c r="A333" s="40"/>
      <c r="B333" s="40"/>
      <c r="C333" s="41"/>
    </row>
    <row r="334" spans="1:3" ht="15" customHeight="1" x14ac:dyDescent="0.35">
      <c r="A334" s="40"/>
      <c r="B334" s="40"/>
      <c r="C334" s="41"/>
    </row>
    <row r="335" spans="1:3" ht="15" customHeight="1" x14ac:dyDescent="0.35">
      <c r="A335" s="40"/>
      <c r="B335" s="40"/>
      <c r="C335" s="41"/>
    </row>
    <row r="336" spans="1:3" ht="15" customHeight="1" x14ac:dyDescent="0.35">
      <c r="A336" s="40"/>
      <c r="B336" s="40"/>
      <c r="C336" s="41"/>
    </row>
    <row r="337" spans="1:3" ht="15" customHeight="1" x14ac:dyDescent="0.35">
      <c r="A337" s="40"/>
      <c r="B337" s="40"/>
      <c r="C337" s="41"/>
    </row>
    <row r="338" spans="1:3" ht="15" customHeight="1" x14ac:dyDescent="0.35">
      <c r="A338" s="40"/>
      <c r="B338" s="40"/>
      <c r="C338" s="41"/>
    </row>
    <row r="339" spans="1:3" ht="15" customHeight="1" x14ac:dyDescent="0.35">
      <c r="A339" s="40"/>
      <c r="B339" s="40"/>
      <c r="C339" s="41"/>
    </row>
    <row r="340" spans="1:3" ht="15" customHeight="1" x14ac:dyDescent="0.35">
      <c r="A340" s="40"/>
      <c r="B340" s="40"/>
      <c r="C340" s="41"/>
    </row>
    <row r="341" spans="1:3" ht="15" customHeight="1" x14ac:dyDescent="0.35">
      <c r="A341" s="40"/>
      <c r="B341" s="40"/>
      <c r="C341" s="41"/>
    </row>
    <row r="342" spans="1:3" ht="15" customHeight="1" x14ac:dyDescent="0.35">
      <c r="A342" s="40"/>
      <c r="B342" s="40"/>
      <c r="C342" s="41"/>
    </row>
    <row r="343" spans="1:3" ht="15" customHeight="1" x14ac:dyDescent="0.35">
      <c r="A343" s="40"/>
      <c r="B343" s="40"/>
      <c r="C343" s="41"/>
    </row>
    <row r="344" spans="1:3" ht="15" customHeight="1" x14ac:dyDescent="0.35">
      <c r="A344" s="40"/>
      <c r="B344" s="40"/>
      <c r="C344" s="41"/>
    </row>
    <row r="345" spans="1:3" ht="15" customHeight="1" x14ac:dyDescent="0.35">
      <c r="A345" s="40"/>
      <c r="B345" s="40"/>
      <c r="C345" s="41"/>
    </row>
    <row r="346" spans="1:3" ht="15" customHeight="1" x14ac:dyDescent="0.35">
      <c r="A346" s="40"/>
      <c r="B346" s="40"/>
      <c r="C346" s="41"/>
    </row>
    <row r="347" spans="1:3" ht="15" customHeight="1" x14ac:dyDescent="0.35">
      <c r="A347" s="40"/>
      <c r="B347" s="40"/>
      <c r="C347" s="41"/>
    </row>
    <row r="348" spans="1:3" ht="15" customHeight="1" x14ac:dyDescent="0.35">
      <c r="A348" s="40"/>
      <c r="B348" s="40"/>
      <c r="C348" s="41"/>
    </row>
    <row r="349" spans="1:3" ht="15" customHeight="1" x14ac:dyDescent="0.35">
      <c r="A349" s="40"/>
      <c r="B349" s="40"/>
      <c r="C349" s="41"/>
    </row>
    <row r="350" spans="1:3" ht="15" customHeight="1" x14ac:dyDescent="0.35">
      <c r="A350" s="40"/>
      <c r="B350" s="40"/>
      <c r="C350" s="41"/>
    </row>
    <row r="351" spans="1:3" ht="15" customHeight="1" x14ac:dyDescent="0.35">
      <c r="A351" s="40"/>
      <c r="B351" s="40"/>
      <c r="C351" s="41"/>
    </row>
    <row r="352" spans="1:3" ht="15" customHeight="1" x14ac:dyDescent="0.35">
      <c r="A352" s="40"/>
      <c r="B352" s="40"/>
      <c r="C352" s="41"/>
    </row>
    <row r="353" spans="1:3" ht="15" customHeight="1" x14ac:dyDescent="0.35">
      <c r="A353" s="40"/>
      <c r="B353" s="40"/>
      <c r="C353" s="41"/>
    </row>
    <row r="354" spans="1:3" ht="15" customHeight="1" x14ac:dyDescent="0.35">
      <c r="A354" s="40"/>
      <c r="B354" s="40"/>
      <c r="C354" s="41"/>
    </row>
    <row r="355" spans="1:3" ht="15" customHeight="1" x14ac:dyDescent="0.35">
      <c r="A355" s="40"/>
      <c r="B355" s="40"/>
      <c r="C355" s="41"/>
    </row>
    <row r="356" spans="1:3" ht="15" customHeight="1" x14ac:dyDescent="0.35">
      <c r="A356" s="40"/>
      <c r="B356" s="40"/>
      <c r="C356" s="41"/>
    </row>
    <row r="357" spans="1:3" ht="15" customHeight="1" x14ac:dyDescent="0.35">
      <c r="A357" s="40"/>
      <c r="B357" s="40"/>
      <c r="C357" s="41"/>
    </row>
    <row r="358" spans="1:3" ht="15" customHeight="1" x14ac:dyDescent="0.35">
      <c r="A358" s="40"/>
      <c r="B358" s="40"/>
      <c r="C358" s="41"/>
    </row>
    <row r="359" spans="1:3" ht="15" customHeight="1" x14ac:dyDescent="0.35">
      <c r="A359" s="40"/>
      <c r="B359" s="40"/>
      <c r="C359" s="41"/>
    </row>
    <row r="360" spans="1:3" ht="15" customHeight="1" x14ac:dyDescent="0.35">
      <c r="A360" s="40"/>
      <c r="B360" s="40"/>
      <c r="C360" s="41"/>
    </row>
    <row r="361" spans="1:3" ht="15" customHeight="1" x14ac:dyDescent="0.35">
      <c r="A361" s="40"/>
      <c r="B361" s="40"/>
      <c r="C361" s="41"/>
    </row>
    <row r="362" spans="1:3" ht="15" customHeight="1" x14ac:dyDescent="0.35">
      <c r="A362" s="40"/>
      <c r="B362" s="40"/>
      <c r="C362" s="41"/>
    </row>
    <row r="363" spans="1:3" ht="15" customHeight="1" x14ac:dyDescent="0.35">
      <c r="A363" s="40"/>
      <c r="B363" s="40"/>
      <c r="C363" s="41"/>
    </row>
    <row r="364" spans="1:3" ht="15" customHeight="1" x14ac:dyDescent="0.35">
      <c r="A364" s="40"/>
      <c r="B364" s="40"/>
      <c r="C364" s="41"/>
    </row>
    <row r="365" spans="1:3" ht="15" customHeight="1" x14ac:dyDescent="0.35">
      <c r="A365" s="40"/>
      <c r="B365" s="40"/>
      <c r="C365" s="41"/>
    </row>
    <row r="366" spans="1:3" ht="15" customHeight="1" x14ac:dyDescent="0.35">
      <c r="A366" s="40"/>
      <c r="B366" s="40"/>
      <c r="C366" s="41"/>
    </row>
    <row r="367" spans="1:3" ht="15" customHeight="1" x14ac:dyDescent="0.35">
      <c r="A367" s="40"/>
      <c r="B367" s="40"/>
      <c r="C367" s="41"/>
    </row>
    <row r="368" spans="1:3" ht="15" customHeight="1" x14ac:dyDescent="0.35">
      <c r="A368" s="40"/>
      <c r="B368" s="40"/>
      <c r="C368" s="41"/>
    </row>
    <row r="369" spans="1:3" ht="15" customHeight="1" x14ac:dyDescent="0.35">
      <c r="A369" s="40"/>
      <c r="B369" s="40"/>
      <c r="C369" s="41"/>
    </row>
    <row r="370" spans="1:3" ht="15" customHeight="1" x14ac:dyDescent="0.35">
      <c r="A370" s="40"/>
      <c r="B370" s="40"/>
      <c r="C370" s="41"/>
    </row>
    <row r="371" spans="1:3" ht="15" customHeight="1" x14ac:dyDescent="0.35">
      <c r="A371" s="40"/>
      <c r="B371" s="40"/>
      <c r="C371" s="41"/>
    </row>
    <row r="372" spans="1:3" ht="15" customHeight="1" x14ac:dyDescent="0.35">
      <c r="A372" s="40"/>
      <c r="B372" s="40"/>
      <c r="C372" s="41"/>
    </row>
    <row r="373" spans="1:3" ht="15" customHeight="1" x14ac:dyDescent="0.35">
      <c r="A373" s="40"/>
      <c r="B373" s="40"/>
      <c r="C373" s="41"/>
    </row>
    <row r="374" spans="1:3" ht="15" customHeight="1" x14ac:dyDescent="0.35">
      <c r="A374" s="40"/>
      <c r="B374" s="40"/>
      <c r="C374" s="41"/>
    </row>
    <row r="375" spans="1:3" ht="15" customHeight="1" x14ac:dyDescent="0.35">
      <c r="A375" s="40"/>
      <c r="B375" s="40"/>
      <c r="C375" s="41"/>
    </row>
    <row r="376" spans="1:3" ht="15" customHeight="1" x14ac:dyDescent="0.35">
      <c r="A376" s="40"/>
      <c r="B376" s="40"/>
      <c r="C376" s="41"/>
    </row>
    <row r="377" spans="1:3" ht="15" customHeight="1" x14ac:dyDescent="0.35">
      <c r="A377" s="40"/>
      <c r="B377" s="40"/>
      <c r="C377" s="41"/>
    </row>
    <row r="378" spans="1:3" ht="15" customHeight="1" x14ac:dyDescent="0.35">
      <c r="A378" s="40"/>
      <c r="B378" s="40"/>
      <c r="C378" s="41"/>
    </row>
    <row r="379" spans="1:3" ht="15" customHeight="1" x14ac:dyDescent="0.35">
      <c r="A379" s="40"/>
      <c r="B379" s="40"/>
      <c r="C379" s="41"/>
    </row>
    <row r="380" spans="1:3" ht="15" customHeight="1" x14ac:dyDescent="0.35">
      <c r="A380" s="40"/>
      <c r="B380" s="40"/>
      <c r="C380" s="41"/>
    </row>
    <row r="381" spans="1:3" ht="15" customHeight="1" x14ac:dyDescent="0.35">
      <c r="A381" s="40"/>
      <c r="B381" s="40"/>
      <c r="C381" s="41"/>
    </row>
    <row r="382" spans="1:3" ht="15" customHeight="1" x14ac:dyDescent="0.35">
      <c r="A382" s="40"/>
      <c r="B382" s="40"/>
      <c r="C382" s="41"/>
    </row>
    <row r="383" spans="1:3" ht="15" customHeight="1" x14ac:dyDescent="0.35">
      <c r="A383" s="40"/>
      <c r="B383" s="40"/>
      <c r="C383" s="41"/>
    </row>
    <row r="384" spans="1:3" ht="15" customHeight="1" x14ac:dyDescent="0.35">
      <c r="A384" s="40"/>
      <c r="B384" s="40"/>
      <c r="C384" s="41"/>
    </row>
    <row r="385" spans="1:3" ht="15" customHeight="1" x14ac:dyDescent="0.35">
      <c r="A385" s="40"/>
      <c r="B385" s="40"/>
      <c r="C385" s="41"/>
    </row>
    <row r="386" spans="1:3" ht="15" customHeight="1" x14ac:dyDescent="0.35">
      <c r="A386" s="40"/>
      <c r="B386" s="40"/>
      <c r="C386" s="41"/>
    </row>
    <row r="387" spans="1:3" ht="15" customHeight="1" x14ac:dyDescent="0.35">
      <c r="A387" s="40"/>
      <c r="B387" s="40"/>
      <c r="C387" s="41"/>
    </row>
    <row r="388" spans="1:3" ht="15" customHeight="1" x14ac:dyDescent="0.35">
      <c r="A388" s="40"/>
      <c r="B388" s="40"/>
      <c r="C388" s="41"/>
    </row>
    <row r="389" spans="1:3" ht="15" customHeight="1" x14ac:dyDescent="0.35">
      <c r="A389" s="40"/>
      <c r="B389" s="40"/>
      <c r="C389" s="41"/>
    </row>
    <row r="390" spans="1:3" ht="15" customHeight="1" x14ac:dyDescent="0.35">
      <c r="A390" s="40"/>
      <c r="B390" s="40"/>
      <c r="C390" s="41"/>
    </row>
    <row r="391" spans="1:3" ht="15" customHeight="1" x14ac:dyDescent="0.35">
      <c r="A391" s="40"/>
      <c r="B391" s="40"/>
      <c r="C391" s="41"/>
    </row>
    <row r="392" spans="1:3" ht="15" customHeight="1" x14ac:dyDescent="0.35">
      <c r="A392" s="40"/>
      <c r="B392" s="40"/>
      <c r="C392" s="41"/>
    </row>
    <row r="393" spans="1:3" ht="15" customHeight="1" x14ac:dyDescent="0.35">
      <c r="A393" s="40"/>
      <c r="B393" s="40"/>
      <c r="C393" s="41"/>
    </row>
    <row r="394" spans="1:3" ht="15" customHeight="1" x14ac:dyDescent="0.35">
      <c r="A394" s="40"/>
      <c r="B394" s="40"/>
      <c r="C394" s="41"/>
    </row>
    <row r="395" spans="1:3" ht="15" customHeight="1" x14ac:dyDescent="0.35">
      <c r="A395" s="40"/>
      <c r="B395" s="40"/>
      <c r="C395" s="41"/>
    </row>
    <row r="396" spans="1:3" ht="15" customHeight="1" x14ac:dyDescent="0.35">
      <c r="A396" s="40"/>
      <c r="B396" s="40"/>
      <c r="C396" s="41"/>
    </row>
    <row r="397" spans="1:3" ht="15" customHeight="1" x14ac:dyDescent="0.35">
      <c r="A397" s="40"/>
      <c r="B397" s="40"/>
      <c r="C397" s="41"/>
    </row>
    <row r="398" spans="1:3" ht="15" customHeight="1" x14ac:dyDescent="0.35">
      <c r="A398" s="40"/>
      <c r="B398" s="40"/>
      <c r="C398" s="41"/>
    </row>
    <row r="399" spans="1:3" ht="15" customHeight="1" x14ac:dyDescent="0.35">
      <c r="A399" s="40"/>
      <c r="B399" s="40"/>
      <c r="C399" s="41"/>
    </row>
    <row r="400" spans="1:3" ht="15" customHeight="1" x14ac:dyDescent="0.35">
      <c r="A400" s="40"/>
      <c r="B400" s="40"/>
      <c r="C400" s="41"/>
    </row>
    <row r="401" spans="1:3" ht="15" customHeight="1" x14ac:dyDescent="0.35">
      <c r="A401" s="40"/>
      <c r="B401" s="40"/>
      <c r="C401" s="41"/>
    </row>
    <row r="402" spans="1:3" ht="15" customHeight="1" x14ac:dyDescent="0.35">
      <c r="A402" s="40"/>
      <c r="B402" s="40"/>
      <c r="C402" s="41"/>
    </row>
    <row r="403" spans="1:3" ht="15" customHeight="1" x14ac:dyDescent="0.35">
      <c r="A403" s="40"/>
      <c r="B403" s="40"/>
      <c r="C403" s="41"/>
    </row>
    <row r="404" spans="1:3" ht="15" customHeight="1" x14ac:dyDescent="0.35">
      <c r="A404" s="40"/>
      <c r="B404" s="40"/>
      <c r="C404" s="41"/>
    </row>
    <row r="405" spans="1:3" ht="15" customHeight="1" x14ac:dyDescent="0.35">
      <c r="A405" s="40"/>
      <c r="B405" s="40"/>
      <c r="C405" s="41"/>
    </row>
    <row r="406" spans="1:3" ht="15" customHeight="1" x14ac:dyDescent="0.35">
      <c r="A406" s="40"/>
      <c r="B406" s="40"/>
      <c r="C406" s="41"/>
    </row>
    <row r="407" spans="1:3" ht="15" customHeight="1" x14ac:dyDescent="0.35">
      <c r="A407" s="40"/>
      <c r="B407" s="40"/>
      <c r="C407" s="41"/>
    </row>
    <row r="408" spans="1:3" ht="15" customHeight="1" x14ac:dyDescent="0.35">
      <c r="A408" s="40"/>
      <c r="B408" s="40"/>
      <c r="C408" s="41"/>
    </row>
    <row r="409" spans="1:3" ht="15" customHeight="1" x14ac:dyDescent="0.35">
      <c r="A409" s="40"/>
      <c r="B409" s="40"/>
      <c r="C409" s="41"/>
    </row>
    <row r="410" spans="1:3" ht="15" customHeight="1" x14ac:dyDescent="0.35">
      <c r="A410" s="40"/>
      <c r="B410" s="40"/>
      <c r="C410" s="41"/>
    </row>
    <row r="411" spans="1:3" ht="15" customHeight="1" x14ac:dyDescent="0.35">
      <c r="A411" s="40"/>
      <c r="B411" s="40"/>
      <c r="C411" s="41"/>
    </row>
    <row r="412" spans="1:3" ht="15" customHeight="1" x14ac:dyDescent="0.35">
      <c r="A412" s="40"/>
      <c r="B412" s="40"/>
      <c r="C412" s="41"/>
    </row>
    <row r="413" spans="1:3" ht="15" customHeight="1" x14ac:dyDescent="0.35">
      <c r="A413" s="40"/>
      <c r="B413" s="40"/>
      <c r="C413" s="41"/>
    </row>
    <row r="414" spans="1:3" ht="15" customHeight="1" x14ac:dyDescent="0.35">
      <c r="A414" s="40"/>
      <c r="B414" s="40"/>
      <c r="C414" s="41"/>
    </row>
    <row r="415" spans="1:3" ht="15" customHeight="1" x14ac:dyDescent="0.35">
      <c r="A415" s="40"/>
      <c r="B415" s="40"/>
      <c r="C415" s="41"/>
    </row>
    <row r="416" spans="1:3" ht="15" customHeight="1" x14ac:dyDescent="0.35">
      <c r="A416" s="40"/>
      <c r="B416" s="40"/>
      <c r="C416" s="41"/>
    </row>
    <row r="417" spans="1:3" ht="15" customHeight="1" x14ac:dyDescent="0.35">
      <c r="A417" s="40"/>
      <c r="B417" s="40"/>
      <c r="C417" s="41"/>
    </row>
    <row r="418" spans="1:3" ht="15" customHeight="1" x14ac:dyDescent="0.35">
      <c r="A418" s="40"/>
      <c r="B418" s="40"/>
      <c r="C418" s="41"/>
    </row>
    <row r="419" spans="1:3" ht="15" customHeight="1" x14ac:dyDescent="0.35">
      <c r="A419" s="40"/>
      <c r="B419" s="40"/>
      <c r="C419" s="41"/>
    </row>
    <row r="420" spans="1:3" ht="15" customHeight="1" x14ac:dyDescent="0.35">
      <c r="A420" s="40"/>
      <c r="B420" s="40"/>
      <c r="C420" s="41"/>
    </row>
    <row r="421" spans="1:3" ht="15" customHeight="1" x14ac:dyDescent="0.35">
      <c r="A421" s="40"/>
      <c r="B421" s="40"/>
      <c r="C421" s="41"/>
    </row>
    <row r="422" spans="1:3" ht="15" customHeight="1" x14ac:dyDescent="0.35">
      <c r="A422" s="40"/>
      <c r="B422" s="40"/>
      <c r="C422" s="41"/>
    </row>
    <row r="423" spans="1:3" ht="15" customHeight="1" x14ac:dyDescent="0.35">
      <c r="A423" s="40"/>
      <c r="B423" s="40"/>
      <c r="C423" s="41"/>
    </row>
    <row r="424" spans="1:3" ht="15" customHeight="1" x14ac:dyDescent="0.35">
      <c r="A424" s="40"/>
      <c r="B424" s="40"/>
      <c r="C424" s="41"/>
    </row>
    <row r="425" spans="1:3" ht="15" customHeight="1" x14ac:dyDescent="0.35">
      <c r="A425" s="40"/>
      <c r="B425" s="40"/>
      <c r="C425" s="41"/>
    </row>
    <row r="426" spans="1:3" ht="15" customHeight="1" x14ac:dyDescent="0.35">
      <c r="A426" s="40"/>
      <c r="B426" s="40"/>
      <c r="C426" s="41"/>
    </row>
    <row r="427" spans="1:3" ht="15" customHeight="1" x14ac:dyDescent="0.35">
      <c r="A427" s="40"/>
      <c r="B427" s="40"/>
      <c r="C427" s="41"/>
    </row>
    <row r="428" spans="1:3" ht="15" customHeight="1" x14ac:dyDescent="0.35">
      <c r="A428" s="40"/>
      <c r="B428" s="40"/>
      <c r="C428" s="41"/>
    </row>
    <row r="429" spans="1:3" ht="15" customHeight="1" x14ac:dyDescent="0.35">
      <c r="A429" s="40"/>
      <c r="B429" s="40"/>
      <c r="C429" s="41"/>
    </row>
    <row r="430" spans="1:3" ht="15" customHeight="1" x14ac:dyDescent="0.35">
      <c r="A430" s="40"/>
      <c r="B430" s="40"/>
      <c r="C430" s="41"/>
    </row>
    <row r="431" spans="1:3" ht="15" customHeight="1" x14ac:dyDescent="0.35">
      <c r="A431" s="40"/>
      <c r="B431" s="40"/>
      <c r="C431" s="41"/>
    </row>
    <row r="432" spans="1:3" ht="15" customHeight="1" x14ac:dyDescent="0.35">
      <c r="A432" s="40"/>
      <c r="B432" s="40"/>
      <c r="C432" s="41"/>
    </row>
    <row r="433" spans="1:3" ht="15" customHeight="1" x14ac:dyDescent="0.35">
      <c r="A433" s="40"/>
      <c r="B433" s="40"/>
      <c r="C433" s="41"/>
    </row>
    <row r="434" spans="1:3" ht="15" customHeight="1" x14ac:dyDescent="0.35">
      <c r="A434" s="40"/>
      <c r="B434" s="40"/>
      <c r="C434" s="41"/>
    </row>
    <row r="435" spans="1:3" ht="15" customHeight="1" x14ac:dyDescent="0.35">
      <c r="A435" s="40"/>
      <c r="B435" s="40"/>
      <c r="C435" s="41"/>
    </row>
    <row r="436" spans="1:3" ht="15" customHeight="1" x14ac:dyDescent="0.35">
      <c r="A436" s="40"/>
      <c r="B436" s="40"/>
      <c r="C436" s="41"/>
    </row>
    <row r="437" spans="1:3" ht="15" customHeight="1" x14ac:dyDescent="0.35">
      <c r="A437" s="40"/>
      <c r="B437" s="40"/>
      <c r="C437" s="41"/>
    </row>
    <row r="438" spans="1:3" ht="15" customHeight="1" x14ac:dyDescent="0.35">
      <c r="A438" s="40"/>
      <c r="B438" s="40"/>
      <c r="C438" s="41"/>
    </row>
    <row r="439" spans="1:3" ht="15" customHeight="1" x14ac:dyDescent="0.35">
      <c r="A439" s="40"/>
      <c r="B439" s="40"/>
      <c r="C439" s="41"/>
    </row>
    <row r="440" spans="1:3" ht="15" customHeight="1" x14ac:dyDescent="0.35">
      <c r="A440" s="40"/>
      <c r="B440" s="40"/>
      <c r="C440" s="41"/>
    </row>
    <row r="441" spans="1:3" ht="15" customHeight="1" x14ac:dyDescent="0.35">
      <c r="A441" s="40"/>
      <c r="B441" s="40"/>
      <c r="C441" s="41"/>
    </row>
    <row r="442" spans="1:3" ht="15" customHeight="1" x14ac:dyDescent="0.35">
      <c r="A442" s="40"/>
      <c r="B442" s="40"/>
      <c r="C442" s="41"/>
    </row>
    <row r="443" spans="1:3" ht="15" customHeight="1" x14ac:dyDescent="0.35">
      <c r="A443" s="40"/>
      <c r="B443" s="40"/>
      <c r="C443" s="41"/>
    </row>
    <row r="444" spans="1:3" ht="15" customHeight="1" x14ac:dyDescent="0.35">
      <c r="A444" s="40"/>
      <c r="B444" s="40"/>
      <c r="C444" s="41"/>
    </row>
    <row r="445" spans="1:3" ht="15" customHeight="1" x14ac:dyDescent="0.35">
      <c r="A445" s="40"/>
      <c r="B445" s="40"/>
      <c r="C445" s="41"/>
    </row>
    <row r="446" spans="1:3" ht="15" customHeight="1" x14ac:dyDescent="0.35">
      <c r="A446" s="40"/>
      <c r="B446" s="40"/>
      <c r="C446" s="41"/>
    </row>
    <row r="447" spans="1:3" ht="15" customHeight="1" x14ac:dyDescent="0.35">
      <c r="A447" s="40"/>
      <c r="B447" s="40"/>
      <c r="C447" s="41"/>
    </row>
    <row r="448" spans="1:3" ht="15" customHeight="1" x14ac:dyDescent="0.35">
      <c r="A448" s="40"/>
      <c r="B448" s="40"/>
      <c r="C448" s="41"/>
    </row>
    <row r="449" spans="1:3" ht="15" customHeight="1" x14ac:dyDescent="0.35">
      <c r="A449" s="40"/>
      <c r="B449" s="40"/>
      <c r="C449" s="41"/>
    </row>
    <row r="450" spans="1:3" ht="15" customHeight="1" x14ac:dyDescent="0.35">
      <c r="A450" s="40"/>
      <c r="B450" s="40"/>
      <c r="C450" s="41"/>
    </row>
    <row r="451" spans="1:3" ht="15" customHeight="1" x14ac:dyDescent="0.35">
      <c r="A451" s="40"/>
      <c r="B451" s="40"/>
      <c r="C451" s="41"/>
    </row>
    <row r="452" spans="1:3" ht="15" customHeight="1" x14ac:dyDescent="0.35">
      <c r="A452" s="40"/>
      <c r="B452" s="40"/>
      <c r="C452" s="41"/>
    </row>
    <row r="453" spans="1:3" ht="15" customHeight="1" x14ac:dyDescent="0.35">
      <c r="A453" s="40"/>
      <c r="B453" s="40"/>
      <c r="C453" s="41"/>
    </row>
    <row r="454" spans="1:3" ht="15" customHeight="1" x14ac:dyDescent="0.35">
      <c r="A454" s="40"/>
      <c r="B454" s="40"/>
      <c r="C454" s="41"/>
    </row>
    <row r="455" spans="1:3" ht="15" customHeight="1" x14ac:dyDescent="0.35">
      <c r="A455" s="40"/>
      <c r="B455" s="40"/>
      <c r="C455" s="41"/>
    </row>
    <row r="456" spans="1:3" ht="15" customHeight="1" x14ac:dyDescent="0.35">
      <c r="A456" s="40"/>
      <c r="B456" s="40"/>
      <c r="C456" s="41"/>
    </row>
    <row r="457" spans="1:3" ht="15" customHeight="1" x14ac:dyDescent="0.35">
      <c r="A457" s="40"/>
      <c r="B457" s="40"/>
      <c r="C457" s="41"/>
    </row>
    <row r="458" spans="1:3" ht="15" customHeight="1" x14ac:dyDescent="0.35">
      <c r="A458" s="40"/>
      <c r="B458" s="40"/>
      <c r="C458" s="41"/>
    </row>
    <row r="459" spans="1:3" ht="15" customHeight="1" x14ac:dyDescent="0.35">
      <c r="A459" s="40"/>
      <c r="B459" s="40"/>
      <c r="C459" s="41"/>
    </row>
    <row r="460" spans="1:3" ht="15" customHeight="1" x14ac:dyDescent="0.35">
      <c r="A460" s="40"/>
      <c r="B460" s="40"/>
      <c r="C460" s="41"/>
    </row>
    <row r="461" spans="1:3" ht="15" customHeight="1" x14ac:dyDescent="0.35">
      <c r="A461" s="40"/>
      <c r="B461" s="40"/>
      <c r="C461" s="41"/>
    </row>
    <row r="462" spans="1:3" ht="15" customHeight="1" x14ac:dyDescent="0.35">
      <c r="A462" s="40"/>
      <c r="B462" s="40"/>
      <c r="C462" s="41"/>
    </row>
    <row r="463" spans="1:3" ht="15" customHeight="1" x14ac:dyDescent="0.35">
      <c r="A463" s="40"/>
      <c r="B463" s="40"/>
      <c r="C463" s="41"/>
    </row>
    <row r="464" spans="1:3" ht="15" customHeight="1" x14ac:dyDescent="0.35">
      <c r="A464" s="40"/>
      <c r="B464" s="40"/>
      <c r="C464" s="41"/>
    </row>
    <row r="465" spans="1:3" ht="15" customHeight="1" x14ac:dyDescent="0.35">
      <c r="A465" s="40"/>
      <c r="B465" s="40"/>
      <c r="C465" s="41"/>
    </row>
    <row r="466" spans="1:3" ht="15" customHeight="1" x14ac:dyDescent="0.35">
      <c r="A466" s="40"/>
      <c r="B466" s="40"/>
      <c r="C466" s="41"/>
    </row>
    <row r="467" spans="1:3" ht="15" customHeight="1" x14ac:dyDescent="0.35">
      <c r="A467" s="40"/>
      <c r="B467" s="40"/>
      <c r="C467" s="41"/>
    </row>
    <row r="468" spans="1:3" ht="15" customHeight="1" x14ac:dyDescent="0.35">
      <c r="A468" s="40"/>
      <c r="B468" s="40"/>
      <c r="C468" s="41"/>
    </row>
    <row r="469" spans="1:3" ht="15" customHeight="1" x14ac:dyDescent="0.35">
      <c r="A469" s="40"/>
      <c r="B469" s="40"/>
      <c r="C469" s="41"/>
    </row>
    <row r="470" spans="1:3" ht="15" customHeight="1" x14ac:dyDescent="0.35">
      <c r="A470" s="40"/>
      <c r="B470" s="40"/>
      <c r="C470" s="41"/>
    </row>
    <row r="471" spans="1:3" ht="15" customHeight="1" x14ac:dyDescent="0.35">
      <c r="A471" s="40"/>
      <c r="B471" s="40"/>
      <c r="C471" s="41"/>
    </row>
    <row r="472" spans="1:3" ht="15" customHeight="1" x14ac:dyDescent="0.35">
      <c r="A472" s="40"/>
      <c r="B472" s="40"/>
      <c r="C472" s="41"/>
    </row>
    <row r="473" spans="1:3" ht="15" customHeight="1" x14ac:dyDescent="0.35">
      <c r="A473" s="40"/>
      <c r="B473" s="40"/>
      <c r="C473" s="41"/>
    </row>
    <row r="474" spans="1:3" ht="15" customHeight="1" x14ac:dyDescent="0.35">
      <c r="A474" s="40"/>
      <c r="B474" s="40"/>
      <c r="C474" s="41"/>
    </row>
    <row r="475" spans="1:3" ht="15" customHeight="1" x14ac:dyDescent="0.35">
      <c r="A475" s="40"/>
      <c r="B475" s="40"/>
      <c r="C475" s="41"/>
    </row>
    <row r="476" spans="1:3" ht="15" customHeight="1" x14ac:dyDescent="0.35">
      <c r="A476" s="40"/>
      <c r="B476" s="40"/>
      <c r="C476" s="41"/>
    </row>
    <row r="477" spans="1:3" ht="15" customHeight="1" x14ac:dyDescent="0.35">
      <c r="A477" s="40"/>
      <c r="B477" s="40"/>
      <c r="C477" s="41"/>
    </row>
    <row r="478" spans="1:3" ht="15" customHeight="1" x14ac:dyDescent="0.35">
      <c r="A478" s="40"/>
      <c r="B478" s="40"/>
      <c r="C478" s="41"/>
    </row>
    <row r="479" spans="1:3" ht="15" customHeight="1" x14ac:dyDescent="0.35">
      <c r="A479" s="40"/>
      <c r="B479" s="40"/>
      <c r="C479" s="41"/>
    </row>
    <row r="480" spans="1:3" ht="15" customHeight="1" x14ac:dyDescent="0.35">
      <c r="A480" s="40"/>
      <c r="B480" s="40"/>
      <c r="C480" s="41"/>
    </row>
    <row r="481" spans="1:3" ht="15" customHeight="1" x14ac:dyDescent="0.35">
      <c r="A481" s="40"/>
      <c r="B481" s="40"/>
      <c r="C481" s="41"/>
    </row>
    <row r="482" spans="1:3" ht="15" customHeight="1" x14ac:dyDescent="0.35">
      <c r="A482" s="40"/>
      <c r="B482" s="40"/>
      <c r="C482" s="41"/>
    </row>
    <row r="483" spans="1:3" ht="15" customHeight="1" x14ac:dyDescent="0.35">
      <c r="A483" s="40"/>
      <c r="B483" s="40"/>
      <c r="C483" s="41"/>
    </row>
    <row r="484" spans="1:3" ht="15" customHeight="1" x14ac:dyDescent="0.35">
      <c r="A484" s="40"/>
      <c r="B484" s="40"/>
      <c r="C484" s="41"/>
    </row>
    <row r="485" spans="1:3" ht="15" customHeight="1" x14ac:dyDescent="0.35">
      <c r="A485" s="40"/>
      <c r="B485" s="40"/>
      <c r="C485" s="41"/>
    </row>
    <row r="486" spans="1:3" ht="15" customHeight="1" x14ac:dyDescent="0.35">
      <c r="A486" s="40"/>
      <c r="B486" s="40"/>
      <c r="C486" s="41"/>
    </row>
    <row r="487" spans="1:3" ht="15" customHeight="1" x14ac:dyDescent="0.35">
      <c r="A487" s="40"/>
      <c r="B487" s="40"/>
      <c r="C487" s="41"/>
    </row>
    <row r="488" spans="1:3" ht="15" customHeight="1" x14ac:dyDescent="0.35">
      <c r="A488" s="40"/>
      <c r="B488" s="40"/>
      <c r="C488" s="41"/>
    </row>
    <row r="489" spans="1:3" ht="15" customHeight="1" x14ac:dyDescent="0.35">
      <c r="A489" s="40"/>
      <c r="B489" s="40"/>
      <c r="C489" s="41"/>
    </row>
    <row r="490" spans="1:3" ht="15" customHeight="1" x14ac:dyDescent="0.35">
      <c r="A490" s="40"/>
      <c r="B490" s="40"/>
      <c r="C490" s="41"/>
    </row>
    <row r="491" spans="1:3" ht="15" customHeight="1" x14ac:dyDescent="0.35">
      <c r="A491" s="40"/>
      <c r="B491" s="40"/>
      <c r="C491" s="41"/>
    </row>
    <row r="492" spans="1:3" ht="15" customHeight="1" x14ac:dyDescent="0.35">
      <c r="A492" s="40"/>
      <c r="B492" s="40"/>
      <c r="C492" s="41"/>
    </row>
    <row r="493" spans="1:3" ht="15" customHeight="1" x14ac:dyDescent="0.35">
      <c r="A493" s="40"/>
      <c r="B493" s="40"/>
      <c r="C493" s="41"/>
    </row>
    <row r="494" spans="1:3" ht="15" customHeight="1" x14ac:dyDescent="0.35">
      <c r="A494" s="40"/>
      <c r="B494" s="40"/>
      <c r="C494" s="41"/>
    </row>
    <row r="495" spans="1:3" ht="15" customHeight="1" x14ac:dyDescent="0.35">
      <c r="A495" s="40"/>
      <c r="B495" s="40"/>
      <c r="C495" s="41"/>
    </row>
    <row r="496" spans="1:3" ht="15" customHeight="1" x14ac:dyDescent="0.35">
      <c r="A496" s="40"/>
      <c r="B496" s="40"/>
      <c r="C496" s="41"/>
    </row>
    <row r="497" spans="1:3" ht="15" customHeight="1" x14ac:dyDescent="0.35">
      <c r="A497" s="40"/>
      <c r="B497" s="40"/>
      <c r="C497" s="41"/>
    </row>
    <row r="498" spans="1:3" ht="15" customHeight="1" x14ac:dyDescent="0.35">
      <c r="A498" s="40"/>
      <c r="B498" s="40"/>
      <c r="C498" s="41"/>
    </row>
    <row r="499" spans="1:3" ht="15" customHeight="1" x14ac:dyDescent="0.35">
      <c r="A499" s="40"/>
      <c r="B499" s="40"/>
      <c r="C499" s="41"/>
    </row>
    <row r="500" spans="1:3" ht="15" customHeight="1" x14ac:dyDescent="0.35">
      <c r="A500" s="40"/>
      <c r="B500" s="40"/>
      <c r="C500" s="41"/>
    </row>
    <row r="501" spans="1:3" ht="15" customHeight="1" x14ac:dyDescent="0.35">
      <c r="A501" s="40"/>
      <c r="B501" s="40"/>
      <c r="C501" s="41"/>
    </row>
    <row r="502" spans="1:3" ht="15" customHeight="1" x14ac:dyDescent="0.35">
      <c r="A502" s="40"/>
      <c r="B502" s="40"/>
      <c r="C502" s="41"/>
    </row>
    <row r="503" spans="1:3" ht="15" customHeight="1" x14ac:dyDescent="0.35">
      <c r="A503" s="40"/>
      <c r="B503" s="40"/>
      <c r="C503" s="41"/>
    </row>
    <row r="504" spans="1:3" ht="15" customHeight="1" x14ac:dyDescent="0.35">
      <c r="A504" s="40"/>
      <c r="B504" s="40"/>
      <c r="C504" s="41"/>
    </row>
    <row r="505" spans="1:3" ht="15" customHeight="1" x14ac:dyDescent="0.35">
      <c r="A505" s="40"/>
      <c r="B505" s="40"/>
      <c r="C505" s="41"/>
    </row>
    <row r="506" spans="1:3" ht="15" customHeight="1" x14ac:dyDescent="0.35">
      <c r="A506" s="40"/>
      <c r="B506" s="40"/>
      <c r="C506" s="41"/>
    </row>
    <row r="507" spans="1:3" ht="15" customHeight="1" x14ac:dyDescent="0.35">
      <c r="A507" s="40"/>
      <c r="B507" s="40"/>
      <c r="C507" s="41"/>
    </row>
    <row r="508" spans="1:3" ht="15" customHeight="1" x14ac:dyDescent="0.35">
      <c r="A508" s="40"/>
      <c r="B508" s="40"/>
      <c r="C508" s="41"/>
    </row>
    <row r="509" spans="1:3" ht="15" customHeight="1" x14ac:dyDescent="0.35">
      <c r="A509" s="40"/>
      <c r="B509" s="40"/>
      <c r="C509" s="41"/>
    </row>
    <row r="510" spans="1:3" ht="15" customHeight="1" x14ac:dyDescent="0.35">
      <c r="A510" s="40"/>
      <c r="B510" s="40"/>
      <c r="C510" s="41"/>
    </row>
    <row r="511" spans="1:3" ht="15" customHeight="1" x14ac:dyDescent="0.35">
      <c r="A511" s="40"/>
      <c r="B511" s="40"/>
      <c r="C511" s="41"/>
    </row>
    <row r="512" spans="1:3" ht="15" customHeight="1" x14ac:dyDescent="0.35">
      <c r="A512" s="40"/>
      <c r="B512" s="40"/>
      <c r="C512" s="41"/>
    </row>
    <row r="513" spans="1:3" ht="15" customHeight="1" x14ac:dyDescent="0.35">
      <c r="A513" s="40"/>
      <c r="B513" s="40"/>
      <c r="C513" s="41"/>
    </row>
    <row r="514" spans="1:3" ht="15" customHeight="1" x14ac:dyDescent="0.35">
      <c r="A514" s="40"/>
      <c r="B514" s="40"/>
      <c r="C514" s="41"/>
    </row>
    <row r="515" spans="1:3" ht="15" customHeight="1" x14ac:dyDescent="0.35">
      <c r="A515" s="40"/>
      <c r="B515" s="40"/>
      <c r="C515" s="41"/>
    </row>
    <row r="516" spans="1:3" ht="15" customHeight="1" x14ac:dyDescent="0.35">
      <c r="A516" s="40"/>
      <c r="B516" s="40"/>
      <c r="C516" s="41"/>
    </row>
    <row r="517" spans="1:3" ht="15" customHeight="1" x14ac:dyDescent="0.35">
      <c r="A517" s="40"/>
      <c r="B517" s="40"/>
      <c r="C517" s="41"/>
    </row>
    <row r="518" spans="1:3" ht="15" customHeight="1" x14ac:dyDescent="0.35">
      <c r="A518" s="40"/>
      <c r="B518" s="40"/>
      <c r="C518" s="41"/>
    </row>
    <row r="519" spans="1:3" ht="15" customHeight="1" x14ac:dyDescent="0.35">
      <c r="A519" s="40"/>
      <c r="B519" s="40"/>
      <c r="C519" s="41"/>
    </row>
    <row r="520" spans="1:3" ht="15" customHeight="1" x14ac:dyDescent="0.35">
      <c r="A520" s="40"/>
      <c r="B520" s="40"/>
      <c r="C520" s="41"/>
    </row>
    <row r="521" spans="1:3" ht="15" customHeight="1" x14ac:dyDescent="0.35">
      <c r="A521" s="40"/>
      <c r="B521" s="40"/>
      <c r="C521" s="41"/>
    </row>
    <row r="522" spans="1:3" ht="15" customHeight="1" x14ac:dyDescent="0.35">
      <c r="A522" s="40"/>
      <c r="B522" s="40"/>
      <c r="C522" s="41"/>
    </row>
    <row r="523" spans="1:3" ht="15" customHeight="1" x14ac:dyDescent="0.35">
      <c r="A523" s="40"/>
      <c r="B523" s="40"/>
      <c r="C523" s="41"/>
    </row>
    <row r="524" spans="1:3" ht="15" customHeight="1" x14ac:dyDescent="0.35">
      <c r="A524" s="40"/>
      <c r="B524" s="40"/>
      <c r="C524" s="41"/>
    </row>
    <row r="525" spans="1:3" ht="15" customHeight="1" x14ac:dyDescent="0.35">
      <c r="A525" s="40"/>
      <c r="B525" s="40"/>
      <c r="C525" s="41"/>
    </row>
    <row r="526" spans="1:3" ht="15" customHeight="1" x14ac:dyDescent="0.35">
      <c r="A526" s="40"/>
      <c r="B526" s="40"/>
      <c r="C526" s="41"/>
    </row>
    <row r="527" spans="1:3" ht="15" customHeight="1" x14ac:dyDescent="0.35">
      <c r="A527" s="40"/>
      <c r="B527" s="40"/>
      <c r="C527" s="41"/>
    </row>
    <row r="528" spans="1:3" ht="15" customHeight="1" x14ac:dyDescent="0.35">
      <c r="A528" s="40"/>
      <c r="B528" s="40"/>
      <c r="C528" s="41"/>
    </row>
    <row r="529" spans="1:3" ht="15" customHeight="1" x14ac:dyDescent="0.35">
      <c r="A529" s="40"/>
      <c r="B529" s="40"/>
      <c r="C529" s="41"/>
    </row>
    <row r="530" spans="1:3" ht="15" customHeight="1" x14ac:dyDescent="0.35">
      <c r="A530" s="40"/>
      <c r="B530" s="40"/>
      <c r="C530" s="41"/>
    </row>
    <row r="531" spans="1:3" ht="15" customHeight="1" x14ac:dyDescent="0.35">
      <c r="A531" s="40"/>
      <c r="B531" s="40"/>
      <c r="C531" s="41"/>
    </row>
    <row r="532" spans="1:3" ht="15" customHeight="1" x14ac:dyDescent="0.35">
      <c r="A532" s="40"/>
      <c r="B532" s="40"/>
      <c r="C532" s="41"/>
    </row>
    <row r="533" spans="1:3" ht="15" customHeight="1" x14ac:dyDescent="0.35">
      <c r="A533" s="40"/>
      <c r="B533" s="40"/>
      <c r="C533" s="41"/>
    </row>
    <row r="534" spans="1:3" ht="15" customHeight="1" x14ac:dyDescent="0.35">
      <c r="A534" s="40"/>
      <c r="B534" s="40"/>
      <c r="C534" s="41"/>
    </row>
    <row r="535" spans="1:3" ht="15" customHeight="1" x14ac:dyDescent="0.35">
      <c r="A535" s="40"/>
      <c r="B535" s="40"/>
      <c r="C535" s="41"/>
    </row>
    <row r="536" spans="1:3" ht="15" customHeight="1" x14ac:dyDescent="0.35">
      <c r="A536" s="40"/>
      <c r="B536" s="40"/>
      <c r="C536" s="41"/>
    </row>
    <row r="537" spans="1:3" ht="15" customHeight="1" x14ac:dyDescent="0.35">
      <c r="A537" s="40"/>
      <c r="B537" s="40"/>
      <c r="C537" s="41"/>
    </row>
    <row r="538" spans="1:3" ht="15" customHeight="1" x14ac:dyDescent="0.35">
      <c r="A538" s="40"/>
      <c r="B538" s="40"/>
      <c r="C538" s="41"/>
    </row>
    <row r="539" spans="1:3" ht="15" customHeight="1" x14ac:dyDescent="0.35">
      <c r="A539" s="40"/>
      <c r="B539" s="40"/>
      <c r="C539" s="41"/>
    </row>
    <row r="540" spans="1:3" ht="15" customHeight="1" x14ac:dyDescent="0.35">
      <c r="A540" s="40"/>
      <c r="B540" s="40"/>
      <c r="C540" s="41"/>
    </row>
    <row r="541" spans="1:3" ht="15" customHeight="1" x14ac:dyDescent="0.35">
      <c r="A541" s="40"/>
      <c r="B541" s="40"/>
      <c r="C541" s="41"/>
    </row>
    <row r="542" spans="1:3" ht="15" customHeight="1" x14ac:dyDescent="0.35">
      <c r="A542" s="40"/>
      <c r="B542" s="40"/>
      <c r="C542" s="41"/>
    </row>
    <row r="543" spans="1:3" ht="15" customHeight="1" x14ac:dyDescent="0.35">
      <c r="A543" s="40"/>
      <c r="B543" s="40"/>
      <c r="C543" s="41"/>
    </row>
    <row r="544" spans="1:3" ht="15" customHeight="1" x14ac:dyDescent="0.35">
      <c r="A544" s="40"/>
      <c r="B544" s="40"/>
      <c r="C544" s="41"/>
    </row>
    <row r="545" spans="1:3" ht="15" customHeight="1" x14ac:dyDescent="0.35">
      <c r="A545" s="40"/>
      <c r="B545" s="40"/>
      <c r="C545" s="41"/>
    </row>
    <row r="546" spans="1:3" ht="15" customHeight="1" x14ac:dyDescent="0.35">
      <c r="A546" s="40"/>
      <c r="B546" s="40"/>
      <c r="C546" s="41"/>
    </row>
    <row r="547" spans="1:3" ht="15" customHeight="1" x14ac:dyDescent="0.35">
      <c r="A547" s="40"/>
      <c r="B547" s="40"/>
      <c r="C547" s="41"/>
    </row>
    <row r="548" spans="1:3" ht="15" customHeight="1" x14ac:dyDescent="0.35">
      <c r="A548" s="40"/>
      <c r="B548" s="40"/>
      <c r="C548" s="41"/>
    </row>
    <row r="549" spans="1:3" ht="15" customHeight="1" x14ac:dyDescent="0.35">
      <c r="A549" s="40"/>
      <c r="B549" s="40"/>
      <c r="C549" s="41"/>
    </row>
    <row r="550" spans="1:3" ht="15" customHeight="1" x14ac:dyDescent="0.35">
      <c r="A550" s="40"/>
      <c r="B550" s="40"/>
      <c r="C550" s="41"/>
    </row>
    <row r="551" spans="1:3" ht="15" customHeight="1" x14ac:dyDescent="0.35">
      <c r="A551" s="40"/>
      <c r="B551" s="40"/>
      <c r="C551" s="41"/>
    </row>
    <row r="552" spans="1:3" ht="15" customHeight="1" x14ac:dyDescent="0.35">
      <c r="A552" s="40"/>
      <c r="B552" s="40"/>
      <c r="C552" s="41"/>
    </row>
    <row r="553" spans="1:3" ht="15" customHeight="1" x14ac:dyDescent="0.35">
      <c r="A553" s="40"/>
      <c r="B553" s="40"/>
      <c r="C553" s="41"/>
    </row>
    <row r="554" spans="1:3" ht="15" customHeight="1" x14ac:dyDescent="0.35">
      <c r="A554" s="40"/>
      <c r="B554" s="40"/>
      <c r="C554" s="41"/>
    </row>
    <row r="555" spans="1:3" ht="15" customHeight="1" x14ac:dyDescent="0.35">
      <c r="A555" s="40"/>
      <c r="B555" s="40"/>
      <c r="C555" s="41"/>
    </row>
    <row r="556" spans="1:3" ht="15" customHeight="1" x14ac:dyDescent="0.35">
      <c r="A556" s="40"/>
      <c r="B556" s="40"/>
      <c r="C556" s="41"/>
    </row>
    <row r="557" spans="1:3" ht="15" customHeight="1" x14ac:dyDescent="0.35">
      <c r="A557" s="40"/>
      <c r="B557" s="40"/>
      <c r="C557" s="41"/>
    </row>
    <row r="558" spans="1:3" ht="15" customHeight="1" x14ac:dyDescent="0.35">
      <c r="A558" s="40"/>
      <c r="B558" s="40"/>
      <c r="C558" s="41"/>
    </row>
    <row r="559" spans="1:3" ht="15" customHeight="1" x14ac:dyDescent="0.35">
      <c r="A559" s="40"/>
      <c r="B559" s="40"/>
      <c r="C559" s="41"/>
    </row>
    <row r="560" spans="1:3" ht="15" customHeight="1" x14ac:dyDescent="0.35">
      <c r="A560" s="40"/>
      <c r="B560" s="40"/>
      <c r="C560" s="41"/>
    </row>
    <row r="561" spans="1:3" ht="15" customHeight="1" x14ac:dyDescent="0.35">
      <c r="A561" s="40"/>
      <c r="B561" s="40"/>
      <c r="C561" s="41"/>
    </row>
    <row r="562" spans="1:3" ht="15" customHeight="1" x14ac:dyDescent="0.35">
      <c r="A562" s="40"/>
      <c r="B562" s="40"/>
      <c r="C562" s="41"/>
    </row>
    <row r="563" spans="1:3" ht="15" customHeight="1" x14ac:dyDescent="0.35">
      <c r="A563" s="40"/>
      <c r="B563" s="40"/>
      <c r="C563" s="41"/>
    </row>
    <row r="564" spans="1:3" ht="15" customHeight="1" x14ac:dyDescent="0.35">
      <c r="A564" s="40"/>
      <c r="B564" s="40"/>
      <c r="C564" s="41"/>
    </row>
    <row r="565" spans="1:3" ht="15" customHeight="1" x14ac:dyDescent="0.35">
      <c r="A565" s="40"/>
      <c r="B565" s="40"/>
      <c r="C565" s="41"/>
    </row>
    <row r="566" spans="1:3" ht="15" customHeight="1" x14ac:dyDescent="0.35">
      <c r="A566" s="40"/>
      <c r="B566" s="40"/>
      <c r="C566" s="41"/>
    </row>
    <row r="567" spans="1:3" ht="15" customHeight="1" x14ac:dyDescent="0.35">
      <c r="A567" s="40"/>
      <c r="B567" s="40"/>
      <c r="C567" s="41"/>
    </row>
    <row r="568" spans="1:3" ht="15" customHeight="1" x14ac:dyDescent="0.35">
      <c r="A568" s="40"/>
      <c r="B568" s="40"/>
      <c r="C568" s="41"/>
    </row>
    <row r="569" spans="1:3" ht="15" customHeight="1" x14ac:dyDescent="0.35">
      <c r="A569" s="40"/>
      <c r="B569" s="40"/>
      <c r="C569" s="41"/>
    </row>
    <row r="570" spans="1:3" ht="15" customHeight="1" x14ac:dyDescent="0.35">
      <c r="A570" s="40"/>
      <c r="B570" s="40"/>
      <c r="C570" s="41"/>
    </row>
    <row r="571" spans="1:3" ht="15" customHeight="1" x14ac:dyDescent="0.35">
      <c r="A571" s="40"/>
      <c r="B571" s="40"/>
      <c r="C571" s="41"/>
    </row>
    <row r="572" spans="1:3" ht="15" customHeight="1" x14ac:dyDescent="0.35">
      <c r="A572" s="40"/>
      <c r="B572" s="40"/>
      <c r="C572" s="41"/>
    </row>
    <row r="573" spans="1:3" ht="15" customHeight="1" x14ac:dyDescent="0.35">
      <c r="A573" s="40"/>
      <c r="B573" s="40"/>
      <c r="C573" s="41"/>
    </row>
    <row r="574" spans="1:3" ht="15" customHeight="1" x14ac:dyDescent="0.35">
      <c r="A574" s="40"/>
      <c r="B574" s="40"/>
      <c r="C574" s="41"/>
    </row>
    <row r="575" spans="1:3" ht="15" customHeight="1" x14ac:dyDescent="0.35">
      <c r="A575" s="40"/>
      <c r="B575" s="40"/>
      <c r="C575" s="41"/>
    </row>
    <row r="576" spans="1:3" ht="15" customHeight="1" x14ac:dyDescent="0.35">
      <c r="A576" s="40"/>
      <c r="B576" s="40"/>
      <c r="C576" s="41"/>
    </row>
    <row r="577" spans="1:3" ht="15" customHeight="1" x14ac:dyDescent="0.35">
      <c r="A577" s="40"/>
      <c r="B577" s="40"/>
      <c r="C577" s="41"/>
    </row>
    <row r="578" spans="1:3" ht="15" customHeight="1" x14ac:dyDescent="0.35">
      <c r="A578" s="40"/>
      <c r="B578" s="40"/>
      <c r="C578" s="41"/>
    </row>
    <row r="579" spans="1:3" ht="15" customHeight="1" x14ac:dyDescent="0.35">
      <c r="A579" s="40"/>
      <c r="B579" s="40"/>
      <c r="C579" s="41"/>
    </row>
    <row r="580" spans="1:3" ht="15" customHeight="1" x14ac:dyDescent="0.35">
      <c r="A580" s="40"/>
      <c r="B580" s="40"/>
      <c r="C580" s="41"/>
    </row>
    <row r="581" spans="1:3" ht="15" customHeight="1" x14ac:dyDescent="0.35">
      <c r="A581" s="40"/>
      <c r="B581" s="40"/>
      <c r="C581" s="41"/>
    </row>
    <row r="582" spans="1:3" ht="15" customHeight="1" x14ac:dyDescent="0.35">
      <c r="A582" s="40"/>
      <c r="B582" s="40"/>
      <c r="C582" s="41"/>
    </row>
    <row r="583" spans="1:3" ht="15" customHeight="1" x14ac:dyDescent="0.35">
      <c r="A583" s="40"/>
      <c r="B583" s="40"/>
      <c r="C583" s="41"/>
    </row>
    <row r="584" spans="1:3" ht="15" customHeight="1" x14ac:dyDescent="0.35">
      <c r="A584" s="40"/>
      <c r="B584" s="40"/>
      <c r="C584" s="41"/>
    </row>
    <row r="585" spans="1:3" ht="15" customHeight="1" x14ac:dyDescent="0.35">
      <c r="A585" s="40"/>
      <c r="B585" s="40"/>
      <c r="C585" s="41"/>
    </row>
    <row r="586" spans="1:3" ht="15" customHeight="1" x14ac:dyDescent="0.35">
      <c r="A586" s="40"/>
      <c r="B586" s="40"/>
      <c r="C586" s="41"/>
    </row>
    <row r="587" spans="1:3" ht="15" customHeight="1" x14ac:dyDescent="0.35">
      <c r="A587" s="40"/>
      <c r="B587" s="40"/>
      <c r="C587" s="41"/>
    </row>
    <row r="588" spans="1:3" ht="15" customHeight="1" x14ac:dyDescent="0.35">
      <c r="A588" s="40"/>
      <c r="B588" s="40"/>
      <c r="C588" s="41"/>
    </row>
    <row r="589" spans="1:3" ht="15" customHeight="1" x14ac:dyDescent="0.35">
      <c r="A589" s="40"/>
      <c r="B589" s="40"/>
      <c r="C589" s="41"/>
    </row>
    <row r="590" spans="1:3" ht="15" customHeight="1" x14ac:dyDescent="0.35">
      <c r="A590" s="40"/>
      <c r="B590" s="40"/>
      <c r="C590" s="41"/>
    </row>
    <row r="591" spans="1:3" ht="15" customHeight="1" x14ac:dyDescent="0.35">
      <c r="A591" s="40"/>
      <c r="B591" s="40"/>
      <c r="C591" s="41"/>
    </row>
    <row r="592" spans="1:3" ht="15" customHeight="1" x14ac:dyDescent="0.35">
      <c r="A592" s="40"/>
      <c r="B592" s="40"/>
      <c r="C592" s="41"/>
    </row>
    <row r="593" spans="1:3" ht="15" customHeight="1" x14ac:dyDescent="0.35">
      <c r="A593" s="40"/>
      <c r="B593" s="40"/>
      <c r="C593" s="41"/>
    </row>
    <row r="594" spans="1:3" ht="15" customHeight="1" x14ac:dyDescent="0.35">
      <c r="A594" s="40"/>
      <c r="B594" s="40"/>
      <c r="C594" s="41"/>
    </row>
    <row r="595" spans="1:3" ht="15" customHeight="1" x14ac:dyDescent="0.35">
      <c r="A595" s="40"/>
      <c r="B595" s="40"/>
      <c r="C595" s="41"/>
    </row>
    <row r="596" spans="1:3" ht="15" customHeight="1" x14ac:dyDescent="0.35">
      <c r="A596" s="40"/>
      <c r="B596" s="40"/>
      <c r="C596" s="41"/>
    </row>
    <row r="597" spans="1:3" ht="15" customHeight="1" x14ac:dyDescent="0.35">
      <c r="A597" s="40"/>
      <c r="B597" s="40"/>
      <c r="C597" s="41"/>
    </row>
    <row r="598" spans="1:3" ht="15" customHeight="1" x14ac:dyDescent="0.35">
      <c r="A598" s="40"/>
      <c r="B598" s="40"/>
      <c r="C598" s="41"/>
    </row>
    <row r="599" spans="1:3" ht="15" customHeight="1" x14ac:dyDescent="0.35">
      <c r="A599" s="40"/>
      <c r="B599" s="40"/>
      <c r="C599" s="41"/>
    </row>
    <row r="600" spans="1:3" ht="15" customHeight="1" x14ac:dyDescent="0.35">
      <c r="A600" s="40"/>
      <c r="B600" s="40"/>
      <c r="C600" s="41"/>
    </row>
    <row r="601" spans="1:3" ht="15" customHeight="1" x14ac:dyDescent="0.35">
      <c r="A601" s="40"/>
      <c r="B601" s="40"/>
      <c r="C601" s="41"/>
    </row>
    <row r="602" spans="1:3" ht="15" customHeight="1" x14ac:dyDescent="0.35">
      <c r="A602" s="40"/>
      <c r="B602" s="40"/>
      <c r="C602" s="41"/>
    </row>
    <row r="603" spans="1:3" ht="15" customHeight="1" x14ac:dyDescent="0.35">
      <c r="A603" s="40"/>
      <c r="B603" s="40"/>
      <c r="C603" s="41"/>
    </row>
    <row r="604" spans="1:3" ht="15" customHeight="1" x14ac:dyDescent="0.35">
      <c r="A604" s="40"/>
      <c r="B604" s="40"/>
      <c r="C604" s="41"/>
    </row>
    <row r="605" spans="1:3" ht="15" customHeight="1" x14ac:dyDescent="0.35">
      <c r="A605" s="40"/>
      <c r="B605" s="40"/>
      <c r="C605" s="41"/>
    </row>
    <row r="606" spans="1:3" ht="15" customHeight="1" x14ac:dyDescent="0.35">
      <c r="A606" s="40"/>
      <c r="B606" s="40"/>
      <c r="C606" s="41"/>
    </row>
    <row r="607" spans="1:3" ht="15" customHeight="1" x14ac:dyDescent="0.35">
      <c r="A607" s="40"/>
      <c r="B607" s="40"/>
      <c r="C607" s="41"/>
    </row>
    <row r="608" spans="1:3" ht="15" customHeight="1" x14ac:dyDescent="0.35">
      <c r="A608" s="40"/>
      <c r="B608" s="40"/>
      <c r="C608" s="41"/>
    </row>
    <row r="609" spans="1:3" ht="15" customHeight="1" x14ac:dyDescent="0.35">
      <c r="A609" s="40"/>
      <c r="B609" s="40"/>
      <c r="C609" s="41"/>
    </row>
    <row r="610" spans="1:3" ht="15" customHeight="1" x14ac:dyDescent="0.35">
      <c r="A610" s="40"/>
      <c r="B610" s="40"/>
      <c r="C610" s="41"/>
    </row>
    <row r="611" spans="1:3" ht="15" customHeight="1" x14ac:dyDescent="0.35">
      <c r="A611" s="40"/>
      <c r="B611" s="40"/>
      <c r="C611" s="41"/>
    </row>
    <row r="612" spans="1:3" ht="15" customHeight="1" x14ac:dyDescent="0.35">
      <c r="A612" s="40"/>
      <c r="B612" s="40"/>
      <c r="C612" s="41"/>
    </row>
    <row r="613" spans="1:3" ht="15" customHeight="1" x14ac:dyDescent="0.35">
      <c r="A613" s="40"/>
      <c r="B613" s="40"/>
      <c r="C613" s="41"/>
    </row>
    <row r="614" spans="1:3" ht="15" customHeight="1" x14ac:dyDescent="0.35">
      <c r="A614" s="40"/>
      <c r="B614" s="40"/>
      <c r="C614" s="41"/>
    </row>
    <row r="615" spans="1:3" ht="15" customHeight="1" x14ac:dyDescent="0.35">
      <c r="A615" s="40"/>
      <c r="B615" s="40"/>
      <c r="C615" s="41"/>
    </row>
    <row r="616" spans="1:3" ht="15" customHeight="1" x14ac:dyDescent="0.35">
      <c r="A616" s="40"/>
      <c r="B616" s="40"/>
      <c r="C616" s="41"/>
    </row>
    <row r="617" spans="1:3" ht="15" customHeight="1" x14ac:dyDescent="0.35">
      <c r="A617" s="40"/>
      <c r="B617" s="40"/>
      <c r="C617" s="41"/>
    </row>
    <row r="618" spans="1:3" ht="15" customHeight="1" x14ac:dyDescent="0.35">
      <c r="A618" s="40"/>
      <c r="B618" s="40"/>
      <c r="C618" s="41"/>
    </row>
    <row r="619" spans="1:3" ht="15" customHeight="1" x14ac:dyDescent="0.35">
      <c r="A619" s="40"/>
      <c r="B619" s="40"/>
      <c r="C619" s="41"/>
    </row>
    <row r="620" spans="1:3" ht="15" customHeight="1" x14ac:dyDescent="0.35">
      <c r="A620" s="40"/>
      <c r="B620" s="40"/>
      <c r="C620" s="41"/>
    </row>
    <row r="621" spans="1:3" ht="15" customHeight="1" x14ac:dyDescent="0.35">
      <c r="A621" s="40"/>
      <c r="B621" s="40"/>
      <c r="C621" s="41"/>
    </row>
    <row r="622" spans="1:3" ht="15" customHeight="1" x14ac:dyDescent="0.35">
      <c r="A622" s="40"/>
      <c r="B622" s="40"/>
      <c r="C622" s="41"/>
    </row>
    <row r="623" spans="1:3" ht="15" customHeight="1" x14ac:dyDescent="0.35">
      <c r="A623" s="40"/>
      <c r="B623" s="40"/>
      <c r="C623" s="41"/>
    </row>
    <row r="624" spans="1:3" ht="15" customHeight="1" x14ac:dyDescent="0.35">
      <c r="A624" s="40"/>
      <c r="B624" s="40"/>
      <c r="C624" s="41"/>
    </row>
    <row r="625" spans="1:3" ht="15" customHeight="1" x14ac:dyDescent="0.35">
      <c r="A625" s="40"/>
      <c r="B625" s="40"/>
      <c r="C625" s="41"/>
    </row>
    <row r="626" spans="1:3" ht="15" customHeight="1" x14ac:dyDescent="0.35">
      <c r="A626" s="40"/>
      <c r="B626" s="40"/>
      <c r="C626" s="41"/>
    </row>
    <row r="627" spans="1:3" ht="15" customHeight="1" x14ac:dyDescent="0.35">
      <c r="A627" s="40"/>
      <c r="B627" s="40"/>
      <c r="C627" s="41"/>
    </row>
    <row r="628" spans="1:3" ht="15" customHeight="1" x14ac:dyDescent="0.35">
      <c r="A628" s="40"/>
      <c r="B628" s="40"/>
      <c r="C628" s="41"/>
    </row>
    <row r="629" spans="1:3" ht="15" customHeight="1" x14ac:dyDescent="0.35">
      <c r="A629" s="40"/>
      <c r="B629" s="40"/>
      <c r="C629" s="41"/>
    </row>
    <row r="630" spans="1:3" ht="15" customHeight="1" x14ac:dyDescent="0.35">
      <c r="A630" s="40"/>
      <c r="B630" s="40"/>
      <c r="C630" s="41"/>
    </row>
    <row r="631" spans="1:3" ht="15" customHeight="1" x14ac:dyDescent="0.35">
      <c r="A631" s="40"/>
      <c r="B631" s="40"/>
      <c r="C631" s="41"/>
    </row>
    <row r="632" spans="1:3" ht="15" customHeight="1" x14ac:dyDescent="0.35">
      <c r="A632" s="40"/>
      <c r="B632" s="40"/>
      <c r="C632" s="41"/>
    </row>
    <row r="633" spans="1:3" ht="15" customHeight="1" x14ac:dyDescent="0.35">
      <c r="A633" s="40"/>
      <c r="B633" s="40"/>
      <c r="C633" s="41"/>
    </row>
    <row r="634" spans="1:3" ht="15" customHeight="1" x14ac:dyDescent="0.35">
      <c r="A634" s="40"/>
      <c r="B634" s="40"/>
      <c r="C634" s="41"/>
    </row>
    <row r="635" spans="1:3" ht="15" customHeight="1" x14ac:dyDescent="0.35">
      <c r="A635" s="40"/>
      <c r="B635" s="40"/>
      <c r="C635" s="41"/>
    </row>
    <row r="636" spans="1:3" ht="15" customHeight="1" x14ac:dyDescent="0.35">
      <c r="A636" s="40"/>
      <c r="B636" s="40"/>
      <c r="C636" s="41"/>
    </row>
    <row r="637" spans="1:3" ht="15" customHeight="1" x14ac:dyDescent="0.35">
      <c r="A637" s="40"/>
      <c r="B637" s="40"/>
      <c r="C637" s="41"/>
    </row>
    <row r="638" spans="1:3" ht="15" customHeight="1" x14ac:dyDescent="0.35">
      <c r="A638" s="40"/>
      <c r="B638" s="40"/>
      <c r="C638" s="41"/>
    </row>
    <row r="639" spans="1:3" ht="15" customHeight="1" x14ac:dyDescent="0.35">
      <c r="A639" s="40"/>
      <c r="B639" s="40"/>
      <c r="C639" s="41"/>
    </row>
    <row r="640" spans="1:3" ht="15" customHeight="1" x14ac:dyDescent="0.35">
      <c r="A640" s="40"/>
      <c r="B640" s="40"/>
      <c r="C640" s="41"/>
    </row>
    <row r="641" spans="1:3" ht="15" customHeight="1" x14ac:dyDescent="0.35">
      <c r="A641" s="40"/>
      <c r="B641" s="40"/>
      <c r="C641" s="41"/>
    </row>
    <row r="642" spans="1:3" ht="15" customHeight="1" x14ac:dyDescent="0.35">
      <c r="A642" s="40"/>
      <c r="B642" s="40"/>
      <c r="C642" s="41"/>
    </row>
    <row r="643" spans="1:3" ht="15" customHeight="1" x14ac:dyDescent="0.35">
      <c r="A643" s="40"/>
      <c r="B643" s="40"/>
      <c r="C643" s="41"/>
    </row>
    <row r="644" spans="1:3" ht="15" customHeight="1" x14ac:dyDescent="0.35">
      <c r="A644" s="40"/>
      <c r="B644" s="40"/>
      <c r="C644" s="41"/>
    </row>
    <row r="645" spans="1:3" ht="15" customHeight="1" x14ac:dyDescent="0.35">
      <c r="A645" s="40"/>
      <c r="B645" s="40"/>
      <c r="C645" s="41"/>
    </row>
    <row r="646" spans="1:3" ht="15" customHeight="1" x14ac:dyDescent="0.35">
      <c r="A646" s="40"/>
      <c r="B646" s="40"/>
      <c r="C646" s="41"/>
    </row>
    <row r="647" spans="1:3" ht="15" customHeight="1" x14ac:dyDescent="0.35">
      <c r="A647" s="40"/>
      <c r="B647" s="40"/>
      <c r="C647" s="41"/>
    </row>
    <row r="648" spans="1:3" ht="15" customHeight="1" x14ac:dyDescent="0.35">
      <c r="A648" s="40"/>
      <c r="B648" s="40"/>
      <c r="C648" s="41"/>
    </row>
    <row r="649" spans="1:3" ht="15" customHeight="1" x14ac:dyDescent="0.35">
      <c r="A649" s="40"/>
      <c r="B649" s="40"/>
      <c r="C649" s="41"/>
    </row>
    <row r="650" spans="1:3" ht="15" customHeight="1" x14ac:dyDescent="0.35">
      <c r="A650" s="40"/>
      <c r="B650" s="40"/>
      <c r="C650" s="41"/>
    </row>
    <row r="651" spans="1:3" ht="15" customHeight="1" x14ac:dyDescent="0.35">
      <c r="A651" s="40"/>
      <c r="B651" s="40"/>
      <c r="C651" s="41"/>
    </row>
    <row r="652" spans="1:3" ht="15" customHeight="1" x14ac:dyDescent="0.35">
      <c r="A652" s="40"/>
      <c r="B652" s="40"/>
      <c r="C652" s="41"/>
    </row>
    <row r="653" spans="1:3" ht="15" customHeight="1" x14ac:dyDescent="0.35">
      <c r="A653" s="40"/>
      <c r="B653" s="40"/>
      <c r="C653" s="41"/>
    </row>
    <row r="654" spans="1:3" ht="15" customHeight="1" x14ac:dyDescent="0.35">
      <c r="A654" s="40"/>
      <c r="B654" s="40"/>
      <c r="C654" s="41"/>
    </row>
    <row r="655" spans="1:3" ht="15" customHeight="1" x14ac:dyDescent="0.35">
      <c r="A655" s="40"/>
      <c r="B655" s="40"/>
      <c r="C655" s="41"/>
    </row>
    <row r="656" spans="1:3" ht="15" customHeight="1" x14ac:dyDescent="0.35">
      <c r="A656" s="40"/>
      <c r="B656" s="40"/>
      <c r="C656" s="41"/>
    </row>
    <row r="657" spans="1:3" ht="15" customHeight="1" x14ac:dyDescent="0.35">
      <c r="A657" s="40"/>
      <c r="B657" s="40"/>
      <c r="C657" s="41"/>
    </row>
    <row r="658" spans="1:3" ht="15" customHeight="1" x14ac:dyDescent="0.35">
      <c r="A658" s="40"/>
      <c r="B658" s="40"/>
      <c r="C658" s="41"/>
    </row>
    <row r="659" spans="1:3" ht="15" customHeight="1" x14ac:dyDescent="0.35">
      <c r="A659" s="40"/>
      <c r="B659" s="40"/>
      <c r="C659" s="41"/>
    </row>
    <row r="660" spans="1:3" ht="15" customHeight="1" x14ac:dyDescent="0.35">
      <c r="A660" s="40"/>
      <c r="B660" s="40"/>
      <c r="C660" s="41"/>
    </row>
    <row r="661" spans="1:3" ht="15" customHeight="1" x14ac:dyDescent="0.35">
      <c r="A661" s="40"/>
      <c r="B661" s="40"/>
      <c r="C661" s="41"/>
    </row>
    <row r="662" spans="1:3" ht="15" customHeight="1" x14ac:dyDescent="0.35">
      <c r="A662" s="40"/>
      <c r="B662" s="40"/>
      <c r="C662" s="41"/>
    </row>
    <row r="663" spans="1:3" ht="15" customHeight="1" x14ac:dyDescent="0.35">
      <c r="A663" s="40"/>
      <c r="B663" s="40"/>
      <c r="C663" s="41"/>
    </row>
    <row r="664" spans="1:3" ht="15" customHeight="1" x14ac:dyDescent="0.35">
      <c r="A664" s="40"/>
      <c r="B664" s="40"/>
      <c r="C664" s="41"/>
    </row>
    <row r="665" spans="1:3" ht="15" customHeight="1" x14ac:dyDescent="0.35">
      <c r="A665" s="40"/>
      <c r="B665" s="40"/>
      <c r="C665" s="41"/>
    </row>
    <row r="666" spans="1:3" ht="15" customHeight="1" x14ac:dyDescent="0.35">
      <c r="A666" s="40"/>
      <c r="B666" s="40"/>
      <c r="C666" s="41"/>
    </row>
    <row r="667" spans="1:3" ht="15" customHeight="1" x14ac:dyDescent="0.35">
      <c r="A667" s="40"/>
      <c r="B667" s="40"/>
      <c r="C667" s="41"/>
    </row>
    <row r="668" spans="1:3" ht="15" customHeight="1" x14ac:dyDescent="0.35">
      <c r="A668" s="40"/>
      <c r="B668" s="40"/>
      <c r="C668" s="41"/>
    </row>
    <row r="669" spans="1:3" ht="15" customHeight="1" x14ac:dyDescent="0.35">
      <c r="A669" s="40"/>
      <c r="B669" s="40"/>
      <c r="C669" s="41"/>
    </row>
    <row r="670" spans="1:3" ht="15" customHeight="1" x14ac:dyDescent="0.35">
      <c r="A670" s="40"/>
      <c r="B670" s="40"/>
      <c r="C670" s="41"/>
    </row>
    <row r="671" spans="1:3" ht="15" customHeight="1" x14ac:dyDescent="0.35">
      <c r="A671" s="40"/>
      <c r="B671" s="40"/>
      <c r="C671" s="41"/>
    </row>
    <row r="672" spans="1:3" ht="15" customHeight="1" x14ac:dyDescent="0.35">
      <c r="A672" s="40"/>
      <c r="B672" s="40"/>
      <c r="C672" s="41"/>
    </row>
    <row r="673" spans="1:3" ht="15" customHeight="1" x14ac:dyDescent="0.35">
      <c r="A673" s="40"/>
      <c r="B673" s="40"/>
      <c r="C673" s="41"/>
    </row>
    <row r="674" spans="1:3" ht="15" customHeight="1" x14ac:dyDescent="0.35">
      <c r="A674" s="40"/>
      <c r="B674" s="40"/>
      <c r="C674" s="41"/>
    </row>
    <row r="675" spans="1:3" ht="15" customHeight="1" x14ac:dyDescent="0.35">
      <c r="A675" s="40"/>
      <c r="B675" s="40"/>
      <c r="C675" s="41"/>
    </row>
    <row r="676" spans="1:3" ht="15" customHeight="1" x14ac:dyDescent="0.35">
      <c r="A676" s="40"/>
      <c r="B676" s="40"/>
      <c r="C676" s="41"/>
    </row>
    <row r="677" spans="1:3" ht="15" customHeight="1" x14ac:dyDescent="0.35">
      <c r="A677" s="40"/>
      <c r="B677" s="40"/>
      <c r="C677" s="41"/>
    </row>
    <row r="678" spans="1:3" ht="15" customHeight="1" x14ac:dyDescent="0.35">
      <c r="A678" s="40"/>
      <c r="B678" s="40"/>
      <c r="C678" s="41"/>
    </row>
    <row r="679" spans="1:3" ht="15" customHeight="1" x14ac:dyDescent="0.35">
      <c r="A679" s="40"/>
      <c r="B679" s="40"/>
      <c r="C679" s="41"/>
    </row>
    <row r="680" spans="1:3" ht="15" customHeight="1" x14ac:dyDescent="0.35">
      <c r="A680" s="40"/>
      <c r="B680" s="40"/>
      <c r="C680" s="41"/>
    </row>
    <row r="681" spans="1:3" ht="15" customHeight="1" x14ac:dyDescent="0.35">
      <c r="A681" s="40"/>
      <c r="B681" s="40"/>
      <c r="C681" s="41"/>
    </row>
    <row r="682" spans="1:3" ht="15" customHeight="1" x14ac:dyDescent="0.35">
      <c r="A682" s="40"/>
      <c r="B682" s="40"/>
      <c r="C682" s="41"/>
    </row>
    <row r="683" spans="1:3" ht="15" customHeight="1" x14ac:dyDescent="0.35">
      <c r="A683" s="40"/>
      <c r="B683" s="40"/>
      <c r="C683" s="41"/>
    </row>
    <row r="684" spans="1:3" ht="15" customHeight="1" x14ac:dyDescent="0.35">
      <c r="A684" s="40"/>
      <c r="B684" s="40"/>
      <c r="C684" s="41"/>
    </row>
    <row r="685" spans="1:3" ht="15" customHeight="1" x14ac:dyDescent="0.35">
      <c r="A685" s="40"/>
      <c r="B685" s="40"/>
      <c r="C685" s="41"/>
    </row>
    <row r="686" spans="1:3" ht="15" customHeight="1" x14ac:dyDescent="0.35">
      <c r="A686" s="40"/>
      <c r="B686" s="40"/>
      <c r="C686" s="41"/>
    </row>
    <row r="687" spans="1:3" ht="15" customHeight="1" x14ac:dyDescent="0.35">
      <c r="A687" s="40"/>
      <c r="B687" s="40"/>
      <c r="C687" s="41"/>
    </row>
    <row r="688" spans="1:3" ht="15" customHeight="1" x14ac:dyDescent="0.35">
      <c r="A688" s="40"/>
      <c r="B688" s="40"/>
      <c r="C688" s="41"/>
    </row>
    <row r="689" spans="1:3" ht="15" customHeight="1" x14ac:dyDescent="0.35">
      <c r="A689" s="40"/>
      <c r="B689" s="40"/>
      <c r="C689" s="41"/>
    </row>
    <row r="690" spans="1:3" ht="15" customHeight="1" x14ac:dyDescent="0.35">
      <c r="A690" s="40"/>
      <c r="B690" s="40"/>
      <c r="C690" s="41"/>
    </row>
    <row r="691" spans="1:3" ht="15" customHeight="1" x14ac:dyDescent="0.35">
      <c r="A691" s="40"/>
      <c r="B691" s="40"/>
      <c r="C691" s="41"/>
    </row>
    <row r="692" spans="1:3" ht="15" customHeight="1" x14ac:dyDescent="0.35">
      <c r="A692" s="40"/>
      <c r="B692" s="40"/>
      <c r="C692" s="41"/>
    </row>
    <row r="693" spans="1:3" ht="15" customHeight="1" x14ac:dyDescent="0.35">
      <c r="A693" s="40"/>
      <c r="B693" s="40"/>
      <c r="C693" s="41"/>
    </row>
    <row r="694" spans="1:3" ht="15" customHeight="1" x14ac:dyDescent="0.35">
      <c r="A694" s="40"/>
      <c r="B694" s="40"/>
      <c r="C694" s="41"/>
    </row>
    <row r="695" spans="1:3" ht="15" customHeight="1" x14ac:dyDescent="0.35">
      <c r="A695" s="40"/>
      <c r="B695" s="40"/>
      <c r="C695" s="41"/>
    </row>
    <row r="696" spans="1:3" ht="15" customHeight="1" x14ac:dyDescent="0.35">
      <c r="A696" s="40"/>
      <c r="B696" s="40"/>
      <c r="C696" s="41"/>
    </row>
    <row r="697" spans="1:3" ht="15" customHeight="1" x14ac:dyDescent="0.35">
      <c r="A697" s="40"/>
      <c r="B697" s="40"/>
      <c r="C697" s="41"/>
    </row>
    <row r="698" spans="1:3" ht="15" customHeight="1" x14ac:dyDescent="0.35">
      <c r="A698" s="40"/>
      <c r="B698" s="40"/>
      <c r="C698" s="41"/>
    </row>
    <row r="699" spans="1:3" ht="15" customHeight="1" x14ac:dyDescent="0.35">
      <c r="A699" s="40"/>
      <c r="B699" s="40"/>
      <c r="C699" s="41"/>
    </row>
    <row r="700" spans="1:3" ht="15" customHeight="1" x14ac:dyDescent="0.35">
      <c r="A700" s="40"/>
      <c r="B700" s="40"/>
      <c r="C700" s="41"/>
    </row>
    <row r="701" spans="1:3" ht="15" customHeight="1" x14ac:dyDescent="0.35">
      <c r="A701" s="40"/>
      <c r="B701" s="40"/>
      <c r="C701" s="41"/>
    </row>
    <row r="702" spans="1:3" ht="15" customHeight="1" x14ac:dyDescent="0.35">
      <c r="A702" s="40"/>
      <c r="B702" s="40"/>
      <c r="C702" s="41"/>
    </row>
    <row r="703" spans="1:3" ht="15" customHeight="1" x14ac:dyDescent="0.35">
      <c r="A703" s="40"/>
      <c r="B703" s="40"/>
      <c r="C703" s="41"/>
    </row>
    <row r="704" spans="1:3" ht="15" customHeight="1" x14ac:dyDescent="0.35">
      <c r="A704" s="40"/>
      <c r="B704" s="40"/>
      <c r="C704" s="41"/>
    </row>
    <row r="705" spans="1:3" ht="15" customHeight="1" x14ac:dyDescent="0.35">
      <c r="A705" s="40"/>
      <c r="B705" s="40"/>
      <c r="C705" s="41"/>
    </row>
    <row r="706" spans="1:3" ht="15" customHeight="1" x14ac:dyDescent="0.35">
      <c r="A706" s="40"/>
      <c r="B706" s="40"/>
      <c r="C706" s="41"/>
    </row>
    <row r="707" spans="1:3" ht="15" customHeight="1" x14ac:dyDescent="0.35">
      <c r="A707" s="40"/>
      <c r="B707" s="40"/>
      <c r="C707" s="41"/>
    </row>
    <row r="708" spans="1:3" ht="15" customHeight="1" x14ac:dyDescent="0.35">
      <c r="A708" s="40"/>
      <c r="B708" s="40"/>
      <c r="C708" s="41"/>
    </row>
    <row r="709" spans="1:3" ht="15" customHeight="1" x14ac:dyDescent="0.35">
      <c r="A709" s="40"/>
      <c r="B709" s="40"/>
      <c r="C709" s="41"/>
    </row>
    <row r="710" spans="1:3" ht="15" customHeight="1" x14ac:dyDescent="0.35">
      <c r="A710" s="40"/>
      <c r="B710" s="40"/>
      <c r="C710" s="41"/>
    </row>
    <row r="711" spans="1:3" ht="15" customHeight="1" x14ac:dyDescent="0.35">
      <c r="A711" s="40"/>
      <c r="B711" s="40"/>
      <c r="C711" s="41"/>
    </row>
    <row r="712" spans="1:3" ht="15" customHeight="1" x14ac:dyDescent="0.35">
      <c r="A712" s="40"/>
      <c r="B712" s="40"/>
      <c r="C712" s="41"/>
    </row>
    <row r="713" spans="1:3" ht="15" customHeight="1" x14ac:dyDescent="0.35">
      <c r="A713" s="40"/>
      <c r="B713" s="40"/>
      <c r="C713" s="41"/>
    </row>
    <row r="714" spans="1:3" ht="15" customHeight="1" x14ac:dyDescent="0.35">
      <c r="A714" s="40"/>
      <c r="B714" s="40"/>
      <c r="C714" s="41"/>
    </row>
    <row r="715" spans="1:3" ht="15" customHeight="1" x14ac:dyDescent="0.35">
      <c r="A715" s="40"/>
      <c r="B715" s="40"/>
      <c r="C715" s="41"/>
    </row>
    <row r="716" spans="1:3" ht="15" customHeight="1" x14ac:dyDescent="0.35">
      <c r="A716" s="40"/>
      <c r="B716" s="40"/>
      <c r="C716" s="41"/>
    </row>
    <row r="717" spans="1:3" ht="15" customHeight="1" x14ac:dyDescent="0.35">
      <c r="A717" s="40"/>
      <c r="B717" s="40"/>
      <c r="C717" s="41"/>
    </row>
    <row r="718" spans="1:3" ht="15" customHeight="1" x14ac:dyDescent="0.35">
      <c r="A718" s="40"/>
      <c r="B718" s="40"/>
      <c r="C718" s="41"/>
    </row>
    <row r="719" spans="1:3" ht="15" customHeight="1" x14ac:dyDescent="0.35">
      <c r="A719" s="40"/>
      <c r="B719" s="40"/>
      <c r="C719" s="41"/>
    </row>
    <row r="720" spans="1:3" ht="15" customHeight="1" x14ac:dyDescent="0.35">
      <c r="A720" s="40"/>
      <c r="B720" s="40"/>
      <c r="C720" s="41"/>
    </row>
    <row r="721" spans="1:3" ht="15" customHeight="1" x14ac:dyDescent="0.35">
      <c r="A721" s="40"/>
      <c r="B721" s="40"/>
      <c r="C721" s="41"/>
    </row>
    <row r="722" spans="1:3" ht="15" customHeight="1" x14ac:dyDescent="0.35">
      <c r="A722" s="40"/>
      <c r="B722" s="40"/>
      <c r="C722" s="41"/>
    </row>
    <row r="723" spans="1:3" ht="15" customHeight="1" x14ac:dyDescent="0.35">
      <c r="A723" s="40"/>
      <c r="B723" s="40"/>
      <c r="C723" s="41"/>
    </row>
    <row r="724" spans="1:3" ht="15" customHeight="1" x14ac:dyDescent="0.35">
      <c r="A724" s="40"/>
      <c r="B724" s="40"/>
      <c r="C724" s="41"/>
    </row>
    <row r="725" spans="1:3" ht="15" customHeight="1" x14ac:dyDescent="0.35">
      <c r="A725" s="40"/>
      <c r="B725" s="40"/>
      <c r="C725" s="41"/>
    </row>
    <row r="726" spans="1:3" ht="15" customHeight="1" x14ac:dyDescent="0.35">
      <c r="A726" s="40"/>
      <c r="B726" s="40"/>
      <c r="C726" s="41"/>
    </row>
    <row r="727" spans="1:3" ht="15" customHeight="1" x14ac:dyDescent="0.35">
      <c r="A727" s="40"/>
      <c r="B727" s="40"/>
      <c r="C727" s="41"/>
    </row>
    <row r="728" spans="1:3" ht="15" customHeight="1" x14ac:dyDescent="0.35">
      <c r="A728" s="40"/>
      <c r="B728" s="40"/>
      <c r="C728" s="41"/>
    </row>
    <row r="729" spans="1:3" ht="15" customHeight="1" x14ac:dyDescent="0.35">
      <c r="A729" s="40"/>
      <c r="B729" s="40"/>
      <c r="C729" s="41"/>
    </row>
    <row r="730" spans="1:3" ht="15" customHeight="1" x14ac:dyDescent="0.35">
      <c r="A730" s="40"/>
      <c r="B730" s="40"/>
      <c r="C730" s="41"/>
    </row>
    <row r="731" spans="1:3" ht="15" customHeight="1" x14ac:dyDescent="0.35">
      <c r="A731" s="40"/>
      <c r="B731" s="40"/>
      <c r="C731" s="41"/>
    </row>
    <row r="732" spans="1:3" ht="15" customHeight="1" x14ac:dyDescent="0.35">
      <c r="A732" s="40"/>
      <c r="B732" s="40"/>
      <c r="C732" s="41"/>
    </row>
    <row r="733" spans="1:3" ht="15" customHeight="1" x14ac:dyDescent="0.35">
      <c r="A733" s="40"/>
      <c r="B733" s="40"/>
      <c r="C733" s="41"/>
    </row>
    <row r="734" spans="1:3" ht="15" customHeight="1" x14ac:dyDescent="0.35">
      <c r="A734" s="40"/>
      <c r="B734" s="40"/>
      <c r="C734" s="41"/>
    </row>
    <row r="735" spans="1:3" ht="15" customHeight="1" x14ac:dyDescent="0.35">
      <c r="A735" s="40"/>
      <c r="B735" s="40"/>
      <c r="C735" s="41"/>
    </row>
    <row r="736" spans="1:3" ht="15" customHeight="1" x14ac:dyDescent="0.35">
      <c r="A736" s="40"/>
      <c r="B736" s="40"/>
      <c r="C736" s="41"/>
    </row>
    <row r="737" spans="1:3" ht="15" customHeight="1" x14ac:dyDescent="0.35">
      <c r="A737" s="40"/>
      <c r="B737" s="40"/>
      <c r="C737" s="41"/>
    </row>
    <row r="738" spans="1:3" ht="15" customHeight="1" x14ac:dyDescent="0.35">
      <c r="A738" s="40"/>
      <c r="B738" s="40"/>
      <c r="C738" s="41"/>
    </row>
    <row r="739" spans="1:3" ht="15" customHeight="1" x14ac:dyDescent="0.35">
      <c r="A739" s="40"/>
      <c r="B739" s="40"/>
      <c r="C739" s="41"/>
    </row>
    <row r="740" spans="1:3" ht="15" customHeight="1" x14ac:dyDescent="0.35">
      <c r="A740" s="40"/>
      <c r="B740" s="40"/>
      <c r="C740" s="41"/>
    </row>
    <row r="741" spans="1:3" ht="15" customHeight="1" x14ac:dyDescent="0.35">
      <c r="A741" s="40"/>
      <c r="B741" s="40"/>
      <c r="C741" s="41"/>
    </row>
    <row r="742" spans="1:3" ht="15" customHeight="1" x14ac:dyDescent="0.35">
      <c r="A742" s="40"/>
      <c r="B742" s="40"/>
      <c r="C742" s="41"/>
    </row>
    <row r="743" spans="1:3" ht="15" customHeight="1" x14ac:dyDescent="0.35">
      <c r="A743" s="40"/>
      <c r="B743" s="40"/>
      <c r="C743" s="41"/>
    </row>
    <row r="744" spans="1:3" ht="15" customHeight="1" x14ac:dyDescent="0.35">
      <c r="A744" s="40"/>
      <c r="B744" s="40"/>
      <c r="C744" s="41"/>
    </row>
    <row r="745" spans="1:3" ht="15" customHeight="1" x14ac:dyDescent="0.35">
      <c r="A745" s="40"/>
      <c r="B745" s="40"/>
      <c r="C745" s="41"/>
    </row>
    <row r="746" spans="1:3" ht="15" customHeight="1" x14ac:dyDescent="0.35">
      <c r="A746" s="40"/>
      <c r="B746" s="40"/>
      <c r="C746" s="41"/>
    </row>
    <row r="747" spans="1:3" ht="15" customHeight="1" x14ac:dyDescent="0.35">
      <c r="A747" s="40"/>
      <c r="B747" s="40"/>
      <c r="C747" s="41"/>
    </row>
    <row r="748" spans="1:3" ht="15" customHeight="1" x14ac:dyDescent="0.35">
      <c r="A748" s="40"/>
      <c r="B748" s="40"/>
      <c r="C748" s="41"/>
    </row>
    <row r="749" spans="1:3" ht="15" customHeight="1" x14ac:dyDescent="0.35">
      <c r="A749" s="40"/>
      <c r="B749" s="40"/>
      <c r="C749" s="41"/>
    </row>
    <row r="750" spans="1:3" ht="15" customHeight="1" x14ac:dyDescent="0.35">
      <c r="A750" s="40"/>
      <c r="B750" s="40"/>
      <c r="C750" s="41"/>
    </row>
    <row r="751" spans="1:3" ht="15" customHeight="1" x14ac:dyDescent="0.35">
      <c r="A751" s="40"/>
      <c r="B751" s="40"/>
      <c r="C751" s="41"/>
    </row>
    <row r="752" spans="1:3" ht="15" customHeight="1" x14ac:dyDescent="0.35">
      <c r="A752" s="40"/>
      <c r="B752" s="40"/>
      <c r="C752" s="41"/>
    </row>
    <row r="753" spans="1:3" ht="15" customHeight="1" x14ac:dyDescent="0.35">
      <c r="A753" s="40"/>
      <c r="B753" s="40"/>
      <c r="C753" s="41"/>
    </row>
    <row r="754" spans="1:3" ht="15" customHeight="1" x14ac:dyDescent="0.35">
      <c r="A754" s="40"/>
      <c r="B754" s="40"/>
      <c r="C754" s="41"/>
    </row>
    <row r="755" spans="1:3" ht="15" customHeight="1" x14ac:dyDescent="0.35">
      <c r="A755" s="40"/>
      <c r="B755" s="40"/>
      <c r="C755" s="41"/>
    </row>
    <row r="756" spans="1:3" ht="15" customHeight="1" x14ac:dyDescent="0.35">
      <c r="A756" s="40"/>
      <c r="B756" s="40"/>
      <c r="C756" s="41"/>
    </row>
    <row r="757" spans="1:3" ht="15" customHeight="1" x14ac:dyDescent="0.35">
      <c r="A757" s="40"/>
      <c r="B757" s="40"/>
      <c r="C757" s="41"/>
    </row>
    <row r="758" spans="1:3" ht="15" customHeight="1" x14ac:dyDescent="0.35">
      <c r="A758" s="40"/>
      <c r="B758" s="40"/>
      <c r="C758" s="41"/>
    </row>
    <row r="759" spans="1:3" ht="15" customHeight="1" x14ac:dyDescent="0.35">
      <c r="A759" s="40"/>
      <c r="B759" s="40"/>
      <c r="C759" s="41"/>
    </row>
    <row r="760" spans="1:3" ht="15" customHeight="1" x14ac:dyDescent="0.35">
      <c r="A760" s="40"/>
      <c r="B760" s="40"/>
      <c r="C760" s="41"/>
    </row>
    <row r="761" spans="1:3" ht="15" customHeight="1" x14ac:dyDescent="0.35">
      <c r="A761" s="40"/>
      <c r="B761" s="40"/>
      <c r="C761" s="41"/>
    </row>
    <row r="762" spans="1:3" ht="15" customHeight="1" x14ac:dyDescent="0.35">
      <c r="A762" s="40"/>
      <c r="B762" s="40"/>
      <c r="C762" s="41"/>
    </row>
    <row r="763" spans="1:3" ht="15" customHeight="1" x14ac:dyDescent="0.35">
      <c r="A763" s="40"/>
      <c r="B763" s="40"/>
      <c r="C763" s="41"/>
    </row>
    <row r="764" spans="1:3" ht="15" customHeight="1" x14ac:dyDescent="0.35">
      <c r="A764" s="40"/>
      <c r="B764" s="40"/>
      <c r="C764" s="41"/>
    </row>
    <row r="765" spans="1:3" ht="15" customHeight="1" x14ac:dyDescent="0.35">
      <c r="A765" s="40"/>
      <c r="B765" s="40"/>
      <c r="C765" s="41"/>
    </row>
    <row r="766" spans="1:3" ht="15" customHeight="1" x14ac:dyDescent="0.35">
      <c r="A766" s="40"/>
      <c r="B766" s="40"/>
      <c r="C766" s="41"/>
    </row>
    <row r="767" spans="1:3" ht="15" customHeight="1" x14ac:dyDescent="0.35">
      <c r="A767" s="40"/>
      <c r="B767" s="40"/>
      <c r="C767" s="41"/>
    </row>
    <row r="768" spans="1:3" ht="15" customHeight="1" x14ac:dyDescent="0.35">
      <c r="A768" s="40"/>
      <c r="B768" s="40"/>
      <c r="C768" s="41"/>
    </row>
    <row r="769" spans="1:3" ht="15" customHeight="1" x14ac:dyDescent="0.35">
      <c r="A769" s="40"/>
      <c r="B769" s="40"/>
      <c r="C769" s="41"/>
    </row>
    <row r="770" spans="1:3" ht="15" customHeight="1" x14ac:dyDescent="0.35">
      <c r="A770" s="40"/>
      <c r="B770" s="40"/>
      <c r="C770" s="41"/>
    </row>
    <row r="771" spans="1:3" ht="15" customHeight="1" x14ac:dyDescent="0.35">
      <c r="A771" s="40"/>
      <c r="B771" s="40"/>
      <c r="C771" s="41"/>
    </row>
    <row r="772" spans="1:3" ht="15" customHeight="1" x14ac:dyDescent="0.35">
      <c r="A772" s="40"/>
      <c r="B772" s="40"/>
      <c r="C772" s="41"/>
    </row>
    <row r="773" spans="1:3" ht="15" customHeight="1" x14ac:dyDescent="0.35">
      <c r="A773" s="40"/>
      <c r="B773" s="40"/>
      <c r="C773" s="41"/>
    </row>
    <row r="774" spans="1:3" ht="15" customHeight="1" x14ac:dyDescent="0.35">
      <c r="A774" s="40"/>
      <c r="B774" s="40"/>
      <c r="C774" s="41"/>
    </row>
    <row r="775" spans="1:3" ht="15" customHeight="1" x14ac:dyDescent="0.35">
      <c r="A775" s="40"/>
      <c r="B775" s="40"/>
      <c r="C775" s="41"/>
    </row>
    <row r="776" spans="1:3" ht="15" customHeight="1" x14ac:dyDescent="0.35">
      <c r="A776" s="40"/>
      <c r="B776" s="40"/>
      <c r="C776" s="41"/>
    </row>
    <row r="777" spans="1:3" ht="15" customHeight="1" x14ac:dyDescent="0.35">
      <c r="A777" s="40"/>
      <c r="B777" s="40"/>
      <c r="C777" s="41"/>
    </row>
    <row r="778" spans="1:3" ht="15" customHeight="1" x14ac:dyDescent="0.35">
      <c r="A778" s="40"/>
      <c r="B778" s="40"/>
      <c r="C778" s="41"/>
    </row>
    <row r="779" spans="1:3" ht="15" customHeight="1" x14ac:dyDescent="0.35">
      <c r="A779" s="40"/>
      <c r="B779" s="40"/>
      <c r="C779" s="41"/>
    </row>
    <row r="780" spans="1:3" ht="15" customHeight="1" x14ac:dyDescent="0.35">
      <c r="A780" s="40"/>
      <c r="B780" s="40"/>
      <c r="C780" s="41"/>
    </row>
    <row r="781" spans="1:3" ht="15" customHeight="1" x14ac:dyDescent="0.35">
      <c r="A781" s="40"/>
      <c r="B781" s="40"/>
      <c r="C781" s="41"/>
    </row>
    <row r="782" spans="1:3" ht="15" customHeight="1" x14ac:dyDescent="0.35">
      <c r="A782" s="40"/>
      <c r="B782" s="40"/>
      <c r="C782" s="41"/>
    </row>
    <row r="783" spans="1:3" ht="15" customHeight="1" x14ac:dyDescent="0.35">
      <c r="A783" s="40"/>
      <c r="B783" s="40"/>
      <c r="C783" s="41"/>
    </row>
    <row r="784" spans="1:3" ht="15" customHeight="1" x14ac:dyDescent="0.35">
      <c r="A784" s="40"/>
      <c r="B784" s="40"/>
      <c r="C784" s="41"/>
    </row>
    <row r="785" spans="1:3" ht="15" customHeight="1" x14ac:dyDescent="0.35">
      <c r="A785" s="40"/>
      <c r="B785" s="40"/>
      <c r="C785" s="41"/>
    </row>
    <row r="786" spans="1:3" ht="15" customHeight="1" x14ac:dyDescent="0.35">
      <c r="A786" s="40"/>
      <c r="B786" s="40"/>
      <c r="C786" s="41"/>
    </row>
    <row r="787" spans="1:3" ht="15" customHeight="1" x14ac:dyDescent="0.35">
      <c r="A787" s="40"/>
      <c r="B787" s="40"/>
      <c r="C787" s="41"/>
    </row>
    <row r="788" spans="1:3" ht="15" customHeight="1" x14ac:dyDescent="0.35">
      <c r="A788" s="40"/>
      <c r="B788" s="40"/>
      <c r="C788" s="41"/>
    </row>
    <row r="789" spans="1:3" ht="15" customHeight="1" x14ac:dyDescent="0.35">
      <c r="A789" s="40"/>
      <c r="B789" s="40"/>
      <c r="C789" s="41"/>
    </row>
    <row r="790" spans="1:3" ht="15" customHeight="1" x14ac:dyDescent="0.35">
      <c r="A790" s="40"/>
      <c r="B790" s="40"/>
      <c r="C790" s="41"/>
    </row>
    <row r="791" spans="1:3" ht="15" customHeight="1" x14ac:dyDescent="0.35">
      <c r="A791" s="40"/>
      <c r="B791" s="40"/>
      <c r="C791" s="41"/>
    </row>
    <row r="792" spans="1:3" ht="15" customHeight="1" x14ac:dyDescent="0.35">
      <c r="A792" s="40"/>
      <c r="B792" s="40"/>
      <c r="C792" s="41"/>
    </row>
    <row r="793" spans="1:3" ht="15" customHeight="1" x14ac:dyDescent="0.35">
      <c r="A793" s="40"/>
      <c r="B793" s="40"/>
      <c r="C793" s="41"/>
    </row>
    <row r="794" spans="1:3" ht="15" customHeight="1" x14ac:dyDescent="0.35">
      <c r="A794" s="40"/>
      <c r="B794" s="40"/>
      <c r="C794" s="41"/>
    </row>
    <row r="795" spans="1:3" ht="15" customHeight="1" x14ac:dyDescent="0.35">
      <c r="A795" s="40"/>
      <c r="B795" s="40"/>
      <c r="C795" s="41"/>
    </row>
    <row r="796" spans="1:3" ht="15" customHeight="1" x14ac:dyDescent="0.35">
      <c r="A796" s="40"/>
      <c r="B796" s="40"/>
      <c r="C796" s="41"/>
    </row>
    <row r="797" spans="1:3" ht="15" customHeight="1" x14ac:dyDescent="0.35">
      <c r="A797" s="40"/>
      <c r="B797" s="40"/>
      <c r="C797" s="41"/>
    </row>
    <row r="798" spans="1:3" ht="15" customHeight="1" x14ac:dyDescent="0.35">
      <c r="A798" s="40"/>
      <c r="B798" s="40"/>
      <c r="C798" s="41"/>
    </row>
    <row r="799" spans="1:3" ht="15" customHeight="1" x14ac:dyDescent="0.35">
      <c r="A799" s="40"/>
      <c r="B799" s="40"/>
      <c r="C799" s="41"/>
    </row>
    <row r="800" spans="1:3" ht="15" customHeight="1" x14ac:dyDescent="0.35">
      <c r="A800" s="40"/>
      <c r="B800" s="40"/>
      <c r="C800" s="41"/>
    </row>
    <row r="801" spans="1:3" ht="15" customHeight="1" x14ac:dyDescent="0.35">
      <c r="A801" s="40"/>
      <c r="B801" s="40"/>
      <c r="C801" s="41"/>
    </row>
    <row r="802" spans="1:3" ht="15" customHeight="1" x14ac:dyDescent="0.35">
      <c r="A802" s="40"/>
      <c r="B802" s="40"/>
      <c r="C802" s="41"/>
    </row>
    <row r="803" spans="1:3" ht="15" customHeight="1" x14ac:dyDescent="0.35">
      <c r="A803" s="40"/>
      <c r="B803" s="40"/>
      <c r="C803" s="41"/>
    </row>
    <row r="804" spans="1:3" ht="15" customHeight="1" x14ac:dyDescent="0.35">
      <c r="A804" s="40"/>
      <c r="B804" s="40"/>
      <c r="C804" s="41"/>
    </row>
    <row r="805" spans="1:3" ht="15" customHeight="1" x14ac:dyDescent="0.35">
      <c r="A805" s="40"/>
      <c r="B805" s="40"/>
      <c r="C805" s="41"/>
    </row>
    <row r="806" spans="1:3" ht="15" customHeight="1" x14ac:dyDescent="0.35">
      <c r="A806" s="40"/>
      <c r="B806" s="40"/>
      <c r="C806" s="41"/>
    </row>
    <row r="807" spans="1:3" ht="15" customHeight="1" x14ac:dyDescent="0.35">
      <c r="A807" s="40"/>
      <c r="B807" s="40"/>
      <c r="C807" s="41"/>
    </row>
    <row r="808" spans="1:3" ht="15" customHeight="1" x14ac:dyDescent="0.35">
      <c r="A808" s="40"/>
      <c r="B808" s="40"/>
      <c r="C808" s="41"/>
    </row>
    <row r="809" spans="1:3" ht="15" customHeight="1" x14ac:dyDescent="0.35">
      <c r="A809" s="40"/>
      <c r="B809" s="40"/>
      <c r="C809" s="41"/>
    </row>
    <row r="810" spans="1:3" ht="15" customHeight="1" x14ac:dyDescent="0.35">
      <c r="A810" s="40"/>
      <c r="B810" s="40"/>
      <c r="C810" s="41"/>
    </row>
    <row r="811" spans="1:3" ht="15" customHeight="1" x14ac:dyDescent="0.35">
      <c r="A811" s="40"/>
      <c r="B811" s="40"/>
      <c r="C811" s="41"/>
    </row>
    <row r="812" spans="1:3" ht="15" customHeight="1" x14ac:dyDescent="0.35">
      <c r="A812" s="40"/>
      <c r="B812" s="40"/>
      <c r="C812" s="41"/>
    </row>
    <row r="813" spans="1:3" ht="15" customHeight="1" x14ac:dyDescent="0.35">
      <c r="A813" s="40"/>
      <c r="B813" s="40"/>
      <c r="C813" s="41"/>
    </row>
    <row r="814" spans="1:3" ht="15" customHeight="1" x14ac:dyDescent="0.35">
      <c r="A814" s="40"/>
      <c r="B814" s="40"/>
      <c r="C814" s="41"/>
    </row>
    <row r="815" spans="1:3" ht="15" customHeight="1" x14ac:dyDescent="0.35">
      <c r="A815" s="40"/>
      <c r="B815" s="40"/>
      <c r="C815" s="41"/>
    </row>
    <row r="816" spans="1:3" ht="15" customHeight="1" x14ac:dyDescent="0.35">
      <c r="A816" s="40"/>
      <c r="B816" s="40"/>
      <c r="C816" s="41"/>
    </row>
    <row r="817" spans="1:3" ht="15" customHeight="1" x14ac:dyDescent="0.35">
      <c r="A817" s="40"/>
      <c r="B817" s="40"/>
      <c r="C817" s="41"/>
    </row>
    <row r="818" spans="1:3" ht="15" customHeight="1" x14ac:dyDescent="0.35">
      <c r="A818" s="40"/>
      <c r="B818" s="40"/>
      <c r="C818" s="41"/>
    </row>
    <row r="819" spans="1:3" ht="15" customHeight="1" x14ac:dyDescent="0.35">
      <c r="A819" s="40"/>
      <c r="B819" s="40"/>
      <c r="C819" s="41"/>
    </row>
    <row r="820" spans="1:3" ht="15" customHeight="1" x14ac:dyDescent="0.35">
      <c r="A820" s="40"/>
      <c r="B820" s="40"/>
      <c r="C820" s="41"/>
    </row>
    <row r="821" spans="1:3" ht="15" customHeight="1" x14ac:dyDescent="0.35">
      <c r="A821" s="40"/>
      <c r="B821" s="40"/>
      <c r="C821" s="41"/>
    </row>
    <row r="822" spans="1:3" ht="15" customHeight="1" x14ac:dyDescent="0.35">
      <c r="A822" s="40"/>
      <c r="B822" s="40"/>
      <c r="C822" s="41"/>
    </row>
    <row r="823" spans="1:3" ht="15" customHeight="1" x14ac:dyDescent="0.35">
      <c r="A823" s="40"/>
      <c r="B823" s="40"/>
      <c r="C823" s="41"/>
    </row>
    <row r="824" spans="1:3" ht="15" customHeight="1" x14ac:dyDescent="0.35">
      <c r="A824" s="40"/>
      <c r="B824" s="40"/>
      <c r="C824" s="41"/>
    </row>
    <row r="825" spans="1:3" ht="15" customHeight="1" x14ac:dyDescent="0.35">
      <c r="A825" s="40"/>
      <c r="B825" s="40"/>
      <c r="C825" s="41"/>
    </row>
    <row r="826" spans="1:3" ht="15" customHeight="1" x14ac:dyDescent="0.35">
      <c r="A826" s="40"/>
      <c r="B826" s="40"/>
      <c r="C826" s="41"/>
    </row>
    <row r="827" spans="1:3" ht="15" customHeight="1" x14ac:dyDescent="0.35">
      <c r="A827" s="40"/>
      <c r="B827" s="40"/>
      <c r="C827" s="41"/>
    </row>
    <row r="828" spans="1:3" ht="15" customHeight="1" x14ac:dyDescent="0.35">
      <c r="A828" s="40"/>
      <c r="B828" s="40"/>
      <c r="C828" s="41"/>
    </row>
    <row r="829" spans="1:3" ht="15" customHeight="1" x14ac:dyDescent="0.35">
      <c r="A829" s="40"/>
      <c r="B829" s="40"/>
      <c r="C829" s="41"/>
    </row>
    <row r="830" spans="1:3" ht="15" customHeight="1" x14ac:dyDescent="0.35">
      <c r="A830" s="40"/>
      <c r="B830" s="40"/>
      <c r="C830" s="41"/>
    </row>
    <row r="831" spans="1:3" ht="15" customHeight="1" x14ac:dyDescent="0.35">
      <c r="A831" s="40"/>
      <c r="B831" s="40"/>
      <c r="C831" s="41"/>
    </row>
    <row r="832" spans="1:3" ht="15" customHeight="1" x14ac:dyDescent="0.35">
      <c r="A832" s="40"/>
      <c r="B832" s="40"/>
      <c r="C832" s="41"/>
    </row>
    <row r="833" spans="1:3" ht="15" customHeight="1" x14ac:dyDescent="0.35">
      <c r="A833" s="40"/>
      <c r="B833" s="40"/>
      <c r="C833" s="41"/>
    </row>
    <row r="834" spans="1:3" ht="15" customHeight="1" x14ac:dyDescent="0.35">
      <c r="A834" s="40"/>
      <c r="B834" s="40"/>
      <c r="C834" s="41"/>
    </row>
    <row r="835" spans="1:3" ht="15" customHeight="1" x14ac:dyDescent="0.35">
      <c r="A835" s="40"/>
      <c r="B835" s="40"/>
      <c r="C835" s="41"/>
    </row>
    <row r="836" spans="1:3" ht="15" customHeight="1" x14ac:dyDescent="0.35">
      <c r="A836" s="40"/>
      <c r="B836" s="40"/>
      <c r="C836" s="41"/>
    </row>
    <row r="837" spans="1:3" ht="15" customHeight="1" x14ac:dyDescent="0.35">
      <c r="A837" s="40"/>
      <c r="B837" s="40"/>
      <c r="C837" s="41"/>
    </row>
    <row r="838" spans="1:3" ht="15" customHeight="1" x14ac:dyDescent="0.35">
      <c r="A838" s="40"/>
      <c r="B838" s="40"/>
      <c r="C838" s="41"/>
    </row>
    <row r="839" spans="1:3" ht="15" customHeight="1" x14ac:dyDescent="0.35">
      <c r="A839" s="40"/>
      <c r="B839" s="40"/>
      <c r="C839" s="41"/>
    </row>
    <row r="840" spans="1:3" ht="15" customHeight="1" x14ac:dyDescent="0.35">
      <c r="A840" s="40"/>
      <c r="B840" s="40"/>
      <c r="C840" s="41"/>
    </row>
    <row r="841" spans="1:3" ht="15" customHeight="1" x14ac:dyDescent="0.35">
      <c r="A841" s="40"/>
      <c r="B841" s="40"/>
      <c r="C841" s="41"/>
    </row>
    <row r="842" spans="1:3" ht="15" customHeight="1" x14ac:dyDescent="0.35">
      <c r="A842" s="40"/>
      <c r="B842" s="40"/>
      <c r="C842" s="41"/>
    </row>
    <row r="843" spans="1:3" ht="15" customHeight="1" x14ac:dyDescent="0.35">
      <c r="A843" s="40"/>
      <c r="B843" s="40"/>
      <c r="C843" s="41"/>
    </row>
    <row r="844" spans="1:3" ht="15" customHeight="1" x14ac:dyDescent="0.35">
      <c r="A844" s="40"/>
      <c r="B844" s="40"/>
      <c r="C844" s="41"/>
    </row>
    <row r="845" spans="1:3" ht="15" customHeight="1" x14ac:dyDescent="0.35">
      <c r="A845" s="40"/>
      <c r="B845" s="40"/>
      <c r="C845" s="41"/>
    </row>
    <row r="846" spans="1:3" ht="15" customHeight="1" x14ac:dyDescent="0.35">
      <c r="A846" s="40"/>
      <c r="B846" s="40"/>
      <c r="C846" s="41"/>
    </row>
    <row r="847" spans="1:3" ht="15" customHeight="1" x14ac:dyDescent="0.35">
      <c r="A847" s="40"/>
      <c r="B847" s="40"/>
      <c r="C847" s="41"/>
    </row>
    <row r="848" spans="1:3" ht="15" customHeight="1" x14ac:dyDescent="0.35">
      <c r="A848" s="40"/>
      <c r="B848" s="40"/>
      <c r="C848" s="41"/>
    </row>
    <row r="849" spans="1:3" ht="15" customHeight="1" x14ac:dyDescent="0.35">
      <c r="A849" s="40"/>
      <c r="B849" s="40"/>
      <c r="C849" s="41"/>
    </row>
    <row r="850" spans="1:3" ht="15" customHeight="1" x14ac:dyDescent="0.35">
      <c r="A850" s="40"/>
      <c r="B850" s="40"/>
      <c r="C850" s="41"/>
    </row>
    <row r="851" spans="1:3" ht="15" customHeight="1" x14ac:dyDescent="0.35">
      <c r="A851" s="40"/>
      <c r="B851" s="40"/>
      <c r="C851" s="41"/>
    </row>
    <row r="852" spans="1:3" ht="15" customHeight="1" x14ac:dyDescent="0.35">
      <c r="A852" s="40"/>
      <c r="B852" s="40"/>
      <c r="C852" s="41"/>
    </row>
    <row r="853" spans="1:3" ht="15" customHeight="1" x14ac:dyDescent="0.35">
      <c r="A853" s="40"/>
      <c r="B853" s="40"/>
      <c r="C853" s="41"/>
    </row>
    <row r="854" spans="1:3" ht="15" customHeight="1" x14ac:dyDescent="0.35">
      <c r="A854" s="40"/>
      <c r="B854" s="40"/>
      <c r="C854" s="41"/>
    </row>
    <row r="855" spans="1:3" ht="15" customHeight="1" x14ac:dyDescent="0.35">
      <c r="A855" s="40"/>
      <c r="B855" s="40"/>
      <c r="C855" s="41"/>
    </row>
    <row r="856" spans="1:3" ht="15" customHeight="1" x14ac:dyDescent="0.35">
      <c r="A856" s="40"/>
      <c r="B856" s="40"/>
      <c r="C856" s="41"/>
    </row>
    <row r="857" spans="1:3" ht="15" customHeight="1" x14ac:dyDescent="0.35">
      <c r="A857" s="40"/>
      <c r="B857" s="40"/>
      <c r="C857" s="41"/>
    </row>
    <row r="858" spans="1:3" ht="15" customHeight="1" x14ac:dyDescent="0.35">
      <c r="A858" s="40"/>
      <c r="B858" s="40"/>
      <c r="C858" s="41"/>
    </row>
    <row r="859" spans="1:3" ht="15" customHeight="1" x14ac:dyDescent="0.35">
      <c r="A859" s="40"/>
      <c r="B859" s="40"/>
      <c r="C859" s="41"/>
    </row>
    <row r="860" spans="1:3" ht="15" customHeight="1" x14ac:dyDescent="0.35">
      <c r="A860" s="40"/>
      <c r="B860" s="40"/>
      <c r="C860" s="41"/>
    </row>
    <row r="861" spans="1:3" ht="15" customHeight="1" x14ac:dyDescent="0.35">
      <c r="A861" s="40"/>
      <c r="B861" s="40"/>
      <c r="C861" s="41"/>
    </row>
    <row r="862" spans="1:3" ht="15" customHeight="1" x14ac:dyDescent="0.35">
      <c r="A862" s="40"/>
      <c r="B862" s="40"/>
      <c r="C862" s="41"/>
    </row>
    <row r="863" spans="1:3" ht="15" customHeight="1" x14ac:dyDescent="0.35">
      <c r="A863" s="40"/>
      <c r="B863" s="40"/>
      <c r="C863" s="41"/>
    </row>
    <row r="864" spans="1:3" ht="15" customHeight="1" x14ac:dyDescent="0.35">
      <c r="A864" s="40"/>
      <c r="B864" s="40"/>
      <c r="C864" s="41"/>
    </row>
    <row r="865" spans="1:3" ht="15" customHeight="1" x14ac:dyDescent="0.35">
      <c r="A865" s="40"/>
      <c r="B865" s="40"/>
      <c r="C865" s="41"/>
    </row>
    <row r="866" spans="1:3" ht="15" customHeight="1" x14ac:dyDescent="0.35">
      <c r="A866" s="40"/>
      <c r="B866" s="40"/>
      <c r="C866" s="41"/>
    </row>
    <row r="867" spans="1:3" ht="15" customHeight="1" x14ac:dyDescent="0.35">
      <c r="A867" s="40"/>
      <c r="B867" s="40"/>
      <c r="C867" s="41"/>
    </row>
    <row r="868" spans="1:3" ht="15" customHeight="1" x14ac:dyDescent="0.35">
      <c r="A868" s="40"/>
      <c r="B868" s="40"/>
      <c r="C868" s="41"/>
    </row>
    <row r="869" spans="1:3" ht="15" customHeight="1" x14ac:dyDescent="0.35">
      <c r="A869" s="40"/>
      <c r="B869" s="40"/>
      <c r="C869" s="41"/>
    </row>
    <row r="870" spans="1:3" ht="15" customHeight="1" x14ac:dyDescent="0.35">
      <c r="A870" s="40"/>
      <c r="B870" s="40"/>
      <c r="C870" s="41"/>
    </row>
    <row r="871" spans="1:3" ht="15" customHeight="1" x14ac:dyDescent="0.35">
      <c r="A871" s="40"/>
      <c r="B871" s="40"/>
      <c r="C871" s="41"/>
    </row>
    <row r="872" spans="1:3" ht="15" customHeight="1" x14ac:dyDescent="0.35">
      <c r="A872" s="40"/>
      <c r="B872" s="40"/>
      <c r="C872" s="41"/>
    </row>
    <row r="873" spans="1:3" ht="15" customHeight="1" x14ac:dyDescent="0.35">
      <c r="A873" s="40"/>
      <c r="B873" s="40"/>
      <c r="C873" s="41"/>
    </row>
    <row r="874" spans="1:3" ht="15" customHeight="1" x14ac:dyDescent="0.35">
      <c r="A874" s="40"/>
      <c r="B874" s="40"/>
      <c r="C874" s="41"/>
    </row>
    <row r="875" spans="1:3" ht="15" customHeight="1" x14ac:dyDescent="0.35">
      <c r="A875" s="40"/>
      <c r="B875" s="40"/>
      <c r="C875" s="41"/>
    </row>
    <row r="876" spans="1:3" ht="15" customHeight="1" x14ac:dyDescent="0.35">
      <c r="A876" s="40"/>
      <c r="B876" s="40"/>
      <c r="C876" s="41"/>
    </row>
    <row r="877" spans="1:3" ht="15" customHeight="1" x14ac:dyDescent="0.35">
      <c r="A877" s="40"/>
      <c r="B877" s="40"/>
      <c r="C877" s="41"/>
    </row>
    <row r="878" spans="1:3" ht="15" customHeight="1" x14ac:dyDescent="0.35">
      <c r="A878" s="40"/>
      <c r="B878" s="40"/>
      <c r="C878" s="41"/>
    </row>
    <row r="879" spans="1:3" ht="15" customHeight="1" x14ac:dyDescent="0.35">
      <c r="A879" s="40"/>
      <c r="B879" s="40"/>
      <c r="C879" s="41"/>
    </row>
    <row r="880" spans="1:3" ht="15" customHeight="1" x14ac:dyDescent="0.35">
      <c r="A880" s="40"/>
      <c r="B880" s="40"/>
      <c r="C880" s="41"/>
    </row>
    <row r="881" spans="1:3" ht="15" customHeight="1" x14ac:dyDescent="0.35">
      <c r="A881" s="40"/>
      <c r="B881" s="40"/>
      <c r="C881" s="41"/>
    </row>
    <row r="882" spans="1:3" ht="15" customHeight="1" x14ac:dyDescent="0.35">
      <c r="A882" s="40"/>
      <c r="B882" s="40"/>
      <c r="C882" s="41"/>
    </row>
    <row r="883" spans="1:3" ht="15" customHeight="1" x14ac:dyDescent="0.35">
      <c r="A883" s="40"/>
      <c r="B883" s="40"/>
      <c r="C883" s="41"/>
    </row>
    <row r="884" spans="1:3" ht="15" customHeight="1" x14ac:dyDescent="0.35">
      <c r="A884" s="40"/>
      <c r="B884" s="40"/>
      <c r="C884" s="41"/>
    </row>
    <row r="885" spans="1:3" ht="15" customHeight="1" x14ac:dyDescent="0.35">
      <c r="A885" s="40"/>
      <c r="B885" s="40"/>
      <c r="C885" s="41"/>
    </row>
    <row r="886" spans="1:3" ht="15" customHeight="1" x14ac:dyDescent="0.35">
      <c r="A886" s="40"/>
      <c r="B886" s="40"/>
      <c r="C886" s="41"/>
    </row>
    <row r="887" spans="1:3" ht="15" customHeight="1" x14ac:dyDescent="0.35">
      <c r="A887" s="40"/>
      <c r="B887" s="40"/>
      <c r="C887" s="41"/>
    </row>
    <row r="888" spans="1:3" ht="15" customHeight="1" x14ac:dyDescent="0.35">
      <c r="A888" s="40"/>
      <c r="B888" s="40"/>
      <c r="C888" s="41"/>
    </row>
    <row r="889" spans="1:3" ht="15" customHeight="1" x14ac:dyDescent="0.35">
      <c r="A889" s="40"/>
      <c r="B889" s="40"/>
      <c r="C889" s="41"/>
    </row>
    <row r="890" spans="1:3" ht="15" customHeight="1" x14ac:dyDescent="0.35">
      <c r="A890" s="40"/>
      <c r="B890" s="40"/>
      <c r="C890" s="41"/>
    </row>
    <row r="891" spans="1:3" ht="15" customHeight="1" x14ac:dyDescent="0.35">
      <c r="A891" s="40"/>
      <c r="B891" s="40"/>
      <c r="C891" s="41"/>
    </row>
    <row r="892" spans="1:3" ht="15" customHeight="1" x14ac:dyDescent="0.35">
      <c r="A892" s="40"/>
      <c r="B892" s="40"/>
      <c r="C892" s="41"/>
    </row>
    <row r="893" spans="1:3" ht="15" customHeight="1" x14ac:dyDescent="0.35">
      <c r="A893" s="40"/>
      <c r="B893" s="40"/>
      <c r="C893" s="41"/>
    </row>
    <row r="894" spans="1:3" ht="15" customHeight="1" x14ac:dyDescent="0.35">
      <c r="A894" s="40"/>
      <c r="B894" s="40"/>
      <c r="C894" s="41"/>
    </row>
    <row r="895" spans="1:3" ht="15" customHeight="1" x14ac:dyDescent="0.35">
      <c r="A895" s="40"/>
      <c r="B895" s="40"/>
      <c r="C895" s="41"/>
    </row>
    <row r="896" spans="1:3" ht="15" customHeight="1" x14ac:dyDescent="0.35">
      <c r="A896" s="40"/>
      <c r="B896" s="40"/>
      <c r="C896" s="41"/>
    </row>
    <row r="897" spans="1:3" ht="15" customHeight="1" x14ac:dyDescent="0.35">
      <c r="A897" s="40"/>
      <c r="B897" s="40"/>
      <c r="C897" s="41"/>
    </row>
    <row r="898" spans="1:3" ht="15" customHeight="1" x14ac:dyDescent="0.35">
      <c r="A898" s="40"/>
      <c r="B898" s="40"/>
      <c r="C898" s="41"/>
    </row>
    <row r="899" spans="1:3" ht="15" customHeight="1" x14ac:dyDescent="0.35">
      <c r="A899" s="40"/>
      <c r="B899" s="40"/>
      <c r="C899" s="41"/>
    </row>
    <row r="900" spans="1:3" ht="15" customHeight="1" x14ac:dyDescent="0.35">
      <c r="A900" s="40"/>
      <c r="B900" s="40"/>
      <c r="C900" s="41"/>
    </row>
    <row r="901" spans="1:3" ht="15" customHeight="1" x14ac:dyDescent="0.35">
      <c r="A901" s="40"/>
      <c r="B901" s="40"/>
      <c r="C901" s="41"/>
    </row>
    <row r="902" spans="1:3" ht="15" customHeight="1" x14ac:dyDescent="0.35">
      <c r="A902" s="40"/>
      <c r="B902" s="40"/>
      <c r="C902" s="41"/>
    </row>
    <row r="903" spans="1:3" ht="15" customHeight="1" x14ac:dyDescent="0.35">
      <c r="A903" s="40"/>
      <c r="B903" s="40"/>
      <c r="C903" s="41"/>
    </row>
    <row r="904" spans="1:3" ht="15" customHeight="1" x14ac:dyDescent="0.35">
      <c r="A904" s="40"/>
      <c r="B904" s="40"/>
      <c r="C904" s="41"/>
    </row>
    <row r="905" spans="1:3" ht="15" customHeight="1" x14ac:dyDescent="0.35">
      <c r="A905" s="40"/>
      <c r="B905" s="40"/>
      <c r="C905" s="41"/>
    </row>
    <row r="906" spans="1:3" ht="15" customHeight="1" x14ac:dyDescent="0.35">
      <c r="A906" s="40"/>
      <c r="B906" s="40"/>
      <c r="C906" s="41"/>
    </row>
    <row r="907" spans="1:3" ht="15" customHeight="1" x14ac:dyDescent="0.35">
      <c r="A907" s="40"/>
      <c r="B907" s="40"/>
      <c r="C907" s="41"/>
    </row>
    <row r="908" spans="1:3" ht="15" customHeight="1" x14ac:dyDescent="0.35">
      <c r="A908" s="40"/>
      <c r="B908" s="40"/>
      <c r="C908" s="41"/>
    </row>
    <row r="909" spans="1:3" ht="15" customHeight="1" x14ac:dyDescent="0.35">
      <c r="A909" s="40"/>
      <c r="B909" s="40"/>
      <c r="C909" s="41"/>
    </row>
    <row r="910" spans="1:3" ht="15" customHeight="1" x14ac:dyDescent="0.35">
      <c r="A910" s="40"/>
      <c r="B910" s="40"/>
      <c r="C910" s="41"/>
    </row>
    <row r="911" spans="1:3" ht="15" customHeight="1" x14ac:dyDescent="0.35">
      <c r="A911" s="40"/>
      <c r="B911" s="40"/>
      <c r="C911" s="41"/>
    </row>
    <row r="912" spans="1:3" ht="15" customHeight="1" x14ac:dyDescent="0.35">
      <c r="A912" s="40"/>
      <c r="B912" s="40"/>
      <c r="C912" s="41"/>
    </row>
    <row r="913" spans="1:3" ht="15" customHeight="1" x14ac:dyDescent="0.35">
      <c r="A913" s="40"/>
      <c r="B913" s="40"/>
      <c r="C913" s="41"/>
    </row>
    <row r="914" spans="1:3" ht="15" customHeight="1" x14ac:dyDescent="0.35">
      <c r="A914" s="40"/>
      <c r="B914" s="40"/>
      <c r="C914" s="41"/>
    </row>
    <row r="915" spans="1:3" ht="15" customHeight="1" x14ac:dyDescent="0.35">
      <c r="A915" s="40"/>
      <c r="B915" s="40"/>
      <c r="C915" s="41"/>
    </row>
    <row r="916" spans="1:3" ht="15" customHeight="1" x14ac:dyDescent="0.35">
      <c r="A916" s="40"/>
      <c r="B916" s="40"/>
      <c r="C916" s="41"/>
    </row>
    <row r="917" spans="1:3" ht="15" customHeight="1" x14ac:dyDescent="0.35">
      <c r="A917" s="40"/>
      <c r="B917" s="40"/>
      <c r="C917" s="41"/>
    </row>
    <row r="918" spans="1:3" ht="15" customHeight="1" x14ac:dyDescent="0.35">
      <c r="A918" s="40"/>
      <c r="B918" s="40"/>
      <c r="C918" s="41"/>
    </row>
    <row r="919" spans="1:3" ht="15" customHeight="1" x14ac:dyDescent="0.35">
      <c r="A919" s="40"/>
      <c r="B919" s="40"/>
      <c r="C919" s="41"/>
    </row>
    <row r="920" spans="1:3" ht="15" customHeight="1" x14ac:dyDescent="0.35">
      <c r="A920" s="40"/>
      <c r="B920" s="40"/>
      <c r="C920" s="41"/>
    </row>
    <row r="921" spans="1:3" ht="15" customHeight="1" x14ac:dyDescent="0.35">
      <c r="A921" s="40"/>
      <c r="B921" s="40"/>
      <c r="C921" s="41"/>
    </row>
    <row r="922" spans="1:3" ht="15" customHeight="1" x14ac:dyDescent="0.35">
      <c r="A922" s="40"/>
      <c r="B922" s="40"/>
      <c r="C922" s="41"/>
    </row>
    <row r="923" spans="1:3" ht="15" customHeight="1" x14ac:dyDescent="0.35">
      <c r="A923" s="40"/>
      <c r="B923" s="40"/>
      <c r="C923" s="41"/>
    </row>
    <row r="924" spans="1:3" ht="15" customHeight="1" x14ac:dyDescent="0.35">
      <c r="A924" s="40"/>
      <c r="B924" s="40"/>
      <c r="C924" s="41"/>
    </row>
    <row r="925" spans="1:3" ht="15" customHeight="1" x14ac:dyDescent="0.35">
      <c r="A925" s="40"/>
      <c r="B925" s="40"/>
      <c r="C925" s="41"/>
    </row>
    <row r="926" spans="1:3" ht="15" customHeight="1" x14ac:dyDescent="0.35">
      <c r="A926" s="40"/>
      <c r="B926" s="40"/>
      <c r="C926" s="41"/>
    </row>
    <row r="927" spans="1:3" ht="15" customHeight="1" x14ac:dyDescent="0.35">
      <c r="A927" s="40"/>
      <c r="B927" s="40"/>
      <c r="C927" s="41"/>
    </row>
    <row r="928" spans="1:3" ht="15" customHeight="1" x14ac:dyDescent="0.35">
      <c r="A928" s="40"/>
      <c r="B928" s="40"/>
      <c r="C928" s="41"/>
    </row>
    <row r="929" spans="1:3" ht="15" customHeight="1" x14ac:dyDescent="0.35">
      <c r="A929" s="40"/>
      <c r="B929" s="40"/>
      <c r="C929" s="41"/>
    </row>
    <row r="930" spans="1:3" ht="15" customHeight="1" x14ac:dyDescent="0.35">
      <c r="A930" s="40"/>
      <c r="B930" s="40"/>
      <c r="C930" s="41"/>
    </row>
    <row r="931" spans="1:3" ht="15" customHeight="1" x14ac:dyDescent="0.35">
      <c r="A931" s="40"/>
      <c r="B931" s="40"/>
      <c r="C931" s="41"/>
    </row>
    <row r="932" spans="1:3" ht="15" customHeight="1" x14ac:dyDescent="0.35">
      <c r="A932" s="40"/>
      <c r="B932" s="40"/>
      <c r="C932" s="41"/>
    </row>
    <row r="933" spans="1:3" ht="15" customHeight="1" x14ac:dyDescent="0.35">
      <c r="A933" s="40"/>
      <c r="B933" s="40"/>
      <c r="C933" s="41"/>
    </row>
    <row r="934" spans="1:3" ht="15" customHeight="1" x14ac:dyDescent="0.35">
      <c r="A934" s="40"/>
      <c r="B934" s="40"/>
      <c r="C934" s="41"/>
    </row>
    <row r="935" spans="1:3" ht="15" customHeight="1" x14ac:dyDescent="0.35">
      <c r="A935" s="40"/>
      <c r="B935" s="40"/>
      <c r="C935" s="41"/>
    </row>
    <row r="936" spans="1:3" ht="15" customHeight="1" x14ac:dyDescent="0.35">
      <c r="A936" s="40"/>
      <c r="B936" s="40"/>
      <c r="C936" s="41"/>
    </row>
    <row r="937" spans="1:3" ht="15" customHeight="1" x14ac:dyDescent="0.35">
      <c r="A937" s="40"/>
      <c r="B937" s="40"/>
      <c r="C937" s="41"/>
    </row>
    <row r="938" spans="1:3" ht="15" customHeight="1" x14ac:dyDescent="0.35">
      <c r="A938" s="40"/>
      <c r="B938" s="40"/>
      <c r="C938" s="41"/>
    </row>
    <row r="939" spans="1:3" ht="15" customHeight="1" x14ac:dyDescent="0.35">
      <c r="A939" s="40"/>
      <c r="B939" s="40"/>
      <c r="C939" s="41"/>
    </row>
    <row r="940" spans="1:3" ht="15" customHeight="1" x14ac:dyDescent="0.35">
      <c r="A940" s="40"/>
      <c r="B940" s="40"/>
      <c r="C940" s="41"/>
    </row>
    <row r="941" spans="1:3" ht="15" customHeight="1" x14ac:dyDescent="0.35">
      <c r="A941" s="40"/>
      <c r="B941" s="40"/>
      <c r="C941" s="41"/>
    </row>
    <row r="942" spans="1:3" ht="15" customHeight="1" x14ac:dyDescent="0.35">
      <c r="A942" s="40"/>
      <c r="B942" s="40"/>
      <c r="C942" s="41"/>
    </row>
    <row r="943" spans="1:3" ht="15" customHeight="1" x14ac:dyDescent="0.35">
      <c r="A943" s="40"/>
      <c r="B943" s="40"/>
      <c r="C943" s="41"/>
    </row>
    <row r="944" spans="1:3" ht="15" customHeight="1" x14ac:dyDescent="0.35">
      <c r="A944" s="40"/>
      <c r="B944" s="40"/>
      <c r="C944" s="41"/>
    </row>
    <row r="945" spans="1:3" ht="15" customHeight="1" x14ac:dyDescent="0.35">
      <c r="A945" s="40"/>
      <c r="B945" s="40"/>
      <c r="C945" s="41"/>
    </row>
    <row r="946" spans="1:3" ht="15" customHeight="1" x14ac:dyDescent="0.35">
      <c r="A946" s="40"/>
      <c r="B946" s="40"/>
      <c r="C946" s="41"/>
    </row>
    <row r="947" spans="1:3" ht="15" customHeight="1" x14ac:dyDescent="0.35">
      <c r="A947" s="40"/>
      <c r="B947" s="40"/>
      <c r="C947" s="41"/>
    </row>
    <row r="948" spans="1:3" ht="15" customHeight="1" x14ac:dyDescent="0.35">
      <c r="A948" s="40"/>
      <c r="B948" s="40"/>
      <c r="C948" s="41"/>
    </row>
    <row r="949" spans="1:3" ht="15" customHeight="1" x14ac:dyDescent="0.35">
      <c r="A949" s="40"/>
      <c r="B949" s="40"/>
      <c r="C949" s="41"/>
    </row>
    <row r="950" spans="1:3" ht="15" customHeight="1" x14ac:dyDescent="0.35">
      <c r="A950" s="40"/>
      <c r="B950" s="40"/>
      <c r="C950" s="41"/>
    </row>
    <row r="951" spans="1:3" ht="15" customHeight="1" x14ac:dyDescent="0.35">
      <c r="A951" s="40"/>
      <c r="B951" s="40"/>
      <c r="C951" s="41"/>
    </row>
    <row r="952" spans="1:3" ht="15" customHeight="1" x14ac:dyDescent="0.35">
      <c r="A952" s="40"/>
      <c r="B952" s="40"/>
      <c r="C952" s="41"/>
    </row>
    <row r="953" spans="1:3" ht="15" customHeight="1" x14ac:dyDescent="0.35">
      <c r="A953" s="40"/>
      <c r="B953" s="40"/>
      <c r="C953" s="41"/>
    </row>
    <row r="954" spans="1:3" ht="15" customHeight="1" x14ac:dyDescent="0.35">
      <c r="A954" s="40"/>
      <c r="B954" s="40"/>
      <c r="C954" s="41"/>
    </row>
    <row r="955" spans="1:3" ht="15" customHeight="1" x14ac:dyDescent="0.35">
      <c r="A955" s="40"/>
      <c r="B955" s="40"/>
      <c r="C955" s="41"/>
    </row>
    <row r="956" spans="1:3" ht="15" customHeight="1" x14ac:dyDescent="0.35">
      <c r="A956" s="40"/>
      <c r="B956" s="40"/>
      <c r="C956" s="41"/>
    </row>
    <row r="957" spans="1:3" ht="15" customHeight="1" x14ac:dyDescent="0.35">
      <c r="A957" s="40"/>
      <c r="B957" s="40"/>
      <c r="C957" s="41"/>
    </row>
    <row r="958" spans="1:3" ht="15" customHeight="1" x14ac:dyDescent="0.35">
      <c r="A958" s="40"/>
      <c r="B958" s="40"/>
      <c r="C958" s="41"/>
    </row>
    <row r="959" spans="1:3" ht="15" customHeight="1" x14ac:dyDescent="0.35">
      <c r="A959" s="40"/>
      <c r="B959" s="40"/>
      <c r="C959" s="41"/>
    </row>
    <row r="960" spans="1:3" ht="15" customHeight="1" x14ac:dyDescent="0.35">
      <c r="A960" s="40"/>
      <c r="B960" s="40"/>
      <c r="C960" s="41"/>
    </row>
    <row r="961" spans="1:3" ht="15" customHeight="1" x14ac:dyDescent="0.35">
      <c r="A961" s="40"/>
      <c r="B961" s="40"/>
      <c r="C961" s="41"/>
    </row>
    <row r="962" spans="1:3" ht="15" customHeight="1" x14ac:dyDescent="0.35">
      <c r="A962" s="40"/>
      <c r="B962" s="40"/>
      <c r="C962" s="41"/>
    </row>
    <row r="963" spans="1:3" ht="15" customHeight="1" x14ac:dyDescent="0.35">
      <c r="A963" s="40"/>
      <c r="B963" s="40"/>
      <c r="C963" s="41"/>
    </row>
    <row r="964" spans="1:3" ht="15" customHeight="1" x14ac:dyDescent="0.35">
      <c r="A964" s="40"/>
      <c r="B964" s="40"/>
      <c r="C964" s="41"/>
    </row>
    <row r="965" spans="1:3" ht="15" customHeight="1" x14ac:dyDescent="0.35">
      <c r="A965" s="40"/>
      <c r="B965" s="40"/>
      <c r="C965" s="41"/>
    </row>
    <row r="966" spans="1:3" ht="15" customHeight="1" x14ac:dyDescent="0.35">
      <c r="A966" s="40"/>
      <c r="B966" s="40"/>
      <c r="C966" s="41"/>
    </row>
    <row r="967" spans="1:3" ht="15" customHeight="1" x14ac:dyDescent="0.35">
      <c r="A967" s="40"/>
      <c r="B967" s="40"/>
      <c r="C967" s="41"/>
    </row>
    <row r="968" spans="1:3" ht="15" customHeight="1" x14ac:dyDescent="0.35">
      <c r="A968" s="40"/>
      <c r="B968" s="40"/>
      <c r="C968" s="41"/>
    </row>
  </sheetData>
  <mergeCells count="8">
    <mergeCell ref="N12:P12"/>
    <mergeCell ref="N13:P13"/>
    <mergeCell ref="N14:P14"/>
    <mergeCell ref="A1:Z1"/>
    <mergeCell ref="B9:E10"/>
    <mergeCell ref="G9:L10"/>
    <mergeCell ref="N9:U10"/>
    <mergeCell ref="W9:Z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45" workbookViewId="0">
      <selection activeCell="J40" sqref="J40"/>
    </sheetView>
  </sheetViews>
  <sheetFormatPr defaultColWidth="11.3046875" defaultRowHeight="15" customHeight="1" x14ac:dyDescent="0.35"/>
  <cols>
    <col min="1" max="1" width="29" customWidth="1"/>
    <col min="2" max="2" width="32.3046875" customWidth="1"/>
    <col min="3" max="3" width="11.69140625" customWidth="1"/>
    <col min="4" max="4" width="12.69140625" customWidth="1"/>
    <col min="5" max="6" width="10.53515625" customWidth="1"/>
    <col min="7" max="7" width="12.53515625" customWidth="1"/>
    <col min="8" max="8" width="14.4609375" customWidth="1"/>
    <col min="9" max="9" width="14.53515625" customWidth="1"/>
    <col min="10" max="25" width="10.53515625" customWidth="1"/>
  </cols>
  <sheetData>
    <row r="1" spans="1:9" ht="21" customHeight="1" x14ac:dyDescent="0.35">
      <c r="A1" s="460" t="s">
        <v>0</v>
      </c>
      <c r="B1" s="452"/>
      <c r="C1" s="452"/>
      <c r="D1" s="452"/>
      <c r="E1" s="452"/>
      <c r="F1" s="452"/>
      <c r="G1" s="452"/>
    </row>
    <row r="2" spans="1:9" ht="15.75" customHeight="1" x14ac:dyDescent="0.35">
      <c r="G2" s="1"/>
      <c r="H2" s="1"/>
      <c r="I2" s="1"/>
    </row>
    <row r="3" spans="1:9" ht="15.75" customHeight="1" x14ac:dyDescent="0.35">
      <c r="B3" s="2" t="s">
        <v>1</v>
      </c>
      <c r="C3" s="3">
        <f>Calculations!H26</f>
        <v>5131000000</v>
      </c>
      <c r="G3" s="1"/>
      <c r="H3" s="1"/>
      <c r="I3" s="1"/>
    </row>
    <row r="4" spans="1:9" ht="15.75" customHeight="1" x14ac:dyDescent="0.35">
      <c r="B4" s="4" t="s">
        <v>2</v>
      </c>
      <c r="C4" s="3">
        <f>Calculations!H27</f>
        <v>6.2299999999999995</v>
      </c>
      <c r="G4" s="1"/>
      <c r="H4" s="1"/>
      <c r="I4" s="1"/>
    </row>
    <row r="5" spans="1:9" ht="15.75" customHeight="1" x14ac:dyDescent="0.35">
      <c r="G5" s="1"/>
      <c r="H5" s="1"/>
      <c r="I5" s="1"/>
    </row>
    <row r="6" spans="1:9" ht="15.75" customHeight="1" x14ac:dyDescent="0.35">
      <c r="B6" s="1" t="s">
        <v>3</v>
      </c>
      <c r="C6" s="5" t="s">
        <v>4</v>
      </c>
      <c r="D6" s="6" t="s">
        <v>5</v>
      </c>
      <c r="E6" s="7" t="s">
        <v>6</v>
      </c>
      <c r="F6" s="1"/>
      <c r="G6" s="1"/>
      <c r="H6" s="8"/>
      <c r="I6" s="1"/>
    </row>
    <row r="7" spans="1:9" ht="15.75" customHeight="1" x14ac:dyDescent="0.35">
      <c r="B7" s="1" t="s">
        <v>7</v>
      </c>
      <c r="C7" s="9">
        <f>Calculations!F9</f>
        <v>6400</v>
      </c>
      <c r="D7" s="10">
        <v>375</v>
      </c>
      <c r="E7" s="11">
        <v>400</v>
      </c>
      <c r="F7" s="1"/>
      <c r="G7" s="1"/>
      <c r="I7" s="1"/>
    </row>
    <row r="8" spans="1:9" ht="15.75" customHeight="1" x14ac:dyDescent="0.35">
      <c r="B8" s="1" t="s">
        <v>8</v>
      </c>
      <c r="C8" s="12">
        <f>C7*100</f>
        <v>640000</v>
      </c>
      <c r="D8" s="13">
        <f>D7*100</f>
        <v>37500</v>
      </c>
      <c r="E8" s="11">
        <f>E7*100</f>
        <v>40000</v>
      </c>
      <c r="F8" s="1"/>
      <c r="G8" s="1"/>
      <c r="I8" s="1"/>
    </row>
    <row r="9" spans="1:9" ht="15.75" customHeight="1" x14ac:dyDescent="0.35">
      <c r="B9" s="1" t="s">
        <v>9</v>
      </c>
      <c r="C9" s="14">
        <v>3</v>
      </c>
      <c r="D9" s="13">
        <v>2.6</v>
      </c>
      <c r="E9" s="11">
        <v>1.7</v>
      </c>
      <c r="F9" s="1"/>
      <c r="G9" s="1"/>
      <c r="I9" s="1"/>
    </row>
    <row r="10" spans="1:9" ht="15.75" customHeight="1" x14ac:dyDescent="0.35">
      <c r="A10" s="461" t="s">
        <v>10</v>
      </c>
      <c r="B10" s="15" t="s">
        <v>11</v>
      </c>
      <c r="C10" s="16">
        <f>'Best estimates slab'!D12</f>
        <v>6.9966516024473999E-7</v>
      </c>
      <c r="D10" s="16">
        <f>'Best estimates slab'!D27</f>
        <v>1.7134656985585469E-7</v>
      </c>
      <c r="E10" s="16">
        <f>'Best estimates slab'!D42</f>
        <v>3.0271227341200995E-5</v>
      </c>
      <c r="G10" s="1"/>
      <c r="I10" s="1"/>
    </row>
    <row r="11" spans="1:9" ht="15.75" customHeight="1" x14ac:dyDescent="0.35">
      <c r="A11" s="462"/>
      <c r="B11" s="17" t="s">
        <v>12</v>
      </c>
      <c r="C11" s="16">
        <f>'Best estimates slab'!D13</f>
        <v>1.5499999999999999E-15</v>
      </c>
      <c r="D11" s="16">
        <f>'Best estimates slab'!D28</f>
        <v>8.5099999999999998E-14</v>
      </c>
      <c r="E11" s="16">
        <f>'Best estimates slab'!D43</f>
        <v>4.0599999999999997E-15</v>
      </c>
      <c r="I11" s="1"/>
    </row>
    <row r="12" spans="1:9" ht="15.75" customHeight="1" x14ac:dyDescent="0.35">
      <c r="A12" s="462"/>
      <c r="B12" s="17" t="s">
        <v>13</v>
      </c>
      <c r="C12" s="16">
        <f>'Best estimates slab'!D14</f>
        <v>8.9200000000000001E-14</v>
      </c>
      <c r="D12" s="16">
        <f>'Best estimates slab'!D29</f>
        <v>3.0299999999999998E-12</v>
      </c>
      <c r="E12" s="16">
        <f>'Best estimates slab'!D44</f>
        <v>4.2999999999999999E-12</v>
      </c>
      <c r="I12" s="1"/>
    </row>
    <row r="13" spans="1:9" ht="15.75" customHeight="1" x14ac:dyDescent="0.35">
      <c r="A13" s="462"/>
      <c r="B13" s="17" t="s">
        <v>14</v>
      </c>
      <c r="C13" s="16">
        <f>'Best estimates slab'!D15</f>
        <v>3.2100000000000001E-15</v>
      </c>
      <c r="D13" s="16">
        <f>'Best estimates slab'!D30</f>
        <v>1.07E-13</v>
      </c>
      <c r="E13" s="16">
        <f>'Best estimates slab'!D45</f>
        <v>6.0099999999999996E-13</v>
      </c>
      <c r="I13" s="1"/>
    </row>
    <row r="14" spans="1:9" ht="15.75" customHeight="1" x14ac:dyDescent="0.35">
      <c r="A14" s="462"/>
      <c r="B14" s="17" t="s">
        <v>15</v>
      </c>
      <c r="C14" s="16">
        <f>'Best estimates slab'!D16</f>
        <v>1.7800000000000001E-16</v>
      </c>
      <c r="D14" s="16">
        <f>'Best estimates slab'!D31</f>
        <v>2.04E-15</v>
      </c>
      <c r="E14" s="16">
        <f>'Best estimates slab'!D46</f>
        <v>1E-14</v>
      </c>
      <c r="I14" s="1"/>
    </row>
    <row r="15" spans="1:9" ht="15.75" customHeight="1" x14ac:dyDescent="0.35">
      <c r="A15" s="462"/>
      <c r="B15" s="18" t="s">
        <v>16</v>
      </c>
      <c r="C15" s="16">
        <f>'Best estimates slab'!D17</f>
        <v>5.5509297807382731E-4</v>
      </c>
      <c r="D15" s="16">
        <f>'Best estimates slab'!D32</f>
        <v>7.2162087149597555E-3</v>
      </c>
      <c r="E15" s="16">
        <f>'Best estimates slab'!D47</f>
        <v>3.9399999999999999E-3</v>
      </c>
      <c r="I15" s="1"/>
    </row>
    <row r="16" spans="1:9" ht="15.75" customHeight="1" x14ac:dyDescent="0.35">
      <c r="A16" s="462"/>
      <c r="B16" s="17" t="s">
        <v>17</v>
      </c>
      <c r="C16" s="19">
        <f>'Best estimates slab'!D18</f>
        <v>4.1631973355537055E-5</v>
      </c>
      <c r="D16" s="16">
        <f>'Best estimates slab'!D33</f>
        <v>4.2464612822647797E-5</v>
      </c>
      <c r="E16" s="16">
        <f>'Best estimates slab'!D48</f>
        <v>2.1648626144879267E-3</v>
      </c>
      <c r="G16" s="20"/>
      <c r="I16" s="1"/>
    </row>
    <row r="17" spans="1:9" ht="15.75" customHeight="1" x14ac:dyDescent="0.35">
      <c r="A17" s="462"/>
      <c r="B17" s="18" t="s">
        <v>18</v>
      </c>
      <c r="C17" s="16">
        <f>'Best estimates slab'!D19</f>
        <v>3.430531732418525E-5</v>
      </c>
      <c r="D17" s="16">
        <f>'Best estimates slab'!D34</f>
        <v>2.8504600031186653E-5</v>
      </c>
      <c r="E17" s="16">
        <f>'Best estimates slab'!D49</f>
        <v>1.64E-4</v>
      </c>
      <c r="H17" s="1"/>
      <c r="I17" s="1"/>
    </row>
    <row r="18" spans="1:9" ht="15.75" customHeight="1" x14ac:dyDescent="0.35">
      <c r="A18" s="462"/>
      <c r="B18" s="18" t="s">
        <v>19</v>
      </c>
      <c r="C18" s="16">
        <f>'Best estimates slab'!D20</f>
        <v>5.5799999999999999E-6</v>
      </c>
      <c r="D18" s="16">
        <f>'Best estimates slab'!D35</f>
        <v>1.7770005359207965E-5</v>
      </c>
      <c r="E18" s="16">
        <f>'Best estimates slab'!D50</f>
        <v>1.33E-5</v>
      </c>
      <c r="G18" s="21"/>
      <c r="H18" s="1"/>
      <c r="I18" s="1"/>
    </row>
    <row r="19" spans="1:9" ht="15.75" customHeight="1" x14ac:dyDescent="0.35">
      <c r="A19" s="462"/>
      <c r="B19" s="18" t="s">
        <v>20</v>
      </c>
      <c r="C19" s="16">
        <f>'Best estimates slab'!D21</f>
        <v>5.6799999999999998E-6</v>
      </c>
      <c r="D19" s="16">
        <f>'Best estimates slab'!D36</f>
        <v>1.9475321162520872E-6</v>
      </c>
      <c r="E19" s="16">
        <f>'Best estimates slab'!D51</f>
        <v>3.0700000000000001E-5</v>
      </c>
      <c r="G19" s="21"/>
      <c r="H19" s="1"/>
      <c r="I19" s="1"/>
    </row>
    <row r="20" spans="1:9" ht="15.75" customHeight="1" x14ac:dyDescent="0.35">
      <c r="A20" s="462"/>
      <c r="B20" s="18" t="s">
        <v>21</v>
      </c>
      <c r="C20" s="16">
        <f>'Best estimates slab'!D22</f>
        <v>7.7300000000000004E-9</v>
      </c>
      <c r="D20" s="16">
        <f>'Best estimates slab'!D37</f>
        <v>6.8832599118942742E-8</v>
      </c>
      <c r="E20" s="16">
        <f>'Best estimates slab'!D52</f>
        <v>3.9999999999999998E-7</v>
      </c>
      <c r="G20" s="1"/>
    </row>
    <row r="21" spans="1:9" ht="15.75" customHeight="1" x14ac:dyDescent="0.35">
      <c r="A21" s="463"/>
      <c r="B21" s="22" t="s">
        <v>22</v>
      </c>
      <c r="C21" s="16">
        <f>'Best estimates slab'!D23</f>
        <v>7.0899999999999996E-11</v>
      </c>
      <c r="D21" s="16">
        <f>'Best estimates slab'!D38</f>
        <v>4.5703669854970432E-9</v>
      </c>
      <c r="E21" s="16">
        <f>'Best estimates slab'!D53</f>
        <v>1.18E-7</v>
      </c>
      <c r="G21" s="1"/>
    </row>
    <row r="22" spans="1:9" ht="15.75" customHeight="1" x14ac:dyDescent="0.35">
      <c r="B22" s="1"/>
      <c r="C22" s="23"/>
      <c r="D22" s="23"/>
      <c r="E22" s="23"/>
      <c r="F22" s="24"/>
      <c r="G22" s="1"/>
    </row>
    <row r="23" spans="1:9" ht="15.75" customHeight="1" x14ac:dyDescent="0.35">
      <c r="B23" s="1" t="s">
        <v>23</v>
      </c>
      <c r="C23" s="12">
        <f>C8*$C$3*$C$4</f>
        <v>2.04583232E+16</v>
      </c>
      <c r="D23" s="25">
        <f>D8*$C$3*$C$4</f>
        <v>1198729875000000</v>
      </c>
      <c r="E23" s="26">
        <f>E8*$C$3*Subduction!$C$4</f>
        <v>1278645200000000</v>
      </c>
      <c r="F23" s="1"/>
      <c r="G23" s="1"/>
    </row>
    <row r="24" spans="1:9" ht="15.75" customHeight="1" x14ac:dyDescent="0.35">
      <c r="B24" s="27" t="s">
        <v>24</v>
      </c>
      <c r="C24" s="12">
        <f>C23*C9</f>
        <v>6.13749696E+16</v>
      </c>
      <c r="D24" s="25">
        <f>D23*D9</f>
        <v>3116697675000000</v>
      </c>
      <c r="E24" s="26">
        <f>E23*E9</f>
        <v>2173696840000000</v>
      </c>
      <c r="F24" s="28" t="s">
        <v>25</v>
      </c>
      <c r="G24" s="21">
        <f>SUM(C24:E24)</f>
        <v>6.6665364115E+16</v>
      </c>
      <c r="H24" s="1"/>
      <c r="I24" s="1"/>
    </row>
    <row r="25" spans="1:9" ht="15.75" customHeight="1" x14ac:dyDescent="0.35">
      <c r="B25" s="1" t="s">
        <v>26</v>
      </c>
      <c r="C25" s="29">
        <f>C24/SUM($C24:$E24)</f>
        <v>0.92064253176696231</v>
      </c>
      <c r="D25" s="30">
        <f>D24/SUM($C24:$E24)</f>
        <v>4.6751378566291059E-2</v>
      </c>
      <c r="E25" s="31">
        <f>E24/SUM($C24:$E24)</f>
        <v>3.2606089666746586E-2</v>
      </c>
      <c r="F25" s="1"/>
      <c r="G25" s="1"/>
      <c r="H25" s="1"/>
      <c r="I25" s="1"/>
    </row>
    <row r="26" spans="1:9" ht="15.75" customHeight="1" x14ac:dyDescent="0.35">
      <c r="H26" s="1"/>
      <c r="I26" s="1"/>
    </row>
    <row r="27" spans="1:9" ht="15.75" customHeight="1" x14ac:dyDescent="0.35">
      <c r="A27" s="464" t="s">
        <v>27</v>
      </c>
      <c r="B27" s="15" t="s">
        <v>28</v>
      </c>
      <c r="C27" s="32">
        <f t="shared" ref="C27:C38" si="0">$C$25*C10+$D$25*D10+$E$25*E10</f>
        <v>1.6391785458798918E-6</v>
      </c>
    </row>
    <row r="28" spans="1:9" ht="15.75" customHeight="1" x14ac:dyDescent="0.35">
      <c r="A28" s="465"/>
      <c r="B28" s="17" t="s">
        <v>29</v>
      </c>
      <c r="C28" s="32">
        <f t="shared" si="0"/>
        <v>5.5379189642771518E-15</v>
      </c>
    </row>
    <row r="29" spans="1:9" ht="15.75" customHeight="1" x14ac:dyDescent="0.35">
      <c r="A29" s="465"/>
      <c r="B29" s="17" t="s">
        <v>30</v>
      </c>
      <c r="C29" s="32">
        <f t="shared" si="0"/>
        <v>3.6398417645648524E-13</v>
      </c>
    </row>
    <row r="30" spans="1:9" ht="15.75" customHeight="1" x14ac:dyDescent="0.35">
      <c r="A30" s="465"/>
      <c r="B30" s="17" t="s">
        <v>31</v>
      </c>
      <c r="C30" s="32">
        <f t="shared" si="0"/>
        <v>2.7553919923279788E-14</v>
      </c>
    </row>
    <row r="31" spans="1:9" ht="15.75" customHeight="1" x14ac:dyDescent="0.35">
      <c r="A31" s="465"/>
      <c r="B31" s="17" t="s">
        <v>32</v>
      </c>
      <c r="C31" s="32">
        <f t="shared" si="0"/>
        <v>5.8530807959721895E-16</v>
      </c>
    </row>
    <row r="32" spans="1:9" ht="15.75" customHeight="1" x14ac:dyDescent="0.35">
      <c r="A32" s="465"/>
      <c r="B32" s="18" t="s">
        <v>33</v>
      </c>
      <c r="C32" s="32">
        <f t="shared" si="0"/>
        <v>9.7687790343338509E-4</v>
      </c>
    </row>
    <row r="33" spans="1:9" ht="15.75" customHeight="1" x14ac:dyDescent="0.35">
      <c r="A33" s="465"/>
      <c r="B33" s="17" t="s">
        <v>34</v>
      </c>
      <c r="C33" s="32">
        <f t="shared" si="0"/>
        <v>1.1090114906641972E-4</v>
      </c>
    </row>
    <row r="34" spans="1:9" ht="15.75" customHeight="1" x14ac:dyDescent="0.35">
      <c r="A34" s="465"/>
      <c r="B34" s="18" t="s">
        <v>18</v>
      </c>
      <c r="C34" s="32">
        <f t="shared" si="0"/>
        <v>3.8262962246692104E-5</v>
      </c>
    </row>
    <row r="35" spans="1:9" ht="15.75" customHeight="1" x14ac:dyDescent="0.35">
      <c r="A35" s="465"/>
      <c r="B35" s="18" t="s">
        <v>19</v>
      </c>
      <c r="C35" s="32">
        <f t="shared" si="0"/>
        <v>6.4016185675007319E-6</v>
      </c>
      <c r="E35" s="33"/>
    </row>
    <row r="36" spans="1:9" ht="15.75" customHeight="1" x14ac:dyDescent="0.35">
      <c r="A36" s="465"/>
      <c r="B36" s="18" t="s">
        <v>20</v>
      </c>
      <c r="C36" s="32">
        <f t="shared" si="0"/>
        <v>6.3213063444423774E-6</v>
      </c>
      <c r="F36" s="305"/>
    </row>
    <row r="37" spans="1:9" ht="15.75" customHeight="1" x14ac:dyDescent="0.35">
      <c r="A37" s="465"/>
      <c r="B37" s="18" t="s">
        <v>21</v>
      </c>
      <c r="C37" s="32">
        <f t="shared" si="0"/>
        <v>2.3377021536368696E-8</v>
      </c>
      <c r="F37" s="305"/>
    </row>
    <row r="38" spans="1:9" ht="15.75" customHeight="1" x14ac:dyDescent="0.35">
      <c r="A38" s="466"/>
      <c r="B38" s="22" t="s">
        <v>22</v>
      </c>
      <c r="C38" s="32">
        <f t="shared" si="0"/>
        <v>4.1264630933042248E-9</v>
      </c>
      <c r="F38" s="305"/>
    </row>
    <row r="39" spans="1:9" ht="15.75" customHeight="1" x14ac:dyDescent="0.35">
      <c r="F39" s="305"/>
      <c r="H39" s="34" t="s">
        <v>35</v>
      </c>
    </row>
    <row r="40" spans="1:9" ht="15.75" customHeight="1" x14ac:dyDescent="0.35">
      <c r="C40" s="35"/>
      <c r="D40" s="35"/>
      <c r="E40" s="35"/>
      <c r="F40" s="306"/>
      <c r="G40" s="423" t="s">
        <v>454</v>
      </c>
      <c r="H40" s="36" t="s">
        <v>36</v>
      </c>
    </row>
    <row r="41" spans="1:9" ht="15.75" customHeight="1" x14ac:dyDescent="0.35">
      <c r="A41" s="467" t="s">
        <v>37</v>
      </c>
      <c r="B41" s="15" t="s">
        <v>38</v>
      </c>
      <c r="C41" s="37">
        <f t="shared" ref="C41:C52" si="1">C10*$C$24</f>
        <v>42941927940.200043</v>
      </c>
      <c r="D41" s="37">
        <f t="shared" ref="D41:D52" si="2">D10*$D$24</f>
        <v>534035455.88896739</v>
      </c>
      <c r="E41" s="37">
        <f>E10*$E$24</f>
        <v>65800471214.490204</v>
      </c>
      <c r="F41" s="307"/>
      <c r="G41" s="424">
        <f>SUM(C41:E41)</f>
        <v>109276434610.57922</v>
      </c>
      <c r="H41" s="38">
        <v>108742399154.69025</v>
      </c>
    </row>
    <row r="42" spans="1:9" ht="15.75" customHeight="1" x14ac:dyDescent="0.35">
      <c r="A42" s="465"/>
      <c r="B42" s="17" t="s">
        <v>39</v>
      </c>
      <c r="C42" s="37">
        <f t="shared" si="1"/>
        <v>95.131202880000004</v>
      </c>
      <c r="D42" s="37">
        <f t="shared" si="2"/>
        <v>265.23097214249998</v>
      </c>
      <c r="E42" s="37">
        <f t="shared" ref="E42:E52" si="3">E11*$E$24</f>
        <v>8.8252091703999991</v>
      </c>
      <c r="F42" s="307"/>
      <c r="G42" s="424">
        <f>SUM(C42:E42)</f>
        <v>369.18738419289997</v>
      </c>
      <c r="H42" s="38">
        <v>103.9564120504</v>
      </c>
      <c r="I42" s="349"/>
    </row>
    <row r="43" spans="1:9" ht="15.75" customHeight="1" x14ac:dyDescent="0.35">
      <c r="A43" s="465"/>
      <c r="B43" s="17" t="s">
        <v>40</v>
      </c>
      <c r="C43" s="37">
        <f t="shared" si="1"/>
        <v>5474.6472883200004</v>
      </c>
      <c r="D43" s="37">
        <f t="shared" si="2"/>
        <v>9443.5939552499985</v>
      </c>
      <c r="E43" s="37">
        <f t="shared" si="3"/>
        <v>9346.8964120000001</v>
      </c>
      <c r="F43" s="307"/>
      <c r="G43" s="424">
        <f t="shared" ref="G43:G52" si="4">SUM(C43:E43)</f>
        <v>24265.137655569997</v>
      </c>
      <c r="H43" s="38">
        <v>14821.54370032</v>
      </c>
      <c r="I43" s="349"/>
    </row>
    <row r="44" spans="1:9" ht="15.75" customHeight="1" x14ac:dyDescent="0.35">
      <c r="A44" s="465"/>
      <c r="B44" s="17" t="s">
        <v>41</v>
      </c>
      <c r="C44" s="37">
        <f>C13*$C$24</f>
        <v>197.01365241600001</v>
      </c>
      <c r="D44" s="37">
        <f t="shared" si="2"/>
        <v>333.486651225</v>
      </c>
      <c r="E44" s="37">
        <f t="shared" si="3"/>
        <v>1306.3918008399999</v>
      </c>
      <c r="F44" s="307"/>
      <c r="G44" s="424">
        <f>SUM(C44:E44)</f>
        <v>1836.8921044809999</v>
      </c>
      <c r="H44" s="38">
        <v>1503.4054532559999</v>
      </c>
      <c r="I44" s="349"/>
    </row>
    <row r="45" spans="1:9" ht="15.75" customHeight="1" x14ac:dyDescent="0.35">
      <c r="A45" s="465"/>
      <c r="B45" s="17" t="s">
        <v>42</v>
      </c>
      <c r="C45" s="37">
        <f t="shared" si="1"/>
        <v>10.924744588800001</v>
      </c>
      <c r="D45" s="37">
        <f t="shared" si="2"/>
        <v>6.3580632570000004</v>
      </c>
      <c r="E45" s="37">
        <f t="shared" si="3"/>
        <v>21.736968399999999</v>
      </c>
      <c r="F45" s="307"/>
      <c r="G45" s="424">
        <f t="shared" si="4"/>
        <v>39.019776245800003</v>
      </c>
      <c r="H45" s="38">
        <v>32.661712988799998</v>
      </c>
      <c r="I45" s="349"/>
    </row>
    <row r="46" spans="1:9" ht="15.75" customHeight="1" x14ac:dyDescent="0.35">
      <c r="A46" s="465"/>
      <c r="B46" s="18" t="s">
        <v>43</v>
      </c>
      <c r="C46" s="37">
        <f t="shared" si="1"/>
        <v>34068814654454.617</v>
      </c>
      <c r="D46" s="37">
        <f t="shared" si="2"/>
        <v>22490740924229.809</v>
      </c>
      <c r="E46" s="37">
        <f t="shared" si="3"/>
        <v>8564365549600</v>
      </c>
      <c r="F46" s="307"/>
      <c r="G46" s="424">
        <f t="shared" si="4"/>
        <v>65123921128284.422</v>
      </c>
      <c r="H46" s="38">
        <v>42633180204054.617</v>
      </c>
      <c r="I46" s="349"/>
    </row>
    <row r="47" spans="1:9" ht="15.75" customHeight="1" x14ac:dyDescent="0.35">
      <c r="A47" s="465"/>
      <c r="B47" s="17" t="s">
        <v>44</v>
      </c>
      <c r="C47" s="37">
        <f t="shared" si="1"/>
        <v>2555161099084.0967</v>
      </c>
      <c r="D47" s="37">
        <f t="shared" si="2"/>
        <v>132349360054.12158</v>
      </c>
      <c r="E47" s="37">
        <f t="shared" si="3"/>
        <v>4705755024146.5449</v>
      </c>
      <c r="F47" s="307"/>
      <c r="G47" s="424">
        <f t="shared" si="4"/>
        <v>7393265483284.7637</v>
      </c>
      <c r="H47" s="38">
        <v>7260916123230.6416</v>
      </c>
      <c r="I47" s="349"/>
    </row>
    <row r="48" spans="1:9" ht="15.75" customHeight="1" x14ac:dyDescent="0.35">
      <c r="A48" s="465"/>
      <c r="B48" s="18" t="s">
        <v>18</v>
      </c>
      <c r="C48" s="37">
        <f t="shared" si="1"/>
        <v>2105487807890.2231</v>
      </c>
      <c r="D48" s="37">
        <f t="shared" si="2"/>
        <v>88840220644.004364</v>
      </c>
      <c r="E48" s="37">
        <f t="shared" si="3"/>
        <v>356486281760</v>
      </c>
      <c r="F48" s="307"/>
      <c r="G48" s="424">
        <f t="shared" si="4"/>
        <v>2550814310294.2275</v>
      </c>
      <c r="H48" s="38">
        <v>2461974089650.2231</v>
      </c>
      <c r="I48" s="349"/>
    </row>
    <row r="49" spans="1:9" ht="15.75" customHeight="1" x14ac:dyDescent="0.35">
      <c r="A49" s="465"/>
      <c r="B49" s="18" t="s">
        <v>19</v>
      </c>
      <c r="C49" s="37">
        <f t="shared" si="1"/>
        <v>342472330368</v>
      </c>
      <c r="D49" s="37">
        <f t="shared" si="2"/>
        <v>55383734387.781006</v>
      </c>
      <c r="E49" s="37">
        <f t="shared" si="3"/>
        <v>28910167972</v>
      </c>
      <c r="F49" s="307"/>
      <c r="G49" s="424">
        <f t="shared" si="4"/>
        <v>426766232727.78101</v>
      </c>
      <c r="H49" s="38">
        <v>371382498340</v>
      </c>
      <c r="I49" s="349"/>
    </row>
    <row r="50" spans="1:9" ht="15.75" customHeight="1" x14ac:dyDescent="0.35">
      <c r="A50" s="465"/>
      <c r="B50" s="18" t="s">
        <v>20</v>
      </c>
      <c r="C50" s="37">
        <f t="shared" si="1"/>
        <v>348609827328</v>
      </c>
      <c r="D50" s="37">
        <f t="shared" si="2"/>
        <v>6069868818.7107096</v>
      </c>
      <c r="E50" s="37">
        <f t="shared" si="3"/>
        <v>66732492988</v>
      </c>
      <c r="F50" s="307"/>
      <c r="G50" s="424">
        <f t="shared" si="4"/>
        <v>421412189134.71069</v>
      </c>
      <c r="H50" s="38">
        <v>415342320316</v>
      </c>
      <c r="I50" s="349"/>
    </row>
    <row r="51" spans="1:9" ht="15.75" customHeight="1" x14ac:dyDescent="0.35">
      <c r="A51" s="465"/>
      <c r="B51" s="18" t="s">
        <v>21</v>
      </c>
      <c r="C51" s="37">
        <f t="shared" si="1"/>
        <v>474428515.00800002</v>
      </c>
      <c r="D51" s="37">
        <f t="shared" si="2"/>
        <v>214530401.6382159</v>
      </c>
      <c r="E51" s="37">
        <f t="shared" si="3"/>
        <v>869478736</v>
      </c>
      <c r="F51" s="307"/>
      <c r="G51" s="424">
        <f t="shared" si="4"/>
        <v>1558437652.6462159</v>
      </c>
      <c r="H51" s="38">
        <v>1343907251.0079999</v>
      </c>
      <c r="I51" s="349"/>
    </row>
    <row r="52" spans="1:9" ht="15.75" customHeight="1" x14ac:dyDescent="0.35">
      <c r="A52" s="466"/>
      <c r="B52" s="22" t="s">
        <v>22</v>
      </c>
      <c r="C52" s="37">
        <f t="shared" si="1"/>
        <v>4351485.3446399998</v>
      </c>
      <c r="D52" s="37">
        <f t="shared" si="2"/>
        <v>14244452.157595394</v>
      </c>
      <c r="E52" s="37">
        <f t="shared" si="3"/>
        <v>256496227.12</v>
      </c>
      <c r="F52" s="307"/>
      <c r="G52" s="424">
        <f t="shared" si="4"/>
        <v>275092164.62223542</v>
      </c>
      <c r="H52" s="38">
        <v>260847712.46463999</v>
      </c>
      <c r="I52" s="349"/>
    </row>
    <row r="53" spans="1:9" ht="15.75" customHeight="1" x14ac:dyDescent="0.35">
      <c r="F53" s="305"/>
    </row>
    <row r="54" spans="1:9" ht="15.75" customHeight="1" x14ac:dyDescent="0.35">
      <c r="B54" s="305"/>
    </row>
    <row r="55" spans="1:9" ht="15.75" customHeight="1" x14ac:dyDescent="0.35">
      <c r="B55" s="305"/>
    </row>
    <row r="56" spans="1:9" ht="15.75" customHeight="1" x14ac:dyDescent="0.35"/>
    <row r="57" spans="1:9" ht="15.75" customHeight="1" x14ac:dyDescent="0.35"/>
    <row r="58" spans="1:9" ht="15.75" customHeight="1" x14ac:dyDescent="0.35"/>
    <row r="59" spans="1:9" ht="15.75" customHeight="1" x14ac:dyDescent="0.35"/>
    <row r="60" spans="1:9" ht="15.75" customHeight="1" x14ac:dyDescent="0.35"/>
    <row r="61" spans="1:9" ht="15.75" customHeight="1" x14ac:dyDescent="0.35"/>
    <row r="62" spans="1:9" ht="15.75" customHeight="1" x14ac:dyDescent="0.35"/>
    <row r="63" spans="1:9" ht="15.75" customHeight="1" x14ac:dyDescent="0.35"/>
    <row r="64" spans="1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A1:G1"/>
    <mergeCell ref="A10:A21"/>
    <mergeCell ref="A27:A38"/>
    <mergeCell ref="A41:A52"/>
  </mergeCells>
  <pageMargins left="0.7" right="0.7" top="0.75" bottom="0.75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topLeftCell="A55" workbookViewId="0">
      <selection activeCell="F36" sqref="F36"/>
    </sheetView>
  </sheetViews>
  <sheetFormatPr defaultColWidth="11.3046875" defaultRowHeight="15" customHeight="1" x14ac:dyDescent="0.35"/>
  <cols>
    <col min="1" max="1" width="10.53515625" customWidth="1"/>
    <col min="2" max="2" width="18.69140625" customWidth="1"/>
    <col min="3" max="3" width="13" customWidth="1"/>
    <col min="4" max="4" width="14" customWidth="1"/>
    <col min="5" max="5" width="13.3046875" customWidth="1"/>
    <col min="6" max="6" width="13.69140625" customWidth="1"/>
    <col min="7" max="7" width="13.07421875" customWidth="1"/>
    <col min="8" max="8" width="13.69140625" customWidth="1"/>
    <col min="9" max="9" width="10.4609375" customWidth="1"/>
    <col min="10" max="10" width="12.3046875" customWidth="1"/>
    <col min="11" max="14" width="10.69140625" customWidth="1"/>
    <col min="15" max="29" width="10.53515625" customWidth="1"/>
  </cols>
  <sheetData>
    <row r="1" spans="1:29" ht="15.75" customHeight="1" x14ac:dyDescent="0.35">
      <c r="A1" s="455" t="s">
        <v>374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9" ht="15.75" customHeight="1" x14ac:dyDescent="0.35">
      <c r="D2" s="225"/>
      <c r="E2" s="225"/>
      <c r="F2" s="225"/>
      <c r="I2" s="35"/>
      <c r="J2" s="35"/>
      <c r="K2" s="35"/>
      <c r="L2" s="35"/>
      <c r="M2" s="35"/>
    </row>
    <row r="3" spans="1:29" ht="15.75" customHeight="1" x14ac:dyDescent="0.35">
      <c r="D3" s="472" t="s">
        <v>375</v>
      </c>
      <c r="E3" s="473"/>
      <c r="F3" s="474"/>
      <c r="I3" s="35"/>
      <c r="J3" s="35"/>
      <c r="K3" s="35"/>
      <c r="L3" s="35"/>
      <c r="M3" s="35"/>
    </row>
    <row r="4" spans="1:29" ht="15.75" customHeight="1" x14ac:dyDescent="0.35">
      <c r="I4" s="35"/>
      <c r="J4" s="35"/>
      <c r="K4" s="35"/>
      <c r="L4" s="35"/>
      <c r="M4" s="35"/>
    </row>
    <row r="5" spans="1:29" ht="15.75" customHeight="1" x14ac:dyDescent="0.35">
      <c r="B5" s="475" t="s">
        <v>376</v>
      </c>
      <c r="C5" s="238" t="s">
        <v>377</v>
      </c>
      <c r="D5" s="239" t="s">
        <v>378</v>
      </c>
      <c r="E5" s="239" t="s">
        <v>379</v>
      </c>
      <c r="F5" s="239" t="s">
        <v>380</v>
      </c>
      <c r="G5" s="239" t="s">
        <v>381</v>
      </c>
      <c r="H5" s="240" t="s">
        <v>382</v>
      </c>
      <c r="I5" s="35"/>
      <c r="J5" s="35"/>
      <c r="K5" s="241"/>
      <c r="L5" s="35"/>
      <c r="M5" s="35"/>
    </row>
    <row r="6" spans="1:29" ht="15.75" customHeight="1" x14ac:dyDescent="0.35">
      <c r="B6" s="476"/>
      <c r="C6" s="242">
        <v>14.0067</v>
      </c>
      <c r="D6" s="243">
        <v>21.991</v>
      </c>
      <c r="E6" s="243">
        <v>35.967550000000003</v>
      </c>
      <c r="F6" s="243">
        <v>83.911497999999995</v>
      </c>
      <c r="G6" s="243">
        <v>129.90350900000001</v>
      </c>
      <c r="H6" s="244">
        <v>18.015000000000001</v>
      </c>
      <c r="I6" s="35"/>
      <c r="J6" s="35"/>
      <c r="K6" s="35"/>
      <c r="L6" s="35"/>
      <c r="M6" s="35"/>
    </row>
    <row r="7" spans="1:29" ht="15.75" customHeight="1" x14ac:dyDescent="0.35">
      <c r="B7" s="476"/>
      <c r="C7" s="245" t="s">
        <v>383</v>
      </c>
      <c r="D7" s="246" t="s">
        <v>18</v>
      </c>
      <c r="E7" s="246" t="s">
        <v>19</v>
      </c>
      <c r="F7" s="246" t="s">
        <v>20</v>
      </c>
      <c r="G7" s="246" t="s">
        <v>21</v>
      </c>
      <c r="H7" s="247" t="s">
        <v>22</v>
      </c>
      <c r="I7" s="248"/>
      <c r="J7" s="248"/>
      <c r="K7" s="248"/>
      <c r="L7" s="249"/>
      <c r="M7" s="248"/>
    </row>
    <row r="8" spans="1:29" ht="15.75" customHeight="1" x14ac:dyDescent="0.35">
      <c r="B8" s="477"/>
      <c r="C8" s="250">
        <v>12.01</v>
      </c>
      <c r="D8" s="251">
        <v>32.064999999999998</v>
      </c>
      <c r="E8" s="251">
        <v>35.453000000000003</v>
      </c>
      <c r="F8" s="251">
        <v>18.998403</v>
      </c>
      <c r="G8" s="251">
        <v>79.903999999999996</v>
      </c>
      <c r="H8" s="252">
        <v>126.90447</v>
      </c>
      <c r="I8" s="248"/>
      <c r="J8" s="248"/>
      <c r="K8" s="249"/>
      <c r="L8" s="21"/>
      <c r="M8" s="248"/>
      <c r="N8" s="248"/>
    </row>
    <row r="9" spans="1:29" ht="15.75" customHeight="1" x14ac:dyDescent="0.35">
      <c r="A9" s="35"/>
      <c r="B9" s="253"/>
      <c r="C9" s="248"/>
      <c r="D9" s="248"/>
      <c r="E9" s="248"/>
      <c r="F9" s="248"/>
      <c r="G9" s="248"/>
      <c r="H9" s="248"/>
      <c r="I9" s="248"/>
      <c r="J9" s="248"/>
      <c r="K9" s="248"/>
      <c r="L9" s="249"/>
      <c r="M9" s="248"/>
      <c r="N9" s="248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15.75" customHeight="1" x14ac:dyDescent="0.35">
      <c r="D10" s="478" t="s">
        <v>384</v>
      </c>
      <c r="E10" s="474"/>
      <c r="F10" s="478" t="s">
        <v>385</v>
      </c>
      <c r="G10" s="474"/>
      <c r="I10" s="35"/>
      <c r="J10" s="35"/>
      <c r="K10" s="35"/>
      <c r="L10" s="35"/>
      <c r="M10" s="35"/>
      <c r="N10" s="35"/>
    </row>
    <row r="11" spans="1:29" ht="15.75" customHeight="1" x14ac:dyDescent="0.35">
      <c r="C11" s="254" t="s">
        <v>4</v>
      </c>
      <c r="D11" s="255" t="s">
        <v>324</v>
      </c>
      <c r="E11" s="256" t="s">
        <v>386</v>
      </c>
      <c r="F11" s="256" t="s">
        <v>386</v>
      </c>
      <c r="G11" s="256" t="s">
        <v>324</v>
      </c>
      <c r="I11" s="257" t="s">
        <v>387</v>
      </c>
      <c r="J11" s="35"/>
      <c r="K11" s="35"/>
      <c r="L11" s="35"/>
      <c r="M11" s="35"/>
      <c r="N11" s="35"/>
    </row>
    <row r="12" spans="1:29" ht="15.75" customHeight="1" x14ac:dyDescent="0.35">
      <c r="C12" s="258" t="s">
        <v>388</v>
      </c>
      <c r="D12" s="259">
        <f>G12</f>
        <v>6.9966516024473999E-7</v>
      </c>
      <c r="E12" s="260">
        <f>D12*$C$6*1000000</f>
        <v>9.7999999999999989</v>
      </c>
      <c r="F12" s="261">
        <v>9.8000000000000007</v>
      </c>
      <c r="G12" s="262">
        <f>F12/$C$6/1000000</f>
        <v>6.9966516024473999E-7</v>
      </c>
      <c r="I12" s="479" t="s">
        <v>389</v>
      </c>
      <c r="J12" s="450"/>
      <c r="K12" s="450"/>
      <c r="L12" s="450"/>
      <c r="M12" s="450"/>
      <c r="N12" s="450"/>
      <c r="O12" s="450"/>
      <c r="P12" s="450"/>
      <c r="Q12" s="450"/>
      <c r="R12" s="450"/>
      <c r="S12" s="450"/>
      <c r="T12" s="450"/>
      <c r="U12" s="450"/>
      <c r="V12" s="450"/>
      <c r="W12" s="450"/>
      <c r="X12" s="450"/>
      <c r="Y12" s="450"/>
      <c r="Z12" s="450"/>
      <c r="AA12" s="450"/>
      <c r="AB12" s="450"/>
      <c r="AC12" s="450"/>
    </row>
    <row r="13" spans="1:29" ht="15.75" customHeight="1" x14ac:dyDescent="0.35">
      <c r="C13" s="263" t="s">
        <v>390</v>
      </c>
      <c r="D13" s="264">
        <v>1.5499999999999999E-15</v>
      </c>
      <c r="E13" s="21">
        <f>D13*$D$6*1000000</f>
        <v>3.4086050000000001E-8</v>
      </c>
      <c r="F13" s="233">
        <f>E13</f>
        <v>3.4086050000000001E-8</v>
      </c>
      <c r="G13" s="229">
        <f>F13/$D$6/1000000</f>
        <v>1.5499999999999999E-15</v>
      </c>
      <c r="H13" s="304"/>
      <c r="I13" s="468" t="s">
        <v>391</v>
      </c>
      <c r="J13" s="452"/>
      <c r="K13" s="452"/>
      <c r="L13" s="452"/>
      <c r="M13" s="452"/>
      <c r="N13" s="452"/>
      <c r="O13" s="452"/>
      <c r="P13" s="452"/>
      <c r="Q13" s="452"/>
      <c r="R13" s="452"/>
      <c r="S13" s="452"/>
      <c r="T13" s="452"/>
      <c r="U13" s="452"/>
      <c r="V13" s="452"/>
      <c r="W13" s="452"/>
      <c r="X13" s="452"/>
      <c r="Y13" s="452"/>
      <c r="Z13" s="452"/>
      <c r="AA13" s="452"/>
      <c r="AB13" s="452"/>
      <c r="AC13" s="452"/>
    </row>
    <row r="14" spans="1:29" ht="15.75" customHeight="1" x14ac:dyDescent="0.35">
      <c r="C14" s="263" t="s">
        <v>392</v>
      </c>
      <c r="D14" s="264">
        <v>8.9200000000000001E-14</v>
      </c>
      <c r="E14" s="21">
        <f>D14*$E$6*1000000</f>
        <v>3.2083054600000002E-6</v>
      </c>
      <c r="F14" s="233">
        <v>3.2083054600000002E-6</v>
      </c>
      <c r="G14" s="229">
        <f>F14/$E$6/1000000</f>
        <v>8.9199999999999988E-14</v>
      </c>
      <c r="H14" s="304"/>
      <c r="I14" s="469"/>
      <c r="J14" s="452"/>
      <c r="K14" s="452"/>
      <c r="L14" s="452"/>
      <c r="M14" s="452"/>
      <c r="N14" s="452"/>
      <c r="O14" s="452"/>
      <c r="P14" s="452"/>
      <c r="Q14" s="452"/>
      <c r="R14" s="452"/>
      <c r="S14" s="452"/>
      <c r="T14" s="452"/>
      <c r="U14" s="452"/>
      <c r="V14" s="452"/>
      <c r="W14" s="452"/>
      <c r="X14" s="452"/>
      <c r="Y14" s="452"/>
      <c r="Z14" s="452"/>
      <c r="AA14" s="452"/>
      <c r="AB14" s="452"/>
      <c r="AC14" s="452"/>
    </row>
    <row r="15" spans="1:29" ht="15.75" customHeight="1" x14ac:dyDescent="0.35">
      <c r="C15" s="263" t="s">
        <v>393</v>
      </c>
      <c r="D15" s="264">
        <v>3.2100000000000001E-15</v>
      </c>
      <c r="E15" s="21">
        <f>D15*$F$6*1000000</f>
        <v>2.6935590857999999E-7</v>
      </c>
      <c r="F15" s="233">
        <f>E15</f>
        <v>2.6935590857999999E-7</v>
      </c>
      <c r="G15" s="229">
        <f>F15/$F$6/1000000</f>
        <v>3.2100000000000001E-15</v>
      </c>
      <c r="H15" s="304"/>
      <c r="I15" s="469"/>
      <c r="J15" s="452"/>
      <c r="K15" s="452"/>
      <c r="L15" s="452"/>
      <c r="M15" s="452"/>
      <c r="N15" s="452"/>
      <c r="O15" s="452"/>
      <c r="P15" s="452"/>
      <c r="Q15" s="452"/>
      <c r="R15" s="452"/>
      <c r="S15" s="452"/>
      <c r="T15" s="452"/>
      <c r="U15" s="452"/>
      <c r="V15" s="452"/>
      <c r="W15" s="452"/>
      <c r="X15" s="452"/>
      <c r="Y15" s="452"/>
      <c r="Z15" s="452"/>
      <c r="AA15" s="452"/>
      <c r="AB15" s="452"/>
      <c r="AC15" s="452"/>
    </row>
    <row r="16" spans="1:29" ht="15.75" customHeight="1" x14ac:dyDescent="0.35">
      <c r="C16" s="263" t="s">
        <v>394</v>
      </c>
      <c r="D16" s="264">
        <v>1.7800000000000001E-16</v>
      </c>
      <c r="E16" s="21">
        <f>D16*$G$6*1000000</f>
        <v>2.3122824602000005E-8</v>
      </c>
      <c r="F16" s="233">
        <v>2.3122824602000005E-8</v>
      </c>
      <c r="G16" s="229">
        <f>F16/$G$6/1000000</f>
        <v>1.7800000000000003E-16</v>
      </c>
      <c r="H16" s="304"/>
      <c r="I16" s="469"/>
      <c r="J16" s="452"/>
      <c r="K16" s="452"/>
      <c r="L16" s="452"/>
      <c r="M16" s="452"/>
      <c r="N16" s="452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</row>
    <row r="17" spans="3:29" ht="15.75" customHeight="1" x14ac:dyDescent="0.35">
      <c r="C17" s="265" t="s">
        <v>395</v>
      </c>
      <c r="D17" s="266">
        <f>G17</f>
        <v>5.5509297807382731E-4</v>
      </c>
      <c r="E17" s="21">
        <f>D17*$H$6*1000000</f>
        <v>9999.9999999999982</v>
      </c>
      <c r="F17" s="267">
        <v>10000</v>
      </c>
      <c r="G17" s="229">
        <f>F17/$H$6/1000000</f>
        <v>5.5509297807382731E-4</v>
      </c>
      <c r="H17" s="304"/>
      <c r="I17" s="470" t="s">
        <v>396</v>
      </c>
      <c r="J17" s="452"/>
      <c r="K17" s="452"/>
      <c r="L17" s="452"/>
      <c r="M17" s="452"/>
      <c r="N17" s="452"/>
      <c r="O17" s="452"/>
      <c r="P17" s="452"/>
      <c r="Q17" s="452"/>
      <c r="R17" s="452"/>
      <c r="S17" s="452"/>
      <c r="T17" s="452"/>
      <c r="U17" s="452"/>
      <c r="V17" s="452"/>
      <c r="W17" s="452"/>
      <c r="X17" s="452"/>
      <c r="Y17" s="452"/>
      <c r="Z17" s="452"/>
      <c r="AA17" s="452"/>
      <c r="AB17" s="452"/>
      <c r="AC17" s="452"/>
    </row>
    <row r="18" spans="3:29" ht="15.75" customHeight="1" x14ac:dyDescent="0.35">
      <c r="C18" s="263" t="s">
        <v>397</v>
      </c>
      <c r="D18" s="264">
        <v>4.1631973355537055E-5</v>
      </c>
      <c r="E18" s="21">
        <f>D18*$C$8*1000000</f>
        <v>500</v>
      </c>
      <c r="F18" s="267">
        <v>500</v>
      </c>
      <c r="G18" s="229">
        <f>F18/$C$8/1000000</f>
        <v>4.1631973355537055E-5</v>
      </c>
      <c r="H18" s="304"/>
      <c r="I18" s="471" t="s">
        <v>398</v>
      </c>
      <c r="J18" s="452"/>
      <c r="K18" s="452"/>
      <c r="L18" s="452"/>
      <c r="M18" s="452"/>
      <c r="N18" s="452"/>
      <c r="O18" s="452"/>
      <c r="P18" s="452"/>
      <c r="Q18" s="452"/>
      <c r="R18" s="452"/>
      <c r="S18" s="452"/>
      <c r="T18" s="452"/>
      <c r="U18" s="452"/>
      <c r="V18" s="452"/>
      <c r="W18" s="452"/>
      <c r="X18" s="452"/>
      <c r="Y18" s="452"/>
      <c r="Z18" s="452"/>
      <c r="AA18" s="452"/>
      <c r="AB18" s="452"/>
      <c r="AC18" s="452"/>
    </row>
    <row r="19" spans="3:29" ht="15.75" customHeight="1" x14ac:dyDescent="0.35">
      <c r="C19" s="265" t="s">
        <v>18</v>
      </c>
      <c r="D19" s="264">
        <f>G19</f>
        <v>3.430531732418525E-5</v>
      </c>
      <c r="E19" s="21">
        <f>D19*$D$8*1000000</f>
        <v>1100</v>
      </c>
      <c r="F19" s="267">
        <v>1100</v>
      </c>
      <c r="G19" s="229">
        <f>F19/$D$8/1000000</f>
        <v>3.430531732418525E-5</v>
      </c>
      <c r="H19" s="304"/>
      <c r="I19" s="471" t="s">
        <v>399</v>
      </c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452"/>
      <c r="AB19" s="452"/>
      <c r="AC19" s="452"/>
    </row>
    <row r="20" spans="3:29" ht="15.75" customHeight="1" x14ac:dyDescent="0.35">
      <c r="C20" s="265" t="s">
        <v>19</v>
      </c>
      <c r="D20" s="264">
        <v>5.5799999999999999E-6</v>
      </c>
      <c r="E20" s="21">
        <f>D20*$E$8*1000000</f>
        <v>197.82774000000003</v>
      </c>
      <c r="F20" s="233">
        <v>197.82774000000003</v>
      </c>
      <c r="G20" s="229">
        <f>F20/$E$8/1000000</f>
        <v>5.5799999999999999E-6</v>
      </c>
      <c r="H20" s="304"/>
      <c r="I20" s="480" t="s">
        <v>400</v>
      </c>
      <c r="J20" s="452"/>
      <c r="K20" s="452"/>
      <c r="L20" s="452"/>
      <c r="M20" s="452"/>
      <c r="N20" s="452"/>
      <c r="O20" s="452"/>
      <c r="P20" s="452"/>
      <c r="Q20" s="452"/>
      <c r="R20" s="452"/>
      <c r="S20" s="452"/>
      <c r="T20" s="452"/>
      <c r="U20" s="452"/>
      <c r="V20" s="452"/>
      <c r="W20" s="452"/>
      <c r="X20" s="452"/>
      <c r="Y20" s="452"/>
      <c r="Z20" s="452"/>
      <c r="AA20" s="452"/>
      <c r="AB20" s="452"/>
      <c r="AC20" s="452"/>
    </row>
    <row r="21" spans="3:29" ht="15.75" customHeight="1" x14ac:dyDescent="0.35">
      <c r="C21" s="265" t="s">
        <v>20</v>
      </c>
      <c r="D21" s="264">
        <v>5.6799999999999998E-6</v>
      </c>
      <c r="E21" s="21">
        <f>D21*$F$8*1000000</f>
        <v>107.91092903999998</v>
      </c>
      <c r="F21" s="233">
        <v>107.91092903999998</v>
      </c>
      <c r="G21" s="229">
        <f>F21/$F$8/1000000</f>
        <v>5.6799999999999998E-6</v>
      </c>
      <c r="H21" s="304"/>
      <c r="I21" s="469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452"/>
      <c r="AB21" s="452"/>
      <c r="AC21" s="452"/>
    </row>
    <row r="22" spans="3:29" ht="15.75" customHeight="1" x14ac:dyDescent="0.35">
      <c r="C22" s="265" t="s">
        <v>21</v>
      </c>
      <c r="D22" s="264">
        <v>7.7300000000000004E-9</v>
      </c>
      <c r="E22" s="21">
        <f>D22*$G$8*1000000</f>
        <v>0.61765791999999997</v>
      </c>
      <c r="F22" s="233">
        <v>0.61765791999999997</v>
      </c>
      <c r="G22" s="229">
        <f>F22/$G$8/1000000</f>
        <v>7.7300000000000004E-9</v>
      </c>
      <c r="H22" s="304"/>
      <c r="I22" s="469"/>
      <c r="J22" s="452"/>
      <c r="K22" s="452"/>
      <c r="L22" s="452"/>
      <c r="M22" s="452"/>
      <c r="N22" s="452"/>
      <c r="O22" s="452"/>
      <c r="P22" s="452"/>
      <c r="Q22" s="452"/>
      <c r="R22" s="452"/>
      <c r="S22" s="452"/>
      <c r="T22" s="452"/>
      <c r="U22" s="452"/>
      <c r="V22" s="452"/>
      <c r="W22" s="452"/>
      <c r="X22" s="452"/>
      <c r="Y22" s="452"/>
      <c r="Z22" s="452"/>
      <c r="AA22" s="452"/>
      <c r="AB22" s="452"/>
      <c r="AC22" s="452"/>
    </row>
    <row r="23" spans="3:29" ht="15.75" customHeight="1" x14ac:dyDescent="0.35">
      <c r="C23" s="268" t="s">
        <v>22</v>
      </c>
      <c r="D23" s="269">
        <v>7.0899999999999996E-11</v>
      </c>
      <c r="E23" s="219">
        <f>D23*$H$8*1000000</f>
        <v>8.9975269229999998E-3</v>
      </c>
      <c r="F23" s="237">
        <v>8.9975269229999998E-3</v>
      </c>
      <c r="G23" s="235">
        <f>F23/$H$8/1000000</f>
        <v>7.0900000000000008E-11</v>
      </c>
      <c r="H23" s="304"/>
      <c r="I23" s="458"/>
      <c r="J23" s="454"/>
      <c r="K23" s="454"/>
      <c r="L23" s="454"/>
      <c r="M23" s="454"/>
      <c r="N23" s="454"/>
      <c r="O23" s="454"/>
      <c r="P23" s="454"/>
      <c r="Q23" s="454"/>
      <c r="R23" s="454"/>
      <c r="S23" s="454"/>
      <c r="T23" s="454"/>
      <c r="U23" s="454"/>
      <c r="V23" s="454"/>
      <c r="W23" s="454"/>
      <c r="X23" s="454"/>
      <c r="Y23" s="454"/>
      <c r="Z23" s="454"/>
      <c r="AA23" s="454"/>
      <c r="AB23" s="454"/>
      <c r="AC23" s="454"/>
    </row>
    <row r="24" spans="3:29" ht="15.75" customHeight="1" x14ac:dyDescent="0.35">
      <c r="H24" s="304"/>
      <c r="I24" s="35"/>
      <c r="J24" s="35"/>
      <c r="K24" s="35"/>
      <c r="L24" s="35"/>
      <c r="M24" s="35"/>
      <c r="N24" s="35"/>
    </row>
    <row r="25" spans="3:29" ht="15.75" customHeight="1" x14ac:dyDescent="0.35">
      <c r="D25" s="478" t="s">
        <v>401</v>
      </c>
      <c r="E25" s="474"/>
      <c r="F25" s="478" t="s">
        <v>402</v>
      </c>
      <c r="G25" s="474"/>
      <c r="H25" s="304"/>
      <c r="I25" s="35"/>
      <c r="J25" s="35"/>
      <c r="K25" s="35"/>
      <c r="L25" s="35"/>
      <c r="M25" s="35"/>
      <c r="N25" s="35"/>
    </row>
    <row r="26" spans="3:29" ht="15.75" customHeight="1" x14ac:dyDescent="0.35">
      <c r="C26" s="254" t="s">
        <v>403</v>
      </c>
      <c r="D26" s="255" t="s">
        <v>324</v>
      </c>
      <c r="E26" s="256" t="s">
        <v>386</v>
      </c>
      <c r="F26" s="256" t="s">
        <v>386</v>
      </c>
      <c r="G26" s="256" t="s">
        <v>324</v>
      </c>
      <c r="H26" s="304"/>
      <c r="I26" s="257" t="s">
        <v>387</v>
      </c>
      <c r="J26" s="35"/>
      <c r="K26" s="35"/>
      <c r="L26" s="35"/>
      <c r="M26" s="35"/>
      <c r="N26" s="35"/>
    </row>
    <row r="27" spans="3:29" ht="15.75" customHeight="1" x14ac:dyDescent="0.35">
      <c r="C27" s="258" t="s">
        <v>404</v>
      </c>
      <c r="D27" s="259">
        <f>G27</f>
        <v>1.7134656985585469E-7</v>
      </c>
      <c r="E27" s="260">
        <f>D27*$C$6*1000000</f>
        <v>2.4</v>
      </c>
      <c r="F27" s="261">
        <v>2.4</v>
      </c>
      <c r="G27" s="262">
        <f>F27/$C$6/1000000</f>
        <v>1.7134656985585469E-7</v>
      </c>
      <c r="H27" s="304"/>
      <c r="I27" s="479" t="s">
        <v>405</v>
      </c>
      <c r="J27" s="450"/>
      <c r="K27" s="450"/>
      <c r="L27" s="450"/>
      <c r="M27" s="450"/>
      <c r="N27" s="450"/>
      <c r="O27" s="450"/>
      <c r="P27" s="450"/>
      <c r="Q27" s="450"/>
      <c r="R27" s="450"/>
      <c r="S27" s="450"/>
      <c r="T27" s="450"/>
      <c r="U27" s="450"/>
      <c r="V27" s="450"/>
      <c r="W27" s="450"/>
      <c r="X27" s="450"/>
      <c r="Y27" s="450"/>
      <c r="Z27" s="450"/>
      <c r="AA27" s="450"/>
      <c r="AB27" s="450"/>
      <c r="AC27" s="450"/>
    </row>
    <row r="28" spans="3:29" ht="15.75" customHeight="1" x14ac:dyDescent="0.35">
      <c r="C28" s="263" t="s">
        <v>406</v>
      </c>
      <c r="D28" s="264">
        <v>8.5099999999999998E-14</v>
      </c>
      <c r="E28" s="21">
        <f>D28*$D$6*1000000</f>
        <v>1.8714340999999998E-6</v>
      </c>
      <c r="F28" s="353">
        <v>1.8714340999999998E-6</v>
      </c>
      <c r="G28" s="229">
        <f>F28/$D$6/1000000</f>
        <v>8.5099999999999986E-14</v>
      </c>
      <c r="H28" s="304"/>
      <c r="I28" s="480" t="s">
        <v>407</v>
      </c>
      <c r="J28" s="452"/>
      <c r="K28" s="452"/>
      <c r="L28" s="452"/>
      <c r="M28" s="452"/>
      <c r="N28" s="452"/>
      <c r="O28" s="452"/>
      <c r="P28" s="452"/>
      <c r="Q28" s="452"/>
      <c r="R28" s="452"/>
      <c r="S28" s="452"/>
      <c r="T28" s="452"/>
      <c r="U28" s="452"/>
      <c r="V28" s="452"/>
      <c r="W28" s="452"/>
      <c r="X28" s="452"/>
      <c r="Y28" s="452"/>
      <c r="Z28" s="452"/>
      <c r="AA28" s="452"/>
      <c r="AB28" s="452"/>
      <c r="AC28" s="452"/>
    </row>
    <row r="29" spans="3:29" ht="15.75" customHeight="1" x14ac:dyDescent="0.35">
      <c r="C29" s="263" t="s">
        <v>408</v>
      </c>
      <c r="D29" s="264">
        <v>3.0299999999999998E-12</v>
      </c>
      <c r="E29" s="21">
        <f>D29*$E$6*1000000</f>
        <v>1.089816765E-4</v>
      </c>
      <c r="F29" s="353">
        <v>1.089816765E-4</v>
      </c>
      <c r="G29" s="229">
        <f>F29/$E$6/1000000</f>
        <v>3.0299999999999998E-12</v>
      </c>
      <c r="H29" s="304"/>
      <c r="I29" s="469"/>
      <c r="J29" s="452"/>
      <c r="K29" s="452"/>
      <c r="L29" s="452"/>
      <c r="M29" s="452"/>
      <c r="N29" s="452"/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2"/>
      <c r="Z29" s="452"/>
      <c r="AA29" s="452"/>
      <c r="AB29" s="452"/>
      <c r="AC29" s="452"/>
    </row>
    <row r="30" spans="3:29" ht="15.75" customHeight="1" x14ac:dyDescent="0.35">
      <c r="C30" s="263" t="s">
        <v>409</v>
      </c>
      <c r="D30" s="264">
        <v>1.07E-13</v>
      </c>
      <c r="E30" s="21">
        <f>D30*$F$6*1000000</f>
        <v>8.9785302859999996E-6</v>
      </c>
      <c r="F30" s="353">
        <v>8.9785302859999996E-6</v>
      </c>
      <c r="G30" s="229">
        <f>F30/$F$6/1000000</f>
        <v>1.0700000000000001E-13</v>
      </c>
      <c r="H30" s="304"/>
      <c r="I30" s="469"/>
      <c r="J30" s="452"/>
      <c r="K30" s="452"/>
      <c r="L30" s="452"/>
      <c r="M30" s="452"/>
      <c r="N30" s="452"/>
      <c r="O30" s="452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2"/>
      <c r="AA30" s="452"/>
      <c r="AB30" s="452"/>
      <c r="AC30" s="452"/>
    </row>
    <row r="31" spans="3:29" ht="15.75" customHeight="1" x14ac:dyDescent="0.35">
      <c r="C31" s="263" t="s">
        <v>410</v>
      </c>
      <c r="D31" s="264">
        <v>2.04E-15</v>
      </c>
      <c r="E31" s="21">
        <f>D31*$G$6*1000000</f>
        <v>2.6500315836000004E-7</v>
      </c>
      <c r="F31" s="353">
        <v>2.6500315836000004E-7</v>
      </c>
      <c r="G31" s="229">
        <f>F31/$G$6/1000000</f>
        <v>2.04E-15</v>
      </c>
      <c r="H31" s="304"/>
      <c r="I31" s="469"/>
      <c r="J31" s="452"/>
      <c r="K31" s="452"/>
      <c r="L31" s="452"/>
      <c r="M31" s="452"/>
      <c r="N31" s="452"/>
      <c r="O31" s="452"/>
      <c r="P31" s="452"/>
      <c r="Q31" s="452"/>
      <c r="R31" s="452"/>
      <c r="S31" s="452"/>
      <c r="T31" s="452"/>
      <c r="U31" s="452"/>
      <c r="V31" s="452"/>
      <c r="W31" s="452"/>
      <c r="X31" s="452"/>
      <c r="Y31" s="452"/>
      <c r="Z31" s="452"/>
      <c r="AA31" s="452"/>
      <c r="AB31" s="452"/>
      <c r="AC31" s="452"/>
    </row>
    <row r="32" spans="3:29" ht="15.75" customHeight="1" x14ac:dyDescent="0.35">
      <c r="C32" s="265" t="s">
        <v>411</v>
      </c>
      <c r="D32" s="264">
        <f>G32</f>
        <v>7.2162087149597555E-3</v>
      </c>
      <c r="E32" s="21">
        <f>D32*$H$6*1000000</f>
        <v>130000</v>
      </c>
      <c r="F32" s="233">
        <v>130000</v>
      </c>
      <c r="G32" s="229">
        <f>F32/$H$6/1000000</f>
        <v>7.2162087149597555E-3</v>
      </c>
      <c r="H32" s="304"/>
      <c r="I32" s="471" t="s">
        <v>407</v>
      </c>
      <c r="J32" s="452"/>
      <c r="K32" s="452"/>
      <c r="L32" s="452"/>
      <c r="M32" s="452"/>
      <c r="N32" s="452"/>
      <c r="O32" s="452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2"/>
      <c r="AA32" s="452"/>
      <c r="AB32" s="452"/>
      <c r="AC32" s="452"/>
    </row>
    <row r="33" spans="3:29" ht="15.75" customHeight="1" x14ac:dyDescent="0.35">
      <c r="C33" s="263" t="s">
        <v>412</v>
      </c>
      <c r="D33" s="264">
        <v>4.2464612822647797E-5</v>
      </c>
      <c r="E33" s="21">
        <f>D33*$C$8*1000000</f>
        <v>510.00000000000006</v>
      </c>
      <c r="F33" s="267">
        <f>510</f>
        <v>510</v>
      </c>
      <c r="G33" s="229">
        <f>F33/$C$8/1000000</f>
        <v>4.2464612822647797E-5</v>
      </c>
      <c r="H33" s="304"/>
      <c r="I33" s="471" t="s">
        <v>413</v>
      </c>
      <c r="J33" s="452"/>
      <c r="K33" s="452"/>
      <c r="L33" s="452"/>
      <c r="M33" s="452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2"/>
      <c r="AA33" s="452"/>
      <c r="AB33" s="452"/>
      <c r="AC33" s="452"/>
    </row>
    <row r="34" spans="3:29" ht="15.75" customHeight="1" x14ac:dyDescent="0.35">
      <c r="C34" s="265" t="s">
        <v>18</v>
      </c>
      <c r="D34" s="266">
        <f>G34</f>
        <v>2.8504600031186653E-5</v>
      </c>
      <c r="E34" s="21">
        <f>D34*$D$8*1000000</f>
        <v>914</v>
      </c>
      <c r="F34" s="267">
        <f>914</f>
        <v>914</v>
      </c>
      <c r="G34" s="229">
        <f>F34/$D$8/1000000</f>
        <v>2.8504600031186653E-5</v>
      </c>
      <c r="H34" s="304"/>
      <c r="I34" s="471" t="s">
        <v>413</v>
      </c>
      <c r="J34" s="452"/>
      <c r="K34" s="452"/>
      <c r="L34" s="452"/>
      <c r="M34" s="452"/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2"/>
      <c r="AA34" s="452"/>
      <c r="AB34" s="452"/>
      <c r="AC34" s="452"/>
    </row>
    <row r="35" spans="3:29" ht="15.75" customHeight="1" x14ac:dyDescent="0.35">
      <c r="C35" s="265" t="s">
        <v>19</v>
      </c>
      <c r="D35" s="264">
        <f>G35</f>
        <v>1.7770005359207965E-5</v>
      </c>
      <c r="E35" s="21">
        <f>D35*$E$8*1000000</f>
        <v>630</v>
      </c>
      <c r="F35" s="233">
        <v>630</v>
      </c>
      <c r="G35" s="229">
        <f>F35/$E$8/1000000</f>
        <v>1.7770005359207965E-5</v>
      </c>
      <c r="H35" s="304"/>
      <c r="I35" s="480" t="s">
        <v>414</v>
      </c>
      <c r="J35" s="452"/>
      <c r="K35" s="452"/>
      <c r="L35" s="452"/>
      <c r="M35" s="452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2"/>
      <c r="AA35" s="452"/>
      <c r="AB35" s="452"/>
      <c r="AC35" s="452"/>
    </row>
    <row r="36" spans="3:29" ht="15.75" customHeight="1" x14ac:dyDescent="0.35">
      <c r="C36" s="265" t="s">
        <v>20</v>
      </c>
      <c r="D36" s="264">
        <f>G36</f>
        <v>1.9475321162520872E-6</v>
      </c>
      <c r="E36" s="21">
        <f>D36*$F$8*1000000</f>
        <v>37</v>
      </c>
      <c r="F36" s="267">
        <v>37</v>
      </c>
      <c r="G36" s="229">
        <f>F36/$F$8/1000000</f>
        <v>1.9475321162520872E-6</v>
      </c>
      <c r="H36" s="304"/>
      <c r="I36" s="469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452"/>
      <c r="AB36" s="452"/>
      <c r="AC36" s="452"/>
    </row>
    <row r="37" spans="3:29" ht="15.75" customHeight="1" x14ac:dyDescent="0.35">
      <c r="C37" s="265" t="s">
        <v>21</v>
      </c>
      <c r="D37" s="264">
        <f>G37</f>
        <v>6.8832599118942742E-8</v>
      </c>
      <c r="E37" s="21">
        <f>D37*$G$8*1000000</f>
        <v>5.5000000000000009</v>
      </c>
      <c r="F37" s="233">
        <v>5.5</v>
      </c>
      <c r="G37" s="229">
        <f>F37/$G$8/1000000</f>
        <v>6.8832599118942742E-8</v>
      </c>
      <c r="H37" s="304"/>
      <c r="I37" s="469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2"/>
      <c r="AA37" s="452"/>
      <c r="AB37" s="452"/>
      <c r="AC37" s="452"/>
    </row>
    <row r="38" spans="3:29" ht="15.75" customHeight="1" x14ac:dyDescent="0.35">
      <c r="C38" s="268" t="s">
        <v>22</v>
      </c>
      <c r="D38" s="264">
        <f>G38</f>
        <v>4.5703669854970432E-9</v>
      </c>
      <c r="E38" s="219">
        <f>D38*$H$8*1000000</f>
        <v>0.57999999999999996</v>
      </c>
      <c r="F38" s="270">
        <v>0.57999999999999996</v>
      </c>
      <c r="G38" s="235">
        <f>F38/$H$8/1000000</f>
        <v>4.5703669854970432E-9</v>
      </c>
      <c r="H38" s="304"/>
      <c r="I38" s="458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454"/>
      <c r="AB38" s="454"/>
      <c r="AC38" s="454"/>
    </row>
    <row r="39" spans="3:29" ht="15.75" customHeight="1" x14ac:dyDescent="0.35">
      <c r="H39" s="304"/>
      <c r="I39" s="35"/>
      <c r="J39" s="35"/>
      <c r="K39" s="35"/>
      <c r="L39" s="35"/>
      <c r="M39" s="35"/>
      <c r="N39" s="35"/>
    </row>
    <row r="40" spans="3:29" ht="15.75" customHeight="1" x14ac:dyDescent="0.35">
      <c r="D40" s="478" t="s">
        <v>415</v>
      </c>
      <c r="E40" s="474"/>
      <c r="F40" s="478" t="s">
        <v>416</v>
      </c>
      <c r="G40" s="474"/>
      <c r="H40" s="304"/>
      <c r="I40" s="35"/>
      <c r="J40" s="35"/>
      <c r="K40" s="35"/>
      <c r="L40" s="35"/>
      <c r="M40" s="35"/>
      <c r="N40" s="35"/>
    </row>
    <row r="41" spans="3:29" ht="15.75" customHeight="1" x14ac:dyDescent="0.35">
      <c r="C41" s="254" t="s">
        <v>417</v>
      </c>
      <c r="D41" s="255" t="s">
        <v>324</v>
      </c>
      <c r="E41" s="256" t="s">
        <v>386</v>
      </c>
      <c r="F41" s="256" t="s">
        <v>386</v>
      </c>
      <c r="G41" s="256" t="s">
        <v>324</v>
      </c>
      <c r="H41" s="304"/>
      <c r="I41" s="257" t="s">
        <v>387</v>
      </c>
      <c r="J41" s="35"/>
      <c r="K41" s="35"/>
      <c r="L41" s="35"/>
      <c r="M41" s="35"/>
      <c r="N41" s="35"/>
    </row>
    <row r="42" spans="3:29" ht="15.75" customHeight="1" x14ac:dyDescent="0.35">
      <c r="C42" s="258" t="s">
        <v>418</v>
      </c>
      <c r="D42" s="259">
        <f>G42</f>
        <v>3.0271227341200995E-5</v>
      </c>
      <c r="E42" s="260">
        <f>D42*$C$6*1000000</f>
        <v>424</v>
      </c>
      <c r="F42" s="261">
        <v>424</v>
      </c>
      <c r="G42" s="262">
        <f>F42/$C$6/1000000</f>
        <v>3.0271227341200995E-5</v>
      </c>
      <c r="H42" s="304"/>
      <c r="I42" s="481" t="s">
        <v>419</v>
      </c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450"/>
      <c r="AB42" s="450"/>
      <c r="AC42" s="450"/>
    </row>
    <row r="43" spans="3:29" ht="15.75" customHeight="1" x14ac:dyDescent="0.35">
      <c r="C43" s="263" t="s">
        <v>420</v>
      </c>
      <c r="D43" s="264">
        <v>4.0599999999999997E-15</v>
      </c>
      <c r="E43" s="21">
        <f>D43*$D$6*1000000</f>
        <v>8.9283459999999994E-8</v>
      </c>
      <c r="F43" s="233">
        <v>8.9283459999999994E-8</v>
      </c>
      <c r="G43" s="229">
        <f>F43/$D$6/1000000</f>
        <v>4.0599999999999997E-15</v>
      </c>
      <c r="H43" s="304"/>
      <c r="I43" s="480" t="s">
        <v>421</v>
      </c>
      <c r="J43" s="452"/>
      <c r="K43" s="452"/>
      <c r="L43" s="452"/>
      <c r="M43" s="452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2"/>
      <c r="AA43" s="452"/>
      <c r="AB43" s="452"/>
      <c r="AC43" s="452"/>
    </row>
    <row r="44" spans="3:29" ht="15.75" customHeight="1" x14ac:dyDescent="0.35">
      <c r="C44" s="263" t="s">
        <v>422</v>
      </c>
      <c r="D44" s="264">
        <v>4.2999999999999999E-12</v>
      </c>
      <c r="E44" s="21">
        <f>D44*$E$6*1000000</f>
        <v>1.5466046500000003E-4</v>
      </c>
      <c r="F44" s="233">
        <v>1.5466046500000003E-4</v>
      </c>
      <c r="G44" s="229">
        <f>F44/$E$6/1000000</f>
        <v>4.3000000000000007E-12</v>
      </c>
      <c r="H44" s="304"/>
      <c r="I44" s="469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2"/>
      <c r="AA44" s="452"/>
      <c r="AB44" s="452"/>
      <c r="AC44" s="452"/>
    </row>
    <row r="45" spans="3:29" ht="15.75" customHeight="1" x14ac:dyDescent="0.35">
      <c r="C45" s="263" t="s">
        <v>423</v>
      </c>
      <c r="D45" s="264">
        <v>6.0099999999999996E-13</v>
      </c>
      <c r="E45" s="21">
        <f>D45*$F$6*1000000</f>
        <v>5.0430810297999993E-5</v>
      </c>
      <c r="F45" s="233">
        <v>5.0430810297999993E-5</v>
      </c>
      <c r="G45" s="229">
        <f>F45/$F$6/1000000</f>
        <v>6.0099999999999996E-13</v>
      </c>
      <c r="H45" s="304"/>
      <c r="I45" s="469"/>
      <c r="J45" s="452"/>
      <c r="K45" s="452"/>
      <c r="L45" s="452"/>
      <c r="M45" s="452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2"/>
      <c r="AA45" s="452"/>
      <c r="AB45" s="452"/>
      <c r="AC45" s="452"/>
    </row>
    <row r="46" spans="3:29" ht="15.75" customHeight="1" x14ac:dyDescent="0.35">
      <c r="C46" s="263" t="s">
        <v>424</v>
      </c>
      <c r="D46" s="264">
        <v>1E-14</v>
      </c>
      <c r="E46" s="21">
        <f>D46*$G$6*1000000</f>
        <v>1.2990350900000002E-6</v>
      </c>
      <c r="F46" s="233">
        <v>1.2990350900000002E-6</v>
      </c>
      <c r="G46" s="229">
        <f>F46/$G$6/1000000</f>
        <v>1E-14</v>
      </c>
      <c r="H46" s="304"/>
      <c r="I46" s="469"/>
      <c r="J46" s="452"/>
      <c r="K46" s="452"/>
      <c r="L46" s="452"/>
      <c r="M46" s="452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</row>
    <row r="47" spans="3:29" ht="15.75" customHeight="1" x14ac:dyDescent="0.35">
      <c r="C47" s="265" t="s">
        <v>425</v>
      </c>
      <c r="D47" s="264">
        <v>3.9399999999999999E-3</v>
      </c>
      <c r="E47" s="21">
        <f>D47*$H$6*1000000</f>
        <v>70979.100000000006</v>
      </c>
      <c r="F47" s="233">
        <v>70979.100000000006</v>
      </c>
      <c r="G47" s="229">
        <f>F47/$H$6/1000000</f>
        <v>3.9399999999999999E-3</v>
      </c>
      <c r="H47" s="304"/>
      <c r="I47" s="471" t="s">
        <v>426</v>
      </c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452"/>
      <c r="AB47" s="452"/>
      <c r="AC47" s="452"/>
    </row>
    <row r="48" spans="3:29" ht="15.75" customHeight="1" x14ac:dyDescent="0.35">
      <c r="C48" s="263" t="s">
        <v>427</v>
      </c>
      <c r="D48" s="264">
        <f>G48</f>
        <v>2.1648626144879267E-3</v>
      </c>
      <c r="E48" s="21">
        <f>D48*$C$8*1000000</f>
        <v>26000</v>
      </c>
      <c r="F48" s="267">
        <v>26000</v>
      </c>
      <c r="G48" s="229">
        <f>F48/$C$8/1000000</f>
        <v>2.1648626144879267E-3</v>
      </c>
      <c r="H48" s="304"/>
      <c r="I48" s="471" t="s">
        <v>428</v>
      </c>
      <c r="J48" s="452"/>
      <c r="K48" s="452"/>
      <c r="L48" s="452"/>
      <c r="M48" s="452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</row>
    <row r="49" spans="3:29" ht="15.75" customHeight="1" x14ac:dyDescent="0.35">
      <c r="C49" s="265" t="s">
        <v>18</v>
      </c>
      <c r="D49" s="264">
        <v>1.64E-4</v>
      </c>
      <c r="E49" s="21">
        <f>D49*$D$8*1000000</f>
        <v>5258.66</v>
      </c>
      <c r="F49" s="233">
        <v>5258.66</v>
      </c>
      <c r="G49" s="229">
        <f>F49/$D$8/1000000</f>
        <v>1.64E-4</v>
      </c>
      <c r="H49" s="304"/>
      <c r="I49" s="471" t="s">
        <v>429</v>
      </c>
      <c r="J49" s="452"/>
      <c r="K49" s="452"/>
      <c r="L49" s="452"/>
      <c r="M49" s="452"/>
      <c r="N49" s="452"/>
      <c r="O49" s="452"/>
      <c r="P49" s="452"/>
      <c r="Q49" s="452"/>
      <c r="R49" s="452"/>
      <c r="S49" s="452"/>
      <c r="T49" s="452"/>
      <c r="U49" s="452"/>
      <c r="V49" s="452"/>
      <c r="W49" s="452"/>
      <c r="X49" s="452"/>
      <c r="Y49" s="452"/>
      <c r="Z49" s="452"/>
      <c r="AA49" s="452"/>
      <c r="AB49" s="452"/>
      <c r="AC49" s="452"/>
    </row>
    <row r="50" spans="3:29" ht="15.75" customHeight="1" x14ac:dyDescent="0.35">
      <c r="C50" s="265" t="s">
        <v>19</v>
      </c>
      <c r="D50" s="264">
        <v>1.33E-5</v>
      </c>
      <c r="E50" s="21">
        <f>D50*$E$8*1000000</f>
        <v>471.5249</v>
      </c>
      <c r="F50" s="233">
        <v>471.5249</v>
      </c>
      <c r="G50" s="229">
        <f>F50/$E$8/1000000</f>
        <v>1.33E-5</v>
      </c>
      <c r="H50" s="304"/>
      <c r="I50" s="480" t="s">
        <v>430</v>
      </c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452"/>
      <c r="AB50" s="452"/>
      <c r="AC50" s="452"/>
    </row>
    <row r="51" spans="3:29" ht="15.75" customHeight="1" x14ac:dyDescent="0.35">
      <c r="C51" s="265" t="s">
        <v>20</v>
      </c>
      <c r="D51" s="264">
        <v>3.0700000000000001E-5</v>
      </c>
      <c r="E51" s="21">
        <f>D51*$F$8*1000000</f>
        <v>583.25097210000001</v>
      </c>
      <c r="F51" s="233">
        <v>583.25097210000001</v>
      </c>
      <c r="G51" s="229">
        <f>F51/$F$8/1000000</f>
        <v>3.0700000000000001E-5</v>
      </c>
      <c r="H51" s="304"/>
      <c r="I51" s="469"/>
      <c r="J51" s="452"/>
      <c r="K51" s="452"/>
      <c r="L51" s="452"/>
      <c r="M51" s="452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452"/>
      <c r="AB51" s="452"/>
      <c r="AC51" s="452"/>
    </row>
    <row r="52" spans="3:29" ht="15.75" customHeight="1" x14ac:dyDescent="0.35">
      <c r="C52" s="265" t="s">
        <v>21</v>
      </c>
      <c r="D52" s="264">
        <v>3.9999999999999998E-7</v>
      </c>
      <c r="E52" s="21">
        <f>D52*$G$8*1000000</f>
        <v>31.961599999999997</v>
      </c>
      <c r="F52" s="233">
        <v>31.961599999999997</v>
      </c>
      <c r="G52" s="229">
        <f>F52/$G$8/1000000</f>
        <v>3.9999999999999998E-7</v>
      </c>
      <c r="H52" s="304"/>
      <c r="I52" s="469"/>
      <c r="J52" s="452"/>
      <c r="K52" s="452"/>
      <c r="L52" s="452"/>
      <c r="M52" s="452"/>
      <c r="N52" s="452"/>
      <c r="O52" s="452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52"/>
      <c r="AA52" s="452"/>
      <c r="AB52" s="452"/>
      <c r="AC52" s="452"/>
    </row>
    <row r="53" spans="3:29" ht="15.75" customHeight="1" x14ac:dyDescent="0.35">
      <c r="C53" s="268" t="s">
        <v>22</v>
      </c>
      <c r="D53" s="269">
        <v>1.18E-7</v>
      </c>
      <c r="E53" s="219">
        <f>D53*$H$8*1000000</f>
        <v>14.97472746</v>
      </c>
      <c r="F53" s="237">
        <v>14.97472746</v>
      </c>
      <c r="G53" s="235">
        <f>F53/$H$8/1000000</f>
        <v>1.18E-7</v>
      </c>
      <c r="H53" s="304"/>
      <c r="I53" s="458"/>
      <c r="J53" s="454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4"/>
      <c r="AB53" s="454"/>
      <c r="AC53" s="454"/>
    </row>
    <row r="54" spans="3:29" ht="15.75" customHeight="1" x14ac:dyDescent="0.35">
      <c r="H54" s="304"/>
      <c r="I54" s="35"/>
      <c r="J54" s="35"/>
      <c r="K54" s="35"/>
      <c r="L54" s="35"/>
      <c r="M54" s="35"/>
      <c r="N54" s="35"/>
    </row>
    <row r="55" spans="3:29" ht="15.75" customHeight="1" x14ac:dyDescent="0.35">
      <c r="E55" s="478" t="s">
        <v>431</v>
      </c>
      <c r="F55" s="474"/>
      <c r="H55" s="304"/>
    </row>
    <row r="56" spans="3:29" ht="15.75" customHeight="1" x14ac:dyDescent="0.35">
      <c r="D56" s="254" t="s">
        <v>536</v>
      </c>
      <c r="E56" s="255" t="s">
        <v>324</v>
      </c>
      <c r="F56" s="256" t="s">
        <v>386</v>
      </c>
      <c r="H56" s="304"/>
    </row>
    <row r="57" spans="3:29" ht="15.75" customHeight="1" x14ac:dyDescent="0.35">
      <c r="D57" s="258" t="s">
        <v>432</v>
      </c>
      <c r="E57" s="259">
        <f>Subduction!C27</f>
        <v>1.6391785458798918E-6</v>
      </c>
      <c r="F57" s="262">
        <f>E57*$C$6*1000000</f>
        <v>22.959482138575883</v>
      </c>
      <c r="H57" s="304"/>
    </row>
    <row r="58" spans="3:29" ht="15.75" customHeight="1" x14ac:dyDescent="0.35">
      <c r="D58" s="263" t="s">
        <v>433</v>
      </c>
      <c r="E58" s="264">
        <f>Subduction!C28</f>
        <v>5.5379189642771518E-15</v>
      </c>
      <c r="F58" s="229">
        <f>E58*$D$6*1000000</f>
        <v>1.2178437594341885E-7</v>
      </c>
    </row>
    <row r="59" spans="3:29" ht="15.75" customHeight="1" x14ac:dyDescent="0.35">
      <c r="D59" s="263" t="s">
        <v>434</v>
      </c>
      <c r="E59" s="264">
        <f>Subduction!C29</f>
        <v>3.6398417645648524E-13</v>
      </c>
      <c r="F59" s="229">
        <f>E59*$E$6*1000000</f>
        <v>1.3091619065907456E-5</v>
      </c>
    </row>
    <row r="60" spans="3:29" ht="15.75" customHeight="1" x14ac:dyDescent="0.35">
      <c r="D60" s="263" t="s">
        <v>435</v>
      </c>
      <c r="E60" s="264">
        <f>Subduction!C30</f>
        <v>2.7553919923279788E-14</v>
      </c>
      <c r="F60" s="229">
        <f>E60*$F$6*1000000</f>
        <v>2.3120906965344519E-6</v>
      </c>
    </row>
    <row r="61" spans="3:29" ht="15.75" customHeight="1" x14ac:dyDescent="0.35">
      <c r="D61" s="263" t="s">
        <v>436</v>
      </c>
      <c r="E61" s="264">
        <f>Subduction!C31</f>
        <v>5.8530807959721895E-16</v>
      </c>
      <c r="F61" s="229">
        <f>E61*$G$6*1000000</f>
        <v>7.603357338573006E-8</v>
      </c>
    </row>
    <row r="62" spans="3:29" ht="15.75" customHeight="1" x14ac:dyDescent="0.35">
      <c r="D62" s="265" t="s">
        <v>437</v>
      </c>
      <c r="E62" s="264">
        <f>Subduction!C32</f>
        <v>9.7687790343338509E-4</v>
      </c>
      <c r="F62" s="229">
        <f>E62*$H$6*1000000</f>
        <v>17598.455430352435</v>
      </c>
    </row>
    <row r="63" spans="3:29" ht="15.75" customHeight="1" x14ac:dyDescent="0.35">
      <c r="D63" s="263" t="s">
        <v>438</v>
      </c>
      <c r="E63" s="264">
        <f>Subduction!C33</f>
        <v>1.1090114906641972E-4</v>
      </c>
      <c r="F63" s="229">
        <f>E63*$C$8*1000000</f>
        <v>1331.9228002877007</v>
      </c>
    </row>
    <row r="64" spans="3:29" ht="15.75" customHeight="1" x14ac:dyDescent="0.35">
      <c r="D64" s="265" t="s">
        <v>18</v>
      </c>
      <c r="E64" s="264">
        <f>Subduction!C34</f>
        <v>3.8262962246692104E-5</v>
      </c>
      <c r="F64" s="229">
        <f>E64*$D$8*1000000</f>
        <v>1226.9018844401821</v>
      </c>
    </row>
    <row r="65" spans="4:14" ht="15.75" customHeight="1" x14ac:dyDescent="0.35">
      <c r="D65" s="265" t="s">
        <v>19</v>
      </c>
      <c r="E65" s="264">
        <f>Subduction!C35</f>
        <v>6.4016185675007319E-6</v>
      </c>
      <c r="F65" s="229">
        <f>E65*$E$8*1000000</f>
        <v>226.95658307360347</v>
      </c>
    </row>
    <row r="66" spans="4:14" ht="15.75" customHeight="1" x14ac:dyDescent="0.35">
      <c r="D66" s="265" t="s">
        <v>20</v>
      </c>
      <c r="E66" s="264">
        <f>Subduction!C36</f>
        <v>6.3213063444423774E-6</v>
      </c>
      <c r="F66" s="229">
        <f>E66*$F$8*1000000</f>
        <v>120.0947254181731</v>
      </c>
    </row>
    <row r="67" spans="4:14" ht="15.75" customHeight="1" x14ac:dyDescent="0.35">
      <c r="D67" s="265" t="s">
        <v>21</v>
      </c>
      <c r="E67" s="264">
        <f>Subduction!C37</f>
        <v>2.3377021536368696E-8</v>
      </c>
      <c r="F67" s="229">
        <f>E67*$G$8*1000000</f>
        <v>1.8679175288420042</v>
      </c>
    </row>
    <row r="68" spans="4:14" ht="15.75" customHeight="1" x14ac:dyDescent="0.35">
      <c r="D68" s="268" t="s">
        <v>22</v>
      </c>
      <c r="E68" s="269">
        <f>Subduction!C38</f>
        <v>4.1264630933042248E-9</v>
      </c>
      <c r="F68" s="235">
        <f>E68*$H$8*1000000</f>
        <v>0.52366661183033325</v>
      </c>
    </row>
    <row r="69" spans="4:14" ht="15.75" customHeight="1" x14ac:dyDescent="0.35">
      <c r="I69" s="35"/>
      <c r="J69" s="35"/>
      <c r="K69" s="35"/>
      <c r="L69" s="35"/>
      <c r="M69" s="35"/>
      <c r="N69" s="35"/>
    </row>
    <row r="70" spans="4:14" ht="15.75" customHeight="1" x14ac:dyDescent="0.35">
      <c r="I70" s="35"/>
      <c r="J70" s="35"/>
      <c r="K70" s="35"/>
      <c r="L70" s="35"/>
      <c r="M70" s="35"/>
      <c r="N70" s="35"/>
    </row>
    <row r="71" spans="4:14" ht="15.75" customHeight="1" x14ac:dyDescent="0.35">
      <c r="I71" s="35"/>
      <c r="J71" s="35"/>
      <c r="K71" s="35"/>
      <c r="L71" s="35"/>
      <c r="M71" s="35"/>
      <c r="N71" s="35"/>
    </row>
    <row r="72" spans="4:14" ht="15.75" customHeight="1" x14ac:dyDescent="0.35">
      <c r="I72" s="35"/>
      <c r="J72" s="35"/>
      <c r="K72" s="35"/>
      <c r="L72" s="35"/>
      <c r="M72" s="35"/>
      <c r="N72" s="35"/>
    </row>
    <row r="73" spans="4:14" ht="15.75" customHeight="1" x14ac:dyDescent="0.35">
      <c r="I73" s="35"/>
      <c r="J73" s="35"/>
      <c r="K73" s="35"/>
      <c r="L73" s="35"/>
      <c r="M73" s="35"/>
      <c r="N73" s="35"/>
    </row>
    <row r="74" spans="4:14" ht="15.75" customHeight="1" x14ac:dyDescent="0.35">
      <c r="I74" s="35"/>
      <c r="J74" s="35"/>
      <c r="K74" s="35"/>
      <c r="L74" s="35"/>
      <c r="M74" s="35"/>
      <c r="N74" s="35"/>
    </row>
    <row r="75" spans="4:14" ht="15.75" customHeight="1" x14ac:dyDescent="0.35">
      <c r="I75" s="35"/>
      <c r="J75" s="35"/>
      <c r="K75" s="35"/>
      <c r="L75" s="35"/>
      <c r="M75" s="35"/>
      <c r="N75" s="35"/>
    </row>
    <row r="76" spans="4:14" ht="15.75" customHeight="1" x14ac:dyDescent="0.35">
      <c r="I76" s="35"/>
      <c r="J76" s="35"/>
      <c r="K76" s="35"/>
      <c r="L76" s="35"/>
      <c r="M76" s="35"/>
      <c r="N76" s="35"/>
    </row>
    <row r="77" spans="4:14" ht="15.75" customHeight="1" x14ac:dyDescent="0.35">
      <c r="I77" s="35"/>
      <c r="J77" s="35"/>
      <c r="K77" s="35"/>
      <c r="L77" s="35"/>
      <c r="M77" s="35"/>
      <c r="N77" s="35"/>
    </row>
    <row r="78" spans="4:14" ht="15.75" customHeight="1" x14ac:dyDescent="0.35">
      <c r="I78" s="35"/>
      <c r="J78" s="35"/>
      <c r="K78" s="35"/>
      <c r="L78" s="35"/>
      <c r="M78" s="35"/>
      <c r="N78" s="35"/>
    </row>
    <row r="79" spans="4:14" ht="15.75" customHeight="1" x14ac:dyDescent="0.35">
      <c r="I79" s="35"/>
      <c r="J79" s="35"/>
      <c r="K79" s="35"/>
      <c r="L79" s="35"/>
      <c r="M79" s="35"/>
      <c r="N79" s="35"/>
    </row>
    <row r="80" spans="4:14" ht="15.75" customHeight="1" x14ac:dyDescent="0.35">
      <c r="I80" s="35"/>
      <c r="J80" s="35"/>
      <c r="K80" s="35"/>
      <c r="L80" s="35"/>
      <c r="M80" s="35"/>
      <c r="N80" s="35"/>
    </row>
    <row r="81" spans="9:14" ht="15.75" customHeight="1" x14ac:dyDescent="0.35">
      <c r="I81" s="35"/>
      <c r="J81" s="35"/>
      <c r="K81" s="35"/>
      <c r="L81" s="35"/>
      <c r="M81" s="35"/>
      <c r="N81" s="35"/>
    </row>
    <row r="82" spans="9:14" ht="15.75" customHeight="1" x14ac:dyDescent="0.35">
      <c r="I82" s="35"/>
      <c r="J82" s="35"/>
      <c r="K82" s="35"/>
      <c r="L82" s="35"/>
      <c r="M82" s="35"/>
      <c r="N82" s="35"/>
    </row>
    <row r="83" spans="9:14" ht="15.75" customHeight="1" x14ac:dyDescent="0.35">
      <c r="I83" s="35"/>
      <c r="J83" s="35"/>
      <c r="K83" s="35"/>
      <c r="L83" s="35"/>
      <c r="M83" s="35"/>
      <c r="N83" s="35"/>
    </row>
    <row r="84" spans="9:14" ht="15.75" customHeight="1" x14ac:dyDescent="0.35">
      <c r="I84" s="35"/>
      <c r="J84" s="35"/>
      <c r="K84" s="35"/>
      <c r="L84" s="35"/>
      <c r="M84" s="35"/>
      <c r="N84" s="35"/>
    </row>
    <row r="85" spans="9:14" ht="15.75" customHeight="1" x14ac:dyDescent="0.35">
      <c r="I85" s="35"/>
      <c r="J85" s="35"/>
      <c r="K85" s="35"/>
      <c r="L85" s="35"/>
      <c r="M85" s="35"/>
      <c r="N85" s="35"/>
    </row>
    <row r="86" spans="9:14" ht="15.75" customHeight="1" x14ac:dyDescent="0.35">
      <c r="I86" s="35"/>
      <c r="J86" s="35"/>
      <c r="K86" s="35"/>
      <c r="L86" s="35"/>
      <c r="M86" s="35"/>
      <c r="N86" s="35"/>
    </row>
    <row r="87" spans="9:14" ht="15.75" customHeight="1" x14ac:dyDescent="0.35">
      <c r="I87" s="35"/>
      <c r="J87" s="35"/>
      <c r="K87" s="35"/>
      <c r="L87" s="35"/>
      <c r="M87" s="35"/>
      <c r="N87" s="35"/>
    </row>
    <row r="88" spans="9:14" ht="15.75" customHeight="1" x14ac:dyDescent="0.35">
      <c r="I88" s="35"/>
      <c r="J88" s="35"/>
      <c r="K88" s="35"/>
      <c r="L88" s="35"/>
      <c r="M88" s="35"/>
      <c r="N88" s="35"/>
    </row>
    <row r="89" spans="9:14" ht="15.75" customHeight="1" x14ac:dyDescent="0.35">
      <c r="I89" s="35"/>
      <c r="J89" s="35"/>
      <c r="K89" s="35"/>
      <c r="L89" s="35"/>
      <c r="M89" s="35"/>
      <c r="N89" s="35"/>
    </row>
    <row r="90" spans="9:14" ht="15.75" customHeight="1" x14ac:dyDescent="0.35">
      <c r="I90" s="35"/>
      <c r="J90" s="35"/>
      <c r="K90" s="35"/>
      <c r="L90" s="35"/>
      <c r="M90" s="35"/>
      <c r="N90" s="35"/>
    </row>
    <row r="91" spans="9:14" ht="15.75" customHeight="1" x14ac:dyDescent="0.35">
      <c r="I91" s="35"/>
      <c r="J91" s="35"/>
      <c r="K91" s="35"/>
      <c r="L91" s="35"/>
      <c r="M91" s="35"/>
      <c r="N91" s="35"/>
    </row>
    <row r="92" spans="9:14" ht="15.75" customHeight="1" x14ac:dyDescent="0.35">
      <c r="I92" s="35"/>
      <c r="J92" s="35"/>
      <c r="K92" s="35"/>
      <c r="L92" s="35"/>
      <c r="M92" s="35"/>
      <c r="N92" s="35"/>
    </row>
    <row r="93" spans="9:14" ht="15.75" customHeight="1" x14ac:dyDescent="0.35">
      <c r="I93" s="35"/>
      <c r="J93" s="35"/>
      <c r="K93" s="35"/>
      <c r="L93" s="35"/>
      <c r="M93" s="35"/>
      <c r="N93" s="35"/>
    </row>
    <row r="94" spans="9:14" ht="15.75" customHeight="1" x14ac:dyDescent="0.35">
      <c r="I94" s="35"/>
      <c r="J94" s="35"/>
      <c r="K94" s="35"/>
      <c r="L94" s="35"/>
      <c r="M94" s="35"/>
      <c r="N94" s="35"/>
    </row>
    <row r="95" spans="9:14" ht="15.75" customHeight="1" x14ac:dyDescent="0.35">
      <c r="I95" s="35"/>
      <c r="J95" s="35"/>
      <c r="K95" s="35"/>
      <c r="L95" s="35"/>
      <c r="M95" s="35"/>
      <c r="N95" s="35"/>
    </row>
    <row r="96" spans="9:14" ht="15.75" customHeight="1" x14ac:dyDescent="0.35">
      <c r="I96" s="35"/>
      <c r="J96" s="35"/>
      <c r="K96" s="35"/>
      <c r="L96" s="35"/>
      <c r="M96" s="35"/>
      <c r="N96" s="35"/>
    </row>
    <row r="97" spans="9:14" ht="15.75" customHeight="1" x14ac:dyDescent="0.35">
      <c r="I97" s="35"/>
      <c r="J97" s="35"/>
      <c r="K97" s="35"/>
      <c r="L97" s="35"/>
      <c r="M97" s="35"/>
      <c r="N97" s="35"/>
    </row>
    <row r="98" spans="9:14" ht="15.75" customHeight="1" x14ac:dyDescent="0.35">
      <c r="I98" s="35"/>
      <c r="J98" s="35"/>
      <c r="K98" s="35"/>
      <c r="L98" s="35"/>
      <c r="M98" s="35"/>
      <c r="N98" s="35"/>
    </row>
    <row r="99" spans="9:14" ht="15.75" customHeight="1" x14ac:dyDescent="0.35">
      <c r="I99" s="35"/>
      <c r="J99" s="35"/>
      <c r="K99" s="35"/>
      <c r="L99" s="35"/>
      <c r="M99" s="35"/>
      <c r="N99" s="35"/>
    </row>
    <row r="100" spans="9:14" ht="15.75" customHeight="1" x14ac:dyDescent="0.35">
      <c r="I100" s="35"/>
      <c r="J100" s="35"/>
      <c r="K100" s="35"/>
      <c r="L100" s="35"/>
      <c r="M100" s="35"/>
      <c r="N100" s="35"/>
    </row>
    <row r="101" spans="9:14" ht="15.75" customHeight="1" x14ac:dyDescent="0.35">
      <c r="I101" s="35"/>
      <c r="J101" s="35"/>
      <c r="K101" s="35"/>
      <c r="L101" s="35"/>
      <c r="M101" s="35"/>
      <c r="N101" s="35"/>
    </row>
    <row r="102" spans="9:14" ht="15.75" customHeight="1" x14ac:dyDescent="0.35">
      <c r="I102" s="35"/>
      <c r="J102" s="35"/>
      <c r="K102" s="35"/>
      <c r="L102" s="35"/>
      <c r="M102" s="35"/>
      <c r="N102" s="35"/>
    </row>
    <row r="103" spans="9:14" ht="15.75" customHeight="1" x14ac:dyDescent="0.35">
      <c r="I103" s="35"/>
      <c r="J103" s="35"/>
      <c r="K103" s="35"/>
      <c r="L103" s="35"/>
      <c r="M103" s="35"/>
      <c r="N103" s="35"/>
    </row>
    <row r="104" spans="9:14" ht="15.75" customHeight="1" x14ac:dyDescent="0.35">
      <c r="I104" s="35"/>
      <c r="J104" s="35"/>
      <c r="K104" s="35"/>
      <c r="L104" s="35"/>
      <c r="M104" s="35"/>
      <c r="N104" s="35"/>
    </row>
    <row r="105" spans="9:14" ht="15.75" customHeight="1" x14ac:dyDescent="0.35">
      <c r="I105" s="35"/>
      <c r="J105" s="35"/>
      <c r="K105" s="35"/>
      <c r="L105" s="35"/>
      <c r="M105" s="35"/>
      <c r="N105" s="35"/>
    </row>
    <row r="106" spans="9:14" ht="15.75" customHeight="1" x14ac:dyDescent="0.35">
      <c r="I106" s="35"/>
      <c r="J106" s="35"/>
      <c r="K106" s="35"/>
      <c r="L106" s="35"/>
      <c r="M106" s="35"/>
      <c r="N106" s="35"/>
    </row>
    <row r="107" spans="9:14" ht="15.75" customHeight="1" x14ac:dyDescent="0.35">
      <c r="I107" s="35"/>
      <c r="J107" s="35"/>
      <c r="K107" s="35"/>
      <c r="L107" s="35"/>
      <c r="M107" s="35"/>
      <c r="N107" s="35"/>
    </row>
    <row r="108" spans="9:14" ht="15.75" customHeight="1" x14ac:dyDescent="0.35">
      <c r="I108" s="35"/>
      <c r="J108" s="35"/>
      <c r="K108" s="35"/>
      <c r="L108" s="35"/>
      <c r="M108" s="35"/>
      <c r="N108" s="35"/>
    </row>
    <row r="109" spans="9:14" ht="15.75" customHeight="1" x14ac:dyDescent="0.35">
      <c r="I109" s="35"/>
      <c r="J109" s="35"/>
      <c r="K109" s="35"/>
      <c r="L109" s="35"/>
      <c r="M109" s="35"/>
      <c r="N109" s="35"/>
    </row>
    <row r="110" spans="9:14" ht="15.75" customHeight="1" x14ac:dyDescent="0.35">
      <c r="I110" s="35"/>
      <c r="J110" s="35"/>
      <c r="K110" s="35"/>
      <c r="L110" s="35"/>
      <c r="M110" s="35"/>
      <c r="N110" s="35"/>
    </row>
    <row r="111" spans="9:14" ht="15.75" customHeight="1" x14ac:dyDescent="0.35">
      <c r="I111" s="35"/>
      <c r="J111" s="35"/>
      <c r="K111" s="35"/>
      <c r="L111" s="35"/>
      <c r="M111" s="35"/>
      <c r="N111" s="35"/>
    </row>
    <row r="112" spans="9:14" ht="15.75" customHeight="1" x14ac:dyDescent="0.35">
      <c r="I112" s="35"/>
      <c r="J112" s="35"/>
      <c r="K112" s="35"/>
      <c r="L112" s="35"/>
      <c r="M112" s="35"/>
      <c r="N112" s="35"/>
    </row>
    <row r="113" spans="9:14" ht="15.75" customHeight="1" x14ac:dyDescent="0.35">
      <c r="I113" s="35"/>
      <c r="J113" s="35"/>
      <c r="K113" s="35"/>
      <c r="L113" s="35"/>
      <c r="M113" s="35"/>
      <c r="N113" s="35"/>
    </row>
    <row r="114" spans="9:14" ht="15.75" customHeight="1" x14ac:dyDescent="0.35">
      <c r="I114" s="35"/>
      <c r="J114" s="35"/>
      <c r="K114" s="35"/>
      <c r="L114" s="35"/>
      <c r="M114" s="35"/>
      <c r="N114" s="35"/>
    </row>
    <row r="115" spans="9:14" ht="15.75" customHeight="1" x14ac:dyDescent="0.35">
      <c r="I115" s="35"/>
      <c r="J115" s="35"/>
      <c r="K115" s="35"/>
      <c r="L115" s="35"/>
      <c r="M115" s="35"/>
      <c r="N115" s="35"/>
    </row>
    <row r="116" spans="9:14" ht="15.75" customHeight="1" x14ac:dyDescent="0.35">
      <c r="I116" s="35"/>
      <c r="J116" s="35"/>
      <c r="K116" s="35"/>
      <c r="L116" s="35"/>
      <c r="M116" s="35"/>
      <c r="N116" s="35"/>
    </row>
    <row r="117" spans="9:14" ht="15.75" customHeight="1" x14ac:dyDescent="0.35">
      <c r="I117" s="35"/>
      <c r="J117" s="35"/>
      <c r="K117" s="35"/>
      <c r="L117" s="35"/>
      <c r="M117" s="35"/>
      <c r="N117" s="35"/>
    </row>
    <row r="118" spans="9:14" ht="15.75" customHeight="1" x14ac:dyDescent="0.35">
      <c r="I118" s="35"/>
      <c r="J118" s="35"/>
      <c r="K118" s="35"/>
      <c r="L118" s="35"/>
      <c r="M118" s="35"/>
      <c r="N118" s="35"/>
    </row>
    <row r="119" spans="9:14" ht="15.75" customHeight="1" x14ac:dyDescent="0.35">
      <c r="I119" s="35"/>
      <c r="J119" s="35"/>
      <c r="K119" s="35"/>
      <c r="L119" s="35"/>
      <c r="M119" s="35"/>
      <c r="N119" s="35"/>
    </row>
    <row r="120" spans="9:14" ht="15.75" customHeight="1" x14ac:dyDescent="0.35">
      <c r="I120" s="35"/>
      <c r="J120" s="35"/>
      <c r="K120" s="35"/>
      <c r="L120" s="35"/>
      <c r="M120" s="35"/>
      <c r="N120" s="35"/>
    </row>
    <row r="121" spans="9:14" ht="15.75" customHeight="1" x14ac:dyDescent="0.35">
      <c r="I121" s="35"/>
      <c r="J121" s="35"/>
      <c r="K121" s="35"/>
      <c r="L121" s="35"/>
      <c r="M121" s="35"/>
      <c r="N121" s="35"/>
    </row>
    <row r="122" spans="9:14" ht="15.75" customHeight="1" x14ac:dyDescent="0.35">
      <c r="I122" s="35"/>
      <c r="J122" s="35"/>
      <c r="K122" s="35"/>
      <c r="L122" s="35"/>
      <c r="M122" s="35"/>
      <c r="N122" s="35"/>
    </row>
    <row r="123" spans="9:14" ht="15.75" customHeight="1" x14ac:dyDescent="0.35">
      <c r="I123" s="35"/>
      <c r="J123" s="35"/>
      <c r="K123" s="35"/>
      <c r="L123" s="35"/>
      <c r="M123" s="35"/>
      <c r="N123" s="35"/>
    </row>
    <row r="124" spans="9:14" ht="15.75" customHeight="1" x14ac:dyDescent="0.35">
      <c r="I124" s="35"/>
      <c r="J124" s="35"/>
      <c r="K124" s="35"/>
      <c r="L124" s="35"/>
      <c r="M124" s="35"/>
      <c r="N124" s="35"/>
    </row>
    <row r="125" spans="9:14" ht="15.75" customHeight="1" x14ac:dyDescent="0.35">
      <c r="I125" s="35"/>
      <c r="J125" s="35"/>
      <c r="K125" s="35"/>
      <c r="L125" s="35"/>
      <c r="M125" s="35"/>
      <c r="N125" s="35"/>
    </row>
    <row r="126" spans="9:14" ht="15.75" customHeight="1" x14ac:dyDescent="0.35">
      <c r="I126" s="35"/>
      <c r="J126" s="35"/>
      <c r="K126" s="35"/>
      <c r="L126" s="35"/>
      <c r="M126" s="35"/>
      <c r="N126" s="35"/>
    </row>
    <row r="127" spans="9:14" ht="15.75" customHeight="1" x14ac:dyDescent="0.35">
      <c r="I127" s="35"/>
      <c r="J127" s="35"/>
      <c r="K127" s="35"/>
      <c r="L127" s="35"/>
      <c r="M127" s="35"/>
      <c r="N127" s="35"/>
    </row>
    <row r="128" spans="9:14" ht="15.75" customHeight="1" x14ac:dyDescent="0.35">
      <c r="I128" s="35"/>
      <c r="J128" s="35"/>
      <c r="K128" s="35"/>
      <c r="L128" s="35"/>
      <c r="M128" s="35"/>
      <c r="N128" s="35"/>
    </row>
    <row r="129" spans="9:14" ht="15.75" customHeight="1" x14ac:dyDescent="0.35">
      <c r="I129" s="35"/>
      <c r="J129" s="35"/>
      <c r="K129" s="35"/>
      <c r="L129" s="35"/>
      <c r="M129" s="35"/>
      <c r="N129" s="35"/>
    </row>
    <row r="130" spans="9:14" ht="15.75" customHeight="1" x14ac:dyDescent="0.35">
      <c r="I130" s="35"/>
      <c r="J130" s="35"/>
      <c r="K130" s="35"/>
      <c r="L130" s="35"/>
      <c r="M130" s="35"/>
      <c r="N130" s="35"/>
    </row>
    <row r="131" spans="9:14" ht="15.75" customHeight="1" x14ac:dyDescent="0.35">
      <c r="I131" s="35"/>
      <c r="J131" s="35"/>
      <c r="K131" s="35"/>
      <c r="L131" s="35"/>
      <c r="M131" s="35"/>
      <c r="N131" s="35"/>
    </row>
    <row r="132" spans="9:14" ht="15.75" customHeight="1" x14ac:dyDescent="0.35">
      <c r="I132" s="35"/>
      <c r="J132" s="35"/>
      <c r="K132" s="35"/>
      <c r="L132" s="35"/>
      <c r="M132" s="35"/>
      <c r="N132" s="35"/>
    </row>
    <row r="133" spans="9:14" ht="15.75" customHeight="1" x14ac:dyDescent="0.35">
      <c r="I133" s="35"/>
      <c r="J133" s="35"/>
      <c r="K133" s="35"/>
      <c r="L133" s="35"/>
      <c r="M133" s="35"/>
      <c r="N133" s="35"/>
    </row>
    <row r="134" spans="9:14" ht="15.75" customHeight="1" x14ac:dyDescent="0.35">
      <c r="I134" s="35"/>
      <c r="J134" s="35"/>
      <c r="K134" s="35"/>
      <c r="L134" s="35"/>
      <c r="M134" s="35"/>
      <c r="N134" s="35"/>
    </row>
    <row r="135" spans="9:14" ht="15.75" customHeight="1" x14ac:dyDescent="0.35">
      <c r="I135" s="35"/>
      <c r="J135" s="35"/>
      <c r="K135" s="35"/>
      <c r="L135" s="35"/>
      <c r="M135" s="35"/>
      <c r="N135" s="35"/>
    </row>
    <row r="136" spans="9:14" ht="15.75" customHeight="1" x14ac:dyDescent="0.35">
      <c r="I136" s="35"/>
      <c r="J136" s="35"/>
      <c r="K136" s="35"/>
      <c r="L136" s="35"/>
      <c r="M136" s="35"/>
      <c r="N136" s="35"/>
    </row>
    <row r="137" spans="9:14" ht="15.75" customHeight="1" x14ac:dyDescent="0.35">
      <c r="I137" s="35"/>
      <c r="J137" s="35"/>
      <c r="K137" s="35"/>
      <c r="L137" s="35"/>
      <c r="M137" s="35"/>
      <c r="N137" s="35"/>
    </row>
    <row r="138" spans="9:14" ht="15.75" customHeight="1" x14ac:dyDescent="0.35">
      <c r="I138" s="35"/>
      <c r="J138" s="35"/>
      <c r="K138" s="35"/>
      <c r="L138" s="35"/>
      <c r="M138" s="35"/>
      <c r="N138" s="35"/>
    </row>
    <row r="139" spans="9:14" ht="15.75" customHeight="1" x14ac:dyDescent="0.35">
      <c r="I139" s="35"/>
      <c r="J139" s="35"/>
      <c r="K139" s="35"/>
      <c r="L139" s="35"/>
      <c r="M139" s="35"/>
      <c r="N139" s="35"/>
    </row>
    <row r="140" spans="9:14" ht="15.75" customHeight="1" x14ac:dyDescent="0.35">
      <c r="I140" s="35"/>
      <c r="J140" s="35"/>
      <c r="K140" s="35"/>
      <c r="L140" s="35"/>
      <c r="M140" s="35"/>
      <c r="N140" s="35"/>
    </row>
    <row r="141" spans="9:14" ht="15.75" customHeight="1" x14ac:dyDescent="0.35">
      <c r="I141" s="35"/>
      <c r="J141" s="35"/>
      <c r="K141" s="35"/>
      <c r="L141" s="35"/>
      <c r="M141" s="35"/>
      <c r="N141" s="35"/>
    </row>
    <row r="142" spans="9:14" ht="15.75" customHeight="1" x14ac:dyDescent="0.35">
      <c r="I142" s="35"/>
      <c r="J142" s="35"/>
      <c r="K142" s="35"/>
      <c r="L142" s="35"/>
      <c r="M142" s="35"/>
      <c r="N142" s="35"/>
    </row>
    <row r="143" spans="9:14" ht="15.75" customHeight="1" x14ac:dyDescent="0.35">
      <c r="I143" s="35"/>
      <c r="J143" s="35"/>
      <c r="K143" s="35"/>
      <c r="L143" s="35"/>
      <c r="M143" s="35"/>
      <c r="N143" s="35"/>
    </row>
    <row r="144" spans="9:14" ht="15.75" customHeight="1" x14ac:dyDescent="0.35">
      <c r="I144" s="35"/>
      <c r="J144" s="35"/>
      <c r="K144" s="35"/>
      <c r="L144" s="35"/>
      <c r="M144" s="35"/>
      <c r="N144" s="35"/>
    </row>
    <row r="145" spans="9:14" ht="15.75" customHeight="1" x14ac:dyDescent="0.35">
      <c r="I145" s="35"/>
      <c r="J145" s="35"/>
      <c r="K145" s="35"/>
      <c r="L145" s="35"/>
      <c r="M145" s="35"/>
      <c r="N145" s="35"/>
    </row>
    <row r="146" spans="9:14" ht="15.75" customHeight="1" x14ac:dyDescent="0.35">
      <c r="I146" s="35"/>
      <c r="J146" s="35"/>
      <c r="K146" s="35"/>
      <c r="L146" s="35"/>
      <c r="M146" s="35"/>
      <c r="N146" s="35"/>
    </row>
    <row r="147" spans="9:14" ht="15.75" customHeight="1" x14ac:dyDescent="0.35">
      <c r="I147" s="35"/>
      <c r="J147" s="35"/>
      <c r="K147" s="35"/>
      <c r="L147" s="35"/>
      <c r="M147" s="35"/>
      <c r="N147" s="35"/>
    </row>
    <row r="148" spans="9:14" ht="15.75" customHeight="1" x14ac:dyDescent="0.35">
      <c r="I148" s="35"/>
      <c r="J148" s="35"/>
      <c r="K148" s="35"/>
      <c r="L148" s="35"/>
      <c r="M148" s="35"/>
      <c r="N148" s="35"/>
    </row>
    <row r="149" spans="9:14" ht="15.75" customHeight="1" x14ac:dyDescent="0.35">
      <c r="I149" s="35"/>
      <c r="J149" s="35"/>
      <c r="K149" s="35"/>
      <c r="L149" s="35"/>
      <c r="M149" s="35"/>
      <c r="N149" s="35"/>
    </row>
    <row r="150" spans="9:14" ht="15.75" customHeight="1" x14ac:dyDescent="0.35">
      <c r="I150" s="35"/>
      <c r="J150" s="35"/>
      <c r="K150" s="35"/>
      <c r="L150" s="35"/>
      <c r="M150" s="35"/>
      <c r="N150" s="35"/>
    </row>
    <row r="151" spans="9:14" ht="15.75" customHeight="1" x14ac:dyDescent="0.35">
      <c r="I151" s="35"/>
      <c r="J151" s="35"/>
      <c r="K151" s="35"/>
      <c r="L151" s="35"/>
      <c r="M151" s="35"/>
      <c r="N151" s="35"/>
    </row>
    <row r="152" spans="9:14" ht="15.75" customHeight="1" x14ac:dyDescent="0.35">
      <c r="I152" s="35"/>
      <c r="J152" s="35"/>
      <c r="K152" s="35"/>
      <c r="L152" s="35"/>
      <c r="M152" s="35"/>
      <c r="N152" s="35"/>
    </row>
    <row r="153" spans="9:14" ht="15.75" customHeight="1" x14ac:dyDescent="0.35">
      <c r="I153" s="35"/>
      <c r="J153" s="35"/>
      <c r="K153" s="35"/>
      <c r="L153" s="35"/>
      <c r="M153" s="35"/>
      <c r="N153" s="35"/>
    </row>
    <row r="154" spans="9:14" ht="15.75" customHeight="1" x14ac:dyDescent="0.35">
      <c r="I154" s="35"/>
      <c r="J154" s="35"/>
      <c r="K154" s="35"/>
      <c r="L154" s="35"/>
      <c r="M154" s="35"/>
      <c r="N154" s="35"/>
    </row>
    <row r="155" spans="9:14" ht="15.75" customHeight="1" x14ac:dyDescent="0.35">
      <c r="I155" s="35"/>
      <c r="J155" s="35"/>
      <c r="K155" s="35"/>
      <c r="L155" s="35"/>
      <c r="M155" s="35"/>
      <c r="N155" s="35"/>
    </row>
    <row r="156" spans="9:14" ht="15.75" customHeight="1" x14ac:dyDescent="0.35">
      <c r="I156" s="35"/>
      <c r="J156" s="35"/>
      <c r="K156" s="35"/>
      <c r="L156" s="35"/>
      <c r="M156" s="35"/>
      <c r="N156" s="35"/>
    </row>
    <row r="157" spans="9:14" ht="15.75" customHeight="1" x14ac:dyDescent="0.35">
      <c r="I157" s="35"/>
      <c r="J157" s="35"/>
      <c r="K157" s="35"/>
      <c r="L157" s="35"/>
      <c r="M157" s="35"/>
      <c r="N157" s="35"/>
    </row>
    <row r="158" spans="9:14" ht="15.75" customHeight="1" x14ac:dyDescent="0.35">
      <c r="I158" s="35"/>
      <c r="J158" s="35"/>
      <c r="K158" s="35"/>
      <c r="L158" s="35"/>
      <c r="M158" s="35"/>
      <c r="N158" s="35"/>
    </row>
    <row r="159" spans="9:14" ht="15.75" customHeight="1" x14ac:dyDescent="0.35">
      <c r="I159" s="35"/>
      <c r="J159" s="35"/>
      <c r="K159" s="35"/>
      <c r="L159" s="35"/>
      <c r="M159" s="35"/>
      <c r="N159" s="35"/>
    </row>
    <row r="160" spans="9:14" ht="15.75" customHeight="1" x14ac:dyDescent="0.35">
      <c r="I160" s="35"/>
      <c r="J160" s="35"/>
      <c r="K160" s="35"/>
      <c r="L160" s="35"/>
      <c r="M160" s="35"/>
      <c r="N160" s="35"/>
    </row>
    <row r="161" spans="9:14" ht="15.75" customHeight="1" x14ac:dyDescent="0.35">
      <c r="I161" s="35"/>
      <c r="J161" s="35"/>
      <c r="K161" s="35"/>
      <c r="L161" s="35"/>
      <c r="M161" s="35"/>
      <c r="N161" s="35"/>
    </row>
    <row r="162" spans="9:14" ht="15.75" customHeight="1" x14ac:dyDescent="0.35">
      <c r="I162" s="35"/>
      <c r="J162" s="35"/>
      <c r="K162" s="35"/>
      <c r="L162" s="35"/>
      <c r="M162" s="35"/>
      <c r="N162" s="35"/>
    </row>
    <row r="163" spans="9:14" ht="15.75" customHeight="1" x14ac:dyDescent="0.35">
      <c r="I163" s="35"/>
      <c r="J163" s="35"/>
      <c r="K163" s="35"/>
      <c r="L163" s="35"/>
      <c r="M163" s="35"/>
      <c r="N163" s="35"/>
    </row>
    <row r="164" spans="9:14" ht="15.75" customHeight="1" x14ac:dyDescent="0.35">
      <c r="I164" s="35"/>
      <c r="J164" s="35"/>
      <c r="K164" s="35"/>
      <c r="L164" s="35"/>
      <c r="M164" s="35"/>
      <c r="N164" s="35"/>
    </row>
    <row r="165" spans="9:14" ht="15.75" customHeight="1" x14ac:dyDescent="0.35">
      <c r="I165" s="35"/>
      <c r="J165" s="35"/>
      <c r="K165" s="35"/>
      <c r="L165" s="35"/>
      <c r="M165" s="35"/>
      <c r="N165" s="35"/>
    </row>
    <row r="166" spans="9:14" ht="15.75" customHeight="1" x14ac:dyDescent="0.35">
      <c r="I166" s="35"/>
      <c r="J166" s="35"/>
      <c r="K166" s="35"/>
      <c r="L166" s="35"/>
      <c r="M166" s="35"/>
      <c r="N166" s="35"/>
    </row>
    <row r="167" spans="9:14" ht="15.75" customHeight="1" x14ac:dyDescent="0.35">
      <c r="I167" s="35"/>
      <c r="J167" s="35"/>
      <c r="K167" s="35"/>
      <c r="L167" s="35"/>
      <c r="M167" s="35"/>
      <c r="N167" s="35"/>
    </row>
    <row r="168" spans="9:14" ht="15.75" customHeight="1" x14ac:dyDescent="0.35">
      <c r="I168" s="35"/>
      <c r="J168" s="35"/>
      <c r="K168" s="35"/>
      <c r="L168" s="35"/>
      <c r="M168" s="35"/>
      <c r="N168" s="35"/>
    </row>
    <row r="169" spans="9:14" ht="15.75" customHeight="1" x14ac:dyDescent="0.35">
      <c r="I169" s="35"/>
      <c r="J169" s="35"/>
      <c r="K169" s="35"/>
      <c r="L169" s="35"/>
      <c r="M169" s="35"/>
      <c r="N169" s="35"/>
    </row>
    <row r="170" spans="9:14" ht="15.75" customHeight="1" x14ac:dyDescent="0.35">
      <c r="I170" s="35"/>
      <c r="J170" s="35"/>
      <c r="K170" s="35"/>
      <c r="L170" s="35"/>
      <c r="M170" s="35"/>
      <c r="N170" s="35"/>
    </row>
    <row r="171" spans="9:14" ht="15.75" customHeight="1" x14ac:dyDescent="0.35">
      <c r="I171" s="35"/>
      <c r="J171" s="35"/>
      <c r="K171" s="35"/>
      <c r="L171" s="35"/>
      <c r="M171" s="35"/>
      <c r="N171" s="35"/>
    </row>
    <row r="172" spans="9:14" ht="15.75" customHeight="1" x14ac:dyDescent="0.35">
      <c r="I172" s="35"/>
      <c r="J172" s="35"/>
      <c r="K172" s="35"/>
      <c r="L172" s="35"/>
      <c r="M172" s="35"/>
      <c r="N172" s="35"/>
    </row>
    <row r="173" spans="9:14" ht="15.75" customHeight="1" x14ac:dyDescent="0.35">
      <c r="I173" s="35"/>
      <c r="J173" s="35"/>
      <c r="K173" s="35"/>
      <c r="L173" s="35"/>
      <c r="M173" s="35"/>
      <c r="N173" s="35"/>
    </row>
    <row r="174" spans="9:14" ht="15.75" customHeight="1" x14ac:dyDescent="0.35">
      <c r="I174" s="35"/>
      <c r="J174" s="35"/>
      <c r="K174" s="35"/>
      <c r="L174" s="35"/>
      <c r="M174" s="35"/>
      <c r="N174" s="35"/>
    </row>
    <row r="175" spans="9:14" ht="15.75" customHeight="1" x14ac:dyDescent="0.35">
      <c r="I175" s="35"/>
      <c r="J175" s="35"/>
      <c r="K175" s="35"/>
      <c r="L175" s="35"/>
      <c r="M175" s="35"/>
      <c r="N175" s="35"/>
    </row>
    <row r="176" spans="9:14" ht="15.75" customHeight="1" x14ac:dyDescent="0.35">
      <c r="I176" s="35"/>
      <c r="J176" s="35"/>
      <c r="K176" s="35"/>
      <c r="L176" s="35"/>
      <c r="M176" s="35"/>
      <c r="N176" s="35"/>
    </row>
    <row r="177" spans="9:14" ht="15.75" customHeight="1" x14ac:dyDescent="0.35">
      <c r="I177" s="35"/>
      <c r="J177" s="35"/>
      <c r="K177" s="35"/>
      <c r="L177" s="35"/>
      <c r="M177" s="35"/>
      <c r="N177" s="35"/>
    </row>
    <row r="178" spans="9:14" ht="15.75" customHeight="1" x14ac:dyDescent="0.35">
      <c r="I178" s="35"/>
      <c r="J178" s="35"/>
      <c r="K178" s="35"/>
      <c r="L178" s="35"/>
      <c r="M178" s="35"/>
      <c r="N178" s="35"/>
    </row>
    <row r="179" spans="9:14" ht="15.75" customHeight="1" x14ac:dyDescent="0.35">
      <c r="I179" s="35"/>
      <c r="J179" s="35"/>
      <c r="K179" s="35"/>
      <c r="L179" s="35"/>
      <c r="M179" s="35"/>
      <c r="N179" s="35"/>
    </row>
    <row r="180" spans="9:14" ht="15.75" customHeight="1" x14ac:dyDescent="0.35">
      <c r="I180" s="35"/>
      <c r="J180" s="35"/>
      <c r="K180" s="35"/>
      <c r="L180" s="35"/>
      <c r="M180" s="35"/>
      <c r="N180" s="35"/>
    </row>
    <row r="181" spans="9:14" ht="15.75" customHeight="1" x14ac:dyDescent="0.35">
      <c r="I181" s="35"/>
      <c r="J181" s="35"/>
      <c r="K181" s="35"/>
      <c r="L181" s="35"/>
      <c r="M181" s="35"/>
      <c r="N181" s="35"/>
    </row>
    <row r="182" spans="9:14" ht="15.75" customHeight="1" x14ac:dyDescent="0.35">
      <c r="I182" s="35"/>
      <c r="J182" s="35"/>
      <c r="K182" s="35"/>
      <c r="L182" s="35"/>
      <c r="M182" s="35"/>
      <c r="N182" s="35"/>
    </row>
    <row r="183" spans="9:14" ht="15.75" customHeight="1" x14ac:dyDescent="0.35">
      <c r="I183" s="35"/>
      <c r="J183" s="35"/>
      <c r="K183" s="35"/>
      <c r="L183" s="35"/>
      <c r="M183" s="35"/>
      <c r="N183" s="35"/>
    </row>
    <row r="184" spans="9:14" ht="15.75" customHeight="1" x14ac:dyDescent="0.35">
      <c r="I184" s="35"/>
      <c r="J184" s="35"/>
      <c r="K184" s="35"/>
      <c r="L184" s="35"/>
      <c r="M184" s="35"/>
      <c r="N184" s="35"/>
    </row>
    <row r="185" spans="9:14" ht="15.75" customHeight="1" x14ac:dyDescent="0.35">
      <c r="I185" s="35"/>
      <c r="J185" s="35"/>
      <c r="K185" s="35"/>
      <c r="L185" s="35"/>
      <c r="M185" s="35"/>
      <c r="N185" s="35"/>
    </row>
    <row r="186" spans="9:14" ht="15.75" customHeight="1" x14ac:dyDescent="0.35">
      <c r="I186" s="35"/>
      <c r="J186" s="35"/>
      <c r="K186" s="35"/>
      <c r="L186" s="35"/>
      <c r="M186" s="35"/>
      <c r="N186" s="35"/>
    </row>
    <row r="187" spans="9:14" ht="15.75" customHeight="1" x14ac:dyDescent="0.35">
      <c r="I187" s="35"/>
      <c r="J187" s="35"/>
      <c r="K187" s="35"/>
      <c r="L187" s="35"/>
      <c r="M187" s="35"/>
      <c r="N187" s="35"/>
    </row>
    <row r="188" spans="9:14" ht="15.75" customHeight="1" x14ac:dyDescent="0.35">
      <c r="I188" s="35"/>
      <c r="J188" s="35"/>
      <c r="K188" s="35"/>
      <c r="L188" s="35"/>
      <c r="M188" s="35"/>
      <c r="N188" s="35"/>
    </row>
    <row r="189" spans="9:14" ht="15.75" customHeight="1" x14ac:dyDescent="0.35">
      <c r="I189" s="35"/>
      <c r="J189" s="35"/>
      <c r="K189" s="35"/>
      <c r="L189" s="35"/>
      <c r="M189" s="35"/>
      <c r="N189" s="35"/>
    </row>
    <row r="190" spans="9:14" ht="15.75" customHeight="1" x14ac:dyDescent="0.35">
      <c r="I190" s="35"/>
      <c r="J190" s="35"/>
      <c r="K190" s="35"/>
      <c r="L190" s="35"/>
      <c r="M190" s="35"/>
      <c r="N190" s="35"/>
    </row>
    <row r="191" spans="9:14" ht="15.75" customHeight="1" x14ac:dyDescent="0.35">
      <c r="I191" s="35"/>
      <c r="J191" s="35"/>
      <c r="K191" s="35"/>
      <c r="L191" s="35"/>
      <c r="M191" s="35"/>
      <c r="N191" s="35"/>
    </row>
    <row r="192" spans="9:14" ht="15.75" customHeight="1" x14ac:dyDescent="0.35">
      <c r="I192" s="35"/>
      <c r="J192" s="35"/>
      <c r="K192" s="35"/>
      <c r="L192" s="35"/>
      <c r="M192" s="35"/>
      <c r="N192" s="35"/>
    </row>
    <row r="193" spans="9:14" ht="15.75" customHeight="1" x14ac:dyDescent="0.35">
      <c r="I193" s="35"/>
      <c r="J193" s="35"/>
      <c r="K193" s="35"/>
      <c r="L193" s="35"/>
      <c r="M193" s="35"/>
      <c r="N193" s="35"/>
    </row>
    <row r="194" spans="9:14" ht="15.75" customHeight="1" x14ac:dyDescent="0.35">
      <c r="I194" s="35"/>
      <c r="J194" s="35"/>
      <c r="K194" s="35"/>
      <c r="L194" s="35"/>
      <c r="M194" s="35"/>
      <c r="N194" s="35"/>
    </row>
    <row r="195" spans="9:14" ht="15.75" customHeight="1" x14ac:dyDescent="0.35">
      <c r="I195" s="35"/>
      <c r="J195" s="35"/>
      <c r="K195" s="35"/>
      <c r="L195" s="35"/>
      <c r="M195" s="35"/>
      <c r="N195" s="35"/>
    </row>
    <row r="196" spans="9:14" ht="15.75" customHeight="1" x14ac:dyDescent="0.35">
      <c r="I196" s="35"/>
      <c r="J196" s="35"/>
      <c r="K196" s="35"/>
      <c r="L196" s="35"/>
      <c r="M196" s="35"/>
      <c r="N196" s="35"/>
    </row>
    <row r="197" spans="9:14" ht="15.75" customHeight="1" x14ac:dyDescent="0.35">
      <c r="I197" s="35"/>
      <c r="J197" s="35"/>
      <c r="K197" s="35"/>
      <c r="L197" s="35"/>
      <c r="M197" s="35"/>
      <c r="N197" s="35"/>
    </row>
    <row r="198" spans="9:14" ht="15.75" customHeight="1" x14ac:dyDescent="0.35">
      <c r="I198" s="35"/>
      <c r="J198" s="35"/>
      <c r="K198" s="35"/>
      <c r="L198" s="35"/>
      <c r="M198" s="35"/>
      <c r="N198" s="35"/>
    </row>
    <row r="199" spans="9:14" ht="15.75" customHeight="1" x14ac:dyDescent="0.35">
      <c r="I199" s="35"/>
      <c r="J199" s="35"/>
      <c r="K199" s="35"/>
      <c r="L199" s="35"/>
      <c r="M199" s="35"/>
      <c r="N199" s="35"/>
    </row>
    <row r="200" spans="9:14" ht="15.75" customHeight="1" x14ac:dyDescent="0.35">
      <c r="I200" s="35"/>
      <c r="J200" s="35"/>
      <c r="K200" s="35"/>
      <c r="L200" s="35"/>
      <c r="M200" s="35"/>
      <c r="N200" s="35"/>
    </row>
    <row r="201" spans="9:14" ht="15.75" customHeight="1" x14ac:dyDescent="0.35">
      <c r="I201" s="35"/>
      <c r="J201" s="35"/>
      <c r="K201" s="35"/>
      <c r="L201" s="35"/>
      <c r="M201" s="35"/>
      <c r="N201" s="35"/>
    </row>
    <row r="202" spans="9:14" ht="15.75" customHeight="1" x14ac:dyDescent="0.35">
      <c r="I202" s="35"/>
      <c r="J202" s="35"/>
      <c r="K202" s="35"/>
      <c r="L202" s="35"/>
      <c r="M202" s="35"/>
      <c r="N202" s="35"/>
    </row>
    <row r="203" spans="9:14" ht="15.75" customHeight="1" x14ac:dyDescent="0.35">
      <c r="I203" s="35"/>
      <c r="J203" s="35"/>
      <c r="K203" s="35"/>
      <c r="L203" s="35"/>
      <c r="M203" s="35"/>
      <c r="N203" s="35"/>
    </row>
    <row r="204" spans="9:14" ht="15.75" customHeight="1" x14ac:dyDescent="0.35">
      <c r="I204" s="35"/>
      <c r="J204" s="35"/>
      <c r="K204" s="35"/>
      <c r="L204" s="35"/>
      <c r="M204" s="35"/>
      <c r="N204" s="35"/>
    </row>
    <row r="205" spans="9:14" ht="15.75" customHeight="1" x14ac:dyDescent="0.35">
      <c r="I205" s="35"/>
      <c r="J205" s="35"/>
      <c r="K205" s="35"/>
      <c r="L205" s="35"/>
      <c r="M205" s="35"/>
      <c r="N205" s="35"/>
    </row>
    <row r="206" spans="9:14" ht="15.75" customHeight="1" x14ac:dyDescent="0.35">
      <c r="I206" s="35"/>
      <c r="J206" s="35"/>
      <c r="K206" s="35"/>
      <c r="L206" s="35"/>
      <c r="M206" s="35"/>
      <c r="N206" s="35"/>
    </row>
    <row r="207" spans="9:14" ht="15.75" customHeight="1" x14ac:dyDescent="0.35">
      <c r="I207" s="35"/>
      <c r="J207" s="35"/>
      <c r="K207" s="35"/>
      <c r="L207" s="35"/>
      <c r="M207" s="35"/>
      <c r="N207" s="35"/>
    </row>
    <row r="208" spans="9:14" ht="15.75" customHeight="1" x14ac:dyDescent="0.35">
      <c r="I208" s="35"/>
      <c r="J208" s="35"/>
      <c r="K208" s="35"/>
      <c r="L208" s="35"/>
      <c r="M208" s="35"/>
      <c r="N208" s="35"/>
    </row>
    <row r="209" spans="9:14" ht="15.75" customHeight="1" x14ac:dyDescent="0.35">
      <c r="I209" s="35"/>
      <c r="J209" s="35"/>
      <c r="K209" s="35"/>
      <c r="L209" s="35"/>
      <c r="M209" s="35"/>
      <c r="N209" s="35"/>
    </row>
    <row r="210" spans="9:14" ht="15.75" customHeight="1" x14ac:dyDescent="0.35">
      <c r="I210" s="35"/>
      <c r="J210" s="35"/>
      <c r="K210" s="35"/>
      <c r="L210" s="35"/>
      <c r="M210" s="35"/>
      <c r="N210" s="35"/>
    </row>
    <row r="211" spans="9:14" ht="15.75" customHeight="1" x14ac:dyDescent="0.35">
      <c r="I211" s="35"/>
      <c r="J211" s="35"/>
      <c r="K211" s="35"/>
      <c r="L211" s="35"/>
      <c r="M211" s="35"/>
      <c r="N211" s="35"/>
    </row>
    <row r="212" spans="9:14" ht="15.75" customHeight="1" x14ac:dyDescent="0.35">
      <c r="I212" s="35"/>
      <c r="J212" s="35"/>
      <c r="K212" s="35"/>
      <c r="L212" s="35"/>
      <c r="M212" s="35"/>
      <c r="N212" s="35"/>
    </row>
    <row r="213" spans="9:14" ht="15.75" customHeight="1" x14ac:dyDescent="0.35">
      <c r="I213" s="35"/>
      <c r="J213" s="35"/>
      <c r="K213" s="35"/>
      <c r="L213" s="35"/>
      <c r="M213" s="35"/>
      <c r="N213" s="35"/>
    </row>
    <row r="214" spans="9:14" ht="15.75" customHeight="1" x14ac:dyDescent="0.35">
      <c r="I214" s="35"/>
      <c r="J214" s="35"/>
      <c r="K214" s="35"/>
      <c r="L214" s="35"/>
      <c r="M214" s="35"/>
      <c r="N214" s="35"/>
    </row>
    <row r="215" spans="9:14" ht="15.75" customHeight="1" x14ac:dyDescent="0.35">
      <c r="I215" s="35"/>
      <c r="J215" s="35"/>
      <c r="K215" s="35"/>
      <c r="L215" s="35"/>
      <c r="M215" s="35"/>
      <c r="N215" s="35"/>
    </row>
    <row r="216" spans="9:14" ht="15.75" customHeight="1" x14ac:dyDescent="0.35">
      <c r="I216" s="35"/>
      <c r="J216" s="35"/>
      <c r="K216" s="35"/>
      <c r="L216" s="35"/>
      <c r="M216" s="35"/>
      <c r="N216" s="35"/>
    </row>
    <row r="217" spans="9:14" ht="15.75" customHeight="1" x14ac:dyDescent="0.35">
      <c r="I217" s="35"/>
      <c r="J217" s="35"/>
      <c r="K217" s="35"/>
      <c r="L217" s="35"/>
      <c r="M217" s="35"/>
      <c r="N217" s="35"/>
    </row>
    <row r="218" spans="9:14" ht="15.75" customHeight="1" x14ac:dyDescent="0.35">
      <c r="I218" s="35"/>
      <c r="J218" s="35"/>
      <c r="K218" s="35"/>
      <c r="L218" s="35"/>
      <c r="M218" s="35"/>
      <c r="N218" s="35"/>
    </row>
    <row r="219" spans="9:14" ht="15.75" customHeight="1" x14ac:dyDescent="0.35">
      <c r="I219" s="35"/>
      <c r="J219" s="35"/>
      <c r="K219" s="35"/>
      <c r="L219" s="35"/>
      <c r="M219" s="35"/>
      <c r="N219" s="35"/>
    </row>
    <row r="220" spans="9:14" ht="15.75" customHeight="1" x14ac:dyDescent="0.35">
      <c r="I220" s="35"/>
      <c r="J220" s="35"/>
      <c r="K220" s="35"/>
      <c r="L220" s="35"/>
      <c r="M220" s="35"/>
      <c r="N220" s="35"/>
    </row>
    <row r="221" spans="9:14" ht="15.75" customHeight="1" x14ac:dyDescent="0.35">
      <c r="I221" s="35"/>
      <c r="J221" s="35"/>
      <c r="K221" s="35"/>
      <c r="L221" s="35"/>
      <c r="M221" s="35"/>
      <c r="N221" s="35"/>
    </row>
    <row r="222" spans="9:14" ht="15.75" customHeight="1" x14ac:dyDescent="0.35">
      <c r="I222" s="35"/>
      <c r="J222" s="35"/>
      <c r="K222" s="35"/>
      <c r="L222" s="35"/>
      <c r="M222" s="35"/>
      <c r="N222" s="35"/>
    </row>
    <row r="223" spans="9:14" ht="15.75" customHeight="1" x14ac:dyDescent="0.35">
      <c r="I223" s="35"/>
      <c r="J223" s="35"/>
      <c r="K223" s="35"/>
      <c r="L223" s="35"/>
      <c r="M223" s="35"/>
      <c r="N223" s="35"/>
    </row>
    <row r="224" spans="9:14" ht="15.75" customHeight="1" x14ac:dyDescent="0.35">
      <c r="I224" s="35"/>
      <c r="J224" s="35"/>
      <c r="K224" s="35"/>
      <c r="L224" s="35"/>
      <c r="M224" s="35"/>
      <c r="N224" s="35"/>
    </row>
    <row r="225" spans="9:14" ht="15.75" customHeight="1" x14ac:dyDescent="0.35">
      <c r="I225" s="35"/>
      <c r="J225" s="35"/>
      <c r="K225" s="35"/>
      <c r="L225" s="35"/>
      <c r="M225" s="35"/>
      <c r="N225" s="35"/>
    </row>
    <row r="226" spans="9:14" ht="15.75" customHeight="1" x14ac:dyDescent="0.35">
      <c r="I226" s="35"/>
      <c r="J226" s="35"/>
      <c r="K226" s="35"/>
      <c r="L226" s="35"/>
      <c r="M226" s="35"/>
      <c r="N226" s="35"/>
    </row>
    <row r="227" spans="9:14" ht="15.75" customHeight="1" x14ac:dyDescent="0.35">
      <c r="I227" s="35"/>
      <c r="J227" s="35"/>
      <c r="K227" s="35"/>
      <c r="L227" s="35"/>
      <c r="M227" s="35"/>
      <c r="N227" s="35"/>
    </row>
    <row r="228" spans="9:14" ht="15.75" customHeight="1" x14ac:dyDescent="0.35">
      <c r="I228" s="35"/>
      <c r="J228" s="35"/>
      <c r="K228" s="35"/>
      <c r="L228" s="35"/>
      <c r="M228" s="35"/>
      <c r="N228" s="35"/>
    </row>
    <row r="229" spans="9:14" ht="15.75" customHeight="1" x14ac:dyDescent="0.35">
      <c r="I229" s="35"/>
      <c r="J229" s="35"/>
      <c r="K229" s="35"/>
      <c r="L229" s="35"/>
      <c r="M229" s="35"/>
      <c r="N229" s="35"/>
    </row>
    <row r="230" spans="9:14" ht="15.75" customHeight="1" x14ac:dyDescent="0.35">
      <c r="I230" s="35"/>
      <c r="J230" s="35"/>
      <c r="K230" s="35"/>
      <c r="L230" s="35"/>
      <c r="M230" s="35"/>
      <c r="N230" s="35"/>
    </row>
    <row r="231" spans="9:14" ht="15.75" customHeight="1" x14ac:dyDescent="0.35">
      <c r="I231" s="35"/>
      <c r="J231" s="35"/>
      <c r="K231" s="35"/>
      <c r="L231" s="35"/>
      <c r="M231" s="35"/>
      <c r="N231" s="35"/>
    </row>
    <row r="232" spans="9:14" ht="15.75" customHeight="1" x14ac:dyDescent="0.35">
      <c r="I232" s="35"/>
      <c r="J232" s="35"/>
      <c r="K232" s="35"/>
      <c r="L232" s="35"/>
      <c r="M232" s="35"/>
      <c r="N232" s="35"/>
    </row>
    <row r="233" spans="9:14" ht="15.75" customHeight="1" x14ac:dyDescent="0.35">
      <c r="I233" s="35"/>
      <c r="J233" s="35"/>
      <c r="K233" s="35"/>
      <c r="L233" s="35"/>
      <c r="M233" s="35"/>
      <c r="N233" s="35"/>
    </row>
    <row r="234" spans="9:14" ht="15.75" customHeight="1" x14ac:dyDescent="0.35">
      <c r="I234" s="35"/>
      <c r="J234" s="35"/>
      <c r="K234" s="35"/>
      <c r="L234" s="35"/>
      <c r="M234" s="35"/>
      <c r="N234" s="35"/>
    </row>
    <row r="235" spans="9:14" ht="15.75" customHeight="1" x14ac:dyDescent="0.35">
      <c r="I235" s="35"/>
      <c r="J235" s="35"/>
      <c r="K235" s="35"/>
      <c r="L235" s="35"/>
      <c r="M235" s="35"/>
      <c r="N235" s="35"/>
    </row>
    <row r="236" spans="9:14" ht="15.75" customHeight="1" x14ac:dyDescent="0.35">
      <c r="I236" s="35"/>
      <c r="J236" s="35"/>
      <c r="K236" s="35"/>
      <c r="L236" s="35"/>
      <c r="M236" s="35"/>
      <c r="N236" s="35"/>
    </row>
    <row r="237" spans="9:14" ht="15.75" customHeight="1" x14ac:dyDescent="0.35">
      <c r="I237" s="35"/>
      <c r="J237" s="35"/>
      <c r="K237" s="35"/>
      <c r="L237" s="35"/>
      <c r="M237" s="35"/>
      <c r="N237" s="35"/>
    </row>
    <row r="238" spans="9:14" ht="15.75" customHeight="1" x14ac:dyDescent="0.35">
      <c r="I238" s="35"/>
      <c r="J238" s="35"/>
      <c r="K238" s="35"/>
      <c r="L238" s="35"/>
      <c r="M238" s="35"/>
      <c r="N238" s="35"/>
    </row>
    <row r="239" spans="9:14" ht="15.75" customHeight="1" x14ac:dyDescent="0.35">
      <c r="I239" s="35"/>
      <c r="J239" s="35"/>
      <c r="K239" s="35"/>
      <c r="L239" s="35"/>
      <c r="M239" s="35"/>
      <c r="N239" s="35"/>
    </row>
    <row r="240" spans="9:14" ht="15.75" customHeight="1" x14ac:dyDescent="0.35">
      <c r="I240" s="35"/>
      <c r="J240" s="35"/>
      <c r="K240" s="35"/>
      <c r="L240" s="35"/>
      <c r="M240" s="35"/>
      <c r="N240" s="35"/>
    </row>
    <row r="241" spans="9:14" ht="15.75" customHeight="1" x14ac:dyDescent="0.35">
      <c r="I241" s="35"/>
      <c r="J241" s="35"/>
      <c r="K241" s="35"/>
      <c r="L241" s="35"/>
      <c r="M241" s="35"/>
      <c r="N241" s="35"/>
    </row>
    <row r="242" spans="9:14" ht="15.75" customHeight="1" x14ac:dyDescent="0.35">
      <c r="I242" s="35"/>
      <c r="J242" s="35"/>
      <c r="K242" s="35"/>
      <c r="L242" s="35"/>
      <c r="M242" s="35"/>
      <c r="N242" s="35"/>
    </row>
    <row r="243" spans="9:14" ht="15.75" customHeight="1" x14ac:dyDescent="0.35">
      <c r="I243" s="35"/>
      <c r="J243" s="35"/>
      <c r="K243" s="35"/>
      <c r="L243" s="35"/>
      <c r="M243" s="35"/>
      <c r="N243" s="35"/>
    </row>
    <row r="244" spans="9:14" ht="15.75" customHeight="1" x14ac:dyDescent="0.35">
      <c r="I244" s="35"/>
      <c r="J244" s="35"/>
      <c r="K244" s="35"/>
      <c r="L244" s="35"/>
      <c r="M244" s="35"/>
      <c r="N244" s="35"/>
    </row>
    <row r="245" spans="9:14" ht="15.75" customHeight="1" x14ac:dyDescent="0.35">
      <c r="I245" s="35"/>
      <c r="J245" s="35"/>
      <c r="K245" s="35"/>
      <c r="L245" s="35"/>
      <c r="M245" s="35"/>
      <c r="N245" s="35"/>
    </row>
    <row r="246" spans="9:14" ht="15.75" customHeight="1" x14ac:dyDescent="0.35">
      <c r="I246" s="35"/>
      <c r="J246" s="35"/>
      <c r="K246" s="35"/>
      <c r="L246" s="35"/>
      <c r="M246" s="35"/>
      <c r="N246" s="35"/>
    </row>
    <row r="247" spans="9:14" ht="15.75" customHeight="1" x14ac:dyDescent="0.35">
      <c r="I247" s="35"/>
      <c r="J247" s="35"/>
      <c r="K247" s="35"/>
      <c r="L247" s="35"/>
      <c r="M247" s="35"/>
      <c r="N247" s="35"/>
    </row>
    <row r="248" spans="9:14" ht="15.75" customHeight="1" x14ac:dyDescent="0.35">
      <c r="I248" s="35"/>
      <c r="J248" s="35"/>
      <c r="K248" s="35"/>
      <c r="L248" s="35"/>
      <c r="M248" s="35"/>
      <c r="N248" s="35"/>
    </row>
    <row r="249" spans="9:14" ht="15.75" customHeight="1" x14ac:dyDescent="0.35">
      <c r="I249" s="35"/>
      <c r="J249" s="35"/>
      <c r="K249" s="35"/>
      <c r="L249" s="35"/>
      <c r="M249" s="35"/>
      <c r="N249" s="35"/>
    </row>
    <row r="250" spans="9:14" ht="15.75" customHeight="1" x14ac:dyDescent="0.35">
      <c r="I250" s="35"/>
      <c r="J250" s="35"/>
      <c r="K250" s="35"/>
      <c r="L250" s="35"/>
      <c r="M250" s="35"/>
      <c r="N250" s="35"/>
    </row>
    <row r="251" spans="9:14" ht="15.75" customHeight="1" x14ac:dyDescent="0.35">
      <c r="I251" s="35"/>
      <c r="J251" s="35"/>
      <c r="K251" s="35"/>
      <c r="L251" s="35"/>
      <c r="M251" s="35"/>
      <c r="N251" s="35"/>
    </row>
    <row r="252" spans="9:14" ht="15.75" customHeight="1" x14ac:dyDescent="0.35">
      <c r="I252" s="35"/>
      <c r="J252" s="35"/>
      <c r="K252" s="35"/>
      <c r="L252" s="35"/>
      <c r="M252" s="35"/>
      <c r="N252" s="35"/>
    </row>
    <row r="253" spans="9:14" ht="15.75" customHeight="1" x14ac:dyDescent="0.35">
      <c r="I253" s="35"/>
      <c r="J253" s="35"/>
      <c r="K253" s="35"/>
      <c r="L253" s="35"/>
      <c r="M253" s="35"/>
      <c r="N253" s="35"/>
    </row>
    <row r="254" spans="9:14" ht="15.75" customHeight="1" x14ac:dyDescent="0.35">
      <c r="I254" s="35"/>
      <c r="J254" s="35"/>
      <c r="K254" s="35"/>
      <c r="L254" s="35"/>
      <c r="M254" s="35"/>
      <c r="N254" s="35"/>
    </row>
    <row r="255" spans="9:14" ht="15.75" customHeight="1" x14ac:dyDescent="0.35">
      <c r="I255" s="35"/>
      <c r="J255" s="35"/>
      <c r="K255" s="35"/>
      <c r="L255" s="35"/>
      <c r="M255" s="35"/>
      <c r="N255" s="35"/>
    </row>
    <row r="256" spans="9:14" ht="15.75" customHeight="1" x14ac:dyDescent="0.35">
      <c r="I256" s="35"/>
      <c r="J256" s="35"/>
      <c r="K256" s="35"/>
      <c r="L256" s="35"/>
      <c r="M256" s="35"/>
      <c r="N256" s="35"/>
    </row>
    <row r="257" spans="9:14" ht="15.75" customHeight="1" x14ac:dyDescent="0.35">
      <c r="I257" s="35"/>
      <c r="J257" s="35"/>
      <c r="K257" s="35"/>
      <c r="L257" s="35"/>
      <c r="M257" s="35"/>
      <c r="N257" s="35"/>
    </row>
    <row r="258" spans="9:14" ht="15.75" customHeight="1" x14ac:dyDescent="0.35">
      <c r="I258" s="35"/>
      <c r="J258" s="35"/>
      <c r="K258" s="35"/>
      <c r="L258" s="35"/>
      <c r="M258" s="35"/>
      <c r="N258" s="35"/>
    </row>
    <row r="259" spans="9:14" ht="15.75" customHeight="1" x14ac:dyDescent="0.35">
      <c r="I259" s="35"/>
      <c r="J259" s="35"/>
      <c r="K259" s="35"/>
      <c r="L259" s="35"/>
      <c r="M259" s="35"/>
      <c r="N259" s="35"/>
    </row>
    <row r="260" spans="9:14" ht="15.75" customHeight="1" x14ac:dyDescent="0.35">
      <c r="I260" s="35"/>
      <c r="J260" s="35"/>
      <c r="K260" s="35"/>
      <c r="L260" s="35"/>
      <c r="M260" s="35"/>
      <c r="N260" s="35"/>
    </row>
    <row r="261" spans="9:14" ht="15.75" customHeight="1" x14ac:dyDescent="0.35">
      <c r="I261" s="35"/>
      <c r="J261" s="35"/>
      <c r="K261" s="35"/>
      <c r="L261" s="35"/>
      <c r="M261" s="35"/>
      <c r="N261" s="35"/>
    </row>
    <row r="262" spans="9:14" ht="15.75" customHeight="1" x14ac:dyDescent="0.35">
      <c r="I262" s="35"/>
      <c r="J262" s="35"/>
      <c r="K262" s="35"/>
      <c r="L262" s="35"/>
      <c r="M262" s="35"/>
      <c r="N262" s="35"/>
    </row>
    <row r="263" spans="9:14" ht="15.75" customHeight="1" x14ac:dyDescent="0.35">
      <c r="I263" s="35"/>
      <c r="J263" s="35"/>
      <c r="K263" s="35"/>
      <c r="L263" s="35"/>
      <c r="M263" s="35"/>
      <c r="N263" s="35"/>
    </row>
    <row r="264" spans="9:14" ht="15.75" customHeight="1" x14ac:dyDescent="0.35">
      <c r="I264" s="35"/>
      <c r="J264" s="35"/>
      <c r="K264" s="35"/>
      <c r="L264" s="35"/>
      <c r="M264" s="35"/>
      <c r="N264" s="35"/>
    </row>
    <row r="265" spans="9:14" ht="15.75" customHeight="1" x14ac:dyDescent="0.35">
      <c r="I265" s="35"/>
      <c r="J265" s="35"/>
      <c r="K265" s="35"/>
      <c r="L265" s="35"/>
      <c r="M265" s="35"/>
      <c r="N265" s="35"/>
    </row>
    <row r="266" spans="9:14" ht="15.75" customHeight="1" x14ac:dyDescent="0.35">
      <c r="I266" s="35"/>
      <c r="J266" s="35"/>
      <c r="K266" s="35"/>
      <c r="L266" s="35"/>
      <c r="M266" s="35"/>
      <c r="N266" s="35"/>
    </row>
    <row r="267" spans="9:14" ht="15.75" customHeight="1" x14ac:dyDescent="0.35">
      <c r="I267" s="35"/>
      <c r="J267" s="35"/>
      <c r="K267" s="35"/>
      <c r="L267" s="35"/>
      <c r="M267" s="35"/>
      <c r="N267" s="35"/>
    </row>
    <row r="268" spans="9:14" ht="15.75" customHeight="1" x14ac:dyDescent="0.35">
      <c r="I268" s="35"/>
      <c r="J268" s="35"/>
      <c r="K268" s="35"/>
      <c r="L268" s="35"/>
      <c r="M268" s="35"/>
      <c r="N268" s="35"/>
    </row>
    <row r="269" spans="9:14" ht="15.75" customHeight="1" x14ac:dyDescent="0.35">
      <c r="I269" s="35"/>
      <c r="J269" s="35"/>
      <c r="K269" s="35"/>
      <c r="L269" s="35"/>
      <c r="M269" s="35"/>
      <c r="N269" s="35"/>
    </row>
    <row r="270" spans="9:14" ht="15.75" customHeight="1" x14ac:dyDescent="0.35">
      <c r="I270" s="35"/>
      <c r="J270" s="35"/>
      <c r="K270" s="35"/>
      <c r="L270" s="35"/>
      <c r="M270" s="35"/>
      <c r="N270" s="35"/>
    </row>
    <row r="271" spans="9:14" ht="15.75" customHeight="1" x14ac:dyDescent="0.35">
      <c r="I271" s="35"/>
      <c r="J271" s="35"/>
      <c r="K271" s="35"/>
      <c r="L271" s="35"/>
      <c r="M271" s="35"/>
      <c r="N271" s="35"/>
    </row>
    <row r="272" spans="9:14" ht="15.75" customHeight="1" x14ac:dyDescent="0.35">
      <c r="I272" s="35"/>
      <c r="J272" s="35"/>
      <c r="K272" s="35"/>
      <c r="L272" s="35"/>
      <c r="M272" s="35"/>
      <c r="N272" s="35"/>
    </row>
    <row r="273" spans="9:14" ht="15.75" customHeight="1" x14ac:dyDescent="0.35">
      <c r="I273" s="35"/>
      <c r="J273" s="35"/>
      <c r="K273" s="35"/>
      <c r="L273" s="35"/>
      <c r="M273" s="35"/>
      <c r="N273" s="35"/>
    </row>
    <row r="274" spans="9:14" ht="15.75" customHeight="1" x14ac:dyDescent="0.35">
      <c r="I274" s="35"/>
      <c r="J274" s="35"/>
      <c r="K274" s="35"/>
      <c r="L274" s="35"/>
      <c r="M274" s="35"/>
      <c r="N274" s="35"/>
    </row>
    <row r="275" spans="9:14" ht="15.75" customHeight="1" x14ac:dyDescent="0.35">
      <c r="I275" s="35"/>
      <c r="J275" s="35"/>
      <c r="K275" s="35"/>
      <c r="L275" s="35"/>
      <c r="M275" s="35"/>
      <c r="N275" s="35"/>
    </row>
    <row r="276" spans="9:14" ht="15.75" customHeight="1" x14ac:dyDescent="0.35">
      <c r="I276" s="35"/>
      <c r="J276" s="35"/>
      <c r="K276" s="35"/>
      <c r="L276" s="35"/>
      <c r="M276" s="35"/>
      <c r="N276" s="35"/>
    </row>
    <row r="277" spans="9:14" ht="15.75" customHeight="1" x14ac:dyDescent="0.35">
      <c r="I277" s="35"/>
      <c r="J277" s="35"/>
      <c r="K277" s="35"/>
      <c r="L277" s="35"/>
      <c r="M277" s="35"/>
      <c r="N277" s="35"/>
    </row>
    <row r="278" spans="9:14" ht="15.75" customHeight="1" x14ac:dyDescent="0.35">
      <c r="I278" s="35"/>
      <c r="J278" s="35"/>
      <c r="K278" s="35"/>
      <c r="L278" s="35"/>
      <c r="M278" s="35"/>
      <c r="N278" s="35"/>
    </row>
    <row r="279" spans="9:14" ht="15.75" customHeight="1" x14ac:dyDescent="0.35">
      <c r="I279" s="35"/>
      <c r="J279" s="35"/>
      <c r="K279" s="35"/>
      <c r="L279" s="35"/>
      <c r="M279" s="35"/>
      <c r="N279" s="35"/>
    </row>
    <row r="280" spans="9:14" ht="15.75" customHeight="1" x14ac:dyDescent="0.35">
      <c r="I280" s="35"/>
      <c r="J280" s="35"/>
      <c r="K280" s="35"/>
      <c r="L280" s="35"/>
      <c r="M280" s="35"/>
      <c r="N280" s="35"/>
    </row>
    <row r="281" spans="9:14" ht="15.75" customHeight="1" x14ac:dyDescent="0.35">
      <c r="I281" s="35"/>
      <c r="J281" s="35"/>
      <c r="K281" s="35"/>
      <c r="L281" s="35"/>
      <c r="M281" s="35"/>
      <c r="N281" s="35"/>
    </row>
    <row r="282" spans="9:14" ht="15.75" customHeight="1" x14ac:dyDescent="0.35">
      <c r="I282" s="35"/>
      <c r="J282" s="35"/>
      <c r="K282" s="35"/>
      <c r="L282" s="35"/>
      <c r="M282" s="35"/>
      <c r="N282" s="35"/>
    </row>
    <row r="283" spans="9:14" ht="15.75" customHeight="1" x14ac:dyDescent="0.35">
      <c r="I283" s="35"/>
      <c r="J283" s="35"/>
      <c r="K283" s="35"/>
      <c r="L283" s="35"/>
      <c r="M283" s="35"/>
      <c r="N283" s="35"/>
    </row>
    <row r="284" spans="9:14" ht="15.75" customHeight="1" x14ac:dyDescent="0.35">
      <c r="I284" s="35"/>
      <c r="J284" s="35"/>
      <c r="K284" s="35"/>
      <c r="L284" s="35"/>
      <c r="M284" s="35"/>
      <c r="N284" s="35"/>
    </row>
    <row r="285" spans="9:14" ht="15.75" customHeight="1" x14ac:dyDescent="0.35">
      <c r="I285" s="35"/>
      <c r="J285" s="35"/>
      <c r="K285" s="35"/>
      <c r="L285" s="35"/>
      <c r="M285" s="35"/>
      <c r="N285" s="35"/>
    </row>
    <row r="286" spans="9:14" ht="15.75" customHeight="1" x14ac:dyDescent="0.35">
      <c r="I286" s="35"/>
      <c r="J286" s="35"/>
      <c r="K286" s="35"/>
      <c r="L286" s="35"/>
      <c r="M286" s="35"/>
      <c r="N286" s="35"/>
    </row>
    <row r="287" spans="9:14" ht="15.75" customHeight="1" x14ac:dyDescent="0.35">
      <c r="I287" s="35"/>
      <c r="J287" s="35"/>
      <c r="K287" s="35"/>
      <c r="L287" s="35"/>
      <c r="M287" s="35"/>
      <c r="N287" s="35"/>
    </row>
    <row r="288" spans="9:14" ht="15.75" customHeight="1" x14ac:dyDescent="0.35">
      <c r="I288" s="35"/>
      <c r="J288" s="35"/>
      <c r="K288" s="35"/>
      <c r="L288" s="35"/>
      <c r="M288" s="35"/>
      <c r="N288" s="35"/>
    </row>
    <row r="289" spans="9:14" ht="15.75" customHeight="1" x14ac:dyDescent="0.35">
      <c r="I289" s="35"/>
      <c r="J289" s="35"/>
      <c r="K289" s="35"/>
      <c r="L289" s="35"/>
      <c r="M289" s="35"/>
      <c r="N289" s="35"/>
    </row>
    <row r="290" spans="9:14" ht="15.75" customHeight="1" x14ac:dyDescent="0.35">
      <c r="I290" s="35"/>
      <c r="J290" s="35"/>
      <c r="K290" s="35"/>
      <c r="L290" s="35"/>
      <c r="M290" s="35"/>
      <c r="N290" s="35"/>
    </row>
    <row r="291" spans="9:14" ht="15.75" customHeight="1" x14ac:dyDescent="0.35">
      <c r="I291" s="35"/>
      <c r="J291" s="35"/>
      <c r="K291" s="35"/>
      <c r="L291" s="35"/>
      <c r="M291" s="35"/>
      <c r="N291" s="35"/>
    </row>
    <row r="292" spans="9:14" ht="15.75" customHeight="1" x14ac:dyDescent="0.35">
      <c r="I292" s="35"/>
      <c r="J292" s="35"/>
      <c r="K292" s="35"/>
      <c r="L292" s="35"/>
      <c r="M292" s="35"/>
      <c r="N292" s="35"/>
    </row>
    <row r="293" spans="9:14" ht="15.75" customHeight="1" x14ac:dyDescent="0.35">
      <c r="I293" s="35"/>
      <c r="J293" s="35"/>
      <c r="K293" s="35"/>
      <c r="L293" s="35"/>
      <c r="M293" s="35"/>
      <c r="N293" s="35"/>
    </row>
    <row r="294" spans="9:14" ht="15.75" customHeight="1" x14ac:dyDescent="0.35">
      <c r="I294" s="35"/>
      <c r="J294" s="35"/>
      <c r="K294" s="35"/>
      <c r="L294" s="35"/>
      <c r="M294" s="35"/>
      <c r="N294" s="35"/>
    </row>
    <row r="295" spans="9:14" ht="15.75" customHeight="1" x14ac:dyDescent="0.35">
      <c r="I295" s="35"/>
      <c r="J295" s="35"/>
      <c r="K295" s="35"/>
      <c r="L295" s="35"/>
      <c r="M295" s="35"/>
      <c r="N295" s="35"/>
    </row>
    <row r="296" spans="9:14" ht="15.75" customHeight="1" x14ac:dyDescent="0.35">
      <c r="I296" s="35"/>
      <c r="J296" s="35"/>
      <c r="K296" s="35"/>
      <c r="L296" s="35"/>
      <c r="M296" s="35"/>
      <c r="N296" s="35"/>
    </row>
    <row r="297" spans="9:14" ht="15.75" customHeight="1" x14ac:dyDescent="0.35">
      <c r="I297" s="35"/>
      <c r="J297" s="35"/>
      <c r="K297" s="35"/>
      <c r="L297" s="35"/>
      <c r="M297" s="35"/>
      <c r="N297" s="35"/>
    </row>
    <row r="298" spans="9:14" ht="15.75" customHeight="1" x14ac:dyDescent="0.35">
      <c r="I298" s="35"/>
      <c r="J298" s="35"/>
      <c r="K298" s="35"/>
      <c r="L298" s="35"/>
      <c r="M298" s="35"/>
      <c r="N298" s="35"/>
    </row>
    <row r="299" spans="9:14" ht="15.75" customHeight="1" x14ac:dyDescent="0.35">
      <c r="I299" s="35"/>
      <c r="J299" s="35"/>
      <c r="K299" s="35"/>
      <c r="L299" s="35"/>
      <c r="M299" s="35"/>
      <c r="N299" s="35"/>
    </row>
    <row r="300" spans="9:14" ht="15.75" customHeight="1" x14ac:dyDescent="0.35">
      <c r="I300" s="35"/>
      <c r="J300" s="35"/>
      <c r="K300" s="35"/>
      <c r="L300" s="35"/>
      <c r="M300" s="35"/>
      <c r="N300" s="35"/>
    </row>
    <row r="301" spans="9:14" ht="15.75" customHeight="1" x14ac:dyDescent="0.35">
      <c r="I301" s="35"/>
      <c r="J301" s="35"/>
      <c r="K301" s="35"/>
      <c r="L301" s="35"/>
      <c r="M301" s="35"/>
      <c r="N301" s="35"/>
    </row>
    <row r="302" spans="9:14" ht="15.75" customHeight="1" x14ac:dyDescent="0.35">
      <c r="I302" s="35"/>
      <c r="J302" s="35"/>
      <c r="K302" s="35"/>
      <c r="L302" s="35"/>
      <c r="M302" s="35"/>
      <c r="N302" s="35"/>
    </row>
    <row r="303" spans="9:14" ht="15.75" customHeight="1" x14ac:dyDescent="0.35">
      <c r="I303" s="35"/>
      <c r="J303" s="35"/>
      <c r="K303" s="35"/>
      <c r="L303" s="35"/>
      <c r="M303" s="35"/>
      <c r="N303" s="35"/>
    </row>
    <row r="304" spans="9:14" ht="15.75" customHeight="1" x14ac:dyDescent="0.35">
      <c r="I304" s="35"/>
      <c r="J304" s="35"/>
      <c r="K304" s="35"/>
      <c r="L304" s="35"/>
      <c r="M304" s="35"/>
      <c r="N304" s="35"/>
    </row>
    <row r="305" spans="9:14" ht="15.75" customHeight="1" x14ac:dyDescent="0.35">
      <c r="I305" s="35"/>
      <c r="J305" s="35"/>
      <c r="K305" s="35"/>
      <c r="L305" s="35"/>
      <c r="M305" s="35"/>
      <c r="N305" s="35"/>
    </row>
    <row r="306" spans="9:14" ht="15.75" customHeight="1" x14ac:dyDescent="0.35">
      <c r="I306" s="35"/>
      <c r="J306" s="35"/>
      <c r="K306" s="35"/>
      <c r="L306" s="35"/>
      <c r="M306" s="35"/>
      <c r="N306" s="35"/>
    </row>
    <row r="307" spans="9:14" ht="15.75" customHeight="1" x14ac:dyDescent="0.35">
      <c r="I307" s="35"/>
      <c r="J307" s="35"/>
      <c r="K307" s="35"/>
      <c r="L307" s="35"/>
      <c r="M307" s="35"/>
      <c r="N307" s="35"/>
    </row>
    <row r="308" spans="9:14" ht="15.75" customHeight="1" x14ac:dyDescent="0.35">
      <c r="I308" s="35"/>
      <c r="J308" s="35"/>
      <c r="K308" s="35"/>
      <c r="L308" s="35"/>
      <c r="M308" s="35"/>
      <c r="N308" s="35"/>
    </row>
    <row r="309" spans="9:14" ht="15.75" customHeight="1" x14ac:dyDescent="0.35">
      <c r="I309" s="35"/>
      <c r="J309" s="35"/>
      <c r="K309" s="35"/>
      <c r="L309" s="35"/>
      <c r="M309" s="35"/>
      <c r="N309" s="35"/>
    </row>
    <row r="310" spans="9:14" ht="15.75" customHeight="1" x14ac:dyDescent="0.35">
      <c r="I310" s="35"/>
      <c r="J310" s="35"/>
      <c r="K310" s="35"/>
      <c r="L310" s="35"/>
      <c r="M310" s="35"/>
      <c r="N310" s="35"/>
    </row>
    <row r="311" spans="9:14" ht="15.75" customHeight="1" x14ac:dyDescent="0.35">
      <c r="I311" s="35"/>
      <c r="J311" s="35"/>
      <c r="K311" s="35"/>
      <c r="L311" s="35"/>
      <c r="M311" s="35"/>
      <c r="N311" s="35"/>
    </row>
    <row r="312" spans="9:14" ht="15.75" customHeight="1" x14ac:dyDescent="0.35">
      <c r="I312" s="35"/>
      <c r="J312" s="35"/>
      <c r="K312" s="35"/>
      <c r="L312" s="35"/>
      <c r="M312" s="35"/>
      <c r="N312" s="35"/>
    </row>
    <row r="313" spans="9:14" ht="15.75" customHeight="1" x14ac:dyDescent="0.35">
      <c r="I313" s="35"/>
      <c r="J313" s="35"/>
      <c r="K313" s="35"/>
      <c r="L313" s="35"/>
      <c r="M313" s="35"/>
      <c r="N313" s="35"/>
    </row>
    <row r="314" spans="9:14" ht="15.75" customHeight="1" x14ac:dyDescent="0.35">
      <c r="I314" s="35"/>
      <c r="J314" s="35"/>
      <c r="K314" s="35"/>
      <c r="L314" s="35"/>
      <c r="M314" s="35"/>
      <c r="N314" s="35"/>
    </row>
    <row r="315" spans="9:14" ht="15.75" customHeight="1" x14ac:dyDescent="0.35">
      <c r="I315" s="35"/>
      <c r="J315" s="35"/>
      <c r="K315" s="35"/>
      <c r="L315" s="35"/>
      <c r="M315" s="35"/>
      <c r="N315" s="35"/>
    </row>
    <row r="316" spans="9:14" ht="15.75" customHeight="1" x14ac:dyDescent="0.35">
      <c r="I316" s="35"/>
      <c r="J316" s="35"/>
      <c r="K316" s="35"/>
      <c r="L316" s="35"/>
      <c r="M316" s="35"/>
      <c r="N316" s="35"/>
    </row>
    <row r="317" spans="9:14" ht="15.75" customHeight="1" x14ac:dyDescent="0.35">
      <c r="I317" s="35"/>
      <c r="J317" s="35"/>
      <c r="K317" s="35"/>
      <c r="L317" s="35"/>
      <c r="M317" s="35"/>
      <c r="N317" s="35"/>
    </row>
    <row r="318" spans="9:14" ht="15.75" customHeight="1" x14ac:dyDescent="0.35">
      <c r="I318" s="35"/>
      <c r="J318" s="35"/>
      <c r="K318" s="35"/>
      <c r="L318" s="35"/>
      <c r="M318" s="35"/>
      <c r="N318" s="35"/>
    </row>
    <row r="319" spans="9:14" ht="15.75" customHeight="1" x14ac:dyDescent="0.35">
      <c r="I319" s="35"/>
      <c r="J319" s="35"/>
      <c r="K319" s="35"/>
      <c r="L319" s="35"/>
      <c r="M319" s="35"/>
      <c r="N319" s="35"/>
    </row>
    <row r="320" spans="9:14" ht="15.75" customHeight="1" x14ac:dyDescent="0.35">
      <c r="I320" s="35"/>
      <c r="J320" s="35"/>
      <c r="K320" s="35"/>
      <c r="L320" s="35"/>
      <c r="M320" s="35"/>
      <c r="N320" s="35"/>
    </row>
    <row r="321" spans="9:14" ht="15.75" customHeight="1" x14ac:dyDescent="0.35">
      <c r="I321" s="35"/>
      <c r="J321" s="35"/>
      <c r="K321" s="35"/>
      <c r="L321" s="35"/>
      <c r="M321" s="35"/>
      <c r="N321" s="35"/>
    </row>
    <row r="322" spans="9:14" ht="15.75" customHeight="1" x14ac:dyDescent="0.35">
      <c r="I322" s="35"/>
      <c r="J322" s="35"/>
      <c r="K322" s="35"/>
      <c r="L322" s="35"/>
      <c r="M322" s="35"/>
      <c r="N322" s="35"/>
    </row>
    <row r="323" spans="9:14" ht="15.75" customHeight="1" x14ac:dyDescent="0.35">
      <c r="I323" s="35"/>
      <c r="J323" s="35"/>
      <c r="K323" s="35"/>
      <c r="L323" s="35"/>
      <c r="M323" s="35"/>
      <c r="N323" s="35"/>
    </row>
    <row r="324" spans="9:14" ht="15.75" customHeight="1" x14ac:dyDescent="0.35">
      <c r="I324" s="35"/>
      <c r="J324" s="35"/>
      <c r="K324" s="35"/>
      <c r="L324" s="35"/>
      <c r="M324" s="35"/>
      <c r="N324" s="35"/>
    </row>
    <row r="325" spans="9:14" ht="15.75" customHeight="1" x14ac:dyDescent="0.35">
      <c r="I325" s="35"/>
      <c r="J325" s="35"/>
      <c r="K325" s="35"/>
      <c r="L325" s="35"/>
      <c r="M325" s="35"/>
      <c r="N325" s="35"/>
    </row>
    <row r="326" spans="9:14" ht="15.75" customHeight="1" x14ac:dyDescent="0.35">
      <c r="I326" s="35"/>
      <c r="J326" s="35"/>
      <c r="K326" s="35"/>
      <c r="L326" s="35"/>
      <c r="M326" s="35"/>
      <c r="N326" s="35"/>
    </row>
    <row r="327" spans="9:14" ht="15.75" customHeight="1" x14ac:dyDescent="0.35">
      <c r="I327" s="35"/>
      <c r="J327" s="35"/>
      <c r="K327" s="35"/>
      <c r="L327" s="35"/>
      <c r="M327" s="35"/>
      <c r="N327" s="35"/>
    </row>
    <row r="328" spans="9:14" ht="15.75" customHeight="1" x14ac:dyDescent="0.35">
      <c r="I328" s="35"/>
      <c r="J328" s="35"/>
      <c r="K328" s="35"/>
      <c r="L328" s="35"/>
      <c r="M328" s="35"/>
      <c r="N328" s="35"/>
    </row>
    <row r="329" spans="9:14" ht="15.75" customHeight="1" x14ac:dyDescent="0.35">
      <c r="I329" s="35"/>
      <c r="J329" s="35"/>
      <c r="K329" s="35"/>
      <c r="L329" s="35"/>
      <c r="M329" s="35"/>
      <c r="N329" s="35"/>
    </row>
    <row r="330" spans="9:14" ht="15.75" customHeight="1" x14ac:dyDescent="0.35">
      <c r="I330" s="35"/>
      <c r="J330" s="35"/>
      <c r="K330" s="35"/>
      <c r="L330" s="35"/>
      <c r="M330" s="35"/>
      <c r="N330" s="35"/>
    </row>
    <row r="331" spans="9:14" ht="15.75" customHeight="1" x14ac:dyDescent="0.35">
      <c r="I331" s="35"/>
      <c r="J331" s="35"/>
      <c r="K331" s="35"/>
      <c r="L331" s="35"/>
      <c r="M331" s="35"/>
      <c r="N331" s="35"/>
    </row>
    <row r="332" spans="9:14" ht="15.75" customHeight="1" x14ac:dyDescent="0.35">
      <c r="I332" s="35"/>
      <c r="J332" s="35"/>
      <c r="K332" s="35"/>
      <c r="L332" s="35"/>
      <c r="M332" s="35"/>
      <c r="N332" s="35"/>
    </row>
    <row r="333" spans="9:14" ht="15.75" customHeight="1" x14ac:dyDescent="0.35">
      <c r="I333" s="35"/>
      <c r="J333" s="35"/>
      <c r="K333" s="35"/>
      <c r="L333" s="35"/>
      <c r="M333" s="35"/>
      <c r="N333" s="35"/>
    </row>
    <row r="334" spans="9:14" ht="15.75" customHeight="1" x14ac:dyDescent="0.35">
      <c r="I334" s="35"/>
      <c r="J334" s="35"/>
      <c r="K334" s="35"/>
      <c r="L334" s="35"/>
      <c r="M334" s="35"/>
      <c r="N334" s="35"/>
    </row>
    <row r="335" spans="9:14" ht="15.75" customHeight="1" x14ac:dyDescent="0.35">
      <c r="I335" s="35"/>
      <c r="J335" s="35"/>
      <c r="K335" s="35"/>
      <c r="L335" s="35"/>
      <c r="M335" s="35"/>
      <c r="N335" s="35"/>
    </row>
    <row r="336" spans="9:14" ht="15.75" customHeight="1" x14ac:dyDescent="0.35">
      <c r="I336" s="35"/>
      <c r="J336" s="35"/>
      <c r="K336" s="35"/>
      <c r="L336" s="35"/>
      <c r="M336" s="35"/>
      <c r="N336" s="35"/>
    </row>
    <row r="337" spans="9:14" ht="15.75" customHeight="1" x14ac:dyDescent="0.35">
      <c r="I337" s="35"/>
      <c r="J337" s="35"/>
      <c r="K337" s="35"/>
      <c r="L337" s="35"/>
      <c r="M337" s="35"/>
      <c r="N337" s="35"/>
    </row>
    <row r="338" spans="9:14" ht="15.75" customHeight="1" x14ac:dyDescent="0.35">
      <c r="I338" s="35"/>
      <c r="J338" s="35"/>
      <c r="K338" s="35"/>
      <c r="L338" s="35"/>
      <c r="M338" s="35"/>
      <c r="N338" s="35"/>
    </row>
    <row r="339" spans="9:14" ht="15.75" customHeight="1" x14ac:dyDescent="0.35">
      <c r="I339" s="35"/>
      <c r="J339" s="35"/>
      <c r="K339" s="35"/>
      <c r="L339" s="35"/>
      <c r="M339" s="35"/>
      <c r="N339" s="35"/>
    </row>
    <row r="340" spans="9:14" ht="15.75" customHeight="1" x14ac:dyDescent="0.35">
      <c r="I340" s="35"/>
      <c r="J340" s="35"/>
      <c r="K340" s="35"/>
      <c r="L340" s="35"/>
      <c r="M340" s="35"/>
      <c r="N340" s="35"/>
    </row>
    <row r="341" spans="9:14" ht="15.75" customHeight="1" x14ac:dyDescent="0.35">
      <c r="I341" s="35"/>
      <c r="J341" s="35"/>
      <c r="K341" s="35"/>
      <c r="L341" s="35"/>
      <c r="M341" s="35"/>
      <c r="N341" s="35"/>
    </row>
    <row r="342" spans="9:14" ht="15.75" customHeight="1" x14ac:dyDescent="0.35">
      <c r="I342" s="35"/>
      <c r="J342" s="35"/>
      <c r="K342" s="35"/>
      <c r="L342" s="35"/>
      <c r="M342" s="35"/>
      <c r="N342" s="35"/>
    </row>
    <row r="343" spans="9:14" ht="15.75" customHeight="1" x14ac:dyDescent="0.35">
      <c r="I343" s="35"/>
      <c r="J343" s="35"/>
      <c r="K343" s="35"/>
      <c r="L343" s="35"/>
      <c r="M343" s="35"/>
      <c r="N343" s="35"/>
    </row>
    <row r="344" spans="9:14" ht="15.75" customHeight="1" x14ac:dyDescent="0.35">
      <c r="I344" s="35"/>
      <c r="J344" s="35"/>
      <c r="K344" s="35"/>
      <c r="L344" s="35"/>
      <c r="M344" s="35"/>
      <c r="N344" s="35"/>
    </row>
    <row r="345" spans="9:14" ht="15.75" customHeight="1" x14ac:dyDescent="0.35">
      <c r="I345" s="35"/>
      <c r="J345" s="35"/>
      <c r="K345" s="35"/>
      <c r="L345" s="35"/>
      <c r="M345" s="35"/>
      <c r="N345" s="35"/>
    </row>
    <row r="346" spans="9:14" ht="15.75" customHeight="1" x14ac:dyDescent="0.35">
      <c r="I346" s="35"/>
      <c r="J346" s="35"/>
      <c r="K346" s="35"/>
      <c r="L346" s="35"/>
      <c r="M346" s="35"/>
      <c r="N346" s="35"/>
    </row>
    <row r="347" spans="9:14" ht="15.75" customHeight="1" x14ac:dyDescent="0.35">
      <c r="I347" s="35"/>
      <c r="J347" s="35"/>
      <c r="K347" s="35"/>
      <c r="L347" s="35"/>
      <c r="M347" s="35"/>
      <c r="N347" s="35"/>
    </row>
    <row r="348" spans="9:14" ht="15.75" customHeight="1" x14ac:dyDescent="0.35">
      <c r="I348" s="35"/>
      <c r="J348" s="35"/>
      <c r="K348" s="35"/>
      <c r="L348" s="35"/>
      <c r="M348" s="35"/>
      <c r="N348" s="35"/>
    </row>
    <row r="349" spans="9:14" ht="15.75" customHeight="1" x14ac:dyDescent="0.35">
      <c r="I349" s="35"/>
      <c r="J349" s="35"/>
      <c r="K349" s="35"/>
      <c r="L349" s="35"/>
      <c r="M349" s="35"/>
      <c r="N349" s="35"/>
    </row>
    <row r="350" spans="9:14" ht="15.75" customHeight="1" x14ac:dyDescent="0.35">
      <c r="I350" s="35"/>
      <c r="J350" s="35"/>
      <c r="K350" s="35"/>
      <c r="L350" s="35"/>
      <c r="M350" s="35"/>
      <c r="N350" s="35"/>
    </row>
    <row r="351" spans="9:14" ht="15.75" customHeight="1" x14ac:dyDescent="0.35">
      <c r="I351" s="35"/>
      <c r="J351" s="35"/>
      <c r="K351" s="35"/>
      <c r="L351" s="35"/>
      <c r="M351" s="35"/>
      <c r="N351" s="35"/>
    </row>
    <row r="352" spans="9:14" ht="15.75" customHeight="1" x14ac:dyDescent="0.35">
      <c r="I352" s="35"/>
      <c r="J352" s="35"/>
      <c r="K352" s="35"/>
      <c r="L352" s="35"/>
      <c r="M352" s="35"/>
      <c r="N352" s="35"/>
    </row>
    <row r="353" spans="9:14" ht="15.75" customHeight="1" x14ac:dyDescent="0.35">
      <c r="I353" s="35"/>
      <c r="J353" s="35"/>
      <c r="K353" s="35"/>
      <c r="L353" s="35"/>
      <c r="M353" s="35"/>
      <c r="N353" s="35"/>
    </row>
    <row r="354" spans="9:14" ht="15.75" customHeight="1" x14ac:dyDescent="0.35">
      <c r="I354" s="35"/>
      <c r="J354" s="35"/>
      <c r="K354" s="35"/>
      <c r="L354" s="35"/>
      <c r="M354" s="35"/>
      <c r="N354" s="35"/>
    </row>
    <row r="355" spans="9:14" ht="15.75" customHeight="1" x14ac:dyDescent="0.35">
      <c r="I355" s="35"/>
      <c r="J355" s="35"/>
      <c r="K355" s="35"/>
      <c r="L355" s="35"/>
      <c r="M355" s="35"/>
      <c r="N355" s="35"/>
    </row>
    <row r="356" spans="9:14" ht="15.75" customHeight="1" x14ac:dyDescent="0.35">
      <c r="I356" s="35"/>
      <c r="J356" s="35"/>
      <c r="K356" s="35"/>
      <c r="L356" s="35"/>
      <c r="M356" s="35"/>
      <c r="N356" s="35"/>
    </row>
    <row r="357" spans="9:14" ht="15.75" customHeight="1" x14ac:dyDescent="0.35">
      <c r="I357" s="35"/>
      <c r="J357" s="35"/>
      <c r="K357" s="35"/>
      <c r="L357" s="35"/>
      <c r="M357" s="35"/>
      <c r="N357" s="35"/>
    </row>
    <row r="358" spans="9:14" ht="15.75" customHeight="1" x14ac:dyDescent="0.35">
      <c r="I358" s="35"/>
      <c r="J358" s="35"/>
      <c r="K358" s="35"/>
      <c r="L358" s="35"/>
      <c r="M358" s="35"/>
      <c r="N358" s="35"/>
    </row>
    <row r="359" spans="9:14" ht="15.75" customHeight="1" x14ac:dyDescent="0.35">
      <c r="I359" s="35"/>
      <c r="J359" s="35"/>
      <c r="K359" s="35"/>
      <c r="L359" s="35"/>
      <c r="M359" s="35"/>
      <c r="N359" s="35"/>
    </row>
    <row r="360" spans="9:14" ht="15.75" customHeight="1" x14ac:dyDescent="0.35">
      <c r="I360" s="35"/>
      <c r="J360" s="35"/>
      <c r="K360" s="35"/>
      <c r="L360" s="35"/>
      <c r="M360" s="35"/>
      <c r="N360" s="35"/>
    </row>
    <row r="361" spans="9:14" ht="15.75" customHeight="1" x14ac:dyDescent="0.35">
      <c r="I361" s="35"/>
      <c r="J361" s="35"/>
      <c r="K361" s="35"/>
      <c r="L361" s="35"/>
      <c r="M361" s="35"/>
      <c r="N361" s="35"/>
    </row>
    <row r="362" spans="9:14" ht="15.75" customHeight="1" x14ac:dyDescent="0.35">
      <c r="I362" s="35"/>
      <c r="J362" s="35"/>
      <c r="K362" s="35"/>
      <c r="L362" s="35"/>
      <c r="M362" s="35"/>
      <c r="N362" s="35"/>
    </row>
    <row r="363" spans="9:14" ht="15.75" customHeight="1" x14ac:dyDescent="0.35">
      <c r="I363" s="35"/>
      <c r="J363" s="35"/>
      <c r="K363" s="35"/>
      <c r="L363" s="35"/>
      <c r="M363" s="35"/>
      <c r="N363" s="35"/>
    </row>
    <row r="364" spans="9:14" ht="15.75" customHeight="1" x14ac:dyDescent="0.35">
      <c r="I364" s="35"/>
      <c r="J364" s="35"/>
      <c r="K364" s="35"/>
      <c r="L364" s="35"/>
      <c r="M364" s="35"/>
      <c r="N364" s="35"/>
    </row>
    <row r="365" spans="9:14" ht="15.75" customHeight="1" x14ac:dyDescent="0.35">
      <c r="I365" s="35"/>
      <c r="J365" s="35"/>
      <c r="K365" s="35"/>
      <c r="L365" s="35"/>
      <c r="M365" s="35"/>
      <c r="N365" s="35"/>
    </row>
    <row r="366" spans="9:14" ht="15.75" customHeight="1" x14ac:dyDescent="0.35">
      <c r="I366" s="35"/>
      <c r="J366" s="35"/>
      <c r="K366" s="35"/>
      <c r="L366" s="35"/>
      <c r="M366" s="35"/>
      <c r="N366" s="35"/>
    </row>
    <row r="367" spans="9:14" ht="15.75" customHeight="1" x14ac:dyDescent="0.35">
      <c r="I367" s="35"/>
      <c r="J367" s="35"/>
      <c r="K367" s="35"/>
      <c r="L367" s="35"/>
      <c r="M367" s="35"/>
      <c r="N367" s="35"/>
    </row>
    <row r="368" spans="9:14" ht="15.75" customHeight="1" x14ac:dyDescent="0.35">
      <c r="I368" s="35"/>
      <c r="J368" s="35"/>
      <c r="K368" s="35"/>
      <c r="L368" s="35"/>
      <c r="M368" s="35"/>
      <c r="N368" s="35"/>
    </row>
    <row r="369" spans="9:14" ht="15.75" customHeight="1" x14ac:dyDescent="0.35">
      <c r="I369" s="35"/>
      <c r="J369" s="35"/>
      <c r="K369" s="35"/>
      <c r="L369" s="35"/>
      <c r="M369" s="35"/>
      <c r="N369" s="35"/>
    </row>
    <row r="370" spans="9:14" ht="15.75" customHeight="1" x14ac:dyDescent="0.35">
      <c r="I370" s="35"/>
      <c r="J370" s="35"/>
      <c r="K370" s="35"/>
      <c r="L370" s="35"/>
      <c r="M370" s="35"/>
      <c r="N370" s="35"/>
    </row>
    <row r="371" spans="9:14" ht="15.75" customHeight="1" x14ac:dyDescent="0.35">
      <c r="I371" s="35"/>
      <c r="J371" s="35"/>
      <c r="K371" s="35"/>
      <c r="L371" s="35"/>
      <c r="M371" s="35"/>
      <c r="N371" s="35"/>
    </row>
    <row r="372" spans="9:14" ht="15.75" customHeight="1" x14ac:dyDescent="0.35">
      <c r="I372" s="35"/>
      <c r="J372" s="35"/>
      <c r="K372" s="35"/>
      <c r="L372" s="35"/>
      <c r="M372" s="35"/>
      <c r="N372" s="35"/>
    </row>
    <row r="373" spans="9:14" ht="15.75" customHeight="1" x14ac:dyDescent="0.35">
      <c r="I373" s="35"/>
      <c r="J373" s="35"/>
      <c r="K373" s="35"/>
      <c r="L373" s="35"/>
      <c r="M373" s="35"/>
      <c r="N373" s="35"/>
    </row>
    <row r="374" spans="9:14" ht="15.75" customHeight="1" x14ac:dyDescent="0.35">
      <c r="I374" s="35"/>
      <c r="J374" s="35"/>
      <c r="K374" s="35"/>
      <c r="L374" s="35"/>
      <c r="M374" s="35"/>
      <c r="N374" s="35"/>
    </row>
    <row r="375" spans="9:14" ht="15.75" customHeight="1" x14ac:dyDescent="0.35">
      <c r="I375" s="35"/>
      <c r="J375" s="35"/>
      <c r="K375" s="35"/>
      <c r="L375" s="35"/>
      <c r="M375" s="35"/>
      <c r="N375" s="35"/>
    </row>
    <row r="376" spans="9:14" ht="15.75" customHeight="1" x14ac:dyDescent="0.35">
      <c r="I376" s="35"/>
      <c r="J376" s="35"/>
      <c r="K376" s="35"/>
      <c r="L376" s="35"/>
      <c r="M376" s="35"/>
      <c r="N376" s="35"/>
    </row>
    <row r="377" spans="9:14" ht="15.75" customHeight="1" x14ac:dyDescent="0.35">
      <c r="I377" s="35"/>
      <c r="J377" s="35"/>
      <c r="K377" s="35"/>
      <c r="L377" s="35"/>
      <c r="M377" s="35"/>
      <c r="N377" s="35"/>
    </row>
    <row r="378" spans="9:14" ht="15.75" customHeight="1" x14ac:dyDescent="0.35">
      <c r="I378" s="35"/>
      <c r="J378" s="35"/>
      <c r="K378" s="35"/>
      <c r="L378" s="35"/>
      <c r="M378" s="35"/>
      <c r="N378" s="35"/>
    </row>
    <row r="379" spans="9:14" ht="15.75" customHeight="1" x14ac:dyDescent="0.35">
      <c r="I379" s="35"/>
      <c r="J379" s="35"/>
      <c r="K379" s="35"/>
      <c r="L379" s="35"/>
      <c r="M379" s="35"/>
      <c r="N379" s="35"/>
    </row>
    <row r="380" spans="9:14" ht="15.75" customHeight="1" x14ac:dyDescent="0.35">
      <c r="I380" s="35"/>
      <c r="J380" s="35"/>
      <c r="K380" s="35"/>
      <c r="L380" s="35"/>
      <c r="M380" s="35"/>
      <c r="N380" s="35"/>
    </row>
    <row r="381" spans="9:14" ht="15.75" customHeight="1" x14ac:dyDescent="0.35">
      <c r="I381" s="35"/>
      <c r="J381" s="35"/>
      <c r="K381" s="35"/>
      <c r="L381" s="35"/>
      <c r="M381" s="35"/>
      <c r="N381" s="35"/>
    </row>
    <row r="382" spans="9:14" ht="15.75" customHeight="1" x14ac:dyDescent="0.35">
      <c r="I382" s="35"/>
      <c r="J382" s="35"/>
      <c r="K382" s="35"/>
      <c r="L382" s="35"/>
      <c r="M382" s="35"/>
      <c r="N382" s="35"/>
    </row>
    <row r="383" spans="9:14" ht="15.75" customHeight="1" x14ac:dyDescent="0.35">
      <c r="I383" s="35"/>
      <c r="J383" s="35"/>
      <c r="K383" s="35"/>
      <c r="L383" s="35"/>
      <c r="M383" s="35"/>
      <c r="N383" s="35"/>
    </row>
    <row r="384" spans="9:14" ht="15.75" customHeight="1" x14ac:dyDescent="0.35">
      <c r="I384" s="35"/>
      <c r="J384" s="35"/>
      <c r="K384" s="35"/>
      <c r="L384" s="35"/>
      <c r="M384" s="35"/>
      <c r="N384" s="35"/>
    </row>
    <row r="385" spans="9:14" ht="15.75" customHeight="1" x14ac:dyDescent="0.35">
      <c r="I385" s="35"/>
      <c r="J385" s="35"/>
      <c r="K385" s="35"/>
      <c r="L385" s="35"/>
      <c r="M385" s="35"/>
      <c r="N385" s="35"/>
    </row>
    <row r="386" spans="9:14" ht="15.75" customHeight="1" x14ac:dyDescent="0.35">
      <c r="I386" s="35"/>
      <c r="J386" s="35"/>
      <c r="K386" s="35"/>
      <c r="L386" s="35"/>
      <c r="M386" s="35"/>
      <c r="N386" s="35"/>
    </row>
    <row r="387" spans="9:14" ht="15.75" customHeight="1" x14ac:dyDescent="0.35">
      <c r="I387" s="35"/>
      <c r="J387" s="35"/>
      <c r="K387" s="35"/>
      <c r="L387" s="35"/>
      <c r="M387" s="35"/>
      <c r="N387" s="35"/>
    </row>
    <row r="388" spans="9:14" ht="15.75" customHeight="1" x14ac:dyDescent="0.35">
      <c r="I388" s="35"/>
      <c r="J388" s="35"/>
      <c r="K388" s="35"/>
      <c r="L388" s="35"/>
      <c r="M388" s="35"/>
      <c r="N388" s="35"/>
    </row>
    <row r="389" spans="9:14" ht="15.75" customHeight="1" x14ac:dyDescent="0.35">
      <c r="I389" s="35"/>
      <c r="J389" s="35"/>
      <c r="K389" s="35"/>
      <c r="L389" s="35"/>
      <c r="M389" s="35"/>
      <c r="N389" s="35"/>
    </row>
    <row r="390" spans="9:14" ht="15.75" customHeight="1" x14ac:dyDescent="0.35">
      <c r="I390" s="35"/>
      <c r="J390" s="35"/>
      <c r="K390" s="35"/>
      <c r="L390" s="35"/>
      <c r="M390" s="35"/>
      <c r="N390" s="35"/>
    </row>
    <row r="391" spans="9:14" ht="15.75" customHeight="1" x14ac:dyDescent="0.35">
      <c r="I391" s="35"/>
      <c r="J391" s="35"/>
      <c r="K391" s="35"/>
      <c r="L391" s="35"/>
      <c r="M391" s="35"/>
      <c r="N391" s="35"/>
    </row>
    <row r="392" spans="9:14" ht="15.75" customHeight="1" x14ac:dyDescent="0.35">
      <c r="I392" s="35"/>
      <c r="J392" s="35"/>
      <c r="K392" s="35"/>
      <c r="L392" s="35"/>
      <c r="M392" s="35"/>
      <c r="N392" s="35"/>
    </row>
    <row r="393" spans="9:14" ht="15.75" customHeight="1" x14ac:dyDescent="0.35">
      <c r="I393" s="35"/>
      <c r="J393" s="35"/>
      <c r="K393" s="35"/>
      <c r="L393" s="35"/>
      <c r="M393" s="35"/>
      <c r="N393" s="35"/>
    </row>
    <row r="394" spans="9:14" ht="15.75" customHeight="1" x14ac:dyDescent="0.35">
      <c r="I394" s="35"/>
      <c r="J394" s="35"/>
      <c r="K394" s="35"/>
      <c r="L394" s="35"/>
      <c r="M394" s="35"/>
      <c r="N394" s="35"/>
    </row>
    <row r="395" spans="9:14" ht="15.75" customHeight="1" x14ac:dyDescent="0.35">
      <c r="I395" s="35"/>
      <c r="J395" s="35"/>
      <c r="K395" s="35"/>
      <c r="L395" s="35"/>
      <c r="M395" s="35"/>
      <c r="N395" s="35"/>
    </row>
    <row r="396" spans="9:14" ht="15.75" customHeight="1" x14ac:dyDescent="0.35">
      <c r="I396" s="35"/>
      <c r="J396" s="35"/>
      <c r="K396" s="35"/>
      <c r="L396" s="35"/>
      <c r="M396" s="35"/>
      <c r="N396" s="35"/>
    </row>
    <row r="397" spans="9:14" ht="15.75" customHeight="1" x14ac:dyDescent="0.35">
      <c r="I397" s="35"/>
      <c r="J397" s="35"/>
      <c r="K397" s="35"/>
      <c r="L397" s="35"/>
      <c r="M397" s="35"/>
      <c r="N397" s="35"/>
    </row>
    <row r="398" spans="9:14" ht="15.75" customHeight="1" x14ac:dyDescent="0.35">
      <c r="I398" s="35"/>
      <c r="J398" s="35"/>
      <c r="K398" s="35"/>
      <c r="L398" s="35"/>
      <c r="M398" s="35"/>
      <c r="N398" s="35"/>
    </row>
    <row r="399" spans="9:14" ht="15.75" customHeight="1" x14ac:dyDescent="0.35">
      <c r="I399" s="35"/>
      <c r="J399" s="35"/>
      <c r="K399" s="35"/>
      <c r="L399" s="35"/>
      <c r="M399" s="35"/>
      <c r="N399" s="35"/>
    </row>
    <row r="400" spans="9:14" ht="15.75" customHeight="1" x14ac:dyDescent="0.35">
      <c r="I400" s="35"/>
      <c r="J400" s="35"/>
      <c r="K400" s="35"/>
      <c r="L400" s="35"/>
      <c r="M400" s="35"/>
      <c r="N400" s="35"/>
    </row>
    <row r="401" spans="9:14" ht="15.75" customHeight="1" x14ac:dyDescent="0.35">
      <c r="I401" s="35"/>
      <c r="J401" s="35"/>
      <c r="K401" s="35"/>
      <c r="L401" s="35"/>
      <c r="M401" s="35"/>
      <c r="N401" s="35"/>
    </row>
    <row r="402" spans="9:14" ht="15.75" customHeight="1" x14ac:dyDescent="0.35">
      <c r="I402" s="35"/>
      <c r="J402" s="35"/>
      <c r="K402" s="35"/>
      <c r="L402" s="35"/>
      <c r="M402" s="35"/>
      <c r="N402" s="35"/>
    </row>
    <row r="403" spans="9:14" ht="15.75" customHeight="1" x14ac:dyDescent="0.35">
      <c r="I403" s="35"/>
      <c r="J403" s="35"/>
      <c r="K403" s="35"/>
      <c r="L403" s="35"/>
      <c r="M403" s="35"/>
      <c r="N403" s="35"/>
    </row>
    <row r="404" spans="9:14" ht="15.75" customHeight="1" x14ac:dyDescent="0.35">
      <c r="I404" s="35"/>
      <c r="J404" s="35"/>
      <c r="K404" s="35"/>
      <c r="L404" s="35"/>
      <c r="M404" s="35"/>
      <c r="N404" s="35"/>
    </row>
    <row r="405" spans="9:14" ht="15.75" customHeight="1" x14ac:dyDescent="0.35">
      <c r="I405" s="35"/>
      <c r="J405" s="35"/>
      <c r="K405" s="35"/>
      <c r="L405" s="35"/>
      <c r="M405" s="35"/>
      <c r="N405" s="35"/>
    </row>
    <row r="406" spans="9:14" ht="15.75" customHeight="1" x14ac:dyDescent="0.35">
      <c r="I406" s="35"/>
      <c r="J406" s="35"/>
      <c r="K406" s="35"/>
      <c r="L406" s="35"/>
      <c r="M406" s="35"/>
      <c r="N406" s="35"/>
    </row>
    <row r="407" spans="9:14" ht="15.75" customHeight="1" x14ac:dyDescent="0.35">
      <c r="I407" s="35"/>
      <c r="J407" s="35"/>
      <c r="K407" s="35"/>
      <c r="L407" s="35"/>
      <c r="M407" s="35"/>
      <c r="N407" s="35"/>
    </row>
    <row r="408" spans="9:14" ht="15.75" customHeight="1" x14ac:dyDescent="0.35">
      <c r="I408" s="35"/>
      <c r="J408" s="35"/>
      <c r="K408" s="35"/>
      <c r="L408" s="35"/>
      <c r="M408" s="35"/>
      <c r="N408" s="35"/>
    </row>
    <row r="409" spans="9:14" ht="15.75" customHeight="1" x14ac:dyDescent="0.35">
      <c r="I409" s="35"/>
      <c r="J409" s="35"/>
      <c r="K409" s="35"/>
      <c r="L409" s="35"/>
      <c r="M409" s="35"/>
      <c r="N409" s="35"/>
    </row>
    <row r="410" spans="9:14" ht="15.75" customHeight="1" x14ac:dyDescent="0.35">
      <c r="I410" s="35"/>
      <c r="J410" s="35"/>
      <c r="K410" s="35"/>
      <c r="L410" s="35"/>
      <c r="M410" s="35"/>
      <c r="N410" s="35"/>
    </row>
    <row r="411" spans="9:14" ht="15.75" customHeight="1" x14ac:dyDescent="0.35">
      <c r="I411" s="35"/>
      <c r="J411" s="35"/>
      <c r="K411" s="35"/>
      <c r="L411" s="35"/>
      <c r="M411" s="35"/>
      <c r="N411" s="35"/>
    </row>
    <row r="412" spans="9:14" ht="15.75" customHeight="1" x14ac:dyDescent="0.35">
      <c r="I412" s="35"/>
      <c r="J412" s="35"/>
      <c r="K412" s="35"/>
      <c r="L412" s="35"/>
      <c r="M412" s="35"/>
      <c r="N412" s="35"/>
    </row>
    <row r="413" spans="9:14" ht="15.75" customHeight="1" x14ac:dyDescent="0.35">
      <c r="I413" s="35"/>
      <c r="J413" s="35"/>
      <c r="K413" s="35"/>
      <c r="L413" s="35"/>
      <c r="M413" s="35"/>
      <c r="N413" s="35"/>
    </row>
    <row r="414" spans="9:14" ht="15.75" customHeight="1" x14ac:dyDescent="0.35">
      <c r="I414" s="35"/>
      <c r="J414" s="35"/>
      <c r="K414" s="35"/>
      <c r="L414" s="35"/>
      <c r="M414" s="35"/>
      <c r="N414" s="35"/>
    </row>
    <row r="415" spans="9:14" ht="15.75" customHeight="1" x14ac:dyDescent="0.35">
      <c r="I415" s="35"/>
      <c r="J415" s="35"/>
      <c r="K415" s="35"/>
      <c r="L415" s="35"/>
      <c r="M415" s="35"/>
      <c r="N415" s="35"/>
    </row>
    <row r="416" spans="9:14" ht="15.75" customHeight="1" x14ac:dyDescent="0.35">
      <c r="I416" s="35"/>
      <c r="J416" s="35"/>
      <c r="K416" s="35"/>
      <c r="L416" s="35"/>
      <c r="M416" s="35"/>
      <c r="N416" s="35"/>
    </row>
    <row r="417" spans="9:14" ht="15.75" customHeight="1" x14ac:dyDescent="0.35">
      <c r="I417" s="35"/>
      <c r="J417" s="35"/>
      <c r="K417" s="35"/>
      <c r="L417" s="35"/>
      <c r="M417" s="35"/>
      <c r="N417" s="35"/>
    </row>
    <row r="418" spans="9:14" ht="15.75" customHeight="1" x14ac:dyDescent="0.35">
      <c r="I418" s="35"/>
      <c r="J418" s="35"/>
      <c r="K418" s="35"/>
      <c r="L418" s="35"/>
      <c r="M418" s="35"/>
      <c r="N418" s="35"/>
    </row>
    <row r="419" spans="9:14" ht="15.75" customHeight="1" x14ac:dyDescent="0.35">
      <c r="I419" s="35"/>
      <c r="J419" s="35"/>
      <c r="K419" s="35"/>
      <c r="L419" s="35"/>
      <c r="M419" s="35"/>
      <c r="N419" s="35"/>
    </row>
    <row r="420" spans="9:14" ht="15.75" customHeight="1" x14ac:dyDescent="0.35">
      <c r="I420" s="35"/>
      <c r="J420" s="35"/>
      <c r="K420" s="35"/>
      <c r="L420" s="35"/>
      <c r="M420" s="35"/>
      <c r="N420" s="35"/>
    </row>
    <row r="421" spans="9:14" ht="15.75" customHeight="1" x14ac:dyDescent="0.35">
      <c r="I421" s="35"/>
      <c r="J421" s="35"/>
      <c r="K421" s="35"/>
      <c r="L421" s="35"/>
      <c r="M421" s="35"/>
      <c r="N421" s="35"/>
    </row>
    <row r="422" spans="9:14" ht="15.75" customHeight="1" x14ac:dyDescent="0.35">
      <c r="I422" s="35"/>
      <c r="J422" s="35"/>
      <c r="K422" s="35"/>
      <c r="L422" s="35"/>
      <c r="M422" s="35"/>
      <c r="N422" s="35"/>
    </row>
    <row r="423" spans="9:14" ht="15.75" customHeight="1" x14ac:dyDescent="0.35">
      <c r="I423" s="35"/>
      <c r="J423" s="35"/>
      <c r="K423" s="35"/>
      <c r="L423" s="35"/>
      <c r="M423" s="35"/>
      <c r="N423" s="35"/>
    </row>
    <row r="424" spans="9:14" ht="15.75" customHeight="1" x14ac:dyDescent="0.35">
      <c r="I424" s="35"/>
      <c r="J424" s="35"/>
      <c r="K424" s="35"/>
      <c r="L424" s="35"/>
      <c r="M424" s="35"/>
      <c r="N424" s="35"/>
    </row>
    <row r="425" spans="9:14" ht="15.75" customHeight="1" x14ac:dyDescent="0.35">
      <c r="I425" s="35"/>
      <c r="J425" s="35"/>
      <c r="K425" s="35"/>
      <c r="L425" s="35"/>
      <c r="M425" s="35"/>
      <c r="N425" s="35"/>
    </row>
    <row r="426" spans="9:14" ht="15.75" customHeight="1" x14ac:dyDescent="0.35">
      <c r="I426" s="35"/>
      <c r="J426" s="35"/>
      <c r="K426" s="35"/>
      <c r="L426" s="35"/>
      <c r="M426" s="35"/>
      <c r="N426" s="35"/>
    </row>
    <row r="427" spans="9:14" ht="15.75" customHeight="1" x14ac:dyDescent="0.35">
      <c r="I427" s="35"/>
      <c r="J427" s="35"/>
      <c r="K427" s="35"/>
      <c r="L427" s="35"/>
      <c r="M427" s="35"/>
      <c r="N427" s="35"/>
    </row>
    <row r="428" spans="9:14" ht="15.75" customHeight="1" x14ac:dyDescent="0.35">
      <c r="I428" s="35"/>
      <c r="J428" s="35"/>
      <c r="K428" s="35"/>
      <c r="L428" s="35"/>
      <c r="M428" s="35"/>
      <c r="N428" s="35"/>
    </row>
    <row r="429" spans="9:14" ht="15.75" customHeight="1" x14ac:dyDescent="0.35">
      <c r="I429" s="35"/>
      <c r="J429" s="35"/>
      <c r="K429" s="35"/>
      <c r="L429" s="35"/>
      <c r="M429" s="35"/>
      <c r="N429" s="35"/>
    </row>
    <row r="430" spans="9:14" ht="15.75" customHeight="1" x14ac:dyDescent="0.35">
      <c r="I430" s="35"/>
      <c r="J430" s="35"/>
      <c r="K430" s="35"/>
      <c r="L430" s="35"/>
      <c r="M430" s="35"/>
      <c r="N430" s="35"/>
    </row>
    <row r="431" spans="9:14" ht="15.75" customHeight="1" x14ac:dyDescent="0.35">
      <c r="I431" s="35"/>
      <c r="J431" s="35"/>
      <c r="K431" s="35"/>
      <c r="L431" s="35"/>
      <c r="M431" s="35"/>
      <c r="N431" s="35"/>
    </row>
    <row r="432" spans="9:14" ht="15.75" customHeight="1" x14ac:dyDescent="0.35">
      <c r="I432" s="35"/>
      <c r="J432" s="35"/>
      <c r="K432" s="35"/>
      <c r="L432" s="35"/>
      <c r="M432" s="35"/>
      <c r="N432" s="35"/>
    </row>
    <row r="433" spans="9:14" ht="15.75" customHeight="1" x14ac:dyDescent="0.35">
      <c r="I433" s="35"/>
      <c r="J433" s="35"/>
      <c r="K433" s="35"/>
      <c r="L433" s="35"/>
      <c r="M433" s="35"/>
      <c r="N433" s="35"/>
    </row>
    <row r="434" spans="9:14" ht="15.75" customHeight="1" x14ac:dyDescent="0.35">
      <c r="I434" s="35"/>
      <c r="J434" s="35"/>
      <c r="K434" s="35"/>
      <c r="L434" s="35"/>
      <c r="M434" s="35"/>
      <c r="N434" s="35"/>
    </row>
    <row r="435" spans="9:14" ht="15.75" customHeight="1" x14ac:dyDescent="0.35">
      <c r="I435" s="35"/>
      <c r="J435" s="35"/>
      <c r="K435" s="35"/>
      <c r="L435" s="35"/>
      <c r="M435" s="35"/>
      <c r="N435" s="35"/>
    </row>
    <row r="436" spans="9:14" ht="15.75" customHeight="1" x14ac:dyDescent="0.35">
      <c r="I436" s="35"/>
      <c r="J436" s="35"/>
      <c r="K436" s="35"/>
      <c r="L436" s="35"/>
      <c r="M436" s="35"/>
      <c r="N436" s="35"/>
    </row>
    <row r="437" spans="9:14" ht="15.75" customHeight="1" x14ac:dyDescent="0.35">
      <c r="I437" s="35"/>
      <c r="J437" s="35"/>
      <c r="K437" s="35"/>
      <c r="L437" s="35"/>
      <c r="M437" s="35"/>
      <c r="N437" s="35"/>
    </row>
    <row r="438" spans="9:14" ht="15.75" customHeight="1" x14ac:dyDescent="0.35">
      <c r="I438" s="35"/>
      <c r="J438" s="35"/>
      <c r="K438" s="35"/>
      <c r="L438" s="35"/>
      <c r="M438" s="35"/>
      <c r="N438" s="35"/>
    </row>
    <row r="439" spans="9:14" ht="15.75" customHeight="1" x14ac:dyDescent="0.35">
      <c r="I439" s="35"/>
      <c r="J439" s="35"/>
      <c r="K439" s="35"/>
      <c r="L439" s="35"/>
      <c r="M439" s="35"/>
      <c r="N439" s="35"/>
    </row>
    <row r="440" spans="9:14" ht="15.75" customHeight="1" x14ac:dyDescent="0.35">
      <c r="I440" s="35"/>
      <c r="J440" s="35"/>
      <c r="K440" s="35"/>
      <c r="L440" s="35"/>
      <c r="M440" s="35"/>
      <c r="N440" s="35"/>
    </row>
    <row r="441" spans="9:14" ht="15.75" customHeight="1" x14ac:dyDescent="0.35">
      <c r="I441" s="35"/>
      <c r="J441" s="35"/>
      <c r="K441" s="35"/>
      <c r="L441" s="35"/>
      <c r="M441" s="35"/>
      <c r="N441" s="35"/>
    </row>
    <row r="442" spans="9:14" ht="15.75" customHeight="1" x14ac:dyDescent="0.35">
      <c r="I442" s="35"/>
      <c r="J442" s="35"/>
      <c r="K442" s="35"/>
      <c r="L442" s="35"/>
      <c r="M442" s="35"/>
      <c r="N442" s="35"/>
    </row>
    <row r="443" spans="9:14" ht="15.75" customHeight="1" x14ac:dyDescent="0.35">
      <c r="I443" s="35"/>
      <c r="J443" s="35"/>
      <c r="K443" s="35"/>
      <c r="L443" s="35"/>
      <c r="M443" s="35"/>
      <c r="N443" s="35"/>
    </row>
    <row r="444" spans="9:14" ht="15.75" customHeight="1" x14ac:dyDescent="0.35">
      <c r="I444" s="35"/>
      <c r="J444" s="35"/>
      <c r="K444" s="35"/>
      <c r="L444" s="35"/>
      <c r="M444" s="35"/>
      <c r="N444" s="35"/>
    </row>
    <row r="445" spans="9:14" ht="15.75" customHeight="1" x14ac:dyDescent="0.35">
      <c r="I445" s="35"/>
      <c r="J445" s="35"/>
      <c r="K445" s="35"/>
      <c r="L445" s="35"/>
      <c r="M445" s="35"/>
      <c r="N445" s="35"/>
    </row>
    <row r="446" spans="9:14" ht="15.75" customHeight="1" x14ac:dyDescent="0.35">
      <c r="I446" s="35"/>
      <c r="J446" s="35"/>
      <c r="K446" s="35"/>
      <c r="L446" s="35"/>
      <c r="M446" s="35"/>
      <c r="N446" s="35"/>
    </row>
    <row r="447" spans="9:14" ht="15.75" customHeight="1" x14ac:dyDescent="0.35">
      <c r="I447" s="35"/>
      <c r="J447" s="35"/>
      <c r="K447" s="35"/>
      <c r="L447" s="35"/>
      <c r="M447" s="35"/>
      <c r="N447" s="35"/>
    </row>
    <row r="448" spans="9:14" ht="15.75" customHeight="1" x14ac:dyDescent="0.35">
      <c r="I448" s="35"/>
      <c r="J448" s="35"/>
      <c r="K448" s="35"/>
      <c r="L448" s="35"/>
      <c r="M448" s="35"/>
      <c r="N448" s="35"/>
    </row>
    <row r="449" spans="9:14" ht="15.75" customHeight="1" x14ac:dyDescent="0.35">
      <c r="I449" s="35"/>
      <c r="J449" s="35"/>
      <c r="K449" s="35"/>
      <c r="L449" s="35"/>
      <c r="M449" s="35"/>
      <c r="N449" s="35"/>
    </row>
    <row r="450" spans="9:14" ht="15.75" customHeight="1" x14ac:dyDescent="0.35">
      <c r="I450" s="35"/>
      <c r="J450" s="35"/>
      <c r="K450" s="35"/>
      <c r="L450" s="35"/>
      <c r="M450" s="35"/>
      <c r="N450" s="35"/>
    </row>
    <row r="451" spans="9:14" ht="15.75" customHeight="1" x14ac:dyDescent="0.35">
      <c r="I451" s="35"/>
      <c r="J451" s="35"/>
      <c r="K451" s="35"/>
      <c r="L451" s="35"/>
      <c r="M451" s="35"/>
      <c r="N451" s="35"/>
    </row>
    <row r="452" spans="9:14" ht="15.75" customHeight="1" x14ac:dyDescent="0.35">
      <c r="I452" s="35"/>
      <c r="J452" s="35"/>
      <c r="K452" s="35"/>
      <c r="L452" s="35"/>
      <c r="M452" s="35"/>
      <c r="N452" s="35"/>
    </row>
    <row r="453" spans="9:14" ht="15.75" customHeight="1" x14ac:dyDescent="0.35">
      <c r="I453" s="35"/>
      <c r="J453" s="35"/>
      <c r="K453" s="35"/>
      <c r="L453" s="35"/>
      <c r="M453" s="35"/>
      <c r="N453" s="35"/>
    </row>
    <row r="454" spans="9:14" ht="15.75" customHeight="1" x14ac:dyDescent="0.35">
      <c r="I454" s="35"/>
      <c r="J454" s="35"/>
      <c r="K454" s="35"/>
      <c r="L454" s="35"/>
      <c r="M454" s="35"/>
      <c r="N454" s="35"/>
    </row>
    <row r="455" spans="9:14" ht="15.75" customHeight="1" x14ac:dyDescent="0.35">
      <c r="I455" s="35"/>
      <c r="J455" s="35"/>
      <c r="K455" s="35"/>
      <c r="L455" s="35"/>
      <c r="M455" s="35"/>
      <c r="N455" s="35"/>
    </row>
    <row r="456" spans="9:14" ht="15.75" customHeight="1" x14ac:dyDescent="0.35">
      <c r="I456" s="35"/>
      <c r="J456" s="35"/>
      <c r="K456" s="35"/>
      <c r="L456" s="35"/>
      <c r="M456" s="35"/>
      <c r="N456" s="35"/>
    </row>
    <row r="457" spans="9:14" ht="15.75" customHeight="1" x14ac:dyDescent="0.35">
      <c r="I457" s="35"/>
      <c r="J457" s="35"/>
      <c r="K457" s="35"/>
      <c r="L457" s="35"/>
      <c r="M457" s="35"/>
      <c r="N457" s="35"/>
    </row>
    <row r="458" spans="9:14" ht="15.75" customHeight="1" x14ac:dyDescent="0.35">
      <c r="I458" s="35"/>
      <c r="J458" s="35"/>
      <c r="K458" s="35"/>
      <c r="L458" s="35"/>
      <c r="M458" s="35"/>
      <c r="N458" s="35"/>
    </row>
    <row r="459" spans="9:14" ht="15.75" customHeight="1" x14ac:dyDescent="0.35">
      <c r="I459" s="35"/>
      <c r="J459" s="35"/>
      <c r="K459" s="35"/>
      <c r="L459" s="35"/>
      <c r="M459" s="35"/>
      <c r="N459" s="35"/>
    </row>
    <row r="460" spans="9:14" ht="15.75" customHeight="1" x14ac:dyDescent="0.35">
      <c r="I460" s="35"/>
      <c r="J460" s="35"/>
      <c r="K460" s="35"/>
      <c r="L460" s="35"/>
      <c r="M460" s="35"/>
      <c r="N460" s="35"/>
    </row>
    <row r="461" spans="9:14" ht="15.75" customHeight="1" x14ac:dyDescent="0.35">
      <c r="I461" s="35"/>
      <c r="J461" s="35"/>
      <c r="K461" s="35"/>
      <c r="L461" s="35"/>
      <c r="M461" s="35"/>
      <c r="N461" s="35"/>
    </row>
    <row r="462" spans="9:14" ht="15.75" customHeight="1" x14ac:dyDescent="0.35">
      <c r="I462" s="35"/>
      <c r="J462" s="35"/>
      <c r="K462" s="35"/>
      <c r="L462" s="35"/>
      <c r="M462" s="35"/>
      <c r="N462" s="35"/>
    </row>
    <row r="463" spans="9:14" ht="15.75" customHeight="1" x14ac:dyDescent="0.35">
      <c r="I463" s="35"/>
      <c r="J463" s="35"/>
      <c r="K463" s="35"/>
      <c r="L463" s="35"/>
      <c r="M463" s="35"/>
      <c r="N463" s="35"/>
    </row>
    <row r="464" spans="9:14" ht="15.75" customHeight="1" x14ac:dyDescent="0.35">
      <c r="I464" s="35"/>
      <c r="J464" s="35"/>
      <c r="K464" s="35"/>
      <c r="L464" s="35"/>
      <c r="M464" s="35"/>
      <c r="N464" s="35"/>
    </row>
    <row r="465" spans="9:14" ht="15.75" customHeight="1" x14ac:dyDescent="0.35">
      <c r="I465" s="35"/>
      <c r="J465" s="35"/>
      <c r="K465" s="35"/>
      <c r="L465" s="35"/>
      <c r="M465" s="35"/>
      <c r="N465" s="35"/>
    </row>
    <row r="466" spans="9:14" ht="15.75" customHeight="1" x14ac:dyDescent="0.35">
      <c r="I466" s="35"/>
      <c r="J466" s="35"/>
      <c r="K466" s="35"/>
      <c r="L466" s="35"/>
      <c r="M466" s="35"/>
      <c r="N466" s="35"/>
    </row>
    <row r="467" spans="9:14" ht="15.75" customHeight="1" x14ac:dyDescent="0.35">
      <c r="I467" s="35"/>
      <c r="J467" s="35"/>
      <c r="K467" s="35"/>
      <c r="L467" s="35"/>
      <c r="M467" s="35"/>
      <c r="N467" s="35"/>
    </row>
    <row r="468" spans="9:14" ht="15.75" customHeight="1" x14ac:dyDescent="0.35">
      <c r="I468" s="35"/>
      <c r="J468" s="35"/>
      <c r="K468" s="35"/>
      <c r="L468" s="35"/>
      <c r="M468" s="35"/>
      <c r="N468" s="35"/>
    </row>
    <row r="469" spans="9:14" ht="15.75" customHeight="1" x14ac:dyDescent="0.35">
      <c r="I469" s="35"/>
      <c r="J469" s="35"/>
      <c r="K469" s="35"/>
      <c r="L469" s="35"/>
      <c r="M469" s="35"/>
      <c r="N469" s="35"/>
    </row>
    <row r="470" spans="9:14" ht="15.75" customHeight="1" x14ac:dyDescent="0.35">
      <c r="I470" s="35"/>
      <c r="J470" s="35"/>
      <c r="K470" s="35"/>
      <c r="L470" s="35"/>
      <c r="M470" s="35"/>
      <c r="N470" s="35"/>
    </row>
    <row r="471" spans="9:14" ht="15.75" customHeight="1" x14ac:dyDescent="0.35">
      <c r="I471" s="35"/>
      <c r="J471" s="35"/>
      <c r="K471" s="35"/>
      <c r="L471" s="35"/>
      <c r="M471" s="35"/>
      <c r="N471" s="35"/>
    </row>
    <row r="472" spans="9:14" ht="15.75" customHeight="1" x14ac:dyDescent="0.35">
      <c r="I472" s="35"/>
      <c r="J472" s="35"/>
      <c r="K472" s="35"/>
      <c r="L472" s="35"/>
      <c r="M472" s="35"/>
      <c r="N472" s="35"/>
    </row>
    <row r="473" spans="9:14" ht="15.75" customHeight="1" x14ac:dyDescent="0.35">
      <c r="I473" s="35"/>
      <c r="J473" s="35"/>
      <c r="K473" s="35"/>
      <c r="L473" s="35"/>
      <c r="M473" s="35"/>
      <c r="N473" s="35"/>
    </row>
    <row r="474" spans="9:14" ht="15.75" customHeight="1" x14ac:dyDescent="0.35">
      <c r="I474" s="35"/>
      <c r="J474" s="35"/>
      <c r="K474" s="35"/>
      <c r="L474" s="35"/>
      <c r="M474" s="35"/>
      <c r="N474" s="35"/>
    </row>
    <row r="475" spans="9:14" ht="15.75" customHeight="1" x14ac:dyDescent="0.35">
      <c r="I475" s="35"/>
      <c r="J475" s="35"/>
      <c r="K475" s="35"/>
      <c r="L475" s="35"/>
      <c r="M475" s="35"/>
      <c r="N475" s="35"/>
    </row>
    <row r="476" spans="9:14" ht="15.75" customHeight="1" x14ac:dyDescent="0.35">
      <c r="I476" s="35"/>
      <c r="J476" s="35"/>
      <c r="K476" s="35"/>
      <c r="L476" s="35"/>
      <c r="M476" s="35"/>
      <c r="N476" s="35"/>
    </row>
    <row r="477" spans="9:14" ht="15.75" customHeight="1" x14ac:dyDescent="0.35">
      <c r="I477" s="35"/>
      <c r="J477" s="35"/>
      <c r="K477" s="35"/>
      <c r="L477" s="35"/>
      <c r="M477" s="35"/>
      <c r="N477" s="35"/>
    </row>
    <row r="478" spans="9:14" ht="15.75" customHeight="1" x14ac:dyDescent="0.35">
      <c r="I478" s="35"/>
      <c r="J478" s="35"/>
      <c r="K478" s="35"/>
      <c r="L478" s="35"/>
      <c r="M478" s="35"/>
      <c r="N478" s="35"/>
    </row>
    <row r="479" spans="9:14" ht="15.75" customHeight="1" x14ac:dyDescent="0.35">
      <c r="I479" s="35"/>
      <c r="J479" s="35"/>
      <c r="K479" s="35"/>
      <c r="L479" s="35"/>
      <c r="M479" s="35"/>
      <c r="N479" s="35"/>
    </row>
    <row r="480" spans="9:14" ht="15.75" customHeight="1" x14ac:dyDescent="0.35">
      <c r="I480" s="35"/>
      <c r="J480" s="35"/>
      <c r="K480" s="35"/>
      <c r="L480" s="35"/>
      <c r="M480" s="35"/>
      <c r="N480" s="35"/>
    </row>
    <row r="481" spans="9:14" ht="15.75" customHeight="1" x14ac:dyDescent="0.35">
      <c r="I481" s="35"/>
      <c r="J481" s="35"/>
      <c r="K481" s="35"/>
      <c r="L481" s="35"/>
      <c r="M481" s="35"/>
      <c r="N481" s="35"/>
    </row>
    <row r="482" spans="9:14" ht="15.75" customHeight="1" x14ac:dyDescent="0.35">
      <c r="I482" s="35"/>
      <c r="J482" s="35"/>
      <c r="K482" s="35"/>
      <c r="L482" s="35"/>
      <c r="M482" s="35"/>
      <c r="N482" s="35"/>
    </row>
    <row r="483" spans="9:14" ht="15.75" customHeight="1" x14ac:dyDescent="0.35">
      <c r="I483" s="35"/>
      <c r="J483" s="35"/>
      <c r="K483" s="35"/>
      <c r="L483" s="35"/>
      <c r="M483" s="35"/>
      <c r="N483" s="35"/>
    </row>
    <row r="484" spans="9:14" ht="15.75" customHeight="1" x14ac:dyDescent="0.35">
      <c r="I484" s="35"/>
      <c r="J484" s="35"/>
      <c r="K484" s="35"/>
      <c r="L484" s="35"/>
      <c r="M484" s="35"/>
      <c r="N484" s="35"/>
    </row>
    <row r="485" spans="9:14" ht="15.75" customHeight="1" x14ac:dyDescent="0.35">
      <c r="I485" s="35"/>
      <c r="J485" s="35"/>
      <c r="K485" s="35"/>
      <c r="L485" s="35"/>
      <c r="M485" s="35"/>
      <c r="N485" s="35"/>
    </row>
    <row r="486" spans="9:14" ht="15.75" customHeight="1" x14ac:dyDescent="0.35">
      <c r="I486" s="35"/>
      <c r="J486" s="35"/>
      <c r="K486" s="35"/>
      <c r="L486" s="35"/>
      <c r="M486" s="35"/>
      <c r="N486" s="35"/>
    </row>
    <row r="487" spans="9:14" ht="15.75" customHeight="1" x14ac:dyDescent="0.35">
      <c r="I487" s="35"/>
      <c r="J487" s="35"/>
      <c r="K487" s="35"/>
      <c r="L487" s="35"/>
      <c r="M487" s="35"/>
      <c r="N487" s="35"/>
    </row>
    <row r="488" spans="9:14" ht="15.75" customHeight="1" x14ac:dyDescent="0.35">
      <c r="I488" s="35"/>
      <c r="J488" s="35"/>
      <c r="K488" s="35"/>
      <c r="L488" s="35"/>
      <c r="M488" s="35"/>
      <c r="N488" s="35"/>
    </row>
    <row r="489" spans="9:14" ht="15.75" customHeight="1" x14ac:dyDescent="0.35">
      <c r="I489" s="35"/>
      <c r="J489" s="35"/>
      <c r="K489" s="35"/>
      <c r="L489" s="35"/>
      <c r="M489" s="35"/>
      <c r="N489" s="35"/>
    </row>
    <row r="490" spans="9:14" ht="15.75" customHeight="1" x14ac:dyDescent="0.35">
      <c r="I490" s="35"/>
      <c r="J490" s="35"/>
      <c r="K490" s="35"/>
      <c r="L490" s="35"/>
      <c r="M490" s="35"/>
      <c r="N490" s="35"/>
    </row>
    <row r="491" spans="9:14" ht="15.75" customHeight="1" x14ac:dyDescent="0.35">
      <c r="I491" s="35"/>
      <c r="J491" s="35"/>
      <c r="K491" s="35"/>
      <c r="L491" s="35"/>
      <c r="M491" s="35"/>
      <c r="N491" s="35"/>
    </row>
    <row r="492" spans="9:14" ht="15.75" customHeight="1" x14ac:dyDescent="0.35">
      <c r="I492" s="35"/>
      <c r="J492" s="35"/>
      <c r="K492" s="35"/>
      <c r="L492" s="35"/>
      <c r="M492" s="35"/>
      <c r="N492" s="35"/>
    </row>
    <row r="493" spans="9:14" ht="15.75" customHeight="1" x14ac:dyDescent="0.35">
      <c r="I493" s="35"/>
      <c r="J493" s="35"/>
      <c r="K493" s="35"/>
      <c r="L493" s="35"/>
      <c r="M493" s="35"/>
      <c r="N493" s="35"/>
    </row>
    <row r="494" spans="9:14" ht="15.75" customHeight="1" x14ac:dyDescent="0.35">
      <c r="I494" s="35"/>
      <c r="J494" s="35"/>
      <c r="K494" s="35"/>
      <c r="L494" s="35"/>
      <c r="M494" s="35"/>
      <c r="N494" s="35"/>
    </row>
    <row r="495" spans="9:14" ht="15.75" customHeight="1" x14ac:dyDescent="0.35">
      <c r="I495" s="35"/>
      <c r="J495" s="35"/>
      <c r="K495" s="35"/>
      <c r="L495" s="35"/>
      <c r="M495" s="35"/>
      <c r="N495" s="35"/>
    </row>
    <row r="496" spans="9:14" ht="15.75" customHeight="1" x14ac:dyDescent="0.35">
      <c r="I496" s="35"/>
      <c r="J496" s="35"/>
      <c r="K496" s="35"/>
      <c r="L496" s="35"/>
      <c r="M496" s="35"/>
      <c r="N496" s="35"/>
    </row>
    <row r="497" spans="9:14" ht="15.75" customHeight="1" x14ac:dyDescent="0.35">
      <c r="I497" s="35"/>
      <c r="J497" s="35"/>
      <c r="K497" s="35"/>
      <c r="L497" s="35"/>
      <c r="M497" s="35"/>
      <c r="N497" s="35"/>
    </row>
    <row r="498" spans="9:14" ht="15.75" customHeight="1" x14ac:dyDescent="0.35">
      <c r="I498" s="35"/>
      <c r="J498" s="35"/>
      <c r="K498" s="35"/>
      <c r="L498" s="35"/>
      <c r="M498" s="35"/>
      <c r="N498" s="35"/>
    </row>
    <row r="499" spans="9:14" ht="15.75" customHeight="1" x14ac:dyDescent="0.35">
      <c r="I499" s="35"/>
      <c r="J499" s="35"/>
      <c r="K499" s="35"/>
      <c r="L499" s="35"/>
      <c r="M499" s="35"/>
      <c r="N499" s="35"/>
    </row>
    <row r="500" spans="9:14" ht="15.75" customHeight="1" x14ac:dyDescent="0.35">
      <c r="I500" s="35"/>
      <c r="J500" s="35"/>
      <c r="K500" s="35"/>
      <c r="L500" s="35"/>
      <c r="M500" s="35"/>
      <c r="N500" s="35"/>
    </row>
    <row r="501" spans="9:14" ht="15.75" customHeight="1" x14ac:dyDescent="0.35">
      <c r="I501" s="35"/>
      <c r="J501" s="35"/>
      <c r="K501" s="35"/>
      <c r="L501" s="35"/>
      <c r="M501" s="35"/>
      <c r="N501" s="35"/>
    </row>
    <row r="502" spans="9:14" ht="15.75" customHeight="1" x14ac:dyDescent="0.35">
      <c r="I502" s="35"/>
      <c r="J502" s="35"/>
      <c r="K502" s="35"/>
      <c r="L502" s="35"/>
      <c r="M502" s="35"/>
      <c r="N502" s="35"/>
    </row>
    <row r="503" spans="9:14" ht="15.75" customHeight="1" x14ac:dyDescent="0.35">
      <c r="I503" s="35"/>
      <c r="J503" s="35"/>
      <c r="K503" s="35"/>
      <c r="L503" s="35"/>
      <c r="M503" s="35"/>
      <c r="N503" s="35"/>
    </row>
    <row r="504" spans="9:14" ht="15.75" customHeight="1" x14ac:dyDescent="0.35">
      <c r="I504" s="35"/>
      <c r="J504" s="35"/>
      <c r="K504" s="35"/>
      <c r="L504" s="35"/>
      <c r="M504" s="35"/>
      <c r="N504" s="35"/>
    </row>
    <row r="505" spans="9:14" ht="15.75" customHeight="1" x14ac:dyDescent="0.35">
      <c r="I505" s="35"/>
      <c r="J505" s="35"/>
      <c r="K505" s="35"/>
      <c r="L505" s="35"/>
      <c r="M505" s="35"/>
      <c r="N505" s="35"/>
    </row>
    <row r="506" spans="9:14" ht="15.75" customHeight="1" x14ac:dyDescent="0.35">
      <c r="I506" s="35"/>
      <c r="J506" s="35"/>
      <c r="K506" s="35"/>
      <c r="L506" s="35"/>
      <c r="M506" s="35"/>
      <c r="N506" s="35"/>
    </row>
    <row r="507" spans="9:14" ht="15.75" customHeight="1" x14ac:dyDescent="0.35">
      <c r="I507" s="35"/>
      <c r="J507" s="35"/>
      <c r="K507" s="35"/>
      <c r="L507" s="35"/>
      <c r="M507" s="35"/>
      <c r="N507" s="35"/>
    </row>
    <row r="508" spans="9:14" ht="15.75" customHeight="1" x14ac:dyDescent="0.35">
      <c r="I508" s="35"/>
      <c r="J508" s="35"/>
      <c r="K508" s="35"/>
      <c r="L508" s="35"/>
      <c r="M508" s="35"/>
      <c r="N508" s="35"/>
    </row>
    <row r="509" spans="9:14" ht="15.75" customHeight="1" x14ac:dyDescent="0.35">
      <c r="I509" s="35"/>
      <c r="J509" s="35"/>
      <c r="K509" s="35"/>
      <c r="L509" s="35"/>
      <c r="M509" s="35"/>
      <c r="N509" s="35"/>
    </row>
    <row r="510" spans="9:14" ht="15.75" customHeight="1" x14ac:dyDescent="0.35">
      <c r="I510" s="35"/>
      <c r="J510" s="35"/>
      <c r="K510" s="35"/>
      <c r="L510" s="35"/>
      <c r="M510" s="35"/>
      <c r="N510" s="35"/>
    </row>
    <row r="511" spans="9:14" ht="15.75" customHeight="1" x14ac:dyDescent="0.35">
      <c r="I511" s="35"/>
      <c r="J511" s="35"/>
      <c r="K511" s="35"/>
      <c r="L511" s="35"/>
      <c r="M511" s="35"/>
      <c r="N511" s="35"/>
    </row>
    <row r="512" spans="9:14" ht="15.75" customHeight="1" x14ac:dyDescent="0.35">
      <c r="I512" s="35"/>
      <c r="J512" s="35"/>
      <c r="K512" s="35"/>
      <c r="L512" s="35"/>
      <c r="M512" s="35"/>
      <c r="N512" s="35"/>
    </row>
    <row r="513" spans="9:14" ht="15.75" customHeight="1" x14ac:dyDescent="0.35">
      <c r="I513" s="35"/>
      <c r="J513" s="35"/>
      <c r="K513" s="35"/>
      <c r="L513" s="35"/>
      <c r="M513" s="35"/>
      <c r="N513" s="35"/>
    </row>
    <row r="514" spans="9:14" ht="15.75" customHeight="1" x14ac:dyDescent="0.35">
      <c r="I514" s="35"/>
      <c r="J514" s="35"/>
      <c r="K514" s="35"/>
      <c r="L514" s="35"/>
      <c r="M514" s="35"/>
      <c r="N514" s="35"/>
    </row>
    <row r="515" spans="9:14" ht="15.75" customHeight="1" x14ac:dyDescent="0.35">
      <c r="I515" s="35"/>
      <c r="J515" s="35"/>
      <c r="K515" s="35"/>
      <c r="L515" s="35"/>
      <c r="M515" s="35"/>
      <c r="N515" s="35"/>
    </row>
    <row r="516" spans="9:14" ht="15.75" customHeight="1" x14ac:dyDescent="0.35">
      <c r="I516" s="35"/>
      <c r="J516" s="35"/>
      <c r="K516" s="35"/>
      <c r="L516" s="35"/>
      <c r="M516" s="35"/>
      <c r="N516" s="35"/>
    </row>
    <row r="517" spans="9:14" ht="15.75" customHeight="1" x14ac:dyDescent="0.35">
      <c r="I517" s="35"/>
      <c r="J517" s="35"/>
      <c r="K517" s="35"/>
      <c r="L517" s="35"/>
      <c r="M517" s="35"/>
      <c r="N517" s="35"/>
    </row>
    <row r="518" spans="9:14" ht="15.75" customHeight="1" x14ac:dyDescent="0.35">
      <c r="I518" s="35"/>
      <c r="J518" s="35"/>
      <c r="K518" s="35"/>
      <c r="L518" s="35"/>
      <c r="M518" s="35"/>
      <c r="N518" s="35"/>
    </row>
    <row r="519" spans="9:14" ht="15.75" customHeight="1" x14ac:dyDescent="0.35">
      <c r="I519" s="35"/>
      <c r="J519" s="35"/>
      <c r="K519" s="35"/>
      <c r="L519" s="35"/>
      <c r="M519" s="35"/>
      <c r="N519" s="35"/>
    </row>
    <row r="520" spans="9:14" ht="15.75" customHeight="1" x14ac:dyDescent="0.35">
      <c r="I520" s="35"/>
      <c r="J520" s="35"/>
      <c r="K520" s="35"/>
      <c r="L520" s="35"/>
      <c r="M520" s="35"/>
      <c r="N520" s="35"/>
    </row>
    <row r="521" spans="9:14" ht="15.75" customHeight="1" x14ac:dyDescent="0.35">
      <c r="I521" s="35"/>
      <c r="J521" s="35"/>
      <c r="K521" s="35"/>
      <c r="L521" s="35"/>
      <c r="M521" s="35"/>
      <c r="N521" s="35"/>
    </row>
    <row r="522" spans="9:14" ht="15.75" customHeight="1" x14ac:dyDescent="0.35">
      <c r="I522" s="35"/>
      <c r="J522" s="35"/>
      <c r="K522" s="35"/>
      <c r="L522" s="35"/>
      <c r="M522" s="35"/>
      <c r="N522" s="35"/>
    </row>
    <row r="523" spans="9:14" ht="15.75" customHeight="1" x14ac:dyDescent="0.35">
      <c r="I523" s="35"/>
      <c r="J523" s="35"/>
      <c r="K523" s="35"/>
      <c r="L523" s="35"/>
      <c r="M523" s="35"/>
      <c r="N523" s="35"/>
    </row>
    <row r="524" spans="9:14" ht="15.75" customHeight="1" x14ac:dyDescent="0.35">
      <c r="I524" s="35"/>
      <c r="J524" s="35"/>
      <c r="K524" s="35"/>
      <c r="L524" s="35"/>
      <c r="M524" s="35"/>
      <c r="N524" s="35"/>
    </row>
    <row r="525" spans="9:14" ht="15.75" customHeight="1" x14ac:dyDescent="0.35">
      <c r="I525" s="35"/>
      <c r="J525" s="35"/>
      <c r="K525" s="35"/>
      <c r="L525" s="35"/>
      <c r="M525" s="35"/>
      <c r="N525" s="35"/>
    </row>
    <row r="526" spans="9:14" ht="15.75" customHeight="1" x14ac:dyDescent="0.35">
      <c r="I526" s="35"/>
      <c r="J526" s="35"/>
      <c r="K526" s="35"/>
      <c r="L526" s="35"/>
      <c r="M526" s="35"/>
      <c r="N526" s="35"/>
    </row>
    <row r="527" spans="9:14" ht="15.75" customHeight="1" x14ac:dyDescent="0.35">
      <c r="I527" s="35"/>
      <c r="J527" s="35"/>
      <c r="K527" s="35"/>
      <c r="L527" s="35"/>
      <c r="M527" s="35"/>
      <c r="N527" s="35"/>
    </row>
    <row r="528" spans="9:14" ht="15.75" customHeight="1" x14ac:dyDescent="0.35">
      <c r="I528" s="35"/>
      <c r="J528" s="35"/>
      <c r="K528" s="35"/>
      <c r="L528" s="35"/>
      <c r="M528" s="35"/>
      <c r="N528" s="35"/>
    </row>
    <row r="529" spans="9:14" ht="15.75" customHeight="1" x14ac:dyDescent="0.35">
      <c r="I529" s="35"/>
      <c r="J529" s="35"/>
      <c r="K529" s="35"/>
      <c r="L529" s="35"/>
      <c r="M529" s="35"/>
      <c r="N529" s="35"/>
    </row>
    <row r="530" spans="9:14" ht="15.75" customHeight="1" x14ac:dyDescent="0.35">
      <c r="I530" s="35"/>
      <c r="J530" s="35"/>
      <c r="K530" s="35"/>
      <c r="L530" s="35"/>
      <c r="M530" s="35"/>
      <c r="N530" s="35"/>
    </row>
    <row r="531" spans="9:14" ht="15.75" customHeight="1" x14ac:dyDescent="0.35">
      <c r="I531" s="35"/>
      <c r="J531" s="35"/>
      <c r="K531" s="35"/>
      <c r="L531" s="35"/>
      <c r="M531" s="35"/>
      <c r="N531" s="35"/>
    </row>
    <row r="532" spans="9:14" ht="15.75" customHeight="1" x14ac:dyDescent="0.35">
      <c r="I532" s="35"/>
      <c r="J532" s="35"/>
      <c r="K532" s="35"/>
      <c r="L532" s="35"/>
      <c r="M532" s="35"/>
      <c r="N532" s="35"/>
    </row>
    <row r="533" spans="9:14" ht="15.75" customHeight="1" x14ac:dyDescent="0.35">
      <c r="I533" s="35"/>
      <c r="J533" s="35"/>
      <c r="K533" s="35"/>
      <c r="L533" s="35"/>
      <c r="M533" s="35"/>
      <c r="N533" s="35"/>
    </row>
    <row r="534" spans="9:14" ht="15.75" customHeight="1" x14ac:dyDescent="0.35">
      <c r="I534" s="35"/>
      <c r="J534" s="35"/>
      <c r="K534" s="35"/>
      <c r="L534" s="35"/>
      <c r="M534" s="35"/>
      <c r="N534" s="35"/>
    </row>
    <row r="535" spans="9:14" ht="15.75" customHeight="1" x14ac:dyDescent="0.35">
      <c r="I535" s="35"/>
      <c r="J535" s="35"/>
      <c r="K535" s="35"/>
      <c r="L535" s="35"/>
      <c r="M535" s="35"/>
      <c r="N535" s="35"/>
    </row>
    <row r="536" spans="9:14" ht="15.75" customHeight="1" x14ac:dyDescent="0.35">
      <c r="I536" s="35"/>
      <c r="J536" s="35"/>
      <c r="K536" s="35"/>
      <c r="L536" s="35"/>
      <c r="M536" s="35"/>
      <c r="N536" s="35"/>
    </row>
    <row r="537" spans="9:14" ht="15.75" customHeight="1" x14ac:dyDescent="0.35">
      <c r="I537" s="35"/>
      <c r="J537" s="35"/>
      <c r="K537" s="35"/>
      <c r="L537" s="35"/>
      <c r="M537" s="35"/>
      <c r="N537" s="35"/>
    </row>
    <row r="538" spans="9:14" ht="15.75" customHeight="1" x14ac:dyDescent="0.35">
      <c r="I538" s="35"/>
      <c r="J538" s="35"/>
      <c r="K538" s="35"/>
      <c r="L538" s="35"/>
      <c r="M538" s="35"/>
      <c r="N538" s="35"/>
    </row>
    <row r="539" spans="9:14" ht="15.75" customHeight="1" x14ac:dyDescent="0.35">
      <c r="I539" s="35"/>
      <c r="J539" s="35"/>
      <c r="K539" s="35"/>
      <c r="L539" s="35"/>
      <c r="M539" s="35"/>
      <c r="N539" s="35"/>
    </row>
    <row r="540" spans="9:14" ht="15.75" customHeight="1" x14ac:dyDescent="0.35">
      <c r="I540" s="35"/>
      <c r="J540" s="35"/>
      <c r="K540" s="35"/>
      <c r="L540" s="35"/>
      <c r="M540" s="35"/>
      <c r="N540" s="35"/>
    </row>
    <row r="541" spans="9:14" ht="15.75" customHeight="1" x14ac:dyDescent="0.35">
      <c r="I541" s="35"/>
      <c r="J541" s="35"/>
      <c r="K541" s="35"/>
      <c r="L541" s="35"/>
      <c r="M541" s="35"/>
      <c r="N541" s="35"/>
    </row>
    <row r="542" spans="9:14" ht="15.75" customHeight="1" x14ac:dyDescent="0.35">
      <c r="I542" s="35"/>
      <c r="J542" s="35"/>
      <c r="K542" s="35"/>
      <c r="L542" s="35"/>
      <c r="M542" s="35"/>
      <c r="N542" s="35"/>
    </row>
    <row r="543" spans="9:14" ht="15.75" customHeight="1" x14ac:dyDescent="0.35">
      <c r="I543" s="35"/>
      <c r="J543" s="35"/>
      <c r="K543" s="35"/>
      <c r="L543" s="35"/>
      <c r="M543" s="35"/>
      <c r="N543" s="35"/>
    </row>
    <row r="544" spans="9:14" ht="15.75" customHeight="1" x14ac:dyDescent="0.35">
      <c r="I544" s="35"/>
      <c r="J544" s="35"/>
      <c r="K544" s="35"/>
      <c r="L544" s="35"/>
      <c r="M544" s="35"/>
      <c r="N544" s="35"/>
    </row>
    <row r="545" spans="9:14" ht="15.75" customHeight="1" x14ac:dyDescent="0.35">
      <c r="I545" s="35"/>
      <c r="J545" s="35"/>
      <c r="K545" s="35"/>
      <c r="L545" s="35"/>
      <c r="M545" s="35"/>
      <c r="N545" s="35"/>
    </row>
    <row r="546" spans="9:14" ht="15.75" customHeight="1" x14ac:dyDescent="0.35">
      <c r="I546" s="35"/>
      <c r="J546" s="35"/>
      <c r="K546" s="35"/>
      <c r="L546" s="35"/>
      <c r="M546" s="35"/>
      <c r="N546" s="35"/>
    </row>
    <row r="547" spans="9:14" ht="15.75" customHeight="1" x14ac:dyDescent="0.35">
      <c r="I547" s="35"/>
      <c r="J547" s="35"/>
      <c r="K547" s="35"/>
      <c r="L547" s="35"/>
      <c r="M547" s="35"/>
      <c r="N547" s="35"/>
    </row>
    <row r="548" spans="9:14" ht="15.75" customHeight="1" x14ac:dyDescent="0.35">
      <c r="I548" s="35"/>
      <c r="J548" s="35"/>
      <c r="K548" s="35"/>
      <c r="L548" s="35"/>
      <c r="M548" s="35"/>
      <c r="N548" s="35"/>
    </row>
    <row r="549" spans="9:14" ht="15.75" customHeight="1" x14ac:dyDescent="0.35">
      <c r="I549" s="35"/>
      <c r="J549" s="35"/>
      <c r="K549" s="35"/>
      <c r="L549" s="35"/>
      <c r="M549" s="35"/>
      <c r="N549" s="35"/>
    </row>
    <row r="550" spans="9:14" ht="15.75" customHeight="1" x14ac:dyDescent="0.35">
      <c r="I550" s="35"/>
      <c r="J550" s="35"/>
      <c r="K550" s="35"/>
      <c r="L550" s="35"/>
      <c r="M550" s="35"/>
      <c r="N550" s="35"/>
    </row>
    <row r="551" spans="9:14" ht="15.75" customHeight="1" x14ac:dyDescent="0.35">
      <c r="I551" s="35"/>
      <c r="J551" s="35"/>
      <c r="K551" s="35"/>
      <c r="L551" s="35"/>
      <c r="M551" s="35"/>
      <c r="N551" s="35"/>
    </row>
    <row r="552" spans="9:14" ht="15.75" customHeight="1" x14ac:dyDescent="0.35">
      <c r="I552" s="35"/>
      <c r="J552" s="35"/>
      <c r="K552" s="35"/>
      <c r="L552" s="35"/>
      <c r="M552" s="35"/>
      <c r="N552" s="35"/>
    </row>
    <row r="553" spans="9:14" ht="15.75" customHeight="1" x14ac:dyDescent="0.35">
      <c r="I553" s="35"/>
      <c r="J553" s="35"/>
      <c r="K553" s="35"/>
      <c r="L553" s="35"/>
      <c r="M553" s="35"/>
      <c r="N553" s="35"/>
    </row>
    <row r="554" spans="9:14" ht="15.75" customHeight="1" x14ac:dyDescent="0.35">
      <c r="I554" s="35"/>
      <c r="J554" s="35"/>
      <c r="K554" s="35"/>
      <c r="L554" s="35"/>
      <c r="M554" s="35"/>
      <c r="N554" s="35"/>
    </row>
    <row r="555" spans="9:14" ht="15.75" customHeight="1" x14ac:dyDescent="0.35">
      <c r="I555" s="35"/>
      <c r="J555" s="35"/>
      <c r="K555" s="35"/>
      <c r="L555" s="35"/>
      <c r="M555" s="35"/>
      <c r="N555" s="35"/>
    </row>
    <row r="556" spans="9:14" ht="15.75" customHeight="1" x14ac:dyDescent="0.35">
      <c r="I556" s="35"/>
      <c r="J556" s="35"/>
      <c r="K556" s="35"/>
      <c r="L556" s="35"/>
      <c r="M556" s="35"/>
      <c r="N556" s="35"/>
    </row>
    <row r="557" spans="9:14" ht="15.75" customHeight="1" x14ac:dyDescent="0.35">
      <c r="I557" s="35"/>
      <c r="J557" s="35"/>
      <c r="K557" s="35"/>
      <c r="L557" s="35"/>
      <c r="M557" s="35"/>
      <c r="N557" s="35"/>
    </row>
    <row r="558" spans="9:14" ht="15.75" customHeight="1" x14ac:dyDescent="0.35">
      <c r="I558" s="35"/>
      <c r="J558" s="35"/>
      <c r="K558" s="35"/>
      <c r="L558" s="35"/>
      <c r="M558" s="35"/>
      <c r="N558" s="35"/>
    </row>
    <row r="559" spans="9:14" ht="15.75" customHeight="1" x14ac:dyDescent="0.35">
      <c r="I559" s="35"/>
      <c r="J559" s="35"/>
      <c r="K559" s="35"/>
      <c r="L559" s="35"/>
      <c r="M559" s="35"/>
      <c r="N559" s="35"/>
    </row>
    <row r="560" spans="9:14" ht="15.75" customHeight="1" x14ac:dyDescent="0.35">
      <c r="I560" s="35"/>
      <c r="J560" s="35"/>
      <c r="K560" s="35"/>
      <c r="L560" s="35"/>
      <c r="M560" s="35"/>
      <c r="N560" s="35"/>
    </row>
    <row r="561" spans="9:14" ht="15.75" customHeight="1" x14ac:dyDescent="0.35">
      <c r="I561" s="35"/>
      <c r="J561" s="35"/>
      <c r="K561" s="35"/>
      <c r="L561" s="35"/>
      <c r="M561" s="35"/>
      <c r="N561" s="35"/>
    </row>
    <row r="562" spans="9:14" ht="15.75" customHeight="1" x14ac:dyDescent="0.35">
      <c r="I562" s="35"/>
      <c r="J562" s="35"/>
      <c r="K562" s="35"/>
      <c r="L562" s="35"/>
      <c r="M562" s="35"/>
      <c r="N562" s="35"/>
    </row>
    <row r="563" spans="9:14" ht="15.75" customHeight="1" x14ac:dyDescent="0.35">
      <c r="I563" s="35"/>
      <c r="J563" s="35"/>
      <c r="K563" s="35"/>
      <c r="L563" s="35"/>
      <c r="M563" s="35"/>
      <c r="N563" s="35"/>
    </row>
    <row r="564" spans="9:14" ht="15.75" customHeight="1" x14ac:dyDescent="0.35">
      <c r="I564" s="35"/>
      <c r="J564" s="35"/>
      <c r="K564" s="35"/>
      <c r="L564" s="35"/>
      <c r="M564" s="35"/>
      <c r="N564" s="35"/>
    </row>
    <row r="565" spans="9:14" ht="15.75" customHeight="1" x14ac:dyDescent="0.35">
      <c r="I565" s="35"/>
      <c r="J565" s="35"/>
      <c r="K565" s="35"/>
      <c r="L565" s="35"/>
      <c r="M565" s="35"/>
      <c r="N565" s="35"/>
    </row>
    <row r="566" spans="9:14" ht="15.75" customHeight="1" x14ac:dyDescent="0.35">
      <c r="I566" s="35"/>
      <c r="J566" s="35"/>
      <c r="K566" s="35"/>
      <c r="L566" s="35"/>
      <c r="M566" s="35"/>
      <c r="N566" s="35"/>
    </row>
    <row r="567" spans="9:14" ht="15.75" customHeight="1" x14ac:dyDescent="0.35">
      <c r="I567" s="35"/>
      <c r="J567" s="35"/>
      <c r="K567" s="35"/>
      <c r="L567" s="35"/>
      <c r="M567" s="35"/>
      <c r="N567" s="35"/>
    </row>
    <row r="568" spans="9:14" ht="15.75" customHeight="1" x14ac:dyDescent="0.35">
      <c r="I568" s="35"/>
      <c r="J568" s="35"/>
      <c r="K568" s="35"/>
      <c r="L568" s="35"/>
      <c r="M568" s="35"/>
      <c r="N568" s="35"/>
    </row>
    <row r="569" spans="9:14" ht="15.75" customHeight="1" x14ac:dyDescent="0.35">
      <c r="I569" s="35"/>
      <c r="J569" s="35"/>
      <c r="K569" s="35"/>
      <c r="L569" s="35"/>
      <c r="M569" s="35"/>
      <c r="N569" s="35"/>
    </row>
    <row r="570" spans="9:14" ht="15.75" customHeight="1" x14ac:dyDescent="0.35">
      <c r="I570" s="35"/>
      <c r="J570" s="35"/>
      <c r="K570" s="35"/>
      <c r="L570" s="35"/>
      <c r="M570" s="35"/>
      <c r="N570" s="35"/>
    </row>
    <row r="571" spans="9:14" ht="15.75" customHeight="1" x14ac:dyDescent="0.35">
      <c r="I571" s="35"/>
      <c r="J571" s="35"/>
      <c r="K571" s="35"/>
      <c r="L571" s="35"/>
      <c r="M571" s="35"/>
      <c r="N571" s="35"/>
    </row>
    <row r="572" spans="9:14" ht="15.75" customHeight="1" x14ac:dyDescent="0.35">
      <c r="I572" s="35"/>
      <c r="J572" s="35"/>
      <c r="K572" s="35"/>
      <c r="L572" s="35"/>
      <c r="M572" s="35"/>
      <c r="N572" s="35"/>
    </row>
    <row r="573" spans="9:14" ht="15.75" customHeight="1" x14ac:dyDescent="0.35">
      <c r="I573" s="35"/>
      <c r="J573" s="35"/>
      <c r="K573" s="35"/>
      <c r="L573" s="35"/>
      <c r="M573" s="35"/>
      <c r="N573" s="35"/>
    </row>
    <row r="574" spans="9:14" ht="15.75" customHeight="1" x14ac:dyDescent="0.35">
      <c r="I574" s="35"/>
      <c r="J574" s="35"/>
      <c r="K574" s="35"/>
      <c r="L574" s="35"/>
      <c r="M574" s="35"/>
      <c r="N574" s="35"/>
    </row>
    <row r="575" spans="9:14" ht="15.75" customHeight="1" x14ac:dyDescent="0.35">
      <c r="I575" s="35"/>
      <c r="J575" s="35"/>
      <c r="K575" s="35"/>
      <c r="L575" s="35"/>
      <c r="M575" s="35"/>
      <c r="N575" s="35"/>
    </row>
    <row r="576" spans="9:14" ht="15.75" customHeight="1" x14ac:dyDescent="0.35">
      <c r="I576" s="35"/>
      <c r="J576" s="35"/>
      <c r="K576" s="35"/>
      <c r="L576" s="35"/>
      <c r="M576" s="35"/>
      <c r="N576" s="35"/>
    </row>
    <row r="577" spans="9:14" ht="15.75" customHeight="1" x14ac:dyDescent="0.35">
      <c r="I577" s="35"/>
      <c r="J577" s="35"/>
      <c r="K577" s="35"/>
      <c r="L577" s="35"/>
      <c r="M577" s="35"/>
      <c r="N577" s="35"/>
    </row>
    <row r="578" spans="9:14" ht="15.75" customHeight="1" x14ac:dyDescent="0.35">
      <c r="I578" s="35"/>
      <c r="J578" s="35"/>
      <c r="K578" s="35"/>
      <c r="L578" s="35"/>
      <c r="M578" s="35"/>
      <c r="N578" s="35"/>
    </row>
    <row r="579" spans="9:14" ht="15.75" customHeight="1" x14ac:dyDescent="0.35">
      <c r="I579" s="35"/>
      <c r="J579" s="35"/>
      <c r="K579" s="35"/>
      <c r="L579" s="35"/>
      <c r="M579" s="35"/>
      <c r="N579" s="35"/>
    </row>
    <row r="580" spans="9:14" ht="15.75" customHeight="1" x14ac:dyDescent="0.35">
      <c r="I580" s="35"/>
      <c r="J580" s="35"/>
      <c r="K580" s="35"/>
      <c r="L580" s="35"/>
      <c r="M580" s="35"/>
      <c r="N580" s="35"/>
    </row>
    <row r="581" spans="9:14" ht="15.75" customHeight="1" x14ac:dyDescent="0.35">
      <c r="I581" s="35"/>
      <c r="J581" s="35"/>
      <c r="K581" s="35"/>
      <c r="L581" s="35"/>
      <c r="M581" s="35"/>
      <c r="N581" s="35"/>
    </row>
    <row r="582" spans="9:14" ht="15.75" customHeight="1" x14ac:dyDescent="0.35">
      <c r="I582" s="35"/>
      <c r="J582" s="35"/>
      <c r="K582" s="35"/>
      <c r="L582" s="35"/>
      <c r="M582" s="35"/>
      <c r="N582" s="35"/>
    </row>
    <row r="583" spans="9:14" ht="15.75" customHeight="1" x14ac:dyDescent="0.35">
      <c r="I583" s="35"/>
      <c r="J583" s="35"/>
      <c r="K583" s="35"/>
      <c r="L583" s="35"/>
      <c r="M583" s="35"/>
      <c r="N583" s="35"/>
    </row>
    <row r="584" spans="9:14" ht="15.75" customHeight="1" x14ac:dyDescent="0.35">
      <c r="I584" s="35"/>
      <c r="J584" s="35"/>
      <c r="K584" s="35"/>
      <c r="L584" s="35"/>
      <c r="M584" s="35"/>
      <c r="N584" s="35"/>
    </row>
    <row r="585" spans="9:14" ht="15.75" customHeight="1" x14ac:dyDescent="0.35">
      <c r="I585" s="35"/>
      <c r="J585" s="35"/>
      <c r="K585" s="35"/>
      <c r="L585" s="35"/>
      <c r="M585" s="35"/>
      <c r="N585" s="35"/>
    </row>
    <row r="586" spans="9:14" ht="15.75" customHeight="1" x14ac:dyDescent="0.35">
      <c r="I586" s="35"/>
      <c r="J586" s="35"/>
      <c r="K586" s="35"/>
      <c r="L586" s="35"/>
      <c r="M586" s="35"/>
      <c r="N586" s="35"/>
    </row>
    <row r="587" spans="9:14" ht="15.75" customHeight="1" x14ac:dyDescent="0.35">
      <c r="I587" s="35"/>
      <c r="J587" s="35"/>
      <c r="K587" s="35"/>
      <c r="L587" s="35"/>
      <c r="M587" s="35"/>
      <c r="N587" s="35"/>
    </row>
    <row r="588" spans="9:14" ht="15.75" customHeight="1" x14ac:dyDescent="0.35">
      <c r="I588" s="35"/>
      <c r="J588" s="35"/>
      <c r="K588" s="35"/>
      <c r="L588" s="35"/>
      <c r="M588" s="35"/>
      <c r="N588" s="35"/>
    </row>
    <row r="589" spans="9:14" ht="15.75" customHeight="1" x14ac:dyDescent="0.35">
      <c r="I589" s="35"/>
      <c r="J589" s="35"/>
      <c r="K589" s="35"/>
      <c r="L589" s="35"/>
      <c r="M589" s="35"/>
      <c r="N589" s="35"/>
    </row>
    <row r="590" spans="9:14" ht="15.75" customHeight="1" x14ac:dyDescent="0.35">
      <c r="I590" s="35"/>
      <c r="J590" s="35"/>
      <c r="K590" s="35"/>
      <c r="L590" s="35"/>
      <c r="M590" s="35"/>
      <c r="N590" s="35"/>
    </row>
    <row r="591" spans="9:14" ht="15.75" customHeight="1" x14ac:dyDescent="0.35">
      <c r="I591" s="35"/>
      <c r="J591" s="35"/>
      <c r="K591" s="35"/>
      <c r="L591" s="35"/>
      <c r="M591" s="35"/>
      <c r="N591" s="35"/>
    </row>
    <row r="592" spans="9:14" ht="15.75" customHeight="1" x14ac:dyDescent="0.35">
      <c r="I592" s="35"/>
      <c r="J592" s="35"/>
      <c r="K592" s="35"/>
      <c r="L592" s="35"/>
      <c r="M592" s="35"/>
      <c r="N592" s="35"/>
    </row>
    <row r="593" spans="9:14" ht="15.75" customHeight="1" x14ac:dyDescent="0.35">
      <c r="I593" s="35"/>
      <c r="J593" s="35"/>
      <c r="K593" s="35"/>
      <c r="L593" s="35"/>
      <c r="M593" s="35"/>
      <c r="N593" s="35"/>
    </row>
    <row r="594" spans="9:14" ht="15.75" customHeight="1" x14ac:dyDescent="0.35">
      <c r="I594" s="35"/>
      <c r="J594" s="35"/>
      <c r="K594" s="35"/>
      <c r="L594" s="35"/>
      <c r="M594" s="35"/>
      <c r="N594" s="35"/>
    </row>
    <row r="595" spans="9:14" ht="15.75" customHeight="1" x14ac:dyDescent="0.35">
      <c r="I595" s="35"/>
      <c r="J595" s="35"/>
      <c r="K595" s="35"/>
      <c r="L595" s="35"/>
      <c r="M595" s="35"/>
      <c r="N595" s="35"/>
    </row>
    <row r="596" spans="9:14" ht="15.75" customHeight="1" x14ac:dyDescent="0.35">
      <c r="I596" s="35"/>
      <c r="J596" s="35"/>
      <c r="K596" s="35"/>
      <c r="L596" s="35"/>
      <c r="M596" s="35"/>
      <c r="N596" s="35"/>
    </row>
    <row r="597" spans="9:14" ht="15.75" customHeight="1" x14ac:dyDescent="0.35">
      <c r="I597" s="35"/>
      <c r="J597" s="35"/>
      <c r="K597" s="35"/>
      <c r="L597" s="35"/>
      <c r="M597" s="35"/>
      <c r="N597" s="35"/>
    </row>
    <row r="598" spans="9:14" ht="15.75" customHeight="1" x14ac:dyDescent="0.35">
      <c r="I598" s="35"/>
      <c r="J598" s="35"/>
      <c r="K598" s="35"/>
      <c r="L598" s="35"/>
      <c r="M598" s="35"/>
      <c r="N598" s="35"/>
    </row>
    <row r="599" spans="9:14" ht="15.75" customHeight="1" x14ac:dyDescent="0.35">
      <c r="I599" s="35"/>
      <c r="J599" s="35"/>
      <c r="K599" s="35"/>
      <c r="L599" s="35"/>
      <c r="M599" s="35"/>
      <c r="N599" s="35"/>
    </row>
    <row r="600" spans="9:14" ht="15.75" customHeight="1" x14ac:dyDescent="0.35">
      <c r="I600" s="35"/>
      <c r="J600" s="35"/>
      <c r="K600" s="35"/>
      <c r="L600" s="35"/>
      <c r="M600" s="35"/>
      <c r="N600" s="35"/>
    </row>
    <row r="601" spans="9:14" ht="15.75" customHeight="1" x14ac:dyDescent="0.35">
      <c r="I601" s="35"/>
      <c r="J601" s="35"/>
      <c r="K601" s="35"/>
      <c r="L601" s="35"/>
      <c r="M601" s="35"/>
      <c r="N601" s="35"/>
    </row>
    <row r="602" spans="9:14" ht="15.75" customHeight="1" x14ac:dyDescent="0.35">
      <c r="I602" s="35"/>
      <c r="J602" s="35"/>
      <c r="K602" s="35"/>
      <c r="L602" s="35"/>
      <c r="M602" s="35"/>
      <c r="N602" s="35"/>
    </row>
    <row r="603" spans="9:14" ht="15.75" customHeight="1" x14ac:dyDescent="0.35">
      <c r="I603" s="35"/>
      <c r="J603" s="35"/>
      <c r="K603" s="35"/>
      <c r="L603" s="35"/>
      <c r="M603" s="35"/>
      <c r="N603" s="35"/>
    </row>
    <row r="604" spans="9:14" ht="15.75" customHeight="1" x14ac:dyDescent="0.35">
      <c r="I604" s="35"/>
      <c r="J604" s="35"/>
      <c r="K604" s="35"/>
      <c r="L604" s="35"/>
      <c r="M604" s="35"/>
      <c r="N604" s="35"/>
    </row>
    <row r="605" spans="9:14" ht="15.75" customHeight="1" x14ac:dyDescent="0.35">
      <c r="I605" s="35"/>
      <c r="J605" s="35"/>
      <c r="K605" s="35"/>
      <c r="L605" s="35"/>
      <c r="M605" s="35"/>
      <c r="N605" s="35"/>
    </row>
    <row r="606" spans="9:14" ht="15.75" customHeight="1" x14ac:dyDescent="0.35">
      <c r="I606" s="35"/>
      <c r="J606" s="35"/>
      <c r="K606" s="35"/>
      <c r="L606" s="35"/>
      <c r="M606" s="35"/>
      <c r="N606" s="35"/>
    </row>
    <row r="607" spans="9:14" ht="15.75" customHeight="1" x14ac:dyDescent="0.35">
      <c r="I607" s="35"/>
      <c r="J607" s="35"/>
      <c r="K607" s="35"/>
      <c r="L607" s="35"/>
      <c r="M607" s="35"/>
      <c r="N607" s="35"/>
    </row>
    <row r="608" spans="9:14" ht="15.75" customHeight="1" x14ac:dyDescent="0.35">
      <c r="I608" s="35"/>
      <c r="J608" s="35"/>
      <c r="K608" s="35"/>
      <c r="L608" s="35"/>
      <c r="M608" s="35"/>
      <c r="N608" s="35"/>
    </row>
    <row r="609" spans="9:14" ht="15.75" customHeight="1" x14ac:dyDescent="0.35">
      <c r="I609" s="35"/>
      <c r="J609" s="35"/>
      <c r="K609" s="35"/>
      <c r="L609" s="35"/>
      <c r="M609" s="35"/>
      <c r="N609" s="35"/>
    </row>
    <row r="610" spans="9:14" ht="15.75" customHeight="1" x14ac:dyDescent="0.35">
      <c r="I610" s="35"/>
      <c r="J610" s="35"/>
      <c r="K610" s="35"/>
      <c r="L610" s="35"/>
      <c r="M610" s="35"/>
      <c r="N610" s="35"/>
    </row>
    <row r="611" spans="9:14" ht="15.75" customHeight="1" x14ac:dyDescent="0.35">
      <c r="I611" s="35"/>
      <c r="J611" s="35"/>
      <c r="K611" s="35"/>
      <c r="L611" s="35"/>
      <c r="M611" s="35"/>
      <c r="N611" s="35"/>
    </row>
    <row r="612" spans="9:14" ht="15.75" customHeight="1" x14ac:dyDescent="0.35">
      <c r="I612" s="35"/>
      <c r="J612" s="35"/>
      <c r="K612" s="35"/>
      <c r="L612" s="35"/>
      <c r="M612" s="35"/>
      <c r="N612" s="35"/>
    </row>
    <row r="613" spans="9:14" ht="15.75" customHeight="1" x14ac:dyDescent="0.35">
      <c r="I613" s="35"/>
      <c r="J613" s="35"/>
      <c r="K613" s="35"/>
      <c r="L613" s="35"/>
      <c r="M613" s="35"/>
      <c r="N613" s="35"/>
    </row>
    <row r="614" spans="9:14" ht="15.75" customHeight="1" x14ac:dyDescent="0.35">
      <c r="I614" s="35"/>
      <c r="J614" s="35"/>
      <c r="K614" s="35"/>
      <c r="L614" s="35"/>
      <c r="M614" s="35"/>
      <c r="N614" s="35"/>
    </row>
    <row r="615" spans="9:14" ht="15.75" customHeight="1" x14ac:dyDescent="0.35">
      <c r="I615" s="35"/>
      <c r="J615" s="35"/>
      <c r="K615" s="35"/>
      <c r="L615" s="35"/>
      <c r="M615" s="35"/>
      <c r="N615" s="35"/>
    </row>
    <row r="616" spans="9:14" ht="15.75" customHeight="1" x14ac:dyDescent="0.35">
      <c r="I616" s="35"/>
      <c r="J616" s="35"/>
      <c r="K616" s="35"/>
      <c r="L616" s="35"/>
      <c r="M616" s="35"/>
      <c r="N616" s="35"/>
    </row>
    <row r="617" spans="9:14" ht="15.75" customHeight="1" x14ac:dyDescent="0.35">
      <c r="I617" s="35"/>
      <c r="J617" s="35"/>
      <c r="K617" s="35"/>
      <c r="L617" s="35"/>
      <c r="M617" s="35"/>
      <c r="N617" s="35"/>
    </row>
    <row r="618" spans="9:14" ht="15.75" customHeight="1" x14ac:dyDescent="0.35">
      <c r="I618" s="35"/>
      <c r="J618" s="35"/>
      <c r="K618" s="35"/>
      <c r="L618" s="35"/>
      <c r="M618" s="35"/>
      <c r="N618" s="35"/>
    </row>
    <row r="619" spans="9:14" ht="15.75" customHeight="1" x14ac:dyDescent="0.35">
      <c r="I619" s="35"/>
      <c r="J619" s="35"/>
      <c r="K619" s="35"/>
      <c r="L619" s="35"/>
      <c r="M619" s="35"/>
      <c r="N619" s="35"/>
    </row>
    <row r="620" spans="9:14" ht="15.75" customHeight="1" x14ac:dyDescent="0.35">
      <c r="I620" s="35"/>
      <c r="J620" s="35"/>
      <c r="K620" s="35"/>
      <c r="L620" s="35"/>
      <c r="M620" s="35"/>
      <c r="N620" s="35"/>
    </row>
    <row r="621" spans="9:14" ht="15.75" customHeight="1" x14ac:dyDescent="0.35">
      <c r="I621" s="35"/>
      <c r="J621" s="35"/>
      <c r="K621" s="35"/>
      <c r="L621" s="35"/>
      <c r="M621" s="35"/>
      <c r="N621" s="35"/>
    </row>
    <row r="622" spans="9:14" ht="15.75" customHeight="1" x14ac:dyDescent="0.35">
      <c r="I622" s="35"/>
      <c r="J622" s="35"/>
      <c r="K622" s="35"/>
      <c r="L622" s="35"/>
      <c r="M622" s="35"/>
      <c r="N622" s="35"/>
    </row>
    <row r="623" spans="9:14" ht="15.75" customHeight="1" x14ac:dyDescent="0.35">
      <c r="I623" s="35"/>
      <c r="J623" s="35"/>
      <c r="K623" s="35"/>
      <c r="L623" s="35"/>
      <c r="M623" s="35"/>
      <c r="N623" s="35"/>
    </row>
    <row r="624" spans="9:14" ht="15.75" customHeight="1" x14ac:dyDescent="0.35">
      <c r="I624" s="35"/>
      <c r="J624" s="35"/>
      <c r="K624" s="35"/>
      <c r="L624" s="35"/>
      <c r="M624" s="35"/>
      <c r="N624" s="35"/>
    </row>
    <row r="625" spans="9:14" ht="15.75" customHeight="1" x14ac:dyDescent="0.35">
      <c r="I625" s="35"/>
      <c r="J625" s="35"/>
      <c r="K625" s="35"/>
      <c r="L625" s="35"/>
      <c r="M625" s="35"/>
      <c r="N625" s="35"/>
    </row>
    <row r="626" spans="9:14" ht="15.75" customHeight="1" x14ac:dyDescent="0.35">
      <c r="I626" s="35"/>
      <c r="J626" s="35"/>
      <c r="K626" s="35"/>
      <c r="L626" s="35"/>
      <c r="M626" s="35"/>
      <c r="N626" s="35"/>
    </row>
    <row r="627" spans="9:14" ht="15.75" customHeight="1" x14ac:dyDescent="0.35">
      <c r="I627" s="35"/>
      <c r="J627" s="35"/>
      <c r="K627" s="35"/>
      <c r="L627" s="35"/>
      <c r="M627" s="35"/>
      <c r="N627" s="35"/>
    </row>
    <row r="628" spans="9:14" ht="15.75" customHeight="1" x14ac:dyDescent="0.35">
      <c r="I628" s="35"/>
      <c r="J628" s="35"/>
      <c r="K628" s="35"/>
      <c r="L628" s="35"/>
      <c r="M628" s="35"/>
      <c r="N628" s="35"/>
    </row>
    <row r="629" spans="9:14" ht="15.75" customHeight="1" x14ac:dyDescent="0.35">
      <c r="I629" s="35"/>
      <c r="J629" s="35"/>
      <c r="K629" s="35"/>
      <c r="L629" s="35"/>
      <c r="M629" s="35"/>
      <c r="N629" s="35"/>
    </row>
    <row r="630" spans="9:14" ht="15.75" customHeight="1" x14ac:dyDescent="0.35">
      <c r="I630" s="35"/>
      <c r="J630" s="35"/>
      <c r="K630" s="35"/>
      <c r="L630" s="35"/>
      <c r="M630" s="35"/>
      <c r="N630" s="35"/>
    </row>
    <row r="631" spans="9:14" ht="15.75" customHeight="1" x14ac:dyDescent="0.35">
      <c r="I631" s="35"/>
      <c r="J631" s="35"/>
      <c r="K631" s="35"/>
      <c r="L631" s="35"/>
      <c r="M631" s="35"/>
      <c r="N631" s="35"/>
    </row>
    <row r="632" spans="9:14" ht="15.75" customHeight="1" x14ac:dyDescent="0.35">
      <c r="I632" s="35"/>
      <c r="J632" s="35"/>
      <c r="K632" s="35"/>
      <c r="L632" s="35"/>
      <c r="M632" s="35"/>
      <c r="N632" s="35"/>
    </row>
    <row r="633" spans="9:14" ht="15.75" customHeight="1" x14ac:dyDescent="0.35">
      <c r="I633" s="35"/>
      <c r="J633" s="35"/>
      <c r="K633" s="35"/>
      <c r="L633" s="35"/>
      <c r="M633" s="35"/>
      <c r="N633" s="35"/>
    </row>
    <row r="634" spans="9:14" ht="15.75" customHeight="1" x14ac:dyDescent="0.35">
      <c r="I634" s="35"/>
      <c r="J634" s="35"/>
      <c r="K634" s="35"/>
      <c r="L634" s="35"/>
      <c r="M634" s="35"/>
      <c r="N634" s="35"/>
    </row>
    <row r="635" spans="9:14" ht="15.75" customHeight="1" x14ac:dyDescent="0.35">
      <c r="I635" s="35"/>
      <c r="J635" s="35"/>
      <c r="K635" s="35"/>
      <c r="L635" s="35"/>
      <c r="M635" s="35"/>
      <c r="N635" s="35"/>
    </row>
    <row r="636" spans="9:14" ht="15.75" customHeight="1" x14ac:dyDescent="0.35">
      <c r="I636" s="35"/>
      <c r="J636" s="35"/>
      <c r="K636" s="35"/>
      <c r="L636" s="35"/>
      <c r="M636" s="35"/>
      <c r="N636" s="35"/>
    </row>
    <row r="637" spans="9:14" ht="15.75" customHeight="1" x14ac:dyDescent="0.35">
      <c r="I637" s="35"/>
      <c r="J637" s="35"/>
      <c r="K637" s="35"/>
      <c r="L637" s="35"/>
      <c r="M637" s="35"/>
      <c r="N637" s="35"/>
    </row>
    <row r="638" spans="9:14" ht="15.75" customHeight="1" x14ac:dyDescent="0.35">
      <c r="I638" s="35"/>
      <c r="J638" s="35"/>
      <c r="K638" s="35"/>
      <c r="L638" s="35"/>
      <c r="M638" s="35"/>
      <c r="N638" s="35"/>
    </row>
    <row r="639" spans="9:14" ht="15.75" customHeight="1" x14ac:dyDescent="0.35">
      <c r="I639" s="35"/>
      <c r="J639" s="35"/>
      <c r="K639" s="35"/>
      <c r="L639" s="35"/>
      <c r="M639" s="35"/>
      <c r="N639" s="35"/>
    </row>
    <row r="640" spans="9:14" ht="15.75" customHeight="1" x14ac:dyDescent="0.35">
      <c r="I640" s="35"/>
      <c r="J640" s="35"/>
      <c r="K640" s="35"/>
      <c r="L640" s="35"/>
      <c r="M640" s="35"/>
      <c r="N640" s="35"/>
    </row>
    <row r="641" spans="9:14" ht="15.75" customHeight="1" x14ac:dyDescent="0.35">
      <c r="I641" s="35"/>
      <c r="J641" s="35"/>
      <c r="K641" s="35"/>
      <c r="L641" s="35"/>
      <c r="M641" s="35"/>
      <c r="N641" s="35"/>
    </row>
    <row r="642" spans="9:14" ht="15.75" customHeight="1" x14ac:dyDescent="0.35">
      <c r="I642" s="35"/>
      <c r="J642" s="35"/>
      <c r="K642" s="35"/>
      <c r="L642" s="35"/>
      <c r="M642" s="35"/>
      <c r="N642" s="35"/>
    </row>
    <row r="643" spans="9:14" ht="15.75" customHeight="1" x14ac:dyDescent="0.35">
      <c r="I643" s="35"/>
      <c r="J643" s="35"/>
      <c r="K643" s="35"/>
      <c r="L643" s="35"/>
      <c r="M643" s="35"/>
      <c r="N643" s="35"/>
    </row>
    <row r="644" spans="9:14" ht="15.75" customHeight="1" x14ac:dyDescent="0.35">
      <c r="I644" s="35"/>
      <c r="J644" s="35"/>
      <c r="K644" s="35"/>
      <c r="L644" s="35"/>
      <c r="M644" s="35"/>
      <c r="N644" s="35"/>
    </row>
    <row r="645" spans="9:14" ht="15.75" customHeight="1" x14ac:dyDescent="0.35">
      <c r="I645" s="35"/>
      <c r="J645" s="35"/>
      <c r="K645" s="35"/>
      <c r="L645" s="35"/>
      <c r="M645" s="35"/>
      <c r="N645" s="35"/>
    </row>
    <row r="646" spans="9:14" ht="15.75" customHeight="1" x14ac:dyDescent="0.35">
      <c r="I646" s="35"/>
      <c r="J646" s="35"/>
      <c r="K646" s="35"/>
      <c r="L646" s="35"/>
      <c r="M646" s="35"/>
      <c r="N646" s="35"/>
    </row>
    <row r="647" spans="9:14" ht="15.75" customHeight="1" x14ac:dyDescent="0.35">
      <c r="I647" s="35"/>
      <c r="J647" s="35"/>
      <c r="K647" s="35"/>
      <c r="L647" s="35"/>
      <c r="M647" s="35"/>
      <c r="N647" s="35"/>
    </row>
    <row r="648" spans="9:14" ht="15.75" customHeight="1" x14ac:dyDescent="0.35">
      <c r="I648" s="35"/>
      <c r="J648" s="35"/>
      <c r="K648" s="35"/>
      <c r="L648" s="35"/>
      <c r="M648" s="35"/>
      <c r="N648" s="35"/>
    </row>
    <row r="649" spans="9:14" ht="15.75" customHeight="1" x14ac:dyDescent="0.35">
      <c r="I649" s="35"/>
      <c r="J649" s="35"/>
      <c r="K649" s="35"/>
      <c r="L649" s="35"/>
      <c r="M649" s="35"/>
      <c r="N649" s="35"/>
    </row>
    <row r="650" spans="9:14" ht="15.75" customHeight="1" x14ac:dyDescent="0.35">
      <c r="I650" s="35"/>
      <c r="J650" s="35"/>
      <c r="K650" s="35"/>
      <c r="L650" s="35"/>
      <c r="M650" s="35"/>
      <c r="N650" s="35"/>
    </row>
    <row r="651" spans="9:14" ht="15.75" customHeight="1" x14ac:dyDescent="0.35">
      <c r="I651" s="35"/>
      <c r="J651" s="35"/>
      <c r="K651" s="35"/>
      <c r="L651" s="35"/>
      <c r="M651" s="35"/>
      <c r="N651" s="35"/>
    </row>
    <row r="652" spans="9:14" ht="15.75" customHeight="1" x14ac:dyDescent="0.35">
      <c r="I652" s="35"/>
      <c r="J652" s="35"/>
      <c r="K652" s="35"/>
      <c r="L652" s="35"/>
      <c r="M652" s="35"/>
      <c r="N652" s="35"/>
    </row>
    <row r="653" spans="9:14" ht="15.75" customHeight="1" x14ac:dyDescent="0.35">
      <c r="I653" s="35"/>
      <c r="J653" s="35"/>
      <c r="K653" s="35"/>
      <c r="L653" s="35"/>
      <c r="M653" s="35"/>
      <c r="N653" s="35"/>
    </row>
    <row r="654" spans="9:14" ht="15.75" customHeight="1" x14ac:dyDescent="0.35">
      <c r="I654" s="35"/>
      <c r="J654" s="35"/>
      <c r="K654" s="35"/>
      <c r="L654" s="35"/>
      <c r="M654" s="35"/>
      <c r="N654" s="35"/>
    </row>
    <row r="655" spans="9:14" ht="15.75" customHeight="1" x14ac:dyDescent="0.35">
      <c r="I655" s="35"/>
      <c r="J655" s="35"/>
      <c r="K655" s="35"/>
      <c r="L655" s="35"/>
      <c r="M655" s="35"/>
      <c r="N655" s="35"/>
    </row>
    <row r="656" spans="9:14" ht="15.75" customHeight="1" x14ac:dyDescent="0.35">
      <c r="I656" s="35"/>
      <c r="J656" s="35"/>
      <c r="K656" s="35"/>
      <c r="L656" s="35"/>
      <c r="M656" s="35"/>
      <c r="N656" s="35"/>
    </row>
    <row r="657" spans="9:14" ht="15.75" customHeight="1" x14ac:dyDescent="0.35">
      <c r="I657" s="35"/>
      <c r="J657" s="35"/>
      <c r="K657" s="35"/>
      <c r="L657" s="35"/>
      <c r="M657" s="35"/>
      <c r="N657" s="35"/>
    </row>
    <row r="658" spans="9:14" ht="15.75" customHeight="1" x14ac:dyDescent="0.35">
      <c r="I658" s="35"/>
      <c r="J658" s="35"/>
      <c r="K658" s="35"/>
      <c r="L658" s="35"/>
      <c r="M658" s="35"/>
      <c r="N658" s="35"/>
    </row>
    <row r="659" spans="9:14" ht="15.75" customHeight="1" x14ac:dyDescent="0.35">
      <c r="I659" s="35"/>
      <c r="J659" s="35"/>
      <c r="K659" s="35"/>
      <c r="L659" s="35"/>
      <c r="M659" s="35"/>
      <c r="N659" s="35"/>
    </row>
    <row r="660" spans="9:14" ht="15.75" customHeight="1" x14ac:dyDescent="0.35">
      <c r="I660" s="35"/>
      <c r="J660" s="35"/>
      <c r="K660" s="35"/>
      <c r="L660" s="35"/>
      <c r="M660" s="35"/>
      <c r="N660" s="35"/>
    </row>
    <row r="661" spans="9:14" ht="15.75" customHeight="1" x14ac:dyDescent="0.35">
      <c r="I661" s="35"/>
      <c r="J661" s="35"/>
      <c r="K661" s="35"/>
      <c r="L661" s="35"/>
      <c r="M661" s="35"/>
      <c r="N661" s="35"/>
    </row>
    <row r="662" spans="9:14" ht="15.75" customHeight="1" x14ac:dyDescent="0.35">
      <c r="I662" s="35"/>
      <c r="J662" s="35"/>
      <c r="K662" s="35"/>
      <c r="L662" s="35"/>
      <c r="M662" s="35"/>
      <c r="N662" s="35"/>
    </row>
    <row r="663" spans="9:14" ht="15.75" customHeight="1" x14ac:dyDescent="0.35">
      <c r="I663" s="35"/>
      <c r="J663" s="35"/>
      <c r="K663" s="35"/>
      <c r="L663" s="35"/>
      <c r="M663" s="35"/>
      <c r="N663" s="35"/>
    </row>
    <row r="664" spans="9:14" ht="15.75" customHeight="1" x14ac:dyDescent="0.35">
      <c r="I664" s="35"/>
      <c r="J664" s="35"/>
      <c r="K664" s="35"/>
      <c r="L664" s="35"/>
      <c r="M664" s="35"/>
      <c r="N664" s="35"/>
    </row>
    <row r="665" spans="9:14" ht="15.75" customHeight="1" x14ac:dyDescent="0.35">
      <c r="I665" s="35"/>
      <c r="J665" s="35"/>
      <c r="K665" s="35"/>
      <c r="L665" s="35"/>
      <c r="M665" s="35"/>
      <c r="N665" s="35"/>
    </row>
    <row r="666" spans="9:14" ht="15.75" customHeight="1" x14ac:dyDescent="0.35">
      <c r="I666" s="35"/>
      <c r="J666" s="35"/>
      <c r="K666" s="35"/>
      <c r="L666" s="35"/>
      <c r="M666" s="35"/>
      <c r="N666" s="35"/>
    </row>
    <row r="667" spans="9:14" ht="15.75" customHeight="1" x14ac:dyDescent="0.35">
      <c r="I667" s="35"/>
      <c r="J667" s="35"/>
      <c r="K667" s="35"/>
      <c r="L667" s="35"/>
      <c r="M667" s="35"/>
      <c r="N667" s="35"/>
    </row>
    <row r="668" spans="9:14" ht="15.75" customHeight="1" x14ac:dyDescent="0.35">
      <c r="I668" s="35"/>
      <c r="J668" s="35"/>
      <c r="K668" s="35"/>
      <c r="L668" s="35"/>
      <c r="M668" s="35"/>
      <c r="N668" s="35"/>
    </row>
    <row r="669" spans="9:14" ht="15.75" customHeight="1" x14ac:dyDescent="0.35">
      <c r="I669" s="35"/>
      <c r="J669" s="35"/>
      <c r="K669" s="35"/>
      <c r="L669" s="35"/>
      <c r="M669" s="35"/>
      <c r="N669" s="35"/>
    </row>
    <row r="670" spans="9:14" ht="15.75" customHeight="1" x14ac:dyDescent="0.35">
      <c r="I670" s="35"/>
      <c r="J670" s="35"/>
      <c r="K670" s="35"/>
      <c r="L670" s="35"/>
      <c r="M670" s="35"/>
      <c r="N670" s="35"/>
    </row>
    <row r="671" spans="9:14" ht="15.75" customHeight="1" x14ac:dyDescent="0.35">
      <c r="I671" s="35"/>
      <c r="J671" s="35"/>
      <c r="K671" s="35"/>
      <c r="L671" s="35"/>
      <c r="M671" s="35"/>
      <c r="N671" s="35"/>
    </row>
    <row r="672" spans="9:14" ht="15.75" customHeight="1" x14ac:dyDescent="0.35">
      <c r="I672" s="35"/>
      <c r="J672" s="35"/>
      <c r="K672" s="35"/>
      <c r="L672" s="35"/>
      <c r="M672" s="35"/>
      <c r="N672" s="35"/>
    </row>
    <row r="673" spans="9:14" ht="15.75" customHeight="1" x14ac:dyDescent="0.35">
      <c r="I673" s="35"/>
      <c r="J673" s="35"/>
      <c r="K673" s="35"/>
      <c r="L673" s="35"/>
      <c r="M673" s="35"/>
      <c r="N673" s="35"/>
    </row>
    <row r="674" spans="9:14" ht="15.75" customHeight="1" x14ac:dyDescent="0.35">
      <c r="I674" s="35"/>
      <c r="J674" s="35"/>
      <c r="K674" s="35"/>
      <c r="L674" s="35"/>
      <c r="M674" s="35"/>
      <c r="N674" s="35"/>
    </row>
    <row r="675" spans="9:14" ht="15.75" customHeight="1" x14ac:dyDescent="0.35">
      <c r="I675" s="35"/>
      <c r="J675" s="35"/>
      <c r="K675" s="35"/>
      <c r="L675" s="35"/>
      <c r="M675" s="35"/>
      <c r="N675" s="35"/>
    </row>
    <row r="676" spans="9:14" ht="15.75" customHeight="1" x14ac:dyDescent="0.35">
      <c r="I676" s="35"/>
      <c r="J676" s="35"/>
      <c r="K676" s="35"/>
      <c r="L676" s="35"/>
      <c r="M676" s="35"/>
      <c r="N676" s="35"/>
    </row>
    <row r="677" spans="9:14" ht="15.75" customHeight="1" x14ac:dyDescent="0.35">
      <c r="I677" s="35"/>
      <c r="J677" s="35"/>
      <c r="K677" s="35"/>
      <c r="L677" s="35"/>
      <c r="M677" s="35"/>
      <c r="N677" s="35"/>
    </row>
    <row r="678" spans="9:14" ht="15.75" customHeight="1" x14ac:dyDescent="0.35">
      <c r="I678" s="35"/>
      <c r="J678" s="35"/>
      <c r="K678" s="35"/>
      <c r="L678" s="35"/>
      <c r="M678" s="35"/>
      <c r="N678" s="35"/>
    </row>
    <row r="679" spans="9:14" ht="15.75" customHeight="1" x14ac:dyDescent="0.35">
      <c r="I679" s="35"/>
      <c r="J679" s="35"/>
      <c r="K679" s="35"/>
      <c r="L679" s="35"/>
      <c r="M679" s="35"/>
      <c r="N679" s="35"/>
    </row>
    <row r="680" spans="9:14" ht="15.75" customHeight="1" x14ac:dyDescent="0.35">
      <c r="I680" s="35"/>
      <c r="J680" s="35"/>
      <c r="K680" s="35"/>
      <c r="L680" s="35"/>
      <c r="M680" s="35"/>
      <c r="N680" s="35"/>
    </row>
    <row r="681" spans="9:14" ht="15.75" customHeight="1" x14ac:dyDescent="0.35">
      <c r="I681" s="35"/>
      <c r="J681" s="35"/>
      <c r="K681" s="35"/>
      <c r="L681" s="35"/>
      <c r="M681" s="35"/>
      <c r="N681" s="35"/>
    </row>
    <row r="682" spans="9:14" ht="15.75" customHeight="1" x14ac:dyDescent="0.35">
      <c r="I682" s="35"/>
      <c r="J682" s="35"/>
      <c r="K682" s="35"/>
      <c r="L682" s="35"/>
      <c r="M682" s="35"/>
      <c r="N682" s="35"/>
    </row>
    <row r="683" spans="9:14" ht="15.75" customHeight="1" x14ac:dyDescent="0.35">
      <c r="I683" s="35"/>
      <c r="J683" s="35"/>
      <c r="K683" s="35"/>
      <c r="L683" s="35"/>
      <c r="M683" s="35"/>
      <c r="N683" s="35"/>
    </row>
    <row r="684" spans="9:14" ht="15.75" customHeight="1" x14ac:dyDescent="0.35">
      <c r="I684" s="35"/>
      <c r="J684" s="35"/>
      <c r="K684" s="35"/>
      <c r="L684" s="35"/>
      <c r="M684" s="35"/>
      <c r="N684" s="35"/>
    </row>
    <row r="685" spans="9:14" ht="15.75" customHeight="1" x14ac:dyDescent="0.35">
      <c r="I685" s="35"/>
      <c r="J685" s="35"/>
      <c r="K685" s="35"/>
      <c r="L685" s="35"/>
      <c r="M685" s="35"/>
      <c r="N685" s="35"/>
    </row>
    <row r="686" spans="9:14" ht="15.75" customHeight="1" x14ac:dyDescent="0.35">
      <c r="I686" s="35"/>
      <c r="J686" s="35"/>
      <c r="K686" s="35"/>
      <c r="L686" s="35"/>
      <c r="M686" s="35"/>
      <c r="N686" s="35"/>
    </row>
    <row r="687" spans="9:14" ht="15.75" customHeight="1" x14ac:dyDescent="0.35">
      <c r="I687" s="35"/>
      <c r="J687" s="35"/>
      <c r="K687" s="35"/>
      <c r="L687" s="35"/>
      <c r="M687" s="35"/>
      <c r="N687" s="35"/>
    </row>
    <row r="688" spans="9:14" ht="15.75" customHeight="1" x14ac:dyDescent="0.35">
      <c r="I688" s="35"/>
      <c r="J688" s="35"/>
      <c r="K688" s="35"/>
      <c r="L688" s="35"/>
      <c r="M688" s="35"/>
      <c r="N688" s="35"/>
    </row>
    <row r="689" spans="9:14" ht="15.75" customHeight="1" x14ac:dyDescent="0.35">
      <c r="I689" s="35"/>
      <c r="J689" s="35"/>
      <c r="K689" s="35"/>
      <c r="L689" s="35"/>
      <c r="M689" s="35"/>
      <c r="N689" s="35"/>
    </row>
    <row r="690" spans="9:14" ht="15.75" customHeight="1" x14ac:dyDescent="0.35">
      <c r="I690" s="35"/>
      <c r="J690" s="35"/>
      <c r="K690" s="35"/>
      <c r="L690" s="35"/>
      <c r="M690" s="35"/>
      <c r="N690" s="35"/>
    </row>
    <row r="691" spans="9:14" ht="15.75" customHeight="1" x14ac:dyDescent="0.35">
      <c r="I691" s="35"/>
      <c r="J691" s="35"/>
      <c r="K691" s="35"/>
      <c r="L691" s="35"/>
      <c r="M691" s="35"/>
      <c r="N691" s="35"/>
    </row>
    <row r="692" spans="9:14" ht="15.75" customHeight="1" x14ac:dyDescent="0.35">
      <c r="I692" s="35"/>
      <c r="J692" s="35"/>
      <c r="K692" s="35"/>
      <c r="L692" s="35"/>
      <c r="M692" s="35"/>
      <c r="N692" s="35"/>
    </row>
    <row r="693" spans="9:14" ht="15.75" customHeight="1" x14ac:dyDescent="0.35">
      <c r="I693" s="35"/>
      <c r="J693" s="35"/>
      <c r="K693" s="35"/>
      <c r="L693" s="35"/>
      <c r="M693" s="35"/>
      <c r="N693" s="35"/>
    </row>
    <row r="694" spans="9:14" ht="15.75" customHeight="1" x14ac:dyDescent="0.35">
      <c r="I694" s="35"/>
      <c r="J694" s="35"/>
      <c r="K694" s="35"/>
      <c r="L694" s="35"/>
      <c r="M694" s="35"/>
      <c r="N694" s="35"/>
    </row>
    <row r="695" spans="9:14" ht="15.75" customHeight="1" x14ac:dyDescent="0.35">
      <c r="I695" s="35"/>
      <c r="J695" s="35"/>
      <c r="K695" s="35"/>
      <c r="L695" s="35"/>
      <c r="M695" s="35"/>
      <c r="N695" s="35"/>
    </row>
    <row r="696" spans="9:14" ht="15.75" customHeight="1" x14ac:dyDescent="0.35">
      <c r="I696" s="35"/>
      <c r="J696" s="35"/>
      <c r="K696" s="35"/>
      <c r="L696" s="35"/>
      <c r="M696" s="35"/>
      <c r="N696" s="35"/>
    </row>
    <row r="697" spans="9:14" ht="15.75" customHeight="1" x14ac:dyDescent="0.35">
      <c r="I697" s="35"/>
      <c r="J697" s="35"/>
      <c r="K697" s="35"/>
      <c r="L697" s="35"/>
      <c r="M697" s="35"/>
      <c r="N697" s="35"/>
    </row>
    <row r="698" spans="9:14" ht="15.75" customHeight="1" x14ac:dyDescent="0.35">
      <c r="I698" s="35"/>
      <c r="J698" s="35"/>
      <c r="K698" s="35"/>
      <c r="L698" s="35"/>
      <c r="M698" s="35"/>
      <c r="N698" s="35"/>
    </row>
    <row r="699" spans="9:14" ht="15.75" customHeight="1" x14ac:dyDescent="0.35">
      <c r="I699" s="35"/>
      <c r="J699" s="35"/>
      <c r="K699" s="35"/>
      <c r="L699" s="35"/>
      <c r="M699" s="35"/>
      <c r="N699" s="35"/>
    </row>
    <row r="700" spans="9:14" ht="15.75" customHeight="1" x14ac:dyDescent="0.35">
      <c r="I700" s="35"/>
      <c r="J700" s="35"/>
      <c r="K700" s="35"/>
      <c r="L700" s="35"/>
      <c r="M700" s="35"/>
      <c r="N700" s="35"/>
    </row>
    <row r="701" spans="9:14" ht="15.75" customHeight="1" x14ac:dyDescent="0.35">
      <c r="I701" s="35"/>
      <c r="J701" s="35"/>
      <c r="K701" s="35"/>
      <c r="L701" s="35"/>
      <c r="M701" s="35"/>
      <c r="N701" s="35"/>
    </row>
    <row r="702" spans="9:14" ht="15.75" customHeight="1" x14ac:dyDescent="0.35">
      <c r="I702" s="35"/>
      <c r="J702" s="35"/>
      <c r="K702" s="35"/>
      <c r="L702" s="35"/>
      <c r="M702" s="35"/>
      <c r="N702" s="35"/>
    </row>
    <row r="703" spans="9:14" ht="15.75" customHeight="1" x14ac:dyDescent="0.35">
      <c r="I703" s="35"/>
      <c r="J703" s="35"/>
      <c r="K703" s="35"/>
      <c r="L703" s="35"/>
      <c r="M703" s="35"/>
      <c r="N703" s="35"/>
    </row>
    <row r="704" spans="9:14" ht="15.75" customHeight="1" x14ac:dyDescent="0.35">
      <c r="I704" s="35"/>
      <c r="J704" s="35"/>
      <c r="K704" s="35"/>
      <c r="L704" s="35"/>
      <c r="M704" s="35"/>
      <c r="N704" s="35"/>
    </row>
    <row r="705" spans="9:14" ht="15.75" customHeight="1" x14ac:dyDescent="0.35">
      <c r="I705" s="35"/>
      <c r="J705" s="35"/>
      <c r="K705" s="35"/>
      <c r="L705" s="35"/>
      <c r="M705" s="35"/>
      <c r="N705" s="35"/>
    </row>
    <row r="706" spans="9:14" ht="15.75" customHeight="1" x14ac:dyDescent="0.35">
      <c r="I706" s="35"/>
      <c r="J706" s="35"/>
      <c r="K706" s="35"/>
      <c r="L706" s="35"/>
      <c r="M706" s="35"/>
      <c r="N706" s="35"/>
    </row>
    <row r="707" spans="9:14" ht="15.75" customHeight="1" x14ac:dyDescent="0.35">
      <c r="I707" s="35"/>
      <c r="J707" s="35"/>
      <c r="K707" s="35"/>
      <c r="L707" s="35"/>
      <c r="M707" s="35"/>
      <c r="N707" s="35"/>
    </row>
    <row r="708" spans="9:14" ht="15.75" customHeight="1" x14ac:dyDescent="0.35">
      <c r="I708" s="35"/>
      <c r="J708" s="35"/>
      <c r="K708" s="35"/>
      <c r="L708" s="35"/>
      <c r="M708" s="35"/>
      <c r="N708" s="35"/>
    </row>
    <row r="709" spans="9:14" ht="15.75" customHeight="1" x14ac:dyDescent="0.35">
      <c r="I709" s="35"/>
      <c r="J709" s="35"/>
      <c r="K709" s="35"/>
      <c r="L709" s="35"/>
      <c r="M709" s="35"/>
      <c r="N709" s="35"/>
    </row>
    <row r="710" spans="9:14" ht="15.75" customHeight="1" x14ac:dyDescent="0.35">
      <c r="I710" s="35"/>
      <c r="J710" s="35"/>
      <c r="K710" s="35"/>
      <c r="L710" s="35"/>
      <c r="M710" s="35"/>
      <c r="N710" s="35"/>
    </row>
    <row r="711" spans="9:14" ht="15.75" customHeight="1" x14ac:dyDescent="0.35">
      <c r="I711" s="35"/>
      <c r="J711" s="35"/>
      <c r="K711" s="35"/>
      <c r="L711" s="35"/>
      <c r="M711" s="35"/>
      <c r="N711" s="35"/>
    </row>
    <row r="712" spans="9:14" ht="15.75" customHeight="1" x14ac:dyDescent="0.35">
      <c r="I712" s="35"/>
      <c r="J712" s="35"/>
      <c r="K712" s="35"/>
      <c r="L712" s="35"/>
      <c r="M712" s="35"/>
      <c r="N712" s="35"/>
    </row>
    <row r="713" spans="9:14" ht="15.75" customHeight="1" x14ac:dyDescent="0.35">
      <c r="I713" s="35"/>
      <c r="J713" s="35"/>
      <c r="K713" s="35"/>
      <c r="L713" s="35"/>
      <c r="M713" s="35"/>
      <c r="N713" s="35"/>
    </row>
    <row r="714" spans="9:14" ht="15.75" customHeight="1" x14ac:dyDescent="0.35">
      <c r="I714" s="35"/>
      <c r="J714" s="35"/>
      <c r="K714" s="35"/>
      <c r="L714" s="35"/>
      <c r="M714" s="35"/>
      <c r="N714" s="35"/>
    </row>
    <row r="715" spans="9:14" ht="15.75" customHeight="1" x14ac:dyDescent="0.35">
      <c r="I715" s="35"/>
      <c r="J715" s="35"/>
      <c r="K715" s="35"/>
      <c r="L715" s="35"/>
      <c r="M715" s="35"/>
      <c r="N715" s="35"/>
    </row>
    <row r="716" spans="9:14" ht="15.75" customHeight="1" x14ac:dyDescent="0.35">
      <c r="I716" s="35"/>
      <c r="J716" s="35"/>
      <c r="K716" s="35"/>
      <c r="L716" s="35"/>
      <c r="M716" s="35"/>
      <c r="N716" s="35"/>
    </row>
    <row r="717" spans="9:14" ht="15.75" customHeight="1" x14ac:dyDescent="0.35">
      <c r="I717" s="35"/>
      <c r="J717" s="35"/>
      <c r="K717" s="35"/>
      <c r="L717" s="35"/>
      <c r="M717" s="35"/>
      <c r="N717" s="35"/>
    </row>
    <row r="718" spans="9:14" ht="15.75" customHeight="1" x14ac:dyDescent="0.35">
      <c r="I718" s="35"/>
      <c r="J718" s="35"/>
      <c r="K718" s="35"/>
      <c r="L718" s="35"/>
      <c r="M718" s="35"/>
      <c r="N718" s="35"/>
    </row>
    <row r="719" spans="9:14" ht="15.75" customHeight="1" x14ac:dyDescent="0.35">
      <c r="I719" s="35"/>
      <c r="J719" s="35"/>
      <c r="K719" s="35"/>
      <c r="L719" s="35"/>
      <c r="M719" s="35"/>
      <c r="N719" s="35"/>
    </row>
    <row r="720" spans="9:14" ht="15.75" customHeight="1" x14ac:dyDescent="0.35">
      <c r="I720" s="35"/>
      <c r="J720" s="35"/>
      <c r="K720" s="35"/>
      <c r="L720" s="35"/>
      <c r="M720" s="35"/>
      <c r="N720" s="35"/>
    </row>
    <row r="721" spans="9:14" ht="15.75" customHeight="1" x14ac:dyDescent="0.35">
      <c r="I721" s="35"/>
      <c r="J721" s="35"/>
      <c r="K721" s="35"/>
      <c r="L721" s="35"/>
      <c r="M721" s="35"/>
      <c r="N721" s="35"/>
    </row>
    <row r="722" spans="9:14" ht="15.75" customHeight="1" x14ac:dyDescent="0.35">
      <c r="I722" s="35"/>
      <c r="J722" s="35"/>
      <c r="K722" s="35"/>
      <c r="L722" s="35"/>
      <c r="M722" s="35"/>
      <c r="N722" s="35"/>
    </row>
    <row r="723" spans="9:14" ht="15.75" customHeight="1" x14ac:dyDescent="0.35">
      <c r="I723" s="35"/>
      <c r="J723" s="35"/>
      <c r="K723" s="35"/>
      <c r="L723" s="35"/>
      <c r="M723" s="35"/>
      <c r="N723" s="35"/>
    </row>
    <row r="724" spans="9:14" ht="15.75" customHeight="1" x14ac:dyDescent="0.35">
      <c r="I724" s="35"/>
      <c r="J724" s="35"/>
      <c r="K724" s="35"/>
      <c r="L724" s="35"/>
      <c r="M724" s="35"/>
      <c r="N724" s="35"/>
    </row>
    <row r="725" spans="9:14" ht="15.75" customHeight="1" x14ac:dyDescent="0.35">
      <c r="I725" s="35"/>
      <c r="J725" s="35"/>
      <c r="K725" s="35"/>
      <c r="L725" s="35"/>
      <c r="M725" s="35"/>
      <c r="N725" s="35"/>
    </row>
    <row r="726" spans="9:14" ht="15.75" customHeight="1" x14ac:dyDescent="0.35">
      <c r="I726" s="35"/>
      <c r="J726" s="35"/>
      <c r="K726" s="35"/>
      <c r="L726" s="35"/>
      <c r="M726" s="35"/>
      <c r="N726" s="35"/>
    </row>
    <row r="727" spans="9:14" ht="15.75" customHeight="1" x14ac:dyDescent="0.35">
      <c r="I727" s="35"/>
      <c r="J727" s="35"/>
      <c r="K727" s="35"/>
      <c r="L727" s="35"/>
      <c r="M727" s="35"/>
      <c r="N727" s="35"/>
    </row>
    <row r="728" spans="9:14" ht="15.75" customHeight="1" x14ac:dyDescent="0.35">
      <c r="I728" s="35"/>
      <c r="J728" s="35"/>
      <c r="K728" s="35"/>
      <c r="L728" s="35"/>
      <c r="M728" s="35"/>
      <c r="N728" s="35"/>
    </row>
    <row r="729" spans="9:14" ht="15.75" customHeight="1" x14ac:dyDescent="0.35">
      <c r="I729" s="35"/>
      <c r="J729" s="35"/>
      <c r="K729" s="35"/>
      <c r="L729" s="35"/>
      <c r="M729" s="35"/>
      <c r="N729" s="35"/>
    </row>
    <row r="730" spans="9:14" ht="15.75" customHeight="1" x14ac:dyDescent="0.35">
      <c r="I730" s="35"/>
      <c r="J730" s="35"/>
      <c r="K730" s="35"/>
      <c r="L730" s="35"/>
      <c r="M730" s="35"/>
      <c r="N730" s="35"/>
    </row>
    <row r="731" spans="9:14" ht="15.75" customHeight="1" x14ac:dyDescent="0.35">
      <c r="I731" s="35"/>
      <c r="J731" s="35"/>
      <c r="K731" s="35"/>
      <c r="L731" s="35"/>
      <c r="M731" s="35"/>
      <c r="N731" s="35"/>
    </row>
    <row r="732" spans="9:14" ht="15.75" customHeight="1" x14ac:dyDescent="0.35">
      <c r="I732" s="35"/>
      <c r="J732" s="35"/>
      <c r="K732" s="35"/>
      <c r="L732" s="35"/>
      <c r="M732" s="35"/>
      <c r="N732" s="35"/>
    </row>
    <row r="733" spans="9:14" ht="15.75" customHeight="1" x14ac:dyDescent="0.35">
      <c r="I733" s="35"/>
      <c r="J733" s="35"/>
      <c r="K733" s="35"/>
      <c r="L733" s="35"/>
      <c r="M733" s="35"/>
      <c r="N733" s="35"/>
    </row>
    <row r="734" spans="9:14" ht="15.75" customHeight="1" x14ac:dyDescent="0.35">
      <c r="I734" s="35"/>
      <c r="J734" s="35"/>
      <c r="K734" s="35"/>
      <c r="L734" s="35"/>
      <c r="M734" s="35"/>
      <c r="N734" s="35"/>
    </row>
    <row r="735" spans="9:14" ht="15.75" customHeight="1" x14ac:dyDescent="0.35">
      <c r="I735" s="35"/>
      <c r="J735" s="35"/>
      <c r="K735" s="35"/>
      <c r="L735" s="35"/>
      <c r="M735" s="35"/>
      <c r="N735" s="35"/>
    </row>
    <row r="736" spans="9:14" ht="15.75" customHeight="1" x14ac:dyDescent="0.35">
      <c r="I736" s="35"/>
      <c r="J736" s="35"/>
      <c r="K736" s="35"/>
      <c r="L736" s="35"/>
      <c r="M736" s="35"/>
      <c r="N736" s="35"/>
    </row>
    <row r="737" spans="9:14" ht="15.75" customHeight="1" x14ac:dyDescent="0.35">
      <c r="I737" s="35"/>
      <c r="J737" s="35"/>
      <c r="K737" s="35"/>
      <c r="L737" s="35"/>
      <c r="M737" s="35"/>
      <c r="N737" s="35"/>
    </row>
    <row r="738" spans="9:14" ht="15.75" customHeight="1" x14ac:dyDescent="0.35">
      <c r="I738" s="35"/>
      <c r="J738" s="35"/>
      <c r="K738" s="35"/>
      <c r="L738" s="35"/>
      <c r="M738" s="35"/>
      <c r="N738" s="35"/>
    </row>
    <row r="739" spans="9:14" ht="15.75" customHeight="1" x14ac:dyDescent="0.35">
      <c r="I739" s="35"/>
      <c r="J739" s="35"/>
      <c r="K739" s="35"/>
      <c r="L739" s="35"/>
      <c r="M739" s="35"/>
      <c r="N739" s="35"/>
    </row>
    <row r="740" spans="9:14" ht="15.75" customHeight="1" x14ac:dyDescent="0.35">
      <c r="I740" s="35"/>
      <c r="J740" s="35"/>
      <c r="K740" s="35"/>
      <c r="L740" s="35"/>
      <c r="M740" s="35"/>
      <c r="N740" s="35"/>
    </row>
    <row r="741" spans="9:14" ht="15.75" customHeight="1" x14ac:dyDescent="0.35">
      <c r="I741" s="35"/>
      <c r="J741" s="35"/>
      <c r="K741" s="35"/>
      <c r="L741" s="35"/>
      <c r="M741" s="35"/>
      <c r="N741" s="35"/>
    </row>
    <row r="742" spans="9:14" ht="15.75" customHeight="1" x14ac:dyDescent="0.35">
      <c r="I742" s="35"/>
      <c r="J742" s="35"/>
      <c r="K742" s="35"/>
      <c r="L742" s="35"/>
      <c r="M742" s="35"/>
      <c r="N742" s="35"/>
    </row>
    <row r="743" spans="9:14" ht="15.75" customHeight="1" x14ac:dyDescent="0.35">
      <c r="I743" s="35"/>
      <c r="J743" s="35"/>
      <c r="K743" s="35"/>
      <c r="L743" s="35"/>
      <c r="M743" s="35"/>
      <c r="N743" s="35"/>
    </row>
    <row r="744" spans="9:14" ht="15.75" customHeight="1" x14ac:dyDescent="0.35">
      <c r="I744" s="35"/>
      <c r="J744" s="35"/>
      <c r="K744" s="35"/>
      <c r="L744" s="35"/>
      <c r="M744" s="35"/>
      <c r="N744" s="35"/>
    </row>
    <row r="745" spans="9:14" ht="15.75" customHeight="1" x14ac:dyDescent="0.35">
      <c r="I745" s="35"/>
      <c r="J745" s="35"/>
      <c r="K745" s="35"/>
      <c r="L745" s="35"/>
      <c r="M745" s="35"/>
      <c r="N745" s="35"/>
    </row>
    <row r="746" spans="9:14" ht="15.75" customHeight="1" x14ac:dyDescent="0.35">
      <c r="I746" s="35"/>
      <c r="J746" s="35"/>
      <c r="K746" s="35"/>
      <c r="L746" s="35"/>
      <c r="M746" s="35"/>
      <c r="N746" s="35"/>
    </row>
    <row r="747" spans="9:14" ht="15.75" customHeight="1" x14ac:dyDescent="0.35">
      <c r="I747" s="35"/>
      <c r="J747" s="35"/>
      <c r="K747" s="35"/>
      <c r="L747" s="35"/>
      <c r="M747" s="35"/>
      <c r="N747" s="35"/>
    </row>
    <row r="748" spans="9:14" ht="15.75" customHeight="1" x14ac:dyDescent="0.35">
      <c r="I748" s="35"/>
      <c r="J748" s="35"/>
      <c r="K748" s="35"/>
      <c r="L748" s="35"/>
      <c r="M748" s="35"/>
      <c r="N748" s="35"/>
    </row>
    <row r="749" spans="9:14" ht="15.75" customHeight="1" x14ac:dyDescent="0.35">
      <c r="I749" s="35"/>
      <c r="J749" s="35"/>
      <c r="K749" s="35"/>
      <c r="L749" s="35"/>
      <c r="M749" s="35"/>
      <c r="N749" s="35"/>
    </row>
    <row r="750" spans="9:14" ht="15.75" customHeight="1" x14ac:dyDescent="0.35">
      <c r="I750" s="35"/>
      <c r="J750" s="35"/>
      <c r="K750" s="35"/>
      <c r="L750" s="35"/>
      <c r="M750" s="35"/>
      <c r="N750" s="35"/>
    </row>
    <row r="751" spans="9:14" ht="15.75" customHeight="1" x14ac:dyDescent="0.35">
      <c r="I751" s="35"/>
      <c r="J751" s="35"/>
      <c r="K751" s="35"/>
      <c r="L751" s="35"/>
      <c r="M751" s="35"/>
      <c r="N751" s="35"/>
    </row>
    <row r="752" spans="9:14" ht="15.75" customHeight="1" x14ac:dyDescent="0.35">
      <c r="I752" s="35"/>
      <c r="J752" s="35"/>
      <c r="K752" s="35"/>
      <c r="L752" s="35"/>
      <c r="M752" s="35"/>
      <c r="N752" s="35"/>
    </row>
    <row r="753" spans="9:14" ht="15.75" customHeight="1" x14ac:dyDescent="0.35">
      <c r="I753" s="35"/>
      <c r="J753" s="35"/>
      <c r="K753" s="35"/>
      <c r="L753" s="35"/>
      <c r="M753" s="35"/>
      <c r="N753" s="35"/>
    </row>
    <row r="754" spans="9:14" ht="15.75" customHeight="1" x14ac:dyDescent="0.35">
      <c r="I754" s="35"/>
      <c r="J754" s="35"/>
      <c r="K754" s="35"/>
      <c r="L754" s="35"/>
      <c r="M754" s="35"/>
      <c r="N754" s="35"/>
    </row>
    <row r="755" spans="9:14" ht="15.75" customHeight="1" x14ac:dyDescent="0.35">
      <c r="I755" s="35"/>
      <c r="J755" s="35"/>
      <c r="K755" s="35"/>
      <c r="L755" s="35"/>
      <c r="M755" s="35"/>
      <c r="N755" s="35"/>
    </row>
    <row r="756" spans="9:14" ht="15.75" customHeight="1" x14ac:dyDescent="0.35">
      <c r="I756" s="35"/>
      <c r="J756" s="35"/>
      <c r="K756" s="35"/>
      <c r="L756" s="35"/>
      <c r="M756" s="35"/>
      <c r="N756" s="35"/>
    </row>
    <row r="757" spans="9:14" ht="15.75" customHeight="1" x14ac:dyDescent="0.35">
      <c r="I757" s="35"/>
      <c r="J757" s="35"/>
      <c r="K757" s="35"/>
      <c r="L757" s="35"/>
      <c r="M757" s="35"/>
      <c r="N757" s="35"/>
    </row>
    <row r="758" spans="9:14" ht="15.75" customHeight="1" x14ac:dyDescent="0.35">
      <c r="I758" s="35"/>
      <c r="J758" s="35"/>
      <c r="K758" s="35"/>
      <c r="L758" s="35"/>
      <c r="M758" s="35"/>
      <c r="N758" s="35"/>
    </row>
    <row r="759" spans="9:14" ht="15.75" customHeight="1" x14ac:dyDescent="0.35">
      <c r="I759" s="35"/>
      <c r="J759" s="35"/>
      <c r="K759" s="35"/>
      <c r="L759" s="35"/>
      <c r="M759" s="35"/>
      <c r="N759" s="35"/>
    </row>
    <row r="760" spans="9:14" ht="15.75" customHeight="1" x14ac:dyDescent="0.35">
      <c r="I760" s="35"/>
      <c r="J760" s="35"/>
      <c r="K760" s="35"/>
      <c r="L760" s="35"/>
      <c r="M760" s="35"/>
      <c r="N760" s="35"/>
    </row>
    <row r="761" spans="9:14" ht="15.75" customHeight="1" x14ac:dyDescent="0.35">
      <c r="I761" s="35"/>
      <c r="J761" s="35"/>
      <c r="K761" s="35"/>
      <c r="L761" s="35"/>
      <c r="M761" s="35"/>
      <c r="N761" s="35"/>
    </row>
    <row r="762" spans="9:14" ht="15.75" customHeight="1" x14ac:dyDescent="0.35">
      <c r="I762" s="35"/>
      <c r="J762" s="35"/>
      <c r="K762" s="35"/>
      <c r="L762" s="35"/>
      <c r="M762" s="35"/>
      <c r="N762" s="35"/>
    </row>
    <row r="763" spans="9:14" ht="15.75" customHeight="1" x14ac:dyDescent="0.35">
      <c r="I763" s="35"/>
      <c r="J763" s="35"/>
      <c r="K763" s="35"/>
      <c r="L763" s="35"/>
      <c r="M763" s="35"/>
      <c r="N763" s="35"/>
    </row>
    <row r="764" spans="9:14" ht="15.75" customHeight="1" x14ac:dyDescent="0.35">
      <c r="I764" s="35"/>
      <c r="J764" s="35"/>
      <c r="K764" s="35"/>
      <c r="L764" s="35"/>
      <c r="M764" s="35"/>
      <c r="N764" s="35"/>
    </row>
    <row r="765" spans="9:14" ht="15.75" customHeight="1" x14ac:dyDescent="0.35">
      <c r="I765" s="35"/>
      <c r="J765" s="35"/>
      <c r="K765" s="35"/>
      <c r="L765" s="35"/>
      <c r="M765" s="35"/>
      <c r="N765" s="35"/>
    </row>
    <row r="766" spans="9:14" ht="15.75" customHeight="1" x14ac:dyDescent="0.35">
      <c r="I766" s="35"/>
      <c r="J766" s="35"/>
      <c r="K766" s="35"/>
      <c r="L766" s="35"/>
      <c r="M766" s="35"/>
      <c r="N766" s="35"/>
    </row>
    <row r="767" spans="9:14" ht="15.75" customHeight="1" x14ac:dyDescent="0.35">
      <c r="I767" s="35"/>
      <c r="J767" s="35"/>
      <c r="K767" s="35"/>
      <c r="L767" s="35"/>
      <c r="M767" s="35"/>
      <c r="N767" s="35"/>
    </row>
    <row r="768" spans="9:14" ht="15.75" customHeight="1" x14ac:dyDescent="0.35">
      <c r="I768" s="35"/>
      <c r="J768" s="35"/>
      <c r="K768" s="35"/>
      <c r="L768" s="35"/>
      <c r="M768" s="35"/>
      <c r="N768" s="35"/>
    </row>
    <row r="769" spans="9:14" ht="15.75" customHeight="1" x14ac:dyDescent="0.35">
      <c r="I769" s="35"/>
      <c r="J769" s="35"/>
      <c r="K769" s="35"/>
      <c r="L769" s="35"/>
      <c r="M769" s="35"/>
      <c r="N769" s="35"/>
    </row>
    <row r="770" spans="9:14" ht="15.75" customHeight="1" x14ac:dyDescent="0.35">
      <c r="I770" s="35"/>
      <c r="J770" s="35"/>
      <c r="K770" s="35"/>
      <c r="L770" s="35"/>
      <c r="M770" s="35"/>
      <c r="N770" s="35"/>
    </row>
    <row r="771" spans="9:14" ht="15.75" customHeight="1" x14ac:dyDescent="0.35">
      <c r="I771" s="35"/>
      <c r="J771" s="35"/>
      <c r="K771" s="35"/>
      <c r="L771" s="35"/>
      <c r="M771" s="35"/>
      <c r="N771" s="35"/>
    </row>
    <row r="772" spans="9:14" ht="15.75" customHeight="1" x14ac:dyDescent="0.35">
      <c r="I772" s="35"/>
      <c r="J772" s="35"/>
      <c r="K772" s="35"/>
      <c r="L772" s="35"/>
      <c r="M772" s="35"/>
      <c r="N772" s="35"/>
    </row>
    <row r="773" spans="9:14" ht="15.75" customHeight="1" x14ac:dyDescent="0.35">
      <c r="I773" s="35"/>
      <c r="J773" s="35"/>
      <c r="K773" s="35"/>
      <c r="L773" s="35"/>
      <c r="M773" s="35"/>
      <c r="N773" s="35"/>
    </row>
    <row r="774" spans="9:14" ht="15.75" customHeight="1" x14ac:dyDescent="0.35">
      <c r="I774" s="35"/>
      <c r="J774" s="35"/>
      <c r="K774" s="35"/>
      <c r="L774" s="35"/>
      <c r="M774" s="35"/>
      <c r="N774" s="35"/>
    </row>
    <row r="775" spans="9:14" ht="15.75" customHeight="1" x14ac:dyDescent="0.35">
      <c r="I775" s="35"/>
      <c r="J775" s="35"/>
      <c r="K775" s="35"/>
      <c r="L775" s="35"/>
      <c r="M775" s="35"/>
      <c r="N775" s="35"/>
    </row>
    <row r="776" spans="9:14" ht="15.75" customHeight="1" x14ac:dyDescent="0.35">
      <c r="I776" s="35"/>
      <c r="J776" s="35"/>
      <c r="K776" s="35"/>
      <c r="L776" s="35"/>
      <c r="M776" s="35"/>
      <c r="N776" s="35"/>
    </row>
    <row r="777" spans="9:14" ht="15.75" customHeight="1" x14ac:dyDescent="0.35">
      <c r="I777" s="35"/>
      <c r="J777" s="35"/>
      <c r="K777" s="35"/>
      <c r="L777" s="35"/>
      <c r="M777" s="35"/>
      <c r="N777" s="35"/>
    </row>
    <row r="778" spans="9:14" ht="15.75" customHeight="1" x14ac:dyDescent="0.35">
      <c r="I778" s="35"/>
      <c r="J778" s="35"/>
      <c r="K778" s="35"/>
      <c r="L778" s="35"/>
      <c r="M778" s="35"/>
      <c r="N778" s="35"/>
    </row>
    <row r="779" spans="9:14" ht="15.75" customHeight="1" x14ac:dyDescent="0.35">
      <c r="I779" s="35"/>
      <c r="J779" s="35"/>
      <c r="K779" s="35"/>
      <c r="L779" s="35"/>
      <c r="M779" s="35"/>
      <c r="N779" s="35"/>
    </row>
    <row r="780" spans="9:14" ht="15.75" customHeight="1" x14ac:dyDescent="0.35">
      <c r="I780" s="35"/>
      <c r="J780" s="35"/>
      <c r="K780" s="35"/>
      <c r="L780" s="35"/>
      <c r="M780" s="35"/>
      <c r="N780" s="35"/>
    </row>
    <row r="781" spans="9:14" ht="15.75" customHeight="1" x14ac:dyDescent="0.35">
      <c r="I781" s="35"/>
      <c r="J781" s="35"/>
      <c r="K781" s="35"/>
      <c r="L781" s="35"/>
      <c r="M781" s="35"/>
      <c r="N781" s="35"/>
    </row>
    <row r="782" spans="9:14" ht="15.75" customHeight="1" x14ac:dyDescent="0.35">
      <c r="I782" s="35"/>
      <c r="J782" s="35"/>
      <c r="K782" s="35"/>
      <c r="L782" s="35"/>
      <c r="M782" s="35"/>
      <c r="N782" s="35"/>
    </row>
    <row r="783" spans="9:14" ht="15.75" customHeight="1" x14ac:dyDescent="0.35">
      <c r="I783" s="35"/>
      <c r="J783" s="35"/>
      <c r="K783" s="35"/>
      <c r="L783" s="35"/>
      <c r="M783" s="35"/>
      <c r="N783" s="35"/>
    </row>
    <row r="784" spans="9:14" ht="15.75" customHeight="1" x14ac:dyDescent="0.35">
      <c r="I784" s="35"/>
      <c r="J784" s="35"/>
      <c r="K784" s="35"/>
      <c r="L784" s="35"/>
      <c r="M784" s="35"/>
      <c r="N784" s="35"/>
    </row>
    <row r="785" spans="9:14" ht="15.75" customHeight="1" x14ac:dyDescent="0.35">
      <c r="I785" s="35"/>
      <c r="J785" s="35"/>
      <c r="K785" s="35"/>
      <c r="L785" s="35"/>
      <c r="M785" s="35"/>
      <c r="N785" s="35"/>
    </row>
    <row r="786" spans="9:14" ht="15.75" customHeight="1" x14ac:dyDescent="0.35">
      <c r="I786" s="35"/>
      <c r="J786" s="35"/>
      <c r="K786" s="35"/>
      <c r="L786" s="35"/>
      <c r="M786" s="35"/>
      <c r="N786" s="35"/>
    </row>
    <row r="787" spans="9:14" ht="15.75" customHeight="1" x14ac:dyDescent="0.35">
      <c r="I787" s="35"/>
      <c r="J787" s="35"/>
      <c r="K787" s="35"/>
      <c r="L787" s="35"/>
      <c r="M787" s="35"/>
      <c r="N787" s="35"/>
    </row>
    <row r="788" spans="9:14" ht="15.75" customHeight="1" x14ac:dyDescent="0.35">
      <c r="I788" s="35"/>
      <c r="J788" s="35"/>
      <c r="K788" s="35"/>
      <c r="L788" s="35"/>
      <c r="M788" s="35"/>
      <c r="N788" s="35"/>
    </row>
    <row r="789" spans="9:14" ht="15.75" customHeight="1" x14ac:dyDescent="0.35">
      <c r="I789" s="35"/>
      <c r="J789" s="35"/>
      <c r="K789" s="35"/>
      <c r="L789" s="35"/>
      <c r="M789" s="35"/>
      <c r="N789" s="35"/>
    </row>
    <row r="790" spans="9:14" ht="15.75" customHeight="1" x14ac:dyDescent="0.35">
      <c r="I790" s="35"/>
      <c r="J790" s="35"/>
      <c r="K790" s="35"/>
      <c r="L790" s="35"/>
      <c r="M790" s="35"/>
      <c r="N790" s="35"/>
    </row>
    <row r="791" spans="9:14" ht="15.75" customHeight="1" x14ac:dyDescent="0.35">
      <c r="I791" s="35"/>
      <c r="J791" s="35"/>
      <c r="K791" s="35"/>
      <c r="L791" s="35"/>
      <c r="M791" s="35"/>
      <c r="N791" s="35"/>
    </row>
    <row r="792" spans="9:14" ht="15.75" customHeight="1" x14ac:dyDescent="0.35">
      <c r="I792" s="35"/>
      <c r="J792" s="35"/>
      <c r="K792" s="35"/>
      <c r="L792" s="35"/>
      <c r="M792" s="35"/>
      <c r="N792" s="35"/>
    </row>
    <row r="793" spans="9:14" ht="15.75" customHeight="1" x14ac:dyDescent="0.35">
      <c r="I793" s="35"/>
      <c r="J793" s="35"/>
      <c r="K793" s="35"/>
      <c r="L793" s="35"/>
      <c r="M793" s="35"/>
      <c r="N793" s="35"/>
    </row>
    <row r="794" spans="9:14" ht="15.75" customHeight="1" x14ac:dyDescent="0.35">
      <c r="I794" s="35"/>
      <c r="J794" s="35"/>
      <c r="K794" s="35"/>
      <c r="L794" s="35"/>
      <c r="M794" s="35"/>
      <c r="N794" s="35"/>
    </row>
    <row r="795" spans="9:14" ht="15.75" customHeight="1" x14ac:dyDescent="0.35">
      <c r="I795" s="35"/>
      <c r="J795" s="35"/>
      <c r="K795" s="35"/>
      <c r="L795" s="35"/>
      <c r="M795" s="35"/>
      <c r="N795" s="35"/>
    </row>
    <row r="796" spans="9:14" ht="15.75" customHeight="1" x14ac:dyDescent="0.35">
      <c r="I796" s="35"/>
      <c r="J796" s="35"/>
      <c r="K796" s="35"/>
      <c r="L796" s="35"/>
      <c r="M796" s="35"/>
      <c r="N796" s="35"/>
    </row>
    <row r="797" spans="9:14" ht="15.75" customHeight="1" x14ac:dyDescent="0.35">
      <c r="I797" s="35"/>
      <c r="J797" s="35"/>
      <c r="K797" s="35"/>
      <c r="L797" s="35"/>
      <c r="M797" s="35"/>
      <c r="N797" s="35"/>
    </row>
    <row r="798" spans="9:14" ht="15.75" customHeight="1" x14ac:dyDescent="0.35">
      <c r="I798" s="35"/>
      <c r="J798" s="35"/>
      <c r="K798" s="35"/>
      <c r="L798" s="35"/>
      <c r="M798" s="35"/>
      <c r="N798" s="35"/>
    </row>
    <row r="799" spans="9:14" ht="15.75" customHeight="1" x14ac:dyDescent="0.35">
      <c r="I799" s="35"/>
      <c r="J799" s="35"/>
      <c r="K799" s="35"/>
      <c r="L799" s="35"/>
      <c r="M799" s="35"/>
      <c r="N799" s="35"/>
    </row>
    <row r="800" spans="9:14" ht="15.75" customHeight="1" x14ac:dyDescent="0.35">
      <c r="I800" s="35"/>
      <c r="J800" s="35"/>
      <c r="K800" s="35"/>
      <c r="L800" s="35"/>
      <c r="M800" s="35"/>
      <c r="N800" s="35"/>
    </row>
    <row r="801" spans="9:14" ht="15.75" customHeight="1" x14ac:dyDescent="0.35">
      <c r="I801" s="35"/>
      <c r="J801" s="35"/>
      <c r="K801" s="35"/>
      <c r="L801" s="35"/>
      <c r="M801" s="35"/>
      <c r="N801" s="35"/>
    </row>
    <row r="802" spans="9:14" ht="15.75" customHeight="1" x14ac:dyDescent="0.35">
      <c r="I802" s="35"/>
      <c r="J802" s="35"/>
      <c r="K802" s="35"/>
      <c r="L802" s="35"/>
      <c r="M802" s="35"/>
      <c r="N802" s="35"/>
    </row>
    <row r="803" spans="9:14" ht="15.75" customHeight="1" x14ac:dyDescent="0.35">
      <c r="I803" s="35"/>
      <c r="J803" s="35"/>
      <c r="K803" s="35"/>
      <c r="L803" s="35"/>
      <c r="M803" s="35"/>
      <c r="N803" s="35"/>
    </row>
    <row r="804" spans="9:14" ht="15.75" customHeight="1" x14ac:dyDescent="0.35">
      <c r="I804" s="35"/>
      <c r="J804" s="35"/>
      <c r="K804" s="35"/>
      <c r="L804" s="35"/>
      <c r="M804" s="35"/>
      <c r="N804" s="35"/>
    </row>
    <row r="805" spans="9:14" ht="15.75" customHeight="1" x14ac:dyDescent="0.35">
      <c r="I805" s="35"/>
      <c r="J805" s="35"/>
      <c r="K805" s="35"/>
      <c r="L805" s="35"/>
      <c r="M805" s="35"/>
      <c r="N805" s="35"/>
    </row>
    <row r="806" spans="9:14" ht="15.75" customHeight="1" x14ac:dyDescent="0.35">
      <c r="I806" s="35"/>
      <c r="J806" s="35"/>
      <c r="K806" s="35"/>
      <c r="L806" s="35"/>
      <c r="M806" s="35"/>
      <c r="N806" s="35"/>
    </row>
    <row r="807" spans="9:14" ht="15.75" customHeight="1" x14ac:dyDescent="0.35">
      <c r="I807" s="35"/>
      <c r="J807" s="35"/>
      <c r="K807" s="35"/>
      <c r="L807" s="35"/>
      <c r="M807" s="35"/>
      <c r="N807" s="35"/>
    </row>
    <row r="808" spans="9:14" ht="15.75" customHeight="1" x14ac:dyDescent="0.35">
      <c r="I808" s="35"/>
      <c r="J808" s="35"/>
      <c r="K808" s="35"/>
      <c r="L808" s="35"/>
      <c r="M808" s="35"/>
      <c r="N808" s="35"/>
    </row>
    <row r="809" spans="9:14" ht="15.75" customHeight="1" x14ac:dyDescent="0.35">
      <c r="I809" s="35"/>
      <c r="J809" s="35"/>
      <c r="K809" s="35"/>
      <c r="L809" s="35"/>
      <c r="M809" s="35"/>
      <c r="N809" s="35"/>
    </row>
    <row r="810" spans="9:14" ht="15.75" customHeight="1" x14ac:dyDescent="0.35">
      <c r="I810" s="35"/>
      <c r="J810" s="35"/>
      <c r="K810" s="35"/>
      <c r="L810" s="35"/>
      <c r="M810" s="35"/>
      <c r="N810" s="35"/>
    </row>
    <row r="811" spans="9:14" ht="15.75" customHeight="1" x14ac:dyDescent="0.35">
      <c r="I811" s="35"/>
      <c r="J811" s="35"/>
      <c r="K811" s="35"/>
      <c r="L811" s="35"/>
      <c r="M811" s="35"/>
      <c r="N811" s="35"/>
    </row>
    <row r="812" spans="9:14" ht="15.75" customHeight="1" x14ac:dyDescent="0.35">
      <c r="I812" s="35"/>
      <c r="J812" s="35"/>
      <c r="K812" s="35"/>
      <c r="L812" s="35"/>
      <c r="M812" s="35"/>
      <c r="N812" s="35"/>
    </row>
    <row r="813" spans="9:14" ht="15.75" customHeight="1" x14ac:dyDescent="0.35">
      <c r="I813" s="35"/>
      <c r="J813" s="35"/>
      <c r="K813" s="35"/>
      <c r="L813" s="35"/>
      <c r="M813" s="35"/>
      <c r="N813" s="35"/>
    </row>
    <row r="814" spans="9:14" ht="15.75" customHeight="1" x14ac:dyDescent="0.35">
      <c r="I814" s="35"/>
      <c r="J814" s="35"/>
      <c r="K814" s="35"/>
      <c r="L814" s="35"/>
      <c r="M814" s="35"/>
      <c r="N814" s="35"/>
    </row>
    <row r="815" spans="9:14" ht="15.75" customHeight="1" x14ac:dyDescent="0.35">
      <c r="I815" s="35"/>
      <c r="J815" s="35"/>
      <c r="K815" s="35"/>
      <c r="L815" s="35"/>
      <c r="M815" s="35"/>
      <c r="N815" s="35"/>
    </row>
    <row r="816" spans="9:14" ht="15.75" customHeight="1" x14ac:dyDescent="0.35">
      <c r="I816" s="35"/>
      <c r="J816" s="35"/>
      <c r="K816" s="35"/>
      <c r="L816" s="35"/>
      <c r="M816" s="35"/>
      <c r="N816" s="35"/>
    </row>
    <row r="817" spans="9:14" ht="15.75" customHeight="1" x14ac:dyDescent="0.35">
      <c r="I817" s="35"/>
      <c r="J817" s="35"/>
      <c r="K817" s="35"/>
      <c r="L817" s="35"/>
      <c r="M817" s="35"/>
      <c r="N817" s="35"/>
    </row>
    <row r="818" spans="9:14" ht="15.75" customHeight="1" x14ac:dyDescent="0.35">
      <c r="I818" s="35"/>
      <c r="J818" s="35"/>
      <c r="K818" s="35"/>
      <c r="L818" s="35"/>
      <c r="M818" s="35"/>
      <c r="N818" s="35"/>
    </row>
    <row r="819" spans="9:14" ht="15.75" customHeight="1" x14ac:dyDescent="0.35">
      <c r="I819" s="35"/>
      <c r="J819" s="35"/>
      <c r="K819" s="35"/>
      <c r="L819" s="35"/>
      <c r="M819" s="35"/>
      <c r="N819" s="35"/>
    </row>
    <row r="820" spans="9:14" ht="15.75" customHeight="1" x14ac:dyDescent="0.35">
      <c r="I820" s="35"/>
      <c r="J820" s="35"/>
      <c r="K820" s="35"/>
      <c r="L820" s="35"/>
      <c r="M820" s="35"/>
      <c r="N820" s="35"/>
    </row>
    <row r="821" spans="9:14" ht="15.75" customHeight="1" x14ac:dyDescent="0.35">
      <c r="I821" s="35"/>
      <c r="J821" s="35"/>
      <c r="K821" s="35"/>
      <c r="L821" s="35"/>
      <c r="M821" s="35"/>
      <c r="N821" s="35"/>
    </row>
    <row r="822" spans="9:14" ht="15.75" customHeight="1" x14ac:dyDescent="0.35">
      <c r="I822" s="35"/>
      <c r="J822" s="35"/>
      <c r="K822" s="35"/>
      <c r="L822" s="35"/>
      <c r="M822" s="35"/>
      <c r="N822" s="35"/>
    </row>
    <row r="823" spans="9:14" ht="15.75" customHeight="1" x14ac:dyDescent="0.35">
      <c r="I823" s="35"/>
      <c r="J823" s="35"/>
      <c r="K823" s="35"/>
      <c r="L823" s="35"/>
      <c r="M823" s="35"/>
      <c r="N823" s="35"/>
    </row>
    <row r="824" spans="9:14" ht="15.75" customHeight="1" x14ac:dyDescent="0.35">
      <c r="I824" s="35"/>
      <c r="J824" s="35"/>
      <c r="K824" s="35"/>
      <c r="L824" s="35"/>
      <c r="M824" s="35"/>
      <c r="N824" s="35"/>
    </row>
    <row r="825" spans="9:14" ht="15.75" customHeight="1" x14ac:dyDescent="0.35">
      <c r="I825" s="35"/>
      <c r="J825" s="35"/>
      <c r="K825" s="35"/>
      <c r="L825" s="35"/>
      <c r="M825" s="35"/>
      <c r="N825" s="35"/>
    </row>
    <row r="826" spans="9:14" ht="15.75" customHeight="1" x14ac:dyDescent="0.35">
      <c r="I826" s="35"/>
      <c r="J826" s="35"/>
      <c r="K826" s="35"/>
      <c r="L826" s="35"/>
      <c r="M826" s="35"/>
      <c r="N826" s="35"/>
    </row>
    <row r="827" spans="9:14" ht="15.75" customHeight="1" x14ac:dyDescent="0.35">
      <c r="I827" s="35"/>
      <c r="J827" s="35"/>
      <c r="K827" s="35"/>
      <c r="L827" s="35"/>
      <c r="M827" s="35"/>
      <c r="N827" s="35"/>
    </row>
    <row r="828" spans="9:14" ht="15.75" customHeight="1" x14ac:dyDescent="0.35">
      <c r="I828" s="35"/>
      <c r="J828" s="35"/>
      <c r="K828" s="35"/>
      <c r="L828" s="35"/>
      <c r="M828" s="35"/>
      <c r="N828" s="35"/>
    </row>
    <row r="829" spans="9:14" ht="15.75" customHeight="1" x14ac:dyDescent="0.35">
      <c r="I829" s="35"/>
      <c r="J829" s="35"/>
      <c r="K829" s="35"/>
      <c r="L829" s="35"/>
      <c r="M829" s="35"/>
      <c r="N829" s="35"/>
    </row>
    <row r="830" spans="9:14" ht="15.75" customHeight="1" x14ac:dyDescent="0.35">
      <c r="I830" s="35"/>
      <c r="J830" s="35"/>
      <c r="K830" s="35"/>
      <c r="L830" s="35"/>
      <c r="M830" s="35"/>
      <c r="N830" s="35"/>
    </row>
    <row r="831" spans="9:14" ht="15.75" customHeight="1" x14ac:dyDescent="0.35">
      <c r="I831" s="35"/>
      <c r="J831" s="35"/>
      <c r="K831" s="35"/>
      <c r="L831" s="35"/>
      <c r="M831" s="35"/>
      <c r="N831" s="35"/>
    </row>
    <row r="832" spans="9:14" ht="15.75" customHeight="1" x14ac:dyDescent="0.35">
      <c r="I832" s="35"/>
      <c r="J832" s="35"/>
      <c r="K832" s="35"/>
      <c r="L832" s="35"/>
      <c r="M832" s="35"/>
      <c r="N832" s="35"/>
    </row>
    <row r="833" spans="9:14" ht="15.75" customHeight="1" x14ac:dyDescent="0.35">
      <c r="I833" s="35"/>
      <c r="J833" s="35"/>
      <c r="K833" s="35"/>
      <c r="L833" s="35"/>
      <c r="M833" s="35"/>
      <c r="N833" s="35"/>
    </row>
    <row r="834" spans="9:14" ht="15.75" customHeight="1" x14ac:dyDescent="0.35">
      <c r="I834" s="35"/>
      <c r="J834" s="35"/>
      <c r="K834" s="35"/>
      <c r="L834" s="35"/>
      <c r="M834" s="35"/>
      <c r="N834" s="35"/>
    </row>
    <row r="835" spans="9:14" ht="15.75" customHeight="1" x14ac:dyDescent="0.35">
      <c r="I835" s="35"/>
      <c r="J835" s="35"/>
      <c r="K835" s="35"/>
      <c r="L835" s="35"/>
      <c r="M835" s="35"/>
      <c r="N835" s="35"/>
    </row>
    <row r="836" spans="9:14" ht="15.75" customHeight="1" x14ac:dyDescent="0.35">
      <c r="I836" s="35"/>
      <c r="J836" s="35"/>
      <c r="K836" s="35"/>
      <c r="L836" s="35"/>
      <c r="M836" s="35"/>
      <c r="N836" s="35"/>
    </row>
    <row r="837" spans="9:14" ht="15.75" customHeight="1" x14ac:dyDescent="0.35">
      <c r="I837" s="35"/>
      <c r="J837" s="35"/>
      <c r="K837" s="35"/>
      <c r="L837" s="35"/>
      <c r="M837" s="35"/>
      <c r="N837" s="35"/>
    </row>
    <row r="838" spans="9:14" ht="15.75" customHeight="1" x14ac:dyDescent="0.35">
      <c r="I838" s="35"/>
      <c r="J838" s="35"/>
      <c r="K838" s="35"/>
      <c r="L838" s="35"/>
      <c r="M838" s="35"/>
      <c r="N838" s="35"/>
    </row>
    <row r="839" spans="9:14" ht="15.75" customHeight="1" x14ac:dyDescent="0.35">
      <c r="I839" s="35"/>
      <c r="J839" s="35"/>
      <c r="K839" s="35"/>
      <c r="L839" s="35"/>
      <c r="M839" s="35"/>
      <c r="N839" s="35"/>
    </row>
    <row r="840" spans="9:14" ht="15.75" customHeight="1" x14ac:dyDescent="0.35">
      <c r="I840" s="35"/>
      <c r="J840" s="35"/>
      <c r="K840" s="35"/>
      <c r="L840" s="35"/>
      <c r="M840" s="35"/>
      <c r="N840" s="35"/>
    </row>
    <row r="841" spans="9:14" ht="15.75" customHeight="1" x14ac:dyDescent="0.35">
      <c r="I841" s="35"/>
      <c r="J841" s="35"/>
      <c r="K841" s="35"/>
      <c r="L841" s="35"/>
      <c r="M841" s="35"/>
      <c r="N841" s="35"/>
    </row>
    <row r="842" spans="9:14" ht="15.75" customHeight="1" x14ac:dyDescent="0.35">
      <c r="I842" s="35"/>
      <c r="J842" s="35"/>
      <c r="K842" s="35"/>
      <c r="L842" s="35"/>
      <c r="M842" s="35"/>
      <c r="N842" s="35"/>
    </row>
    <row r="843" spans="9:14" ht="15.75" customHeight="1" x14ac:dyDescent="0.35">
      <c r="I843" s="35"/>
      <c r="J843" s="35"/>
      <c r="K843" s="35"/>
      <c r="L843" s="35"/>
      <c r="M843" s="35"/>
      <c r="N843" s="35"/>
    </row>
    <row r="844" spans="9:14" ht="15.75" customHeight="1" x14ac:dyDescent="0.35">
      <c r="I844" s="35"/>
      <c r="J844" s="35"/>
      <c r="K844" s="35"/>
      <c r="L844" s="35"/>
      <c r="M844" s="35"/>
      <c r="N844" s="35"/>
    </row>
    <row r="845" spans="9:14" ht="15.75" customHeight="1" x14ac:dyDescent="0.35">
      <c r="I845" s="35"/>
      <c r="J845" s="35"/>
      <c r="K845" s="35"/>
      <c r="L845" s="35"/>
      <c r="M845" s="35"/>
      <c r="N845" s="35"/>
    </row>
    <row r="846" spans="9:14" ht="15.75" customHeight="1" x14ac:dyDescent="0.35">
      <c r="I846" s="35"/>
      <c r="J846" s="35"/>
      <c r="K846" s="35"/>
      <c r="L846" s="35"/>
      <c r="M846" s="35"/>
      <c r="N846" s="35"/>
    </row>
    <row r="847" spans="9:14" ht="15.75" customHeight="1" x14ac:dyDescent="0.35">
      <c r="I847" s="35"/>
      <c r="J847" s="35"/>
      <c r="K847" s="35"/>
      <c r="L847" s="35"/>
      <c r="M847" s="35"/>
      <c r="N847" s="35"/>
    </row>
    <row r="848" spans="9:14" ht="15.75" customHeight="1" x14ac:dyDescent="0.35">
      <c r="I848" s="35"/>
      <c r="J848" s="35"/>
      <c r="K848" s="35"/>
      <c r="L848" s="35"/>
      <c r="M848" s="35"/>
      <c r="N848" s="35"/>
    </row>
    <row r="849" spans="9:14" ht="15.75" customHeight="1" x14ac:dyDescent="0.35">
      <c r="I849" s="35"/>
      <c r="J849" s="35"/>
      <c r="K849" s="35"/>
      <c r="L849" s="35"/>
      <c r="M849" s="35"/>
      <c r="N849" s="35"/>
    </row>
    <row r="850" spans="9:14" ht="15.75" customHeight="1" x14ac:dyDescent="0.35">
      <c r="I850" s="35"/>
      <c r="J850" s="35"/>
      <c r="K850" s="35"/>
      <c r="L850" s="35"/>
      <c r="M850" s="35"/>
      <c r="N850" s="35"/>
    </row>
    <row r="851" spans="9:14" ht="15.75" customHeight="1" x14ac:dyDescent="0.35">
      <c r="I851" s="35"/>
      <c r="J851" s="35"/>
      <c r="K851" s="35"/>
      <c r="L851" s="35"/>
      <c r="M851" s="35"/>
      <c r="N851" s="35"/>
    </row>
    <row r="852" spans="9:14" ht="15.75" customHeight="1" x14ac:dyDescent="0.35">
      <c r="I852" s="35"/>
      <c r="J852" s="35"/>
      <c r="K852" s="35"/>
      <c r="L852" s="35"/>
      <c r="M852" s="35"/>
      <c r="N852" s="35"/>
    </row>
    <row r="853" spans="9:14" ht="15.75" customHeight="1" x14ac:dyDescent="0.35">
      <c r="I853" s="35"/>
      <c r="J853" s="35"/>
      <c r="K853" s="35"/>
      <c r="L853" s="35"/>
      <c r="M853" s="35"/>
      <c r="N853" s="35"/>
    </row>
    <row r="854" spans="9:14" ht="15.75" customHeight="1" x14ac:dyDescent="0.35">
      <c r="I854" s="35"/>
      <c r="J854" s="35"/>
      <c r="K854" s="35"/>
      <c r="L854" s="35"/>
      <c r="M854" s="35"/>
      <c r="N854" s="35"/>
    </row>
    <row r="855" spans="9:14" ht="15.75" customHeight="1" x14ac:dyDescent="0.35">
      <c r="I855" s="35"/>
      <c r="J855" s="35"/>
      <c r="K855" s="35"/>
      <c r="L855" s="35"/>
      <c r="M855" s="35"/>
      <c r="N855" s="35"/>
    </row>
    <row r="856" spans="9:14" ht="15.75" customHeight="1" x14ac:dyDescent="0.35">
      <c r="I856" s="35"/>
      <c r="J856" s="35"/>
      <c r="K856" s="35"/>
      <c r="L856" s="35"/>
      <c r="M856" s="35"/>
      <c r="N856" s="35"/>
    </row>
    <row r="857" spans="9:14" ht="15.75" customHeight="1" x14ac:dyDescent="0.35">
      <c r="I857" s="35"/>
      <c r="J857" s="35"/>
      <c r="K857" s="35"/>
      <c r="L857" s="35"/>
      <c r="M857" s="35"/>
      <c r="N857" s="35"/>
    </row>
    <row r="858" spans="9:14" ht="15.75" customHeight="1" x14ac:dyDescent="0.35">
      <c r="I858" s="35"/>
      <c r="J858" s="35"/>
      <c r="K858" s="35"/>
      <c r="L858" s="35"/>
      <c r="M858" s="35"/>
      <c r="N858" s="35"/>
    </row>
    <row r="859" spans="9:14" ht="15.75" customHeight="1" x14ac:dyDescent="0.35">
      <c r="I859" s="35"/>
      <c r="J859" s="35"/>
      <c r="K859" s="35"/>
      <c r="L859" s="35"/>
      <c r="M859" s="35"/>
      <c r="N859" s="35"/>
    </row>
    <row r="860" spans="9:14" ht="15.75" customHeight="1" x14ac:dyDescent="0.35">
      <c r="I860" s="35"/>
      <c r="J860" s="35"/>
      <c r="K860" s="35"/>
      <c r="L860" s="35"/>
      <c r="M860" s="35"/>
      <c r="N860" s="35"/>
    </row>
    <row r="861" spans="9:14" ht="15.75" customHeight="1" x14ac:dyDescent="0.35">
      <c r="I861" s="35"/>
      <c r="J861" s="35"/>
      <c r="K861" s="35"/>
      <c r="L861" s="35"/>
      <c r="M861" s="35"/>
      <c r="N861" s="35"/>
    </row>
    <row r="862" spans="9:14" ht="15.75" customHeight="1" x14ac:dyDescent="0.35">
      <c r="I862" s="35"/>
      <c r="J862" s="35"/>
      <c r="K862" s="35"/>
      <c r="L862" s="35"/>
      <c r="M862" s="35"/>
      <c r="N862" s="35"/>
    </row>
    <row r="863" spans="9:14" ht="15.75" customHeight="1" x14ac:dyDescent="0.35">
      <c r="I863" s="35"/>
      <c r="J863" s="35"/>
      <c r="K863" s="35"/>
      <c r="L863" s="35"/>
      <c r="M863" s="35"/>
      <c r="N863" s="35"/>
    </row>
    <row r="864" spans="9:14" ht="15.75" customHeight="1" x14ac:dyDescent="0.35">
      <c r="I864" s="35"/>
      <c r="J864" s="35"/>
      <c r="K864" s="35"/>
      <c r="L864" s="35"/>
      <c r="M864" s="35"/>
      <c r="N864" s="35"/>
    </row>
    <row r="865" spans="9:14" ht="15.75" customHeight="1" x14ac:dyDescent="0.35">
      <c r="I865" s="35"/>
      <c r="J865" s="35"/>
      <c r="K865" s="35"/>
      <c r="L865" s="35"/>
      <c r="M865" s="35"/>
      <c r="N865" s="35"/>
    </row>
    <row r="866" spans="9:14" ht="15.75" customHeight="1" x14ac:dyDescent="0.35">
      <c r="I866" s="35"/>
      <c r="J866" s="35"/>
      <c r="K866" s="35"/>
      <c r="L866" s="35"/>
      <c r="M866" s="35"/>
      <c r="N866" s="35"/>
    </row>
    <row r="867" spans="9:14" ht="15.75" customHeight="1" x14ac:dyDescent="0.35">
      <c r="I867" s="35"/>
      <c r="J867" s="35"/>
      <c r="K867" s="35"/>
      <c r="L867" s="35"/>
      <c r="M867" s="35"/>
      <c r="N867" s="35"/>
    </row>
    <row r="868" spans="9:14" ht="15.75" customHeight="1" x14ac:dyDescent="0.35">
      <c r="I868" s="35"/>
      <c r="J868" s="35"/>
      <c r="K868" s="35"/>
      <c r="L868" s="35"/>
      <c r="M868" s="35"/>
      <c r="N868" s="35"/>
    </row>
    <row r="869" spans="9:14" ht="15.75" customHeight="1" x14ac:dyDescent="0.35">
      <c r="I869" s="35"/>
      <c r="J869" s="35"/>
      <c r="K869" s="35"/>
      <c r="L869" s="35"/>
      <c r="M869" s="35"/>
      <c r="N869" s="35"/>
    </row>
    <row r="870" spans="9:14" ht="15.75" customHeight="1" x14ac:dyDescent="0.35">
      <c r="I870" s="35"/>
      <c r="J870" s="35"/>
      <c r="K870" s="35"/>
      <c r="L870" s="35"/>
      <c r="M870" s="35"/>
      <c r="N870" s="35"/>
    </row>
    <row r="871" spans="9:14" ht="15.75" customHeight="1" x14ac:dyDescent="0.35">
      <c r="I871" s="35"/>
      <c r="J871" s="35"/>
      <c r="K871" s="35"/>
      <c r="L871" s="35"/>
      <c r="M871" s="35"/>
      <c r="N871" s="35"/>
    </row>
    <row r="872" spans="9:14" ht="15.75" customHeight="1" x14ac:dyDescent="0.35">
      <c r="I872" s="35"/>
      <c r="J872" s="35"/>
      <c r="K872" s="35"/>
      <c r="L872" s="35"/>
      <c r="M872" s="35"/>
      <c r="N872" s="35"/>
    </row>
    <row r="873" spans="9:14" ht="15.75" customHeight="1" x14ac:dyDescent="0.35">
      <c r="I873" s="35"/>
      <c r="J873" s="35"/>
      <c r="K873" s="35"/>
      <c r="L873" s="35"/>
      <c r="M873" s="35"/>
      <c r="N873" s="35"/>
    </row>
    <row r="874" spans="9:14" ht="15.75" customHeight="1" x14ac:dyDescent="0.35">
      <c r="I874" s="35"/>
      <c r="J874" s="35"/>
      <c r="K874" s="35"/>
      <c r="L874" s="35"/>
      <c r="M874" s="35"/>
      <c r="N874" s="35"/>
    </row>
    <row r="875" spans="9:14" ht="15.75" customHeight="1" x14ac:dyDescent="0.35">
      <c r="I875" s="35"/>
      <c r="J875" s="35"/>
      <c r="K875" s="35"/>
      <c r="L875" s="35"/>
      <c r="M875" s="35"/>
      <c r="N875" s="35"/>
    </row>
    <row r="876" spans="9:14" ht="15.75" customHeight="1" x14ac:dyDescent="0.35">
      <c r="I876" s="35"/>
      <c r="J876" s="35"/>
      <c r="K876" s="35"/>
      <c r="L876" s="35"/>
      <c r="M876" s="35"/>
      <c r="N876" s="35"/>
    </row>
    <row r="877" spans="9:14" ht="15.75" customHeight="1" x14ac:dyDescent="0.35">
      <c r="I877" s="35"/>
      <c r="J877" s="35"/>
      <c r="K877" s="35"/>
      <c r="L877" s="35"/>
      <c r="M877" s="35"/>
      <c r="N877" s="35"/>
    </row>
    <row r="878" spans="9:14" ht="15.75" customHeight="1" x14ac:dyDescent="0.35">
      <c r="I878" s="35"/>
      <c r="J878" s="35"/>
      <c r="K878" s="35"/>
      <c r="L878" s="35"/>
      <c r="M878" s="35"/>
      <c r="N878" s="35"/>
    </row>
    <row r="879" spans="9:14" ht="15.75" customHeight="1" x14ac:dyDescent="0.35">
      <c r="I879" s="35"/>
      <c r="J879" s="35"/>
      <c r="K879" s="35"/>
      <c r="L879" s="35"/>
      <c r="M879" s="35"/>
      <c r="N879" s="35"/>
    </row>
    <row r="880" spans="9:14" ht="15.75" customHeight="1" x14ac:dyDescent="0.35">
      <c r="I880" s="35"/>
      <c r="J880" s="35"/>
      <c r="K880" s="35"/>
      <c r="L880" s="35"/>
      <c r="M880" s="35"/>
      <c r="N880" s="35"/>
    </row>
    <row r="881" spans="9:14" ht="15.75" customHeight="1" x14ac:dyDescent="0.35">
      <c r="I881" s="35"/>
      <c r="J881" s="35"/>
      <c r="K881" s="35"/>
      <c r="L881" s="35"/>
      <c r="M881" s="35"/>
      <c r="N881" s="35"/>
    </row>
    <row r="882" spans="9:14" ht="15.75" customHeight="1" x14ac:dyDescent="0.35">
      <c r="I882" s="35"/>
      <c r="J882" s="35"/>
      <c r="K882" s="35"/>
      <c r="L882" s="35"/>
      <c r="M882" s="35"/>
      <c r="N882" s="35"/>
    </row>
    <row r="883" spans="9:14" ht="15.75" customHeight="1" x14ac:dyDescent="0.35">
      <c r="I883" s="35"/>
      <c r="J883" s="35"/>
      <c r="K883" s="35"/>
      <c r="L883" s="35"/>
      <c r="M883" s="35"/>
      <c r="N883" s="35"/>
    </row>
    <row r="884" spans="9:14" ht="15.75" customHeight="1" x14ac:dyDescent="0.35">
      <c r="I884" s="35"/>
      <c r="J884" s="35"/>
      <c r="K884" s="35"/>
      <c r="L884" s="35"/>
      <c r="M884" s="35"/>
      <c r="N884" s="35"/>
    </row>
    <row r="885" spans="9:14" ht="15.75" customHeight="1" x14ac:dyDescent="0.35">
      <c r="I885" s="35"/>
      <c r="J885" s="35"/>
      <c r="K885" s="35"/>
      <c r="L885" s="35"/>
      <c r="M885" s="35"/>
      <c r="N885" s="35"/>
    </row>
    <row r="886" spans="9:14" ht="15.75" customHeight="1" x14ac:dyDescent="0.35">
      <c r="I886" s="35"/>
      <c r="J886" s="35"/>
      <c r="K886" s="35"/>
      <c r="L886" s="35"/>
      <c r="M886" s="35"/>
      <c r="N886" s="35"/>
    </row>
    <row r="887" spans="9:14" ht="15.75" customHeight="1" x14ac:dyDescent="0.35">
      <c r="I887" s="35"/>
      <c r="J887" s="35"/>
      <c r="K887" s="35"/>
      <c r="L887" s="35"/>
      <c r="M887" s="35"/>
      <c r="N887" s="35"/>
    </row>
    <row r="888" spans="9:14" ht="15.75" customHeight="1" x14ac:dyDescent="0.35">
      <c r="I888" s="35"/>
      <c r="J888" s="35"/>
      <c r="K888" s="35"/>
      <c r="L888" s="35"/>
      <c r="M888" s="35"/>
      <c r="N888" s="35"/>
    </row>
    <row r="889" spans="9:14" ht="15.75" customHeight="1" x14ac:dyDescent="0.35">
      <c r="I889" s="35"/>
      <c r="J889" s="35"/>
      <c r="K889" s="35"/>
      <c r="L889" s="35"/>
      <c r="M889" s="35"/>
      <c r="N889" s="35"/>
    </row>
    <row r="890" spans="9:14" ht="15.75" customHeight="1" x14ac:dyDescent="0.35">
      <c r="I890" s="35"/>
      <c r="J890" s="35"/>
      <c r="K890" s="35"/>
      <c r="L890" s="35"/>
      <c r="M890" s="35"/>
      <c r="N890" s="35"/>
    </row>
    <row r="891" spans="9:14" ht="15.75" customHeight="1" x14ac:dyDescent="0.35">
      <c r="I891" s="35"/>
      <c r="J891" s="35"/>
      <c r="K891" s="35"/>
      <c r="L891" s="35"/>
      <c r="M891" s="35"/>
      <c r="N891" s="35"/>
    </row>
    <row r="892" spans="9:14" ht="15.75" customHeight="1" x14ac:dyDescent="0.35">
      <c r="I892" s="35"/>
      <c r="J892" s="35"/>
      <c r="K892" s="35"/>
      <c r="L892" s="35"/>
      <c r="M892" s="35"/>
      <c r="N892" s="35"/>
    </row>
    <row r="893" spans="9:14" ht="15.75" customHeight="1" x14ac:dyDescent="0.35">
      <c r="I893" s="35"/>
      <c r="J893" s="35"/>
      <c r="K893" s="35"/>
      <c r="L893" s="35"/>
      <c r="M893" s="35"/>
      <c r="N893" s="35"/>
    </row>
    <row r="894" spans="9:14" ht="15.75" customHeight="1" x14ac:dyDescent="0.35">
      <c r="I894" s="35"/>
      <c r="J894" s="35"/>
      <c r="K894" s="35"/>
      <c r="L894" s="35"/>
      <c r="M894" s="35"/>
      <c r="N894" s="35"/>
    </row>
    <row r="895" spans="9:14" ht="15.75" customHeight="1" x14ac:dyDescent="0.35">
      <c r="I895" s="35"/>
      <c r="J895" s="35"/>
      <c r="K895" s="35"/>
      <c r="L895" s="35"/>
      <c r="M895" s="35"/>
      <c r="N895" s="35"/>
    </row>
    <row r="896" spans="9:14" ht="15.75" customHeight="1" x14ac:dyDescent="0.35">
      <c r="I896" s="35"/>
      <c r="J896" s="35"/>
      <c r="K896" s="35"/>
      <c r="L896" s="35"/>
      <c r="M896" s="35"/>
      <c r="N896" s="35"/>
    </row>
    <row r="897" spans="9:14" ht="15.75" customHeight="1" x14ac:dyDescent="0.35">
      <c r="I897" s="35"/>
      <c r="J897" s="35"/>
      <c r="K897" s="35"/>
      <c r="L897" s="35"/>
      <c r="M897" s="35"/>
      <c r="N897" s="35"/>
    </row>
    <row r="898" spans="9:14" ht="15.75" customHeight="1" x14ac:dyDescent="0.35">
      <c r="I898" s="35"/>
      <c r="J898" s="35"/>
      <c r="K898" s="35"/>
      <c r="L898" s="35"/>
      <c r="M898" s="35"/>
      <c r="N898" s="35"/>
    </row>
    <row r="899" spans="9:14" ht="15.75" customHeight="1" x14ac:dyDescent="0.35">
      <c r="I899" s="35"/>
      <c r="J899" s="35"/>
      <c r="K899" s="35"/>
      <c r="L899" s="35"/>
      <c r="M899" s="35"/>
      <c r="N899" s="35"/>
    </row>
    <row r="900" spans="9:14" ht="15.75" customHeight="1" x14ac:dyDescent="0.35">
      <c r="I900" s="35"/>
      <c r="J900" s="35"/>
      <c r="K900" s="35"/>
      <c r="L900" s="35"/>
      <c r="M900" s="35"/>
      <c r="N900" s="35"/>
    </row>
    <row r="901" spans="9:14" ht="15.75" customHeight="1" x14ac:dyDescent="0.35">
      <c r="I901" s="35"/>
      <c r="J901" s="35"/>
      <c r="K901" s="35"/>
      <c r="L901" s="35"/>
      <c r="M901" s="35"/>
      <c r="N901" s="35"/>
    </row>
    <row r="902" spans="9:14" ht="15.75" customHeight="1" x14ac:dyDescent="0.35">
      <c r="I902" s="35"/>
      <c r="J902" s="35"/>
      <c r="K902" s="35"/>
      <c r="L902" s="35"/>
      <c r="M902" s="35"/>
      <c r="N902" s="35"/>
    </row>
    <row r="903" spans="9:14" ht="15.75" customHeight="1" x14ac:dyDescent="0.35">
      <c r="I903" s="35"/>
      <c r="J903" s="35"/>
      <c r="K903" s="35"/>
      <c r="L903" s="35"/>
      <c r="M903" s="35"/>
      <c r="N903" s="35"/>
    </row>
    <row r="904" spans="9:14" ht="15.75" customHeight="1" x14ac:dyDescent="0.35">
      <c r="I904" s="35"/>
      <c r="J904" s="35"/>
      <c r="K904" s="35"/>
      <c r="L904" s="35"/>
      <c r="M904" s="35"/>
      <c r="N904" s="35"/>
    </row>
    <row r="905" spans="9:14" ht="15.75" customHeight="1" x14ac:dyDescent="0.35">
      <c r="I905" s="35"/>
      <c r="J905" s="35"/>
      <c r="K905" s="35"/>
      <c r="L905" s="35"/>
      <c r="M905" s="35"/>
      <c r="N905" s="35"/>
    </row>
    <row r="906" spans="9:14" ht="15.75" customHeight="1" x14ac:dyDescent="0.35">
      <c r="I906" s="35"/>
      <c r="J906" s="35"/>
      <c r="K906" s="35"/>
      <c r="L906" s="35"/>
      <c r="M906" s="35"/>
      <c r="N906" s="35"/>
    </row>
    <row r="907" spans="9:14" ht="15.75" customHeight="1" x14ac:dyDescent="0.35">
      <c r="I907" s="35"/>
      <c r="J907" s="35"/>
      <c r="K907" s="35"/>
      <c r="L907" s="35"/>
      <c r="M907" s="35"/>
      <c r="N907" s="35"/>
    </row>
    <row r="908" spans="9:14" ht="15.75" customHeight="1" x14ac:dyDescent="0.35">
      <c r="I908" s="35"/>
      <c r="J908" s="35"/>
      <c r="K908" s="35"/>
      <c r="L908" s="35"/>
      <c r="M908" s="35"/>
      <c r="N908" s="35"/>
    </row>
    <row r="909" spans="9:14" ht="15.75" customHeight="1" x14ac:dyDescent="0.35">
      <c r="I909" s="35"/>
      <c r="J909" s="35"/>
      <c r="K909" s="35"/>
      <c r="L909" s="35"/>
      <c r="M909" s="35"/>
      <c r="N909" s="35"/>
    </row>
    <row r="910" spans="9:14" ht="15.75" customHeight="1" x14ac:dyDescent="0.35">
      <c r="I910" s="35"/>
      <c r="J910" s="35"/>
      <c r="K910" s="35"/>
      <c r="L910" s="35"/>
      <c r="M910" s="35"/>
      <c r="N910" s="35"/>
    </row>
    <row r="911" spans="9:14" ht="15.75" customHeight="1" x14ac:dyDescent="0.35">
      <c r="I911" s="35"/>
      <c r="J911" s="35"/>
      <c r="K911" s="35"/>
      <c r="L911" s="35"/>
      <c r="M911" s="35"/>
      <c r="N911" s="35"/>
    </row>
    <row r="912" spans="9:14" ht="15.75" customHeight="1" x14ac:dyDescent="0.35">
      <c r="I912" s="35"/>
      <c r="J912" s="35"/>
      <c r="K912" s="35"/>
      <c r="L912" s="35"/>
      <c r="M912" s="35"/>
      <c r="N912" s="35"/>
    </row>
    <row r="913" spans="9:14" ht="15.75" customHeight="1" x14ac:dyDescent="0.35">
      <c r="I913" s="35"/>
      <c r="J913" s="35"/>
      <c r="K913" s="35"/>
      <c r="L913" s="35"/>
      <c r="M913" s="35"/>
      <c r="N913" s="35"/>
    </row>
    <row r="914" spans="9:14" ht="15.75" customHeight="1" x14ac:dyDescent="0.35">
      <c r="I914" s="35"/>
      <c r="J914" s="35"/>
      <c r="K914" s="35"/>
      <c r="L914" s="35"/>
      <c r="M914" s="35"/>
      <c r="N914" s="35"/>
    </row>
    <row r="915" spans="9:14" ht="15.75" customHeight="1" x14ac:dyDescent="0.35">
      <c r="I915" s="35"/>
      <c r="J915" s="35"/>
      <c r="K915" s="35"/>
      <c r="L915" s="35"/>
      <c r="M915" s="35"/>
      <c r="N915" s="35"/>
    </row>
    <row r="916" spans="9:14" ht="15.75" customHeight="1" x14ac:dyDescent="0.35">
      <c r="I916" s="35"/>
      <c r="J916" s="35"/>
      <c r="K916" s="35"/>
      <c r="L916" s="35"/>
      <c r="M916" s="35"/>
      <c r="N916" s="35"/>
    </row>
    <row r="917" spans="9:14" ht="15.75" customHeight="1" x14ac:dyDescent="0.35">
      <c r="I917" s="35"/>
      <c r="J917" s="35"/>
      <c r="K917" s="35"/>
      <c r="L917" s="35"/>
      <c r="M917" s="35"/>
      <c r="N917" s="35"/>
    </row>
    <row r="918" spans="9:14" ht="15.75" customHeight="1" x14ac:dyDescent="0.35">
      <c r="I918" s="35"/>
      <c r="J918" s="35"/>
      <c r="K918" s="35"/>
      <c r="L918" s="35"/>
      <c r="M918" s="35"/>
      <c r="N918" s="35"/>
    </row>
    <row r="919" spans="9:14" ht="15.75" customHeight="1" x14ac:dyDescent="0.35">
      <c r="I919" s="35"/>
      <c r="J919" s="35"/>
      <c r="K919" s="35"/>
      <c r="L919" s="35"/>
      <c r="M919" s="35"/>
      <c r="N919" s="35"/>
    </row>
    <row r="920" spans="9:14" ht="15.75" customHeight="1" x14ac:dyDescent="0.35">
      <c r="I920" s="35"/>
      <c r="J920" s="35"/>
      <c r="K920" s="35"/>
      <c r="L920" s="35"/>
      <c r="M920" s="35"/>
      <c r="N920" s="35"/>
    </row>
    <row r="921" spans="9:14" ht="15.75" customHeight="1" x14ac:dyDescent="0.35">
      <c r="I921" s="35"/>
      <c r="J921" s="35"/>
      <c r="K921" s="35"/>
      <c r="L921" s="35"/>
      <c r="M921" s="35"/>
      <c r="N921" s="35"/>
    </row>
    <row r="922" spans="9:14" ht="15.75" customHeight="1" x14ac:dyDescent="0.35">
      <c r="I922" s="35"/>
      <c r="J922" s="35"/>
      <c r="K922" s="35"/>
      <c r="L922" s="35"/>
      <c r="M922" s="35"/>
      <c r="N922" s="35"/>
    </row>
    <row r="923" spans="9:14" ht="15.75" customHeight="1" x14ac:dyDescent="0.35">
      <c r="I923" s="35"/>
      <c r="J923" s="35"/>
      <c r="K923" s="35"/>
      <c r="L923" s="35"/>
      <c r="M923" s="35"/>
      <c r="N923" s="35"/>
    </row>
    <row r="924" spans="9:14" ht="15.75" customHeight="1" x14ac:dyDescent="0.35">
      <c r="I924" s="35"/>
      <c r="J924" s="35"/>
      <c r="K924" s="35"/>
      <c r="L924" s="35"/>
      <c r="M924" s="35"/>
      <c r="N924" s="35"/>
    </row>
    <row r="925" spans="9:14" ht="15.75" customHeight="1" x14ac:dyDescent="0.35">
      <c r="I925" s="35"/>
      <c r="J925" s="35"/>
      <c r="K925" s="35"/>
      <c r="L925" s="35"/>
      <c r="M925" s="35"/>
      <c r="N925" s="35"/>
    </row>
    <row r="926" spans="9:14" ht="15.75" customHeight="1" x14ac:dyDescent="0.35">
      <c r="I926" s="35"/>
      <c r="J926" s="35"/>
      <c r="K926" s="35"/>
      <c r="L926" s="35"/>
      <c r="M926" s="35"/>
      <c r="N926" s="35"/>
    </row>
    <row r="927" spans="9:14" ht="15.75" customHeight="1" x14ac:dyDescent="0.35">
      <c r="I927" s="35"/>
      <c r="J927" s="35"/>
      <c r="K927" s="35"/>
      <c r="L927" s="35"/>
      <c r="M927" s="35"/>
      <c r="N927" s="35"/>
    </row>
    <row r="928" spans="9:14" ht="15.75" customHeight="1" x14ac:dyDescent="0.35">
      <c r="I928" s="35"/>
      <c r="J928" s="35"/>
      <c r="K928" s="35"/>
      <c r="L928" s="35"/>
      <c r="M928" s="35"/>
      <c r="N928" s="35"/>
    </row>
    <row r="929" spans="9:14" ht="15.75" customHeight="1" x14ac:dyDescent="0.35">
      <c r="I929" s="35"/>
      <c r="J929" s="35"/>
      <c r="K929" s="35"/>
      <c r="L929" s="35"/>
      <c r="M929" s="35"/>
      <c r="N929" s="35"/>
    </row>
    <row r="930" spans="9:14" ht="15.75" customHeight="1" x14ac:dyDescent="0.35">
      <c r="I930" s="35"/>
      <c r="J930" s="35"/>
      <c r="K930" s="35"/>
      <c r="L930" s="35"/>
      <c r="M930" s="35"/>
      <c r="N930" s="35"/>
    </row>
    <row r="931" spans="9:14" ht="15.75" customHeight="1" x14ac:dyDescent="0.35">
      <c r="I931" s="35"/>
      <c r="J931" s="35"/>
      <c r="K931" s="35"/>
      <c r="L931" s="35"/>
      <c r="M931" s="35"/>
      <c r="N931" s="35"/>
    </row>
    <row r="932" spans="9:14" ht="15.75" customHeight="1" x14ac:dyDescent="0.35">
      <c r="I932" s="35"/>
      <c r="J932" s="35"/>
      <c r="K932" s="35"/>
      <c r="L932" s="35"/>
      <c r="M932" s="35"/>
      <c r="N932" s="35"/>
    </row>
    <row r="933" spans="9:14" ht="15.75" customHeight="1" x14ac:dyDescent="0.35">
      <c r="I933" s="35"/>
      <c r="J933" s="35"/>
      <c r="K933" s="35"/>
      <c r="L933" s="35"/>
      <c r="M933" s="35"/>
      <c r="N933" s="35"/>
    </row>
    <row r="934" spans="9:14" ht="15.75" customHeight="1" x14ac:dyDescent="0.35">
      <c r="I934" s="35"/>
      <c r="J934" s="35"/>
      <c r="K934" s="35"/>
      <c r="L934" s="35"/>
      <c r="M934" s="35"/>
      <c r="N934" s="35"/>
    </row>
    <row r="935" spans="9:14" ht="15.75" customHeight="1" x14ac:dyDescent="0.35">
      <c r="I935" s="35"/>
      <c r="J935" s="35"/>
      <c r="K935" s="35"/>
      <c r="L935" s="35"/>
      <c r="M935" s="35"/>
      <c r="N935" s="35"/>
    </row>
    <row r="936" spans="9:14" ht="15.75" customHeight="1" x14ac:dyDescent="0.35">
      <c r="I936" s="35"/>
      <c r="J936" s="35"/>
      <c r="K936" s="35"/>
      <c r="L936" s="35"/>
      <c r="M936" s="35"/>
      <c r="N936" s="35"/>
    </row>
    <row r="937" spans="9:14" ht="15.75" customHeight="1" x14ac:dyDescent="0.35">
      <c r="I937" s="35"/>
      <c r="J937" s="35"/>
      <c r="K937" s="35"/>
      <c r="L937" s="35"/>
      <c r="M937" s="35"/>
      <c r="N937" s="35"/>
    </row>
    <row r="938" spans="9:14" ht="15.75" customHeight="1" x14ac:dyDescent="0.35">
      <c r="I938" s="35"/>
      <c r="J938" s="35"/>
      <c r="K938" s="35"/>
      <c r="L938" s="35"/>
      <c r="M938" s="35"/>
      <c r="N938" s="35"/>
    </row>
    <row r="939" spans="9:14" ht="15.75" customHeight="1" x14ac:dyDescent="0.35">
      <c r="I939" s="35"/>
      <c r="J939" s="35"/>
      <c r="K939" s="35"/>
      <c r="L939" s="35"/>
      <c r="M939" s="35"/>
      <c r="N939" s="35"/>
    </row>
    <row r="940" spans="9:14" ht="15.75" customHeight="1" x14ac:dyDescent="0.35">
      <c r="I940" s="35"/>
      <c r="J940" s="35"/>
      <c r="K940" s="35"/>
      <c r="L940" s="35"/>
      <c r="M940" s="35"/>
      <c r="N940" s="35"/>
    </row>
    <row r="941" spans="9:14" ht="15.75" customHeight="1" x14ac:dyDescent="0.35">
      <c r="I941" s="35"/>
      <c r="J941" s="35"/>
      <c r="K941" s="35"/>
      <c r="L941" s="35"/>
      <c r="M941" s="35"/>
      <c r="N941" s="35"/>
    </row>
    <row r="942" spans="9:14" ht="15.75" customHeight="1" x14ac:dyDescent="0.35">
      <c r="I942" s="35"/>
      <c r="J942" s="35"/>
      <c r="K942" s="35"/>
      <c r="L942" s="35"/>
      <c r="M942" s="35"/>
      <c r="N942" s="35"/>
    </row>
    <row r="943" spans="9:14" ht="15.75" customHeight="1" x14ac:dyDescent="0.35">
      <c r="I943" s="35"/>
      <c r="J943" s="35"/>
      <c r="K943" s="35"/>
      <c r="L943" s="35"/>
      <c r="M943" s="35"/>
      <c r="N943" s="35"/>
    </row>
    <row r="944" spans="9:14" ht="15.75" customHeight="1" x14ac:dyDescent="0.35">
      <c r="I944" s="35"/>
      <c r="J944" s="35"/>
      <c r="K944" s="35"/>
      <c r="L944" s="35"/>
      <c r="M944" s="35"/>
      <c r="N944" s="35"/>
    </row>
    <row r="945" spans="9:14" ht="15.75" customHeight="1" x14ac:dyDescent="0.35">
      <c r="I945" s="35"/>
      <c r="J945" s="35"/>
      <c r="K945" s="35"/>
      <c r="L945" s="35"/>
      <c r="M945" s="35"/>
      <c r="N945" s="35"/>
    </row>
    <row r="946" spans="9:14" ht="15.75" customHeight="1" x14ac:dyDescent="0.35">
      <c r="I946" s="35"/>
      <c r="J946" s="35"/>
      <c r="K946" s="35"/>
      <c r="L946" s="35"/>
      <c r="M946" s="35"/>
      <c r="N946" s="35"/>
    </row>
    <row r="947" spans="9:14" ht="15.75" customHeight="1" x14ac:dyDescent="0.35">
      <c r="I947" s="35"/>
      <c r="J947" s="35"/>
      <c r="K947" s="35"/>
      <c r="L947" s="35"/>
      <c r="M947" s="35"/>
      <c r="N947" s="35"/>
    </row>
    <row r="948" spans="9:14" ht="15.75" customHeight="1" x14ac:dyDescent="0.35">
      <c r="I948" s="35"/>
      <c r="J948" s="35"/>
      <c r="K948" s="35"/>
      <c r="L948" s="35"/>
      <c r="M948" s="35"/>
      <c r="N948" s="35"/>
    </row>
    <row r="949" spans="9:14" ht="15.75" customHeight="1" x14ac:dyDescent="0.35">
      <c r="I949" s="35"/>
      <c r="J949" s="35"/>
      <c r="K949" s="35"/>
      <c r="L949" s="35"/>
      <c r="M949" s="35"/>
      <c r="N949" s="35"/>
    </row>
    <row r="950" spans="9:14" ht="15.75" customHeight="1" x14ac:dyDescent="0.35">
      <c r="I950" s="35"/>
      <c r="J950" s="35"/>
      <c r="K950" s="35"/>
      <c r="L950" s="35"/>
      <c r="M950" s="35"/>
      <c r="N950" s="35"/>
    </row>
    <row r="951" spans="9:14" ht="15.75" customHeight="1" x14ac:dyDescent="0.35">
      <c r="I951" s="35"/>
      <c r="J951" s="35"/>
      <c r="K951" s="35"/>
      <c r="L951" s="35"/>
      <c r="M951" s="35"/>
      <c r="N951" s="35"/>
    </row>
    <row r="952" spans="9:14" ht="15.75" customHeight="1" x14ac:dyDescent="0.35">
      <c r="I952" s="35"/>
      <c r="J952" s="35"/>
      <c r="K952" s="35"/>
      <c r="L952" s="35"/>
      <c r="M952" s="35"/>
      <c r="N952" s="35"/>
    </row>
    <row r="953" spans="9:14" ht="15.75" customHeight="1" x14ac:dyDescent="0.35">
      <c r="I953" s="35"/>
      <c r="J953" s="35"/>
      <c r="K953" s="35"/>
      <c r="L953" s="35"/>
      <c r="M953" s="35"/>
      <c r="N953" s="35"/>
    </row>
    <row r="954" spans="9:14" ht="15.75" customHeight="1" x14ac:dyDescent="0.35">
      <c r="I954" s="35"/>
      <c r="J954" s="35"/>
      <c r="K954" s="35"/>
      <c r="L954" s="35"/>
      <c r="M954" s="35"/>
      <c r="N954" s="35"/>
    </row>
    <row r="955" spans="9:14" ht="15.75" customHeight="1" x14ac:dyDescent="0.35">
      <c r="I955" s="35"/>
      <c r="J955" s="35"/>
      <c r="K955" s="35"/>
      <c r="L955" s="35"/>
      <c r="M955" s="35"/>
      <c r="N955" s="35"/>
    </row>
    <row r="956" spans="9:14" ht="15.75" customHeight="1" x14ac:dyDescent="0.35">
      <c r="I956" s="35"/>
      <c r="J956" s="35"/>
      <c r="K956" s="35"/>
      <c r="L956" s="35"/>
      <c r="M956" s="35"/>
      <c r="N956" s="35"/>
    </row>
    <row r="957" spans="9:14" ht="15.75" customHeight="1" x14ac:dyDescent="0.35">
      <c r="I957" s="35"/>
      <c r="J957" s="35"/>
      <c r="K957" s="35"/>
      <c r="L957" s="35"/>
      <c r="M957" s="35"/>
      <c r="N957" s="35"/>
    </row>
    <row r="958" spans="9:14" ht="15.75" customHeight="1" x14ac:dyDescent="0.35">
      <c r="I958" s="35"/>
      <c r="J958" s="35"/>
      <c r="K958" s="35"/>
      <c r="L958" s="35"/>
      <c r="M958" s="35"/>
      <c r="N958" s="35"/>
    </row>
    <row r="959" spans="9:14" ht="15.75" customHeight="1" x14ac:dyDescent="0.35">
      <c r="I959" s="35"/>
      <c r="J959" s="35"/>
      <c r="K959" s="35"/>
      <c r="L959" s="35"/>
      <c r="M959" s="35"/>
      <c r="N959" s="35"/>
    </row>
    <row r="960" spans="9:14" ht="15.75" customHeight="1" x14ac:dyDescent="0.35">
      <c r="I960" s="35"/>
      <c r="J960" s="35"/>
      <c r="K960" s="35"/>
      <c r="L960" s="35"/>
      <c r="M960" s="35"/>
      <c r="N960" s="35"/>
    </row>
    <row r="961" spans="9:14" ht="15.75" customHeight="1" x14ac:dyDescent="0.35">
      <c r="I961" s="35"/>
      <c r="J961" s="35"/>
      <c r="K961" s="35"/>
      <c r="L961" s="35"/>
      <c r="M961" s="35"/>
      <c r="N961" s="35"/>
    </row>
    <row r="962" spans="9:14" ht="15.75" customHeight="1" x14ac:dyDescent="0.35">
      <c r="I962" s="35"/>
      <c r="J962" s="35"/>
      <c r="K962" s="35"/>
      <c r="L962" s="35"/>
      <c r="M962" s="35"/>
      <c r="N962" s="35"/>
    </row>
    <row r="963" spans="9:14" ht="15.75" customHeight="1" x14ac:dyDescent="0.35">
      <c r="I963" s="35"/>
      <c r="J963" s="35"/>
      <c r="K963" s="35"/>
      <c r="L963" s="35"/>
      <c r="M963" s="35"/>
      <c r="N963" s="35"/>
    </row>
    <row r="964" spans="9:14" ht="15.75" customHeight="1" x14ac:dyDescent="0.35">
      <c r="I964" s="35"/>
      <c r="J964" s="35"/>
      <c r="K964" s="35"/>
      <c r="L964" s="35"/>
      <c r="M964" s="35"/>
      <c r="N964" s="35"/>
    </row>
    <row r="965" spans="9:14" ht="15.75" customHeight="1" x14ac:dyDescent="0.35">
      <c r="I965" s="35"/>
      <c r="J965" s="35"/>
      <c r="K965" s="35"/>
      <c r="L965" s="35"/>
      <c r="M965" s="35"/>
      <c r="N965" s="35"/>
    </row>
    <row r="966" spans="9:14" ht="15.75" customHeight="1" x14ac:dyDescent="0.35">
      <c r="I966" s="35"/>
      <c r="J966" s="35"/>
      <c r="K966" s="35"/>
      <c r="L966" s="35"/>
      <c r="M966" s="35"/>
      <c r="N966" s="35"/>
    </row>
    <row r="967" spans="9:14" ht="15.75" customHeight="1" x14ac:dyDescent="0.35">
      <c r="I967" s="35"/>
      <c r="J967" s="35"/>
      <c r="K967" s="35"/>
      <c r="L967" s="35"/>
      <c r="M967" s="35"/>
      <c r="N967" s="35"/>
    </row>
    <row r="968" spans="9:14" ht="15.75" customHeight="1" x14ac:dyDescent="0.35">
      <c r="I968" s="35"/>
      <c r="J968" s="35"/>
      <c r="K968" s="35"/>
      <c r="L968" s="35"/>
      <c r="M968" s="35"/>
      <c r="N968" s="35"/>
    </row>
    <row r="969" spans="9:14" ht="15.75" customHeight="1" x14ac:dyDescent="0.35">
      <c r="I969" s="35"/>
      <c r="J969" s="35"/>
      <c r="K969" s="35"/>
      <c r="L969" s="35"/>
      <c r="M969" s="35"/>
      <c r="N969" s="35"/>
    </row>
    <row r="970" spans="9:14" ht="15.75" customHeight="1" x14ac:dyDescent="0.35">
      <c r="I970" s="35"/>
      <c r="J970" s="35"/>
      <c r="K970" s="35"/>
      <c r="L970" s="35"/>
      <c r="M970" s="35"/>
      <c r="N970" s="35"/>
    </row>
    <row r="971" spans="9:14" ht="15.75" customHeight="1" x14ac:dyDescent="0.35">
      <c r="I971" s="35"/>
      <c r="J971" s="35"/>
      <c r="K971" s="35"/>
      <c r="L971" s="35"/>
      <c r="M971" s="35"/>
      <c r="N971" s="35"/>
    </row>
    <row r="972" spans="9:14" ht="15.75" customHeight="1" x14ac:dyDescent="0.35">
      <c r="I972" s="35"/>
      <c r="J972" s="35"/>
      <c r="K972" s="35"/>
      <c r="L972" s="35"/>
      <c r="M972" s="35"/>
      <c r="N972" s="35"/>
    </row>
    <row r="973" spans="9:14" ht="15.75" customHeight="1" x14ac:dyDescent="0.35">
      <c r="I973" s="35"/>
      <c r="J973" s="35"/>
      <c r="K973" s="35"/>
      <c r="L973" s="35"/>
      <c r="M973" s="35"/>
      <c r="N973" s="35"/>
    </row>
    <row r="974" spans="9:14" ht="15.75" customHeight="1" x14ac:dyDescent="0.35">
      <c r="I974" s="35"/>
      <c r="J974" s="35"/>
      <c r="K974" s="35"/>
      <c r="L974" s="35"/>
      <c r="M974" s="35"/>
      <c r="N974" s="35"/>
    </row>
    <row r="975" spans="9:14" ht="15.75" customHeight="1" x14ac:dyDescent="0.35">
      <c r="I975" s="35"/>
      <c r="J975" s="35"/>
      <c r="K975" s="35"/>
      <c r="L975" s="35"/>
      <c r="M975" s="35"/>
      <c r="N975" s="35"/>
    </row>
    <row r="976" spans="9:14" ht="15.75" customHeight="1" x14ac:dyDescent="0.35">
      <c r="I976" s="35"/>
      <c r="J976" s="35"/>
      <c r="K976" s="35"/>
      <c r="L976" s="35"/>
      <c r="M976" s="35"/>
      <c r="N976" s="35"/>
    </row>
    <row r="977" spans="9:14" ht="15.75" customHeight="1" x14ac:dyDescent="0.35">
      <c r="I977" s="35"/>
      <c r="J977" s="35"/>
      <c r="K977" s="35"/>
      <c r="L977" s="35"/>
      <c r="M977" s="35"/>
      <c r="N977" s="35"/>
    </row>
    <row r="978" spans="9:14" ht="15.75" customHeight="1" x14ac:dyDescent="0.35">
      <c r="I978" s="35"/>
      <c r="J978" s="35"/>
      <c r="K978" s="35"/>
      <c r="L978" s="35"/>
      <c r="M978" s="35"/>
      <c r="N978" s="35"/>
    </row>
    <row r="979" spans="9:14" ht="15.75" customHeight="1" x14ac:dyDescent="0.35">
      <c r="I979" s="35"/>
      <c r="J979" s="35"/>
      <c r="K979" s="35"/>
      <c r="L979" s="35"/>
      <c r="M979" s="35"/>
      <c r="N979" s="35"/>
    </row>
    <row r="980" spans="9:14" ht="15.75" customHeight="1" x14ac:dyDescent="0.35">
      <c r="I980" s="35"/>
      <c r="J980" s="35"/>
      <c r="K980" s="35"/>
      <c r="L980" s="35"/>
      <c r="M980" s="35"/>
      <c r="N980" s="35"/>
    </row>
    <row r="981" spans="9:14" ht="15.75" customHeight="1" x14ac:dyDescent="0.35">
      <c r="I981" s="35"/>
      <c r="J981" s="35"/>
      <c r="K981" s="35"/>
      <c r="L981" s="35"/>
      <c r="M981" s="35"/>
      <c r="N981" s="35"/>
    </row>
    <row r="982" spans="9:14" ht="15.75" customHeight="1" x14ac:dyDescent="0.35">
      <c r="I982" s="35"/>
      <c r="J982" s="35"/>
      <c r="K982" s="35"/>
      <c r="L982" s="35"/>
      <c r="M982" s="35"/>
      <c r="N982" s="35"/>
    </row>
    <row r="983" spans="9:14" ht="15.75" customHeight="1" x14ac:dyDescent="0.35">
      <c r="I983" s="35"/>
      <c r="J983" s="35"/>
      <c r="K983" s="35"/>
      <c r="L983" s="35"/>
      <c r="M983" s="35"/>
      <c r="N983" s="35"/>
    </row>
    <row r="984" spans="9:14" ht="15.75" customHeight="1" x14ac:dyDescent="0.35">
      <c r="I984" s="35"/>
      <c r="J984" s="35"/>
      <c r="K984" s="35"/>
      <c r="L984" s="35"/>
      <c r="M984" s="35"/>
      <c r="N984" s="35"/>
    </row>
    <row r="985" spans="9:14" ht="15.75" customHeight="1" x14ac:dyDescent="0.35">
      <c r="I985" s="35"/>
      <c r="J985" s="35"/>
      <c r="K985" s="35"/>
      <c r="L985" s="35"/>
      <c r="M985" s="35"/>
      <c r="N985" s="35"/>
    </row>
    <row r="986" spans="9:14" ht="15.75" customHeight="1" x14ac:dyDescent="0.35">
      <c r="I986" s="35"/>
      <c r="J986" s="35"/>
      <c r="K986" s="35"/>
      <c r="L986" s="35"/>
      <c r="M986" s="35"/>
      <c r="N986" s="35"/>
    </row>
    <row r="987" spans="9:14" ht="15.75" customHeight="1" x14ac:dyDescent="0.35">
      <c r="I987" s="35"/>
      <c r="J987" s="35"/>
      <c r="K987" s="35"/>
      <c r="L987" s="35"/>
      <c r="M987" s="35"/>
      <c r="N987" s="35"/>
    </row>
    <row r="988" spans="9:14" ht="15.75" customHeight="1" x14ac:dyDescent="0.35">
      <c r="I988" s="35"/>
      <c r="J988" s="35"/>
      <c r="K988" s="35"/>
      <c r="L988" s="35"/>
      <c r="M988" s="35"/>
      <c r="N988" s="35"/>
    </row>
    <row r="989" spans="9:14" ht="15.75" customHeight="1" x14ac:dyDescent="0.35">
      <c r="I989" s="35"/>
      <c r="J989" s="35"/>
      <c r="K989" s="35"/>
      <c r="L989" s="35"/>
      <c r="M989" s="35"/>
      <c r="N989" s="35"/>
    </row>
    <row r="990" spans="9:14" ht="15.75" customHeight="1" x14ac:dyDescent="0.35">
      <c r="I990" s="35"/>
      <c r="J990" s="35"/>
      <c r="K990" s="35"/>
      <c r="L990" s="35"/>
      <c r="M990" s="35"/>
      <c r="N990" s="35"/>
    </row>
    <row r="991" spans="9:14" ht="15.75" customHeight="1" x14ac:dyDescent="0.35">
      <c r="I991" s="35"/>
      <c r="J991" s="35"/>
      <c r="K991" s="35"/>
      <c r="L991" s="35"/>
      <c r="M991" s="35"/>
      <c r="N991" s="35"/>
    </row>
    <row r="992" spans="9:14" ht="15.75" customHeight="1" x14ac:dyDescent="0.35">
      <c r="I992" s="35"/>
      <c r="J992" s="35"/>
      <c r="K992" s="35"/>
      <c r="L992" s="35"/>
      <c r="M992" s="35"/>
      <c r="N992" s="35"/>
    </row>
    <row r="993" spans="9:14" ht="15.75" customHeight="1" x14ac:dyDescent="0.35">
      <c r="I993" s="35"/>
      <c r="J993" s="35"/>
      <c r="K993" s="35"/>
      <c r="L993" s="35"/>
      <c r="M993" s="35"/>
      <c r="N993" s="35"/>
    </row>
    <row r="994" spans="9:14" ht="15.75" customHeight="1" x14ac:dyDescent="0.35">
      <c r="I994" s="35"/>
      <c r="J994" s="35"/>
      <c r="K994" s="35"/>
      <c r="L994" s="35"/>
      <c r="M994" s="35"/>
      <c r="N994" s="35"/>
    </row>
    <row r="995" spans="9:14" ht="15.75" customHeight="1" x14ac:dyDescent="0.35">
      <c r="I995" s="35"/>
      <c r="J995" s="35"/>
      <c r="K995" s="35"/>
      <c r="L995" s="35"/>
      <c r="M995" s="35"/>
      <c r="N995" s="35"/>
    </row>
    <row r="996" spans="9:14" ht="15.75" customHeight="1" x14ac:dyDescent="0.35">
      <c r="I996" s="35"/>
      <c r="J996" s="35"/>
      <c r="K996" s="35"/>
      <c r="L996" s="35"/>
      <c r="M996" s="35"/>
      <c r="N996" s="35"/>
    </row>
    <row r="997" spans="9:14" ht="15.75" customHeight="1" x14ac:dyDescent="0.35">
      <c r="I997" s="35"/>
      <c r="J997" s="35"/>
      <c r="K997" s="35"/>
      <c r="L997" s="35"/>
      <c r="M997" s="35"/>
      <c r="N997" s="35"/>
    </row>
    <row r="998" spans="9:14" ht="15.75" customHeight="1" x14ac:dyDescent="0.35">
      <c r="I998" s="35"/>
      <c r="J998" s="35"/>
      <c r="K998" s="35"/>
      <c r="L998" s="35"/>
      <c r="M998" s="35"/>
      <c r="N998" s="35"/>
    </row>
    <row r="999" spans="9:14" ht="15.75" customHeight="1" x14ac:dyDescent="0.35">
      <c r="I999" s="35"/>
      <c r="J999" s="35"/>
      <c r="K999" s="35"/>
      <c r="L999" s="35"/>
      <c r="M999" s="35"/>
      <c r="N999" s="35"/>
    </row>
    <row r="1000" spans="9:14" ht="15.75" customHeight="1" x14ac:dyDescent="0.35">
      <c r="I1000" s="35"/>
      <c r="J1000" s="35"/>
      <c r="K1000" s="35"/>
      <c r="L1000" s="35"/>
      <c r="M1000" s="35"/>
      <c r="N1000" s="35"/>
    </row>
    <row r="1001" spans="9:14" ht="15.75" customHeight="1" x14ac:dyDescent="0.35">
      <c r="I1001" s="35"/>
      <c r="J1001" s="35"/>
      <c r="K1001" s="35"/>
      <c r="L1001" s="35"/>
      <c r="M1001" s="35"/>
      <c r="N1001" s="35"/>
    </row>
  </sheetData>
  <mergeCells count="28">
    <mergeCell ref="E55:F55"/>
    <mergeCell ref="I32:AC32"/>
    <mergeCell ref="I33:AC33"/>
    <mergeCell ref="I34:AC34"/>
    <mergeCell ref="I35:AC38"/>
    <mergeCell ref="D40:E40"/>
    <mergeCell ref="F40:G40"/>
    <mergeCell ref="I42:AC42"/>
    <mergeCell ref="I43:AC46"/>
    <mergeCell ref="I47:AC47"/>
    <mergeCell ref="I48:AC48"/>
    <mergeCell ref="I49:AC49"/>
    <mergeCell ref="I50:AC53"/>
    <mergeCell ref="I20:AC23"/>
    <mergeCell ref="D25:E25"/>
    <mergeCell ref="F25:G25"/>
    <mergeCell ref="I27:AC27"/>
    <mergeCell ref="I28:AC31"/>
    <mergeCell ref="I13:AC16"/>
    <mergeCell ref="I17:AC17"/>
    <mergeCell ref="A1:Z1"/>
    <mergeCell ref="I18:AC18"/>
    <mergeCell ref="I19:AC19"/>
    <mergeCell ref="D3:F3"/>
    <mergeCell ref="B5:B8"/>
    <mergeCell ref="D10:E10"/>
    <mergeCell ref="F10:G10"/>
    <mergeCell ref="I12:AC12"/>
  </mergeCells>
  <pageMargins left="0.75" right="0.75" top="1" bottom="1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4"/>
  <sheetViews>
    <sheetView topLeftCell="O37" workbookViewId="0">
      <selection activeCell="V14" sqref="V14"/>
    </sheetView>
  </sheetViews>
  <sheetFormatPr defaultColWidth="11.3046875" defaultRowHeight="15" customHeight="1" x14ac:dyDescent="0.35"/>
  <cols>
    <col min="1" max="2" width="10.53515625" customWidth="1"/>
    <col min="3" max="3" width="16.69140625" customWidth="1"/>
    <col min="4" max="4" width="15.4609375" customWidth="1"/>
    <col min="5" max="5" width="16.3046875" customWidth="1"/>
    <col min="6" max="7" width="16" customWidth="1"/>
    <col min="8" max="8" width="17.3046875" customWidth="1"/>
    <col min="9" max="10" width="8" customWidth="1"/>
    <col min="11" max="19" width="10.53515625" customWidth="1"/>
    <col min="20" max="20" width="13.07421875" customWidth="1"/>
    <col min="21" max="21" width="9.4609375" customWidth="1"/>
    <col min="22" max="22" width="11.3046875" customWidth="1"/>
    <col min="23" max="23" width="9.69140625" customWidth="1"/>
    <col min="24" max="24" width="21.4609375" customWidth="1"/>
    <col min="25" max="25" width="22.69140625" customWidth="1"/>
    <col min="26" max="26" width="23.3046875" customWidth="1"/>
    <col min="27" max="27" width="25.53515625" customWidth="1"/>
  </cols>
  <sheetData>
    <row r="1" spans="1:26" ht="15.75" customHeight="1" x14ac:dyDescent="0.35">
      <c r="A1" s="455" t="s">
        <v>325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6" ht="15.75" customHeight="1" x14ac:dyDescent="0.35">
      <c r="B2" s="8"/>
      <c r="L2" s="118"/>
      <c r="V2" s="118"/>
    </row>
    <row r="3" spans="1:26" ht="15.75" customHeight="1" x14ac:dyDescent="0.35">
      <c r="B3" s="349"/>
      <c r="C3" s="349"/>
      <c r="D3" s="349"/>
      <c r="E3" s="349"/>
      <c r="F3" s="349"/>
      <c r="G3" s="349"/>
      <c r="H3" s="349"/>
      <c r="K3" s="204"/>
      <c r="L3" s="204"/>
      <c r="M3" s="204"/>
      <c r="P3" s="204"/>
      <c r="Q3" s="204"/>
      <c r="R3" s="204"/>
      <c r="U3" s="204"/>
      <c r="V3" s="204"/>
      <c r="W3" s="204"/>
    </row>
    <row r="4" spans="1:26" ht="15.75" customHeight="1" x14ac:dyDescent="0.35">
      <c r="B4" s="349"/>
      <c r="C4" s="349"/>
      <c r="D4" s="349"/>
      <c r="E4" s="349"/>
      <c r="F4" s="349"/>
      <c r="G4" s="349"/>
      <c r="H4" s="349"/>
      <c r="K4" s="489" t="s">
        <v>326</v>
      </c>
      <c r="L4" s="452"/>
      <c r="M4" s="452"/>
      <c r="P4" s="489" t="s">
        <v>327</v>
      </c>
      <c r="Q4" s="452"/>
      <c r="R4" s="452"/>
      <c r="U4" s="488" t="s">
        <v>568</v>
      </c>
      <c r="V4" s="452"/>
      <c r="W4" s="452"/>
    </row>
    <row r="5" spans="1:26" ht="15.75" customHeight="1" x14ac:dyDescent="0.35">
      <c r="B5" s="425" t="s">
        <v>64</v>
      </c>
      <c r="C5" s="205" t="s">
        <v>328</v>
      </c>
      <c r="D5" s="205" t="s">
        <v>329</v>
      </c>
      <c r="E5" s="205" t="s">
        <v>330</v>
      </c>
      <c r="F5" s="205" t="s">
        <v>331</v>
      </c>
      <c r="G5" s="426" t="s">
        <v>332</v>
      </c>
      <c r="H5" s="427" t="s">
        <v>333</v>
      </c>
      <c r="I5" s="8"/>
      <c r="K5" s="206" t="s">
        <v>65</v>
      </c>
      <c r="L5" s="207" t="s">
        <v>64</v>
      </c>
      <c r="M5" s="207" t="s">
        <v>66</v>
      </c>
      <c r="P5" s="206" t="s">
        <v>65</v>
      </c>
      <c r="Q5" s="207" t="s">
        <v>64</v>
      </c>
      <c r="R5" s="207" t="s">
        <v>66</v>
      </c>
      <c r="U5" s="206" t="s">
        <v>65</v>
      </c>
      <c r="V5" s="207" t="s">
        <v>64</v>
      </c>
      <c r="W5" s="207" t="s">
        <v>66</v>
      </c>
    </row>
    <row r="6" spans="1:26" ht="15.75" customHeight="1" x14ac:dyDescent="0.35">
      <c r="B6" s="442" t="s">
        <v>538</v>
      </c>
      <c r="C6" s="428">
        <f>Subduction!G41</f>
        <v>109276434610.57922</v>
      </c>
      <c r="D6" s="428">
        <f>'Global mass balance'!C17</f>
        <v>67224990534.081551</v>
      </c>
      <c r="E6" s="428">
        <f>'Global mass balance'!C37</f>
        <v>15756750000</v>
      </c>
      <c r="F6" s="428">
        <f>'Global mass balance'!C56</f>
        <v>7760000000.8558102</v>
      </c>
      <c r="G6" s="429">
        <f>D6+E6+F6</f>
        <v>90741740534.937347</v>
      </c>
      <c r="H6" s="430">
        <f>E6+F6</f>
        <v>23516750000.855812</v>
      </c>
      <c r="I6" s="208"/>
      <c r="J6" s="209" t="s">
        <v>334</v>
      </c>
      <c r="K6" s="210">
        <f>C6/D40</f>
        <v>1.5745406177568946</v>
      </c>
      <c r="L6" s="211">
        <f>C6/D6</f>
        <v>1.6255329118295456</v>
      </c>
      <c r="M6" s="211">
        <f>C6/D23</f>
        <v>1.679938571942998</v>
      </c>
      <c r="O6" s="209" t="s">
        <v>335</v>
      </c>
      <c r="P6" s="210">
        <f>C6/G40</f>
        <v>1.0119045150227941</v>
      </c>
      <c r="Q6" s="211">
        <f>C6/G6</f>
        <v>1.2042576433554926</v>
      </c>
      <c r="R6" s="211">
        <f>C6/G23</f>
        <v>1.4169685090147173</v>
      </c>
      <c r="T6" s="209" t="s">
        <v>336</v>
      </c>
      <c r="U6" s="210">
        <f>(C6-D40)/C6</f>
        <v>0.36489412294450085</v>
      </c>
      <c r="V6" s="210">
        <f>(C6-D6)/C6</f>
        <v>0.38481713121729727</v>
      </c>
      <c r="W6" s="211">
        <f>(C6-D23)/C6</f>
        <v>0.40474013949009385</v>
      </c>
    </row>
    <row r="7" spans="1:26" ht="15.75" customHeight="1" x14ac:dyDescent="0.35">
      <c r="B7" s="443" t="s">
        <v>539</v>
      </c>
      <c r="C7" s="350" t="s">
        <v>337</v>
      </c>
      <c r="D7" s="428">
        <f>'Global mass balance'!C18</f>
        <v>73.851739433122646</v>
      </c>
      <c r="E7" s="428">
        <f>'Global mass balance'!C38</f>
        <v>745</v>
      </c>
      <c r="F7" s="428">
        <f>'Global mass balance'!C57</f>
        <v>935.46819099563493</v>
      </c>
      <c r="G7" s="429">
        <f t="shared" ref="G7:G18" si="0">D7+E7+F7</f>
        <v>1754.3199304287577</v>
      </c>
      <c r="H7" s="430">
        <f t="shared" ref="H7:H18" si="1">E7+F7</f>
        <v>1680.4681909956348</v>
      </c>
      <c r="I7" s="208"/>
      <c r="J7" s="212" t="s">
        <v>338</v>
      </c>
      <c r="K7" s="213"/>
      <c r="L7" s="214" t="s">
        <v>337</v>
      </c>
      <c r="M7" s="214"/>
      <c r="O7" s="212" t="s">
        <v>339</v>
      </c>
      <c r="P7" s="213"/>
      <c r="Q7" s="214"/>
      <c r="R7" s="214"/>
      <c r="T7" s="212" t="s">
        <v>340</v>
      </c>
      <c r="U7" s="213"/>
      <c r="V7" s="213"/>
      <c r="W7" s="214"/>
    </row>
    <row r="8" spans="1:26" ht="15.75" customHeight="1" x14ac:dyDescent="0.35">
      <c r="B8" s="443" t="s">
        <v>540</v>
      </c>
      <c r="C8" s="428">
        <f>Subduction!G42</f>
        <v>369.18738419289997</v>
      </c>
      <c r="D8" s="428">
        <f>'Global mass balance'!C19</f>
        <v>2668.1918762934638</v>
      </c>
      <c r="E8" s="428">
        <f>'Global mass balance'!C39</f>
        <v>152.0408163265306</v>
      </c>
      <c r="F8" s="428">
        <f>'Global mass balance'!C58</f>
        <v>314.97245488068512</v>
      </c>
      <c r="G8" s="429">
        <f t="shared" si="0"/>
        <v>3135.2051475006797</v>
      </c>
      <c r="H8" s="430">
        <f t="shared" si="1"/>
        <v>467.01327120721572</v>
      </c>
      <c r="I8" s="208"/>
      <c r="J8" s="212" t="s">
        <v>341</v>
      </c>
      <c r="K8" s="210">
        <f t="shared" ref="K8:K18" si="2">C8/D42</f>
        <v>7.2253526920886726E-2</v>
      </c>
      <c r="L8" s="211">
        <f t="shared" ref="L8:L18" si="3">C8/D8</f>
        <v>0.13836613006473847</v>
      </c>
      <c r="M8" s="211">
        <f t="shared" ref="M8:M18" si="4">C8/D25</f>
        <v>0.37240832070652119</v>
      </c>
      <c r="O8" s="212" t="s">
        <v>342</v>
      </c>
      <c r="P8" s="210">
        <f t="shared" ref="P8:P18" si="5">C8/G42</f>
        <v>6.4208094972298888E-2</v>
      </c>
      <c r="Q8" s="211">
        <f t="shared" ref="Q8:Q18" si="6">C8/G8</f>
        <v>0.11775541529944492</v>
      </c>
      <c r="R8" s="211">
        <f t="shared" ref="R8:R18" si="7">C8/G25</f>
        <v>0.2843845192746744</v>
      </c>
      <c r="T8" s="212" t="s">
        <v>343</v>
      </c>
      <c r="U8" s="213"/>
      <c r="V8" s="213"/>
      <c r="W8" s="214"/>
    </row>
    <row r="9" spans="1:26" ht="15.75" customHeight="1" x14ac:dyDescent="0.35">
      <c r="B9" s="443" t="s">
        <v>541</v>
      </c>
      <c r="C9" s="428">
        <f>Subduction!G43</f>
        <v>24265.137655569997</v>
      </c>
      <c r="D9" s="428">
        <f>'Global mass balance'!C20</f>
        <v>23823.141752620206</v>
      </c>
      <c r="E9" s="428">
        <f>'Global mass balance'!C40</f>
        <v>1862.5</v>
      </c>
      <c r="F9" s="428">
        <f>'Global mass balance'!C59</f>
        <v>1140.8148670678474</v>
      </c>
      <c r="G9" s="429">
        <f t="shared" si="0"/>
        <v>26826.456619688055</v>
      </c>
      <c r="H9" s="430">
        <f t="shared" si="1"/>
        <v>3003.3148670678474</v>
      </c>
      <c r="I9" s="208"/>
      <c r="J9" s="212" t="s">
        <v>344</v>
      </c>
      <c r="K9" s="210">
        <f t="shared" si="2"/>
        <v>0.56014353236375347</v>
      </c>
      <c r="L9" s="211">
        <f t="shared" si="3"/>
        <v>1.0185532163448248</v>
      </c>
      <c r="M9" s="211">
        <f t="shared" si="4"/>
        <v>2.4117091239384196</v>
      </c>
      <c r="O9" s="212" t="s">
        <v>345</v>
      </c>
      <c r="P9" s="210">
        <f t="shared" si="5"/>
        <v>0.51269466427362753</v>
      </c>
      <c r="Q9" s="211">
        <f t="shared" si="6"/>
        <v>0.90452265088791883</v>
      </c>
      <c r="R9" s="211">
        <f t="shared" si="7"/>
        <v>1.9858732522582714</v>
      </c>
      <c r="T9" s="212" t="s">
        <v>346</v>
      </c>
      <c r="U9" s="215">
        <v>0</v>
      </c>
      <c r="V9" s="210">
        <f>(C9-D9)/C9</f>
        <v>1.8215264599924178E-2</v>
      </c>
      <c r="W9" s="211">
        <f>(C9-D26)/C9</f>
        <v>0.58535629770850683</v>
      </c>
    </row>
    <row r="10" spans="1:26" ht="15.75" customHeight="1" x14ac:dyDescent="0.35">
      <c r="B10" s="443" t="s">
        <v>542</v>
      </c>
      <c r="C10" s="428">
        <f>Subduction!G44</f>
        <v>1836.8921044809999</v>
      </c>
      <c r="D10" s="428">
        <f>'Global mass balance'!C21</f>
        <v>1324.5666814456833</v>
      </c>
      <c r="E10" s="428">
        <f>'Global mass balance'!C41</f>
        <v>52.836879432624116</v>
      </c>
      <c r="F10" s="428">
        <f>'Global mass balance'!C60</f>
        <v>103.94091011062609</v>
      </c>
      <c r="G10" s="429">
        <f t="shared" si="0"/>
        <v>1481.3444709889336</v>
      </c>
      <c r="H10" s="430">
        <f t="shared" si="1"/>
        <v>156.77778954325021</v>
      </c>
      <c r="I10" s="208"/>
      <c r="J10" s="212" t="s">
        <v>347</v>
      </c>
      <c r="K10" s="210">
        <f t="shared" si="2"/>
        <v>0.74592223798615775</v>
      </c>
      <c r="L10" s="211">
        <f t="shared" si="3"/>
        <v>1.3867871887553027</v>
      </c>
      <c r="M10" s="211">
        <f t="shared" si="4"/>
        <v>3.459170843235047</v>
      </c>
      <c r="O10" s="212" t="s">
        <v>348</v>
      </c>
      <c r="P10" s="210">
        <f t="shared" si="5"/>
        <v>0.68212116982728777</v>
      </c>
      <c r="Q10" s="211">
        <f t="shared" si="6"/>
        <v>1.2400168498652482</v>
      </c>
      <c r="R10" s="211">
        <f t="shared" si="7"/>
        <v>2.9255490145995822</v>
      </c>
      <c r="T10" s="212" t="s">
        <v>349</v>
      </c>
      <c r="U10" s="215">
        <v>0</v>
      </c>
      <c r="V10" s="210">
        <f>(C10-D10)/C10</f>
        <v>0.27890882746217166</v>
      </c>
      <c r="W10" s="211">
        <f>(C10-D27)/C10</f>
        <v>0.71091338204481647</v>
      </c>
    </row>
    <row r="11" spans="1:26" ht="15.75" customHeight="1" x14ac:dyDescent="0.35">
      <c r="B11" s="443" t="s">
        <v>543</v>
      </c>
      <c r="C11" s="428">
        <f>Subduction!G45</f>
        <v>39.019776245800003</v>
      </c>
      <c r="D11" s="428">
        <f>'Global mass balance'!C22</f>
        <v>24.895183131488118</v>
      </c>
      <c r="E11" s="428">
        <f>'Global mass balance'!C42</f>
        <v>0.98026315789473684</v>
      </c>
      <c r="F11" s="428">
        <f>'Global mass balance'!C61</f>
        <v>1.4830593271882018</v>
      </c>
      <c r="G11" s="429">
        <f t="shared" si="0"/>
        <v>27.358505616571055</v>
      </c>
      <c r="H11" s="430">
        <f t="shared" si="1"/>
        <v>2.4633224850829385</v>
      </c>
      <c r="I11" s="208"/>
      <c r="J11" s="212" t="s">
        <v>350</v>
      </c>
      <c r="K11" s="210">
        <f t="shared" si="2"/>
        <v>0.85611405816022201</v>
      </c>
      <c r="L11" s="211">
        <f t="shared" si="3"/>
        <v>1.5673624909570041</v>
      </c>
      <c r="M11" s="211">
        <f t="shared" si="4"/>
        <v>3.7693790907075484</v>
      </c>
      <c r="O11" s="212" t="s">
        <v>351</v>
      </c>
      <c r="P11" s="210">
        <f t="shared" si="5"/>
        <v>0.79005070203051164</v>
      </c>
      <c r="Q11" s="211">
        <f t="shared" si="6"/>
        <v>1.4262393126533093</v>
      </c>
      <c r="R11" s="211">
        <f t="shared" si="7"/>
        <v>3.3020164828237015</v>
      </c>
      <c r="T11" s="212" t="s">
        <v>352</v>
      </c>
      <c r="U11" s="215">
        <v>0</v>
      </c>
      <c r="V11" s="210">
        <f>(C11-D11)/C11</f>
        <v>0.36198549743944836</v>
      </c>
      <c r="W11" s="211">
        <f>(C11-D28)/C11</f>
        <v>0.73470431709422712</v>
      </c>
    </row>
    <row r="12" spans="1:26" ht="15.75" customHeight="1" x14ac:dyDescent="0.35">
      <c r="B12" s="444" t="s">
        <v>544</v>
      </c>
      <c r="C12" s="428">
        <f>Subduction!G46</f>
        <v>65123921128284.422</v>
      </c>
      <c r="D12" s="428">
        <f>'Global mass balance'!C23</f>
        <v>29561910000000.004</v>
      </c>
      <c r="E12" s="428">
        <f>'Global mass balance'!C43</f>
        <v>6145289300846.2998</v>
      </c>
      <c r="F12" s="428">
        <f>'Global mass balance'!C62</f>
        <v>1277264969369.7356</v>
      </c>
      <c r="G12" s="431">
        <f t="shared" si="0"/>
        <v>36984464270216.039</v>
      </c>
      <c r="H12" s="430">
        <f t="shared" si="1"/>
        <v>7422554270216.0352</v>
      </c>
      <c r="I12" s="208"/>
      <c r="J12" s="216" t="s">
        <v>353</v>
      </c>
      <c r="K12" s="210">
        <f t="shared" si="2"/>
        <v>2.0068126796388084</v>
      </c>
      <c r="L12" s="211">
        <f t="shared" si="3"/>
        <v>2.2029673024606464</v>
      </c>
      <c r="M12" s="211">
        <f t="shared" si="4"/>
        <v>2.4416220935605497</v>
      </c>
      <c r="O12" s="216" t="s">
        <v>354</v>
      </c>
      <c r="P12" s="210">
        <f t="shared" si="5"/>
        <v>1.5494186518490161</v>
      </c>
      <c r="Q12" s="211">
        <f t="shared" si="6"/>
        <v>1.760845328256637</v>
      </c>
      <c r="R12" s="211">
        <f t="shared" si="7"/>
        <v>2.0484529674823939</v>
      </c>
      <c r="T12" s="216" t="s">
        <v>355</v>
      </c>
      <c r="U12" s="210">
        <f>(C12-D46)/C12</f>
        <v>0.501697388029269</v>
      </c>
      <c r="V12" s="210">
        <f>(C12-D12)/C12</f>
        <v>0.54606679868419716</v>
      </c>
      <c r="W12" s="211">
        <f>(C12-D29)/C12</f>
        <v>0.59043620933912511</v>
      </c>
    </row>
    <row r="13" spans="1:26" ht="15.75" customHeight="1" x14ac:dyDescent="0.35">
      <c r="B13" s="443" t="s">
        <v>545</v>
      </c>
      <c r="C13" s="428">
        <f>Subduction!G47</f>
        <v>7393265483284.7637</v>
      </c>
      <c r="D13" s="428">
        <f>'Global mass balance'!C24</f>
        <v>866647059233.43225</v>
      </c>
      <c r="E13" s="432">
        <f>'Global mass balance'!C44</f>
        <v>1639000000000</v>
      </c>
      <c r="F13" s="432">
        <f>'Global mass balance'!C63</f>
        <v>392611888279.93652</v>
      </c>
      <c r="G13" s="429">
        <f t="shared" si="0"/>
        <v>2898258947513.3687</v>
      </c>
      <c r="H13" s="430">
        <f t="shared" si="1"/>
        <v>2031611888279.9365</v>
      </c>
      <c r="I13" s="208"/>
      <c r="J13" s="216" t="s">
        <v>172</v>
      </c>
      <c r="K13" s="210">
        <f t="shared" si="2"/>
        <v>7.6236977106530448</v>
      </c>
      <c r="L13" s="211">
        <f t="shared" si="3"/>
        <v>8.5308839446409301</v>
      </c>
      <c r="M13" s="211">
        <f t="shared" si="4"/>
        <v>9.6831339638978129</v>
      </c>
      <c r="N13" s="217"/>
      <c r="O13" s="216" t="s">
        <v>172</v>
      </c>
      <c r="P13" s="210">
        <f t="shared" si="5"/>
        <v>1.9517397165663144</v>
      </c>
      <c r="Q13" s="211">
        <f t="shared" si="6"/>
        <v>2.5509333766149482</v>
      </c>
      <c r="R13" s="211">
        <f t="shared" si="7"/>
        <v>3.4637326665977572</v>
      </c>
      <c r="S13" s="217"/>
      <c r="T13" s="216" t="s">
        <v>356</v>
      </c>
      <c r="U13" s="210">
        <f>(C13-D47*3)/C13</f>
        <v>0.60649016870016736</v>
      </c>
      <c r="V13" s="210">
        <f>(C13-D13*3)/C13</f>
        <v>0.64833655932166456</v>
      </c>
      <c r="W13" s="210">
        <f>(C13-D30*3)/C13</f>
        <v>0.69018294994316176</v>
      </c>
    </row>
    <row r="14" spans="1:26" ht="15.75" customHeight="1" x14ac:dyDescent="0.35">
      <c r="B14" s="444" t="s">
        <v>18</v>
      </c>
      <c r="C14" s="432">
        <f>Subduction!G48</f>
        <v>2550814310294.2275</v>
      </c>
      <c r="D14" s="428">
        <f>'Global mass balance'!C25</f>
        <v>330781320318.10388</v>
      </c>
      <c r="E14" s="428">
        <f>'Global mass balance'!C45</f>
        <v>2021327182597.8481</v>
      </c>
      <c r="F14" s="428">
        <f>'Global mass balance'!C64</f>
        <v>197376604172.77408</v>
      </c>
      <c r="G14" s="429">
        <f t="shared" si="0"/>
        <v>2549485107088.7261</v>
      </c>
      <c r="H14" s="430">
        <f t="shared" si="1"/>
        <v>2218703786770.6221</v>
      </c>
      <c r="I14" s="218"/>
      <c r="J14" s="216" t="s">
        <v>18</v>
      </c>
      <c r="K14" s="210">
        <f t="shared" si="2"/>
        <v>7.4695763342086199</v>
      </c>
      <c r="L14" s="211">
        <f t="shared" si="3"/>
        <v>7.71148234078386</v>
      </c>
      <c r="M14" s="211">
        <f t="shared" si="4"/>
        <v>7.969581259698626</v>
      </c>
      <c r="O14" s="216" t="s">
        <v>18</v>
      </c>
      <c r="P14" s="210">
        <f t="shared" si="5"/>
        <v>0.90140095908273787</v>
      </c>
      <c r="Q14" s="211">
        <f t="shared" si="6"/>
        <v>1.000521361431689</v>
      </c>
      <c r="R14" s="211">
        <f t="shared" si="7"/>
        <v>1.1087425929388977</v>
      </c>
      <c r="T14" s="216" t="s">
        <v>18</v>
      </c>
      <c r="U14" s="210">
        <f>(C14-D48)/C14</f>
        <v>0.86612359854731336</v>
      </c>
      <c r="V14" s="210">
        <f>(C14-D14)/C14</f>
        <v>0.87032324580304332</v>
      </c>
      <c r="W14" s="211">
        <f>(C14-D31)/C14</f>
        <v>0.8745228930587734</v>
      </c>
    </row>
    <row r="15" spans="1:26" ht="15.75" customHeight="1" x14ac:dyDescent="0.35">
      <c r="B15" s="444" t="s">
        <v>19</v>
      </c>
      <c r="C15" s="428">
        <f>Subduction!G49</f>
        <v>426766232727.78101</v>
      </c>
      <c r="D15" s="428">
        <f>'Global mass balance'!C26</f>
        <v>226715400000</v>
      </c>
      <c r="E15" s="428">
        <f>'Global mass balance'!C46</f>
        <v>92734896690.36853</v>
      </c>
      <c r="F15" s="428">
        <f>'Global mass balance'!C65</f>
        <v>32642683635.009735</v>
      </c>
      <c r="G15" s="429">
        <f t="shared" si="0"/>
        <v>352092980325.3783</v>
      </c>
      <c r="H15" s="430">
        <f>E15+F15</f>
        <v>125377580325.37827</v>
      </c>
      <c r="I15" s="218"/>
      <c r="J15" s="216" t="s">
        <v>19</v>
      </c>
      <c r="K15" s="210">
        <f t="shared" si="2"/>
        <v>1.4328621191779696</v>
      </c>
      <c r="L15" s="211">
        <f t="shared" si="3"/>
        <v>1.88238748990047</v>
      </c>
      <c r="M15" s="211">
        <f t="shared" si="4"/>
        <v>2.742907485283542</v>
      </c>
      <c r="O15" s="216" t="s">
        <v>19</v>
      </c>
      <c r="P15" s="210">
        <f t="shared" si="5"/>
        <v>0.95347920357167448</v>
      </c>
      <c r="Q15" s="211">
        <f t="shared" si="6"/>
        <v>1.2120838999215355</v>
      </c>
      <c r="R15" s="211">
        <f t="shared" si="7"/>
        <v>1.6631733925307475</v>
      </c>
      <c r="T15" s="216" t="s">
        <v>19</v>
      </c>
      <c r="U15" s="210">
        <f>(C15-D49)/C15</f>
        <v>0.30209614266744789</v>
      </c>
      <c r="V15" s="210">
        <f>(C15-D15)/C15</f>
        <v>0.46875975038865436</v>
      </c>
      <c r="W15" s="211">
        <f>(C15-D32)/C15</f>
        <v>0.63542335810986084</v>
      </c>
    </row>
    <row r="16" spans="1:26" ht="15.75" customHeight="1" x14ac:dyDescent="0.35">
      <c r="B16" s="444" t="s">
        <v>20</v>
      </c>
      <c r="C16" s="428">
        <f>Subduction!G50</f>
        <v>421412189134.71069</v>
      </c>
      <c r="D16" s="428">
        <f>'Global mass balance'!C27</f>
        <v>17666135064.935066</v>
      </c>
      <c r="E16" s="428">
        <f>'Global mass balance'!C47</f>
        <v>342644904357.4873</v>
      </c>
      <c r="F16" s="428">
        <f>'Global mass balance'!C66</f>
        <v>45685987247.665001</v>
      </c>
      <c r="G16" s="429">
        <f t="shared" si="0"/>
        <v>405997026670.08734</v>
      </c>
      <c r="H16" s="430">
        <f t="shared" si="1"/>
        <v>388330891605.15228</v>
      </c>
      <c r="I16" s="218"/>
      <c r="J16" s="216" t="s">
        <v>20</v>
      </c>
      <c r="K16" s="210">
        <f t="shared" si="2"/>
        <v>18.157703498620588</v>
      </c>
      <c r="L16" s="211">
        <f t="shared" si="3"/>
        <v>23.85423792956038</v>
      </c>
      <c r="M16" s="211">
        <f t="shared" si="4"/>
        <v>34.75903241164513</v>
      </c>
      <c r="O16" s="216" t="s">
        <v>20</v>
      </c>
      <c r="P16" s="210">
        <f t="shared" si="5"/>
        <v>0.88012955388511982</v>
      </c>
      <c r="Q16" s="211">
        <f t="shared" si="6"/>
        <v>1.037968658517171</v>
      </c>
      <c r="R16" s="211">
        <f t="shared" si="7"/>
        <v>1.2647915991581593</v>
      </c>
      <c r="T16" s="216" t="s">
        <v>20</v>
      </c>
      <c r="U16" s="210">
        <f>(C16-D50)/C16</f>
        <v>0.94492695620478839</v>
      </c>
      <c r="V16" s="210">
        <f>(C16-D16)/C16</f>
        <v>0.95807872785737624</v>
      </c>
      <c r="W16" s="211">
        <f>(C16-D33)/C16</f>
        <v>0.9712304995099641</v>
      </c>
    </row>
    <row r="17" spans="2:23" ht="15.75" customHeight="1" x14ac:dyDescent="0.35">
      <c r="B17" s="444" t="s">
        <v>21</v>
      </c>
      <c r="C17" s="428">
        <f>Subduction!G51</f>
        <v>1558437652.6462159</v>
      </c>
      <c r="D17" s="428">
        <f>'Global mass balance'!C28</f>
        <v>527245116.27906978</v>
      </c>
      <c r="E17" s="428">
        <f>'Global mass balance'!C48</f>
        <v>115208810.8056941</v>
      </c>
      <c r="F17" s="428">
        <f>'Global mass balance'!C67</f>
        <v>40553501.403604336</v>
      </c>
      <c r="G17" s="429">
        <f t="shared" si="0"/>
        <v>683007428.48836827</v>
      </c>
      <c r="H17" s="430">
        <f t="shared" si="1"/>
        <v>155762312.20929843</v>
      </c>
      <c r="I17" s="218"/>
      <c r="J17" s="216" t="s">
        <v>21</v>
      </c>
      <c r="K17" s="210">
        <f t="shared" si="2"/>
        <v>1.4999645015975436</v>
      </c>
      <c r="L17" s="211">
        <f t="shared" si="3"/>
        <v>2.9558124002069239</v>
      </c>
      <c r="M17" s="211">
        <f t="shared" si="4"/>
        <v>8.6140818520316067</v>
      </c>
      <c r="O17" s="216" t="s">
        <v>21</v>
      </c>
      <c r="P17" s="210">
        <f t="shared" si="5"/>
        <v>1.2569993752889319</v>
      </c>
      <c r="Q17" s="211">
        <f t="shared" si="6"/>
        <v>2.2817287010997074</v>
      </c>
      <c r="R17" s="211">
        <f t="shared" si="7"/>
        <v>5.344119860242051</v>
      </c>
      <c r="T17" s="216" t="s">
        <v>21</v>
      </c>
      <c r="U17" s="210">
        <f>(C17-D51)/C17</f>
        <v>0.33331755589219225</v>
      </c>
      <c r="V17" s="210">
        <f>(C17-D17)/C17</f>
        <v>0.66168353582588857</v>
      </c>
      <c r="W17" s="211">
        <f>(C17-D34)/C17</f>
        <v>0.88391101719515786</v>
      </c>
    </row>
    <row r="18" spans="2:23" ht="15.75" customHeight="1" x14ac:dyDescent="0.35">
      <c r="B18" s="445" t="s">
        <v>22</v>
      </c>
      <c r="C18" s="433">
        <f>Subduction!G52</f>
        <v>275092164.62223542</v>
      </c>
      <c r="D18" s="433">
        <f>'Global mass balance'!C29</f>
        <v>65905639.534883723</v>
      </c>
      <c r="E18" s="433">
        <f>'Global mass balance'!C49</f>
        <v>1554427.6536659282</v>
      </c>
      <c r="F18" s="433">
        <f>'Global mass balance'!C68</f>
        <v>547158.53409040684</v>
      </c>
      <c r="G18" s="434">
        <f t="shared" si="0"/>
        <v>68007225.722640052</v>
      </c>
      <c r="H18" s="435">
        <f t="shared" si="1"/>
        <v>2101586.1877563349</v>
      </c>
      <c r="I18" s="218"/>
      <c r="J18" s="220" t="s">
        <v>22</v>
      </c>
      <c r="K18" s="221">
        <f t="shared" si="2"/>
        <v>1.9857795445025048</v>
      </c>
      <c r="L18" s="222">
        <f t="shared" si="3"/>
        <v>4.1740307288366374</v>
      </c>
      <c r="M18" s="222">
        <f t="shared" si="4"/>
        <v>15.205397655047754</v>
      </c>
      <c r="O18" s="220" t="s">
        <v>22</v>
      </c>
      <c r="P18" s="221">
        <f t="shared" si="5"/>
        <v>1.9405478774646738</v>
      </c>
      <c r="Q18" s="222">
        <f t="shared" si="6"/>
        <v>4.0450431803256963</v>
      </c>
      <c r="R18" s="222">
        <f t="shared" si="7"/>
        <v>14.428463595214756</v>
      </c>
      <c r="T18" s="220" t="s">
        <v>22</v>
      </c>
      <c r="U18" s="221">
        <f>(C18-D52)/C18</f>
        <v>0.49641942743924833</v>
      </c>
      <c r="V18" s="221">
        <f>(C18-D18)/C18</f>
        <v>0.76042342163620946</v>
      </c>
      <c r="W18" s="222">
        <f>(C18-D35)/C18</f>
        <v>0.93423388044915556</v>
      </c>
    </row>
    <row r="19" spans="2:23" ht="15.75" customHeight="1" x14ac:dyDescent="0.35">
      <c r="B19" s="349"/>
      <c r="C19" s="349"/>
      <c r="D19" s="349"/>
      <c r="E19" s="349"/>
      <c r="F19" s="349"/>
      <c r="G19" s="349"/>
      <c r="H19" s="349"/>
    </row>
    <row r="20" spans="2:23" ht="15.75" customHeight="1" x14ac:dyDescent="0.35">
      <c r="B20" s="225"/>
      <c r="C20" s="225"/>
      <c r="D20" s="225"/>
      <c r="E20" s="225"/>
      <c r="F20" s="225"/>
      <c r="G20" s="225"/>
      <c r="H20" s="436"/>
      <c r="K20" s="224"/>
      <c r="L20" s="224"/>
      <c r="M20" s="224"/>
      <c r="P20" s="223"/>
      <c r="Q20" s="223"/>
      <c r="R20" s="223"/>
      <c r="T20" s="352" t="s">
        <v>513</v>
      </c>
    </row>
    <row r="21" spans="2:23" ht="15.75" customHeight="1" x14ac:dyDescent="0.35">
      <c r="B21" s="204"/>
      <c r="C21" s="225"/>
      <c r="D21" s="225"/>
      <c r="E21" s="225"/>
      <c r="F21" s="225"/>
      <c r="G21" s="225"/>
      <c r="H21" s="436"/>
      <c r="K21" s="226"/>
      <c r="L21" s="226"/>
      <c r="M21" s="226"/>
      <c r="P21" s="225"/>
      <c r="Q21" s="225"/>
      <c r="R21" s="225"/>
      <c r="T21" s="204"/>
    </row>
    <row r="22" spans="2:23" ht="15.75" customHeight="1" x14ac:dyDescent="0.35">
      <c r="B22" s="425" t="s">
        <v>65</v>
      </c>
      <c r="C22" s="227" t="s">
        <v>328</v>
      </c>
      <c r="D22" s="205" t="s">
        <v>329</v>
      </c>
      <c r="E22" s="205" t="s">
        <v>330</v>
      </c>
      <c r="F22" s="228" t="s">
        <v>331</v>
      </c>
      <c r="G22" s="437" t="s">
        <v>332</v>
      </c>
      <c r="H22" s="427" t="s">
        <v>333</v>
      </c>
      <c r="Q22" s="204"/>
    </row>
    <row r="23" spans="2:23" ht="15.75" customHeight="1" x14ac:dyDescent="0.35">
      <c r="B23" s="442" t="s">
        <v>538</v>
      </c>
      <c r="C23" s="428">
        <f>Subduction!G41</f>
        <v>109276434610.57922</v>
      </c>
      <c r="D23" s="428">
        <f>'Global mass balance'!D17</f>
        <v>65047875223.313271</v>
      </c>
      <c r="E23" s="428">
        <f>'Global mass balance'!D37</f>
        <v>8352000000</v>
      </c>
      <c r="F23" s="438">
        <f>'Global mass balance'!D56</f>
        <v>3720000000</v>
      </c>
      <c r="G23" s="439">
        <f t="shared" ref="G23:G35" si="8">D23+E23+F23</f>
        <v>77119875223.313263</v>
      </c>
      <c r="H23" s="430">
        <f>E23+F23</f>
        <v>12072000000</v>
      </c>
      <c r="P23" s="488" t="s">
        <v>546</v>
      </c>
      <c r="Q23" s="452"/>
      <c r="R23" s="452"/>
      <c r="T23" s="73"/>
      <c r="U23" s="351"/>
    </row>
    <row r="24" spans="2:23" ht="15.75" customHeight="1" x14ac:dyDescent="0.35">
      <c r="B24" s="443" t="s">
        <v>539</v>
      </c>
      <c r="C24" s="350" t="s">
        <v>337</v>
      </c>
      <c r="D24" s="428">
        <f>'Global mass balance'!D18</f>
        <v>50.889433895092921</v>
      </c>
      <c r="E24" s="428">
        <f>'Global mass balance'!D38</f>
        <v>640</v>
      </c>
      <c r="F24" s="438">
        <f>'Global mass balance'!D57</f>
        <v>551.25804112242781</v>
      </c>
      <c r="G24" s="439">
        <f t="shared" si="8"/>
        <v>1242.1474750175207</v>
      </c>
      <c r="H24" s="430">
        <f t="shared" ref="H24:H35" si="9">E24+F24</f>
        <v>1191.2580411224278</v>
      </c>
      <c r="P24" s="230" t="s">
        <v>357</v>
      </c>
      <c r="Q24" s="486">
        <f>Subduction!G41/'Global mass balance'!Y17</f>
        <v>3.0609645549181857E-10</v>
      </c>
      <c r="R24" s="457"/>
      <c r="T24" s="231"/>
    </row>
    <row r="25" spans="2:23" ht="15.75" customHeight="1" x14ac:dyDescent="0.35">
      <c r="B25" s="443" t="s">
        <v>540</v>
      </c>
      <c r="C25" s="428">
        <f>Subduction!G42</f>
        <v>369.18738419289997</v>
      </c>
      <c r="D25" s="428">
        <f>'Global mass balance'!D19</f>
        <v>991.35106190025363</v>
      </c>
      <c r="E25" s="428">
        <f>'Global mass balance'!D39</f>
        <v>130.61224489795916</v>
      </c>
      <c r="F25" s="438">
        <f>'Global mass balance'!D58</f>
        <v>176.2345878499072</v>
      </c>
      <c r="G25" s="439">
        <f t="shared" si="8"/>
        <v>1298.1978946481199</v>
      </c>
      <c r="H25" s="430">
        <f t="shared" si="9"/>
        <v>306.84683274786636</v>
      </c>
      <c r="P25" s="232" t="s">
        <v>358</v>
      </c>
      <c r="Q25" s="482" t="s">
        <v>248</v>
      </c>
      <c r="R25" s="483"/>
      <c r="T25" s="231"/>
    </row>
    <row r="26" spans="2:23" ht="15.75" customHeight="1" x14ac:dyDescent="0.35">
      <c r="B26" s="443" t="s">
        <v>541</v>
      </c>
      <c r="C26" s="428">
        <f>Subduction!G43</f>
        <v>24265.137655569997</v>
      </c>
      <c r="D26" s="428">
        <f>'Global mass balance'!D20</f>
        <v>10061.386514118267</v>
      </c>
      <c r="E26" s="428">
        <f>'Global mass balance'!D40</f>
        <v>1600</v>
      </c>
      <c r="F26" s="438">
        <f>'Global mass balance'!D59</f>
        <v>557.48879827967107</v>
      </c>
      <c r="G26" s="439">
        <f t="shared" si="8"/>
        <v>12218.875312397939</v>
      </c>
      <c r="H26" s="430">
        <f t="shared" si="9"/>
        <v>2157.4887982796708</v>
      </c>
      <c r="P26" s="232" t="s">
        <v>359</v>
      </c>
      <c r="Q26" s="482">
        <f>Subduction!G42/'Global mass balance'!Y19</f>
        <v>2.7146131190654408E-12</v>
      </c>
      <c r="R26" s="483"/>
      <c r="T26" s="231"/>
    </row>
    <row r="27" spans="2:23" ht="15.75" customHeight="1" x14ac:dyDescent="0.35">
      <c r="B27" s="443" t="s">
        <v>542</v>
      </c>
      <c r="C27" s="428">
        <f>Subduction!G44</f>
        <v>1836.8921044809999</v>
      </c>
      <c r="D27" s="428">
        <f>'Global mass balance'!D21</f>
        <v>531.02092603299184</v>
      </c>
      <c r="E27" s="428">
        <f>'Global mass balance'!D41</f>
        <v>45.390070921985817</v>
      </c>
      <c r="F27" s="438">
        <f>'Global mass balance'!D60</f>
        <v>51.468452445535554</v>
      </c>
      <c r="G27" s="439">
        <f t="shared" si="8"/>
        <v>627.87944940051329</v>
      </c>
      <c r="H27" s="430">
        <f t="shared" si="9"/>
        <v>96.858523367521371</v>
      </c>
      <c r="P27" s="232" t="s">
        <v>360</v>
      </c>
      <c r="Q27" s="482">
        <f>Subduction!G43/'Global mass balance'!Y20</f>
        <v>4.2347535175514829E-12</v>
      </c>
      <c r="R27" s="483"/>
      <c r="T27" s="231"/>
    </row>
    <row r="28" spans="2:23" ht="15.75" customHeight="1" x14ac:dyDescent="0.35">
      <c r="B28" s="443" t="s">
        <v>543</v>
      </c>
      <c r="C28" s="428">
        <f>Subduction!G45</f>
        <v>39.019776245800003</v>
      </c>
      <c r="D28" s="428">
        <f>'Global mass balance'!D22</f>
        <v>10.351778185959963</v>
      </c>
      <c r="E28" s="428">
        <f>'Global mass balance'!D42</f>
        <v>0.84210526315789469</v>
      </c>
      <c r="F28" s="438">
        <f>'Global mass balance'!D61</f>
        <v>0.6230703573732751</v>
      </c>
      <c r="G28" s="439">
        <f t="shared" si="8"/>
        <v>11.816953806491133</v>
      </c>
      <c r="H28" s="430">
        <f t="shared" si="9"/>
        <v>1.4651756205311699</v>
      </c>
      <c r="P28" s="232" t="s">
        <v>361</v>
      </c>
      <c r="Q28" s="482">
        <f>Subduction!G44/'Global mass balance'!Y21</f>
        <v>1.5566882241364405E-11</v>
      </c>
      <c r="R28" s="483"/>
      <c r="T28" s="231"/>
    </row>
    <row r="29" spans="2:23" ht="15.75" customHeight="1" x14ac:dyDescent="0.35">
      <c r="B29" s="444" t="s">
        <v>544</v>
      </c>
      <c r="C29" s="428">
        <f>Subduction!G46</f>
        <v>65123921128284.422</v>
      </c>
      <c r="D29" s="428">
        <f>'Global mass balance'!D23</f>
        <v>26672400000000.008</v>
      </c>
      <c r="E29" s="428">
        <f>'Global mass balance'!D43</f>
        <v>4389492357747.3564</v>
      </c>
      <c r="F29" s="438">
        <f>'Global mass balance'!D62</f>
        <v>729865696782.70581</v>
      </c>
      <c r="G29" s="439">
        <f t="shared" si="8"/>
        <v>31791758054530.07</v>
      </c>
      <c r="H29" s="430">
        <f t="shared" si="9"/>
        <v>5119358054530.0625</v>
      </c>
      <c r="P29" s="232" t="s">
        <v>362</v>
      </c>
      <c r="Q29" s="482">
        <f>Subduction!G45/'Global mass balance'!Y22</f>
        <v>6.0402130411455115E-11</v>
      </c>
      <c r="R29" s="483"/>
      <c r="T29" s="231"/>
    </row>
    <row r="30" spans="2:23" ht="15.75" customHeight="1" x14ac:dyDescent="0.35">
      <c r="B30" s="443" t="s">
        <v>545</v>
      </c>
      <c r="C30" s="428">
        <f>Subduction!G47</f>
        <v>7393265483284.7637</v>
      </c>
      <c r="D30" s="428">
        <f>'Global mass balance'!D24</f>
        <v>763519900772.77686</v>
      </c>
      <c r="E30" s="428">
        <f>'Global mass balance'!D44</f>
        <v>1024000000000</v>
      </c>
      <c r="F30" s="438">
        <f>'Global mass balance'!D63</f>
        <v>346959343131.10663</v>
      </c>
      <c r="G30" s="439">
        <f t="shared" si="8"/>
        <v>2134479243903.8835</v>
      </c>
      <c r="H30" s="430">
        <f t="shared" si="9"/>
        <v>1370959343131.1067</v>
      </c>
      <c r="P30" s="234" t="s">
        <v>363</v>
      </c>
      <c r="Q30" s="482">
        <f>Subduction!G46/'Global mass balance'!Y23</f>
        <v>6.0863477689985444E-10</v>
      </c>
      <c r="R30" s="483"/>
      <c r="T30" s="231"/>
    </row>
    <row r="31" spans="2:23" ht="15.75" customHeight="1" x14ac:dyDescent="0.35">
      <c r="B31" s="444" t="s">
        <v>18</v>
      </c>
      <c r="C31" s="428">
        <f>Subduction!G48</f>
        <v>2550814310294.2275</v>
      </c>
      <c r="D31" s="428">
        <f>'Global mass balance'!D25</f>
        <v>320068800000</v>
      </c>
      <c r="E31" s="428">
        <f>'Global mass balance'!D45</f>
        <v>1811388323467.9561</v>
      </c>
      <c r="F31" s="438">
        <f>'Global mass balance'!D64</f>
        <v>169179946433.80634</v>
      </c>
      <c r="G31" s="439">
        <f t="shared" si="8"/>
        <v>2300637069901.7622</v>
      </c>
      <c r="H31" s="430">
        <f t="shared" si="9"/>
        <v>1980568269901.7625</v>
      </c>
      <c r="P31" s="232" t="s">
        <v>364</v>
      </c>
      <c r="Q31" s="482">
        <f>Subduction!G47/'Global mass balance'!Y24</f>
        <v>9.5520225882232095E-10</v>
      </c>
      <c r="R31" s="483"/>
      <c r="T31" s="231"/>
    </row>
    <row r="32" spans="2:23" ht="15.75" customHeight="1" x14ac:dyDescent="0.35">
      <c r="B32" s="444" t="s">
        <v>19</v>
      </c>
      <c r="C32" s="428">
        <f>Subduction!G49</f>
        <v>426766232727.78101</v>
      </c>
      <c r="D32" s="428">
        <f>'Global mass balance'!D26</f>
        <v>155589000000</v>
      </c>
      <c r="E32" s="428">
        <f>'Global mass balance'!D46</f>
        <v>74710472637.868958</v>
      </c>
      <c r="F32" s="438">
        <f>'Global mass balance'!D65</f>
        <v>26298086368.529881</v>
      </c>
      <c r="G32" s="439">
        <f t="shared" si="8"/>
        <v>256597559006.39883</v>
      </c>
      <c r="H32" s="430">
        <f t="shared" si="9"/>
        <v>101008559006.39883</v>
      </c>
      <c r="P32" s="234" t="s">
        <v>18</v>
      </c>
      <c r="Q32" s="482">
        <f>Subduction!G48/'Global mass balance'!Y25</f>
        <v>3.7511975151385699E-9</v>
      </c>
      <c r="R32" s="483"/>
      <c r="T32" s="231"/>
    </row>
    <row r="33" spans="2:20" ht="15.75" customHeight="1" x14ac:dyDescent="0.35">
      <c r="B33" s="444" t="s">
        <v>20</v>
      </c>
      <c r="C33" s="428">
        <f>Subduction!G50</f>
        <v>421412189134.71069</v>
      </c>
      <c r="D33" s="428">
        <f>'Global mass balance'!D27</f>
        <v>12123818181.818182</v>
      </c>
      <c r="E33" s="428">
        <f>'Global mass balance'!D47</f>
        <v>280023525508.13885</v>
      </c>
      <c r="F33" s="438">
        <f>'Global mass balance'!D66</f>
        <v>41039712118.447411</v>
      </c>
      <c r="G33" s="439">
        <f t="shared" si="8"/>
        <v>333187055808.40442</v>
      </c>
      <c r="H33" s="430">
        <f t="shared" si="9"/>
        <v>321063237626.58624</v>
      </c>
      <c r="P33" s="234" t="s">
        <v>19</v>
      </c>
      <c r="Q33" s="482">
        <f>Subduction!G49/'Global mass balance'!Y26</f>
        <v>2.4811990274870989E-10</v>
      </c>
      <c r="R33" s="483"/>
      <c r="T33" s="231"/>
    </row>
    <row r="34" spans="2:20" ht="15.75" customHeight="1" x14ac:dyDescent="0.35">
      <c r="B34" s="444" t="s">
        <v>21</v>
      </c>
      <c r="C34" s="428">
        <f>Subduction!G51</f>
        <v>1558437652.6462159</v>
      </c>
      <c r="D34" s="428">
        <f>'Global mass balance'!D28</f>
        <v>180917441.86046511</v>
      </c>
      <c r="E34" s="428">
        <f>'Global mass balance'!D48</f>
        <v>81878572.278584331</v>
      </c>
      <c r="F34" s="438">
        <f>'Global mass balance'!D67</f>
        <v>28821257.442061689</v>
      </c>
      <c r="G34" s="439">
        <f t="shared" si="8"/>
        <v>291617271.58111113</v>
      </c>
      <c r="H34" s="430">
        <f t="shared" si="9"/>
        <v>110699829.72064602</v>
      </c>
      <c r="P34" s="234" t="s">
        <v>20</v>
      </c>
      <c r="Q34" s="482">
        <f>Subduction!G50/'Global mass balance'!Y27</f>
        <v>5.221960212326031E-10</v>
      </c>
      <c r="R34" s="483"/>
      <c r="T34" s="231"/>
    </row>
    <row r="35" spans="2:20" ht="15.75" customHeight="1" x14ac:dyDescent="0.35">
      <c r="B35" s="445" t="s">
        <v>22</v>
      </c>
      <c r="C35" s="433">
        <f>Subduction!G52</f>
        <v>275092164.62223542</v>
      </c>
      <c r="D35" s="433">
        <f>'Global mass balance'!D29</f>
        <v>18091744.186046507</v>
      </c>
      <c r="E35" s="433">
        <f>'Global mass balance'!D49</f>
        <v>720556.13372304232</v>
      </c>
      <c r="F35" s="440">
        <f>'Global mass balance'!D68</f>
        <v>253635.75907051092</v>
      </c>
      <c r="G35" s="441">
        <f t="shared" si="8"/>
        <v>19065936.078840062</v>
      </c>
      <c r="H35" s="435">
        <f t="shared" si="9"/>
        <v>974191.89279355318</v>
      </c>
      <c r="P35" s="234" t="s">
        <v>21</v>
      </c>
      <c r="Q35" s="482">
        <f>Subduction!G51/'Global mass balance'!Y28</f>
        <v>7.1487965717716329E-10</v>
      </c>
      <c r="R35" s="483"/>
      <c r="T35" s="231"/>
    </row>
    <row r="36" spans="2:20" ht="15.75" customHeight="1" x14ac:dyDescent="0.35">
      <c r="B36" s="349"/>
      <c r="C36" s="349"/>
      <c r="D36" s="349"/>
      <c r="E36" s="349"/>
      <c r="F36" s="349"/>
      <c r="G36" s="349"/>
      <c r="H36" s="349"/>
      <c r="P36" s="236" t="s">
        <v>22</v>
      </c>
      <c r="Q36" s="482">
        <f>Subduction!G52/'Global mass balance'!Y29</f>
        <v>1.8587308420421312E-9</v>
      </c>
      <c r="R36" s="483"/>
    </row>
    <row r="37" spans="2:20" ht="15.75" customHeight="1" x14ac:dyDescent="0.35">
      <c r="B37" s="349"/>
      <c r="C37" s="349"/>
      <c r="D37" s="349"/>
      <c r="E37" s="349"/>
      <c r="F37" s="349"/>
      <c r="G37" s="349"/>
      <c r="H37" s="349"/>
    </row>
    <row r="38" spans="2:20" ht="15.75" customHeight="1" x14ac:dyDescent="0.35">
      <c r="B38" s="349"/>
      <c r="C38" s="349"/>
      <c r="D38" s="349"/>
      <c r="E38" s="349"/>
      <c r="F38" s="349"/>
      <c r="G38" s="349"/>
      <c r="H38" s="349"/>
      <c r="P38" s="487" t="s">
        <v>365</v>
      </c>
      <c r="Q38" s="473"/>
      <c r="R38" s="474"/>
    </row>
    <row r="39" spans="2:20" ht="15.75" customHeight="1" x14ac:dyDescent="0.35">
      <c r="B39" s="425" t="s">
        <v>66</v>
      </c>
      <c r="C39" s="227" t="s">
        <v>328</v>
      </c>
      <c r="D39" s="205" t="s">
        <v>329</v>
      </c>
      <c r="E39" s="205" t="s">
        <v>330</v>
      </c>
      <c r="F39" s="228" t="s">
        <v>331</v>
      </c>
      <c r="G39" s="437" t="s">
        <v>332</v>
      </c>
      <c r="H39" s="427" t="s">
        <v>333</v>
      </c>
      <c r="I39" s="224"/>
      <c r="P39" s="230" t="s">
        <v>366</v>
      </c>
      <c r="Q39" s="486">
        <f>Q24/$Q$24</f>
        <v>1</v>
      </c>
      <c r="R39" s="457"/>
    </row>
    <row r="40" spans="2:20" ht="15.75" customHeight="1" x14ac:dyDescent="0.35">
      <c r="B40" s="442" t="s">
        <v>538</v>
      </c>
      <c r="C40" s="428">
        <f>Subduction!G41</f>
        <v>109276434610.57922</v>
      </c>
      <c r="D40" s="428">
        <f>'Global mass balance'!E17</f>
        <v>69402105844.849823</v>
      </c>
      <c r="E40" s="428">
        <f>'Global mass balance'!E37</f>
        <v>26838750000</v>
      </c>
      <c r="F40" s="438">
        <f>'Global mass balance'!E56</f>
        <v>11750000000</v>
      </c>
      <c r="G40" s="439">
        <f t="shared" ref="G40:G52" si="10">D40+E40+F40</f>
        <v>107990855844.84982</v>
      </c>
      <c r="H40" s="430">
        <f t="shared" ref="H40:H52" si="11">E40+F40</f>
        <v>38588750000</v>
      </c>
      <c r="P40" s="232" t="s">
        <v>367</v>
      </c>
      <c r="Q40" s="485" t="s">
        <v>248</v>
      </c>
      <c r="R40" s="483"/>
    </row>
    <row r="41" spans="2:20" ht="15.75" customHeight="1" x14ac:dyDescent="0.35">
      <c r="B41" s="443" t="s">
        <v>539</v>
      </c>
      <c r="C41" s="350" t="s">
        <v>337</v>
      </c>
      <c r="D41" s="428">
        <f>'Global mass balance'!E18</f>
        <v>96.81404497115237</v>
      </c>
      <c r="E41" s="428">
        <f>'Global mass balance'!E38</f>
        <v>850</v>
      </c>
      <c r="F41" s="438">
        <f>'Global mass balance'!E57</f>
        <v>1319.6783408688423</v>
      </c>
      <c r="G41" s="439">
        <f t="shared" si="10"/>
        <v>2266.4923858399948</v>
      </c>
      <c r="H41" s="430">
        <f t="shared" si="11"/>
        <v>2169.6783408688425</v>
      </c>
      <c r="I41" s="208"/>
      <c r="P41" s="232" t="s">
        <v>368</v>
      </c>
      <c r="Q41" s="485">
        <f t="shared" ref="Q41:Q51" si="12">Q26/$Q$24</f>
        <v>8.8684892306372942E-3</v>
      </c>
      <c r="R41" s="483"/>
    </row>
    <row r="42" spans="2:20" ht="15.75" customHeight="1" x14ac:dyDescent="0.35">
      <c r="B42" s="443" t="s">
        <v>540</v>
      </c>
      <c r="C42" s="428">
        <f>Subduction!G42</f>
        <v>369.18738419289997</v>
      </c>
      <c r="D42" s="428">
        <f>'Global mass balance'!E19</f>
        <v>5109.6105605631956</v>
      </c>
      <c r="E42" s="428">
        <f>'Global mass balance'!E39</f>
        <v>173.46938775510202</v>
      </c>
      <c r="F42" s="438">
        <f>'Global mass balance'!E58</f>
        <v>466.77736098479602</v>
      </c>
      <c r="G42" s="439">
        <f t="shared" si="10"/>
        <v>5749.8573093030936</v>
      </c>
      <c r="H42" s="430">
        <f t="shared" si="11"/>
        <v>640.24674873989807</v>
      </c>
      <c r="I42" s="208"/>
      <c r="P42" s="232" t="s">
        <v>369</v>
      </c>
      <c r="Q42" s="485">
        <f t="shared" si="12"/>
        <v>1.3834702890457582E-2</v>
      </c>
      <c r="R42" s="483"/>
    </row>
    <row r="43" spans="2:20" ht="15.75" customHeight="1" x14ac:dyDescent="0.35">
      <c r="B43" s="443" t="s">
        <v>541</v>
      </c>
      <c r="C43" s="428">
        <f>Subduction!G43</f>
        <v>24265.137655569997</v>
      </c>
      <c r="D43" s="428">
        <f>'Global mass balance'!E20</f>
        <v>43319.499831004701</v>
      </c>
      <c r="E43" s="428">
        <f>'Global mass balance'!E40</f>
        <v>2125</v>
      </c>
      <c r="F43" s="438">
        <f>'Global mass balance'!E59</f>
        <v>1884.133264774076</v>
      </c>
      <c r="G43" s="439">
        <f t="shared" si="10"/>
        <v>47328.63309577878</v>
      </c>
      <c r="H43" s="430">
        <f t="shared" si="11"/>
        <v>4009.133264774076</v>
      </c>
      <c r="I43" s="208"/>
      <c r="P43" s="232" t="s">
        <v>370</v>
      </c>
      <c r="Q43" s="485">
        <f t="shared" si="12"/>
        <v>5.085613362086279E-2</v>
      </c>
      <c r="R43" s="483"/>
    </row>
    <row r="44" spans="2:20" ht="15.75" customHeight="1" x14ac:dyDescent="0.35">
      <c r="B44" s="443" t="s">
        <v>542</v>
      </c>
      <c r="C44" s="428">
        <f>Subduction!G44</f>
        <v>1836.8921044809999</v>
      </c>
      <c r="D44" s="428">
        <f>'Global mass balance'!E21</f>
        <v>2462.5785516734891</v>
      </c>
      <c r="E44" s="428">
        <f>'Global mass balance'!E41</f>
        <v>60.283687943262414</v>
      </c>
      <c r="F44" s="438">
        <f>'Global mass balance'!E60</f>
        <v>170.04949767194549</v>
      </c>
      <c r="G44" s="439">
        <f t="shared" si="10"/>
        <v>2692.9117372886972</v>
      </c>
      <c r="H44" s="430">
        <f t="shared" si="11"/>
        <v>230.3331856152079</v>
      </c>
      <c r="I44" s="208"/>
      <c r="P44" s="232" t="s">
        <v>371</v>
      </c>
      <c r="Q44" s="485">
        <f t="shared" si="12"/>
        <v>0.19733038173997922</v>
      </c>
      <c r="R44" s="483"/>
    </row>
    <row r="45" spans="2:20" ht="15.75" customHeight="1" x14ac:dyDescent="0.35">
      <c r="B45" s="443" t="s">
        <v>543</v>
      </c>
      <c r="C45" s="428">
        <f>Subduction!G45</f>
        <v>39.019776245800003</v>
      </c>
      <c r="D45" s="428">
        <f>'Global mass balance'!E22</f>
        <v>45.577777720007305</v>
      </c>
      <c r="E45" s="428">
        <f>'Global mass balance'!E42</f>
        <v>1.118421052631579</v>
      </c>
      <c r="F45" s="438">
        <f>'Global mass balance'!E61</f>
        <v>2.6927532851406468</v>
      </c>
      <c r="G45" s="439">
        <f t="shared" si="10"/>
        <v>49.388952057779534</v>
      </c>
      <c r="H45" s="430">
        <f t="shared" si="11"/>
        <v>3.8111743377722256</v>
      </c>
      <c r="I45" s="208"/>
      <c r="P45" s="234" t="s">
        <v>372</v>
      </c>
      <c r="Q45" s="485">
        <f t="shared" si="12"/>
        <v>1.9883757749560815</v>
      </c>
      <c r="R45" s="483"/>
    </row>
    <row r="46" spans="2:20" ht="15.75" customHeight="1" x14ac:dyDescent="0.35">
      <c r="B46" s="444" t="s">
        <v>544</v>
      </c>
      <c r="C46" s="428">
        <f>Subduction!G46</f>
        <v>65123921128284.422</v>
      </c>
      <c r="D46" s="428">
        <f>'Global mass balance'!E23</f>
        <v>32451420000000</v>
      </c>
      <c r="E46" s="428">
        <f>'Global mass balance'!E43</f>
        <v>7901086243945.2441</v>
      </c>
      <c r="F46" s="438">
        <f>'Global mass balance'!E62</f>
        <v>1678691102600.2239</v>
      </c>
      <c r="G46" s="439">
        <f>D46+E46+F46</f>
        <v>42031197346545.469</v>
      </c>
      <c r="H46" s="430">
        <f t="shared" si="11"/>
        <v>9579777346545.4688</v>
      </c>
      <c r="I46" s="208"/>
      <c r="P46" s="232" t="s">
        <v>373</v>
      </c>
      <c r="Q46" s="485">
        <f>Q31/$Q$24</f>
        <v>3.1205923547450287</v>
      </c>
      <c r="R46" s="483"/>
    </row>
    <row r="47" spans="2:20" ht="15.75" customHeight="1" x14ac:dyDescent="0.35">
      <c r="B47" s="443" t="s">
        <v>545</v>
      </c>
      <c r="C47" s="428">
        <f>Subduction!G47</f>
        <v>7393265483284.7637</v>
      </c>
      <c r="D47" s="428">
        <f>'Global mass balance'!E24</f>
        <v>969774217694.08765</v>
      </c>
      <c r="E47" s="428">
        <f>'Global mass balance'!E44</f>
        <v>2380000000000</v>
      </c>
      <c r="F47" s="438">
        <f>'Global mass balance'!E63</f>
        <v>438264433428.76636</v>
      </c>
      <c r="G47" s="439">
        <f>D47+E47+F47</f>
        <v>3788038651122.8545</v>
      </c>
      <c r="H47" s="430">
        <f t="shared" si="11"/>
        <v>2818264433428.7666</v>
      </c>
      <c r="I47" s="218"/>
      <c r="P47" s="234" t="s">
        <v>18</v>
      </c>
      <c r="Q47" s="485">
        <f t="shared" si="12"/>
        <v>12.254952476046666</v>
      </c>
      <c r="R47" s="483"/>
    </row>
    <row r="48" spans="2:20" ht="15.75" customHeight="1" x14ac:dyDescent="0.35">
      <c r="B48" s="444" t="s">
        <v>18</v>
      </c>
      <c r="C48" s="428">
        <f>Subduction!G48</f>
        <v>2550814310294.2275</v>
      </c>
      <c r="D48" s="428">
        <f>'Global mass balance'!E25</f>
        <v>341493840636.20776</v>
      </c>
      <c r="E48" s="428">
        <f>'Global mass balance'!E45</f>
        <v>2262766041727.7412</v>
      </c>
      <c r="F48" s="438">
        <f>'Global mass balance'!E64</f>
        <v>225573261911.74179</v>
      </c>
      <c r="G48" s="439">
        <f t="shared" si="10"/>
        <v>2829833144275.6909</v>
      </c>
      <c r="H48" s="430">
        <f t="shared" si="11"/>
        <v>2488339303639.4829</v>
      </c>
      <c r="I48" s="208"/>
      <c r="P48" s="234" t="s">
        <v>19</v>
      </c>
      <c r="Q48" s="485">
        <f t="shared" si="12"/>
        <v>0.8105938448390223</v>
      </c>
      <c r="R48" s="483"/>
    </row>
    <row r="49" spans="2:18" ht="15.75" customHeight="1" x14ac:dyDescent="0.35">
      <c r="B49" s="444" t="s">
        <v>19</v>
      </c>
      <c r="C49" s="428">
        <f>Subduction!G49</f>
        <v>426766232727.78101</v>
      </c>
      <c r="D49" s="428">
        <f>'Global mass balance'!E26</f>
        <v>297841800000</v>
      </c>
      <c r="E49" s="428">
        <f>'Global mass balance'!E46</f>
        <v>110759320742.86813</v>
      </c>
      <c r="F49" s="438">
        <f>'Global mass balance'!E65</f>
        <v>38987280901.489601</v>
      </c>
      <c r="G49" s="439">
        <f t="shared" si="10"/>
        <v>447588401644.35779</v>
      </c>
      <c r="H49" s="430">
        <f t="shared" si="11"/>
        <v>149746601644.35773</v>
      </c>
      <c r="I49" s="218"/>
      <c r="P49" s="234" t="s">
        <v>20</v>
      </c>
      <c r="Q49" s="485">
        <f t="shared" si="12"/>
        <v>1.7059851947438198</v>
      </c>
      <c r="R49" s="483"/>
    </row>
    <row r="50" spans="2:18" ht="15.75" customHeight="1" x14ac:dyDescent="0.35">
      <c r="B50" s="444" t="s">
        <v>20</v>
      </c>
      <c r="C50" s="428">
        <f>Subduction!G50</f>
        <v>421412189134.71069</v>
      </c>
      <c r="D50" s="428">
        <f>'Global mass balance'!E27</f>
        <v>23208451948.051949</v>
      </c>
      <c r="E50" s="428">
        <f>'Global mass balance'!E47</f>
        <v>405266283206.83582</v>
      </c>
      <c r="F50" s="438">
        <f>'Global mass balance'!E66</f>
        <v>50332262376.882591</v>
      </c>
      <c r="G50" s="439">
        <f t="shared" si="10"/>
        <v>478806997531.77032</v>
      </c>
      <c r="H50" s="430">
        <f t="shared" si="11"/>
        <v>455598545583.71838</v>
      </c>
      <c r="I50" s="218"/>
      <c r="P50" s="234" t="s">
        <v>21</v>
      </c>
      <c r="Q50" s="485">
        <f t="shared" si="12"/>
        <v>2.3354718565052797</v>
      </c>
      <c r="R50" s="483"/>
    </row>
    <row r="51" spans="2:18" ht="15.75" customHeight="1" x14ac:dyDescent="0.35">
      <c r="B51" s="444" t="s">
        <v>21</v>
      </c>
      <c r="C51" s="428">
        <f>Subduction!G51</f>
        <v>1558437652.6462159</v>
      </c>
      <c r="D51" s="428">
        <f>'Global mass balance'!E28</f>
        <v>1038983023.255814</v>
      </c>
      <c r="E51" s="428">
        <f>'Global mass balance'!E48</f>
        <v>148539049.33280391</v>
      </c>
      <c r="F51" s="438">
        <f>'Global mass balance'!E67</f>
        <v>52285745.365146972</v>
      </c>
      <c r="G51" s="439">
        <f t="shared" si="10"/>
        <v>1239807817.9537647</v>
      </c>
      <c r="H51" s="430">
        <f t="shared" si="11"/>
        <v>200824794.69795087</v>
      </c>
      <c r="I51" s="218"/>
      <c r="P51" s="236" t="s">
        <v>22</v>
      </c>
      <c r="Q51" s="484">
        <f t="shared" si="12"/>
        <v>6.0723697014250853</v>
      </c>
      <c r="R51" s="459"/>
    </row>
    <row r="52" spans="2:18" ht="15.75" customHeight="1" x14ac:dyDescent="0.35">
      <c r="B52" s="445" t="s">
        <v>22</v>
      </c>
      <c r="C52" s="433">
        <f>Subduction!G52</f>
        <v>275092164.62223542</v>
      </c>
      <c r="D52" s="433">
        <f>'Global mass balance'!E29</f>
        <v>138531069.76744187</v>
      </c>
      <c r="E52" s="433">
        <f>'Global mass balance'!E49</f>
        <v>2388299.1736088148</v>
      </c>
      <c r="F52" s="440">
        <f>'Global mass balance'!E68</f>
        <v>840681.30911030283</v>
      </c>
      <c r="G52" s="441">
        <f t="shared" si="10"/>
        <v>141760050.25016099</v>
      </c>
      <c r="H52" s="435">
        <f t="shared" si="11"/>
        <v>3228980.4827191178</v>
      </c>
      <c r="I52" s="218"/>
    </row>
    <row r="53" spans="2:18" ht="15.75" customHeight="1" x14ac:dyDescent="0.35">
      <c r="H53" s="39"/>
      <c r="I53" s="218"/>
    </row>
    <row r="54" spans="2:18" ht="15.75" customHeight="1" x14ac:dyDescent="0.35"/>
    <row r="55" spans="2:18" ht="15.75" customHeight="1" x14ac:dyDescent="0.35"/>
    <row r="56" spans="2:18" ht="15.75" customHeight="1" x14ac:dyDescent="0.35"/>
    <row r="57" spans="2:18" ht="15.75" customHeight="1" x14ac:dyDescent="0.35"/>
    <row r="58" spans="2:18" ht="15.75" customHeight="1" x14ac:dyDescent="0.35"/>
    <row r="59" spans="2:18" ht="15.75" customHeight="1" x14ac:dyDescent="0.35"/>
    <row r="60" spans="2:18" ht="15.75" customHeight="1" x14ac:dyDescent="0.35"/>
    <row r="61" spans="2:18" ht="15.75" customHeight="1" x14ac:dyDescent="0.35"/>
    <row r="62" spans="2:18" ht="15.75" customHeight="1" x14ac:dyDescent="0.35"/>
    <row r="63" spans="2:18" ht="15.75" customHeight="1" x14ac:dyDescent="0.35"/>
    <row r="64" spans="2:18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mergeCells count="32">
    <mergeCell ref="Q35:R35"/>
    <mergeCell ref="Q34:R34"/>
    <mergeCell ref="Q32:R32"/>
    <mergeCell ref="Q33:R33"/>
    <mergeCell ref="A1:Z1"/>
    <mergeCell ref="U4:W4"/>
    <mergeCell ref="Q25:R25"/>
    <mergeCell ref="Q24:R24"/>
    <mergeCell ref="P23:R23"/>
    <mergeCell ref="K4:M4"/>
    <mergeCell ref="P4:R4"/>
    <mergeCell ref="Q27:R27"/>
    <mergeCell ref="Q26:R26"/>
    <mergeCell ref="Q31:R31"/>
    <mergeCell ref="Q30:R30"/>
    <mergeCell ref="Q29:R29"/>
    <mergeCell ref="Q28:R28"/>
    <mergeCell ref="Q51:R51"/>
    <mergeCell ref="Q40:R40"/>
    <mergeCell ref="Q39:R39"/>
    <mergeCell ref="Q36:R36"/>
    <mergeCell ref="P38:R38"/>
    <mergeCell ref="Q46:R46"/>
    <mergeCell ref="Q45:R45"/>
    <mergeCell ref="Q44:R44"/>
    <mergeCell ref="Q43:R43"/>
    <mergeCell ref="Q42:R42"/>
    <mergeCell ref="Q41:R41"/>
    <mergeCell ref="Q50:R50"/>
    <mergeCell ref="Q47:R47"/>
    <mergeCell ref="Q48:R48"/>
    <mergeCell ref="Q49:R49"/>
  </mergeCells>
  <pageMargins left="0.75" right="0.75" top="1" bottom="1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0"/>
  <sheetViews>
    <sheetView workbookViewId="0">
      <selection activeCell="O34" sqref="O34"/>
    </sheetView>
  </sheetViews>
  <sheetFormatPr defaultColWidth="11.53515625" defaultRowHeight="15.5" x14ac:dyDescent="0.35"/>
  <cols>
    <col min="3" max="3" width="10.84375" bestFit="1" customWidth="1"/>
    <col min="4" max="4" width="14.4609375" customWidth="1"/>
    <col min="5" max="5" width="14.53515625" customWidth="1"/>
    <col min="6" max="6" width="13.69140625" customWidth="1"/>
    <col min="9" max="16" width="11.3046875" bestFit="1" customWidth="1"/>
  </cols>
  <sheetData>
    <row r="1" spans="1:22" s="304" customFormat="1" ht="15.75" customHeight="1" x14ac:dyDescent="0.35">
      <c r="A1" s="455" t="s">
        <v>457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</row>
    <row r="2" spans="1:22" x14ac:dyDescent="0.35">
      <c r="I2" s="490" t="s">
        <v>550</v>
      </c>
      <c r="J2" s="490"/>
      <c r="K2" s="490"/>
      <c r="L2" s="490"/>
      <c r="M2" s="490"/>
      <c r="N2" s="490"/>
      <c r="O2" s="490"/>
      <c r="P2" s="490"/>
    </row>
    <row r="3" spans="1:22" ht="18.5" x14ac:dyDescent="0.45">
      <c r="B3" s="309"/>
      <c r="C3" s="317" t="s">
        <v>451</v>
      </c>
      <c r="D3" s="318" t="s">
        <v>453</v>
      </c>
      <c r="E3" s="318" t="s">
        <v>450</v>
      </c>
      <c r="F3" s="318" t="s">
        <v>455</v>
      </c>
      <c r="G3" s="319" t="s">
        <v>456</v>
      </c>
      <c r="H3" s="313"/>
      <c r="I3" s="316">
        <v>0</v>
      </c>
      <c r="J3" s="316">
        <v>500000000</v>
      </c>
      <c r="K3" s="316">
        <v>1000000000</v>
      </c>
      <c r="L3" s="316">
        <v>1500000000</v>
      </c>
      <c r="M3" s="316">
        <v>2000000000</v>
      </c>
      <c r="N3" s="316">
        <v>2500000000</v>
      </c>
      <c r="O3" s="316">
        <v>3000000000</v>
      </c>
      <c r="P3" s="316">
        <v>3500000000</v>
      </c>
    </row>
    <row r="4" spans="1:22" ht="18.5" x14ac:dyDescent="0.45">
      <c r="B4" s="322" t="s">
        <v>452</v>
      </c>
      <c r="C4" s="308">
        <f>'Global mass balance'!Y17</f>
        <v>3.57E+20</v>
      </c>
      <c r="D4" s="311">
        <f>Subduction!G41</f>
        <v>109276434610.57922</v>
      </c>
      <c r="E4" s="348">
        <f>D4-'Fig. 2'!D6</f>
        <v>42051444076.497673</v>
      </c>
      <c r="F4" s="311">
        <f>'Fig. 2'!H6</f>
        <v>23516750000.855812</v>
      </c>
      <c r="G4" s="314">
        <f t="shared" ref="G4:G16" si="0">F4-E4</f>
        <v>-18534694075.641861</v>
      </c>
      <c r="H4" s="313"/>
      <c r="I4" s="315">
        <f t="shared" ref="I4:I13" si="1">C4-G4*$I$3</f>
        <v>3.57E+20</v>
      </c>
      <c r="J4" s="315">
        <f t="shared" ref="J4:J13" si="2">C4-G4*$J$3</f>
        <v>3.6626734703782094E+20</v>
      </c>
      <c r="K4" s="315">
        <f t="shared" ref="K4:K13" si="3">C4-G4*$K$3</f>
        <v>3.7553469407564189E+20</v>
      </c>
      <c r="L4" s="315">
        <f t="shared" ref="L4:L13" si="4">C4-G4*$L$3</f>
        <v>3.8480204111346277E+20</v>
      </c>
      <c r="M4" s="315">
        <f t="shared" ref="M4:M13" si="5">C4-G4*$M$3</f>
        <v>3.9406938815128371E+20</v>
      </c>
      <c r="N4" s="315">
        <f t="shared" ref="N4:N13" si="6">C4-G4*$N$3</f>
        <v>4.0333673518910466E+20</v>
      </c>
      <c r="O4" s="315">
        <f t="shared" ref="O4:O13" si="7">C4-G4*$O$3</f>
        <v>4.126040822269256E+20</v>
      </c>
      <c r="P4" s="315">
        <f t="shared" ref="P4:P13" si="8">C4-G4*$P$3</f>
        <v>4.2187142926474648E+20</v>
      </c>
    </row>
    <row r="5" spans="1:22" ht="18.5" x14ac:dyDescent="0.45">
      <c r="B5" s="322" t="s">
        <v>118</v>
      </c>
      <c r="C5" s="308">
        <f>'Global mass balance'!Y18</f>
        <v>91400000000000</v>
      </c>
      <c r="D5" s="311">
        <v>0</v>
      </c>
      <c r="E5" s="348">
        <f>D5-'Fig. 2'!D7</f>
        <v>-73.851739433122646</v>
      </c>
      <c r="F5" s="311">
        <f>'Fig. 2'!H7</f>
        <v>1680.4681909956348</v>
      </c>
      <c r="G5" s="314">
        <f t="shared" si="0"/>
        <v>1754.3199304287575</v>
      </c>
      <c r="H5" s="313"/>
      <c r="I5" s="315">
        <f t="shared" si="1"/>
        <v>91400000000000</v>
      </c>
      <c r="J5" s="315">
        <f t="shared" si="2"/>
        <v>90522840034785.625</v>
      </c>
      <c r="K5" s="315">
        <f t="shared" si="3"/>
        <v>89645680069571.25</v>
      </c>
      <c r="L5" s="315">
        <f t="shared" si="4"/>
        <v>88768520104356.859</v>
      </c>
      <c r="M5" s="315">
        <f t="shared" si="5"/>
        <v>87891360139142.484</v>
      </c>
      <c r="N5" s="315">
        <f t="shared" si="6"/>
        <v>87014200173928.109</v>
      </c>
      <c r="O5" s="315">
        <f t="shared" si="7"/>
        <v>86137040208713.734</v>
      </c>
      <c r="P5" s="315">
        <f t="shared" si="8"/>
        <v>85259880243499.344</v>
      </c>
    </row>
    <row r="6" spans="1:22" ht="18.5" x14ac:dyDescent="0.45">
      <c r="B6" s="322" t="s">
        <v>83</v>
      </c>
      <c r="C6" s="308">
        <f>'Global mass balance'!Y19</f>
        <v>136000000000000</v>
      </c>
      <c r="D6" s="311">
        <f>Subduction!G42</f>
        <v>369.18738419289997</v>
      </c>
      <c r="E6" s="348">
        <f>D6-'Fig. 2'!D8</f>
        <v>-2299.0044921005638</v>
      </c>
      <c r="F6" s="311">
        <f>'Fig. 2'!H8</f>
        <v>467.01327120721572</v>
      </c>
      <c r="G6" s="314">
        <f t="shared" si="0"/>
        <v>2766.0177633077797</v>
      </c>
      <c r="H6" s="313"/>
      <c r="I6" s="315">
        <f t="shared" si="1"/>
        <v>136000000000000</v>
      </c>
      <c r="J6" s="315">
        <f t="shared" si="2"/>
        <v>134616991118346.11</v>
      </c>
      <c r="K6" s="315">
        <f t="shared" si="3"/>
        <v>133233982236692.22</v>
      </c>
      <c r="L6" s="315">
        <f t="shared" si="4"/>
        <v>131850973355038.33</v>
      </c>
      <c r="M6" s="315">
        <f t="shared" si="5"/>
        <v>130467964473384.44</v>
      </c>
      <c r="N6" s="315">
        <f t="shared" si="6"/>
        <v>129084955591730.55</v>
      </c>
      <c r="O6" s="315">
        <f t="shared" si="7"/>
        <v>127701946710076.66</v>
      </c>
      <c r="P6" s="315">
        <f t="shared" si="8"/>
        <v>126318937828422.77</v>
      </c>
    </row>
    <row r="7" spans="1:22" ht="18.5" x14ac:dyDescent="0.45">
      <c r="B7" s="322" t="s">
        <v>49</v>
      </c>
      <c r="C7" s="308">
        <f>'Global mass balance'!Y20</f>
        <v>5730000000000000</v>
      </c>
      <c r="D7" s="311">
        <f>Subduction!G43</f>
        <v>24265.137655569997</v>
      </c>
      <c r="E7" s="348">
        <f>D7-'Fig. 2'!D9</f>
        <v>441.99590294979134</v>
      </c>
      <c r="F7" s="311">
        <f>'Fig. 2'!H9</f>
        <v>3003.3148670678474</v>
      </c>
      <c r="G7" s="314">
        <f t="shared" si="0"/>
        <v>2561.3189641180561</v>
      </c>
      <c r="H7" s="313"/>
      <c r="I7" s="315">
        <f t="shared" si="1"/>
        <v>5730000000000000</v>
      </c>
      <c r="J7" s="315">
        <f t="shared" si="2"/>
        <v>5728719340517941</v>
      </c>
      <c r="K7" s="315">
        <f t="shared" si="3"/>
        <v>5727438681035882</v>
      </c>
      <c r="L7" s="315">
        <f t="shared" si="4"/>
        <v>5726158021553823</v>
      </c>
      <c r="M7" s="315">
        <f t="shared" si="5"/>
        <v>5724877362071764</v>
      </c>
      <c r="N7" s="315">
        <f t="shared" si="6"/>
        <v>5723596702589705</v>
      </c>
      <c r="O7" s="315">
        <f t="shared" si="7"/>
        <v>5722316043107646</v>
      </c>
      <c r="P7" s="315">
        <f t="shared" si="8"/>
        <v>5721035383625587</v>
      </c>
    </row>
    <row r="8" spans="1:22" ht="18.5" x14ac:dyDescent="0.45">
      <c r="B8" s="322" t="s">
        <v>160</v>
      </c>
      <c r="C8" s="308">
        <f>'Global mass balance'!Y21</f>
        <v>118000000000000</v>
      </c>
      <c r="D8" s="311">
        <f>Subduction!G44</f>
        <v>1836.8921044809999</v>
      </c>
      <c r="E8" s="348">
        <f>D8-'Fig. 2'!D10</f>
        <v>512.32542303531659</v>
      </c>
      <c r="F8" s="311">
        <f>'Fig. 2'!H10</f>
        <v>156.77778954325021</v>
      </c>
      <c r="G8" s="314">
        <f t="shared" si="0"/>
        <v>-355.54763349206638</v>
      </c>
      <c r="H8" s="313"/>
      <c r="I8" s="315">
        <f t="shared" si="1"/>
        <v>118000000000000</v>
      </c>
      <c r="J8" s="315">
        <f t="shared" si="2"/>
        <v>118177773816746.03</v>
      </c>
      <c r="K8" s="315">
        <f t="shared" si="3"/>
        <v>118355547633492.06</v>
      </c>
      <c r="L8" s="315">
        <f t="shared" si="4"/>
        <v>118533321450238.09</v>
      </c>
      <c r="M8" s="315">
        <f t="shared" si="5"/>
        <v>118711095266984.13</v>
      </c>
      <c r="N8" s="315">
        <f t="shared" si="6"/>
        <v>118888869083730.17</v>
      </c>
      <c r="O8" s="315">
        <f t="shared" si="7"/>
        <v>119066642900476.2</v>
      </c>
      <c r="P8" s="315">
        <f t="shared" si="8"/>
        <v>119244416717222.23</v>
      </c>
    </row>
    <row r="9" spans="1:22" ht="18.5" x14ac:dyDescent="0.45">
      <c r="B9" s="322" t="s">
        <v>164</v>
      </c>
      <c r="C9" s="308">
        <f>'Global mass balance'!Y22</f>
        <v>646000000000</v>
      </c>
      <c r="D9" s="311">
        <f>Subduction!G45</f>
        <v>39.019776245800003</v>
      </c>
      <c r="E9" s="348">
        <f>D9-'Fig. 2'!D11</f>
        <v>14.124593114311885</v>
      </c>
      <c r="F9" s="311">
        <f>'Fig. 2'!H11</f>
        <v>2.4633224850829385</v>
      </c>
      <c r="G9" s="314">
        <f t="shared" si="0"/>
        <v>-11.661270629228946</v>
      </c>
      <c r="H9" s="310"/>
      <c r="I9" s="312">
        <f t="shared" si="1"/>
        <v>646000000000</v>
      </c>
      <c r="J9" s="315">
        <f t="shared" si="2"/>
        <v>651830635314.6145</v>
      </c>
      <c r="K9" s="315">
        <f t="shared" si="3"/>
        <v>657661270629.229</v>
      </c>
      <c r="L9" s="315">
        <f t="shared" si="4"/>
        <v>663491905943.84338</v>
      </c>
      <c r="M9" s="315">
        <f t="shared" si="5"/>
        <v>669322541258.45789</v>
      </c>
      <c r="N9" s="315">
        <f t="shared" si="6"/>
        <v>675153176573.07239</v>
      </c>
      <c r="O9" s="315">
        <f t="shared" si="7"/>
        <v>680983811887.68689</v>
      </c>
      <c r="P9" s="315">
        <f t="shared" si="8"/>
        <v>686814447202.30127</v>
      </c>
    </row>
    <row r="10" spans="1:22" ht="18.5" x14ac:dyDescent="0.45">
      <c r="B10" s="322" t="s">
        <v>263</v>
      </c>
      <c r="C10" s="308">
        <f>'Global mass balance'!Y23</f>
        <v>1.07E+23</v>
      </c>
      <c r="D10" s="311">
        <f>Subduction!G46</f>
        <v>65123921128284.422</v>
      </c>
      <c r="E10" s="348">
        <f>D10-'Fig. 2'!D12</f>
        <v>35562011128284.422</v>
      </c>
      <c r="F10" s="311">
        <f>'Fig. 2'!H12</f>
        <v>7422554270216.0352</v>
      </c>
      <c r="G10" s="314">
        <f t="shared" si="0"/>
        <v>-28139456858068.387</v>
      </c>
      <c r="H10" s="310"/>
      <c r="I10" s="312">
        <f t="shared" si="1"/>
        <v>1.07E+23</v>
      </c>
      <c r="J10" s="315">
        <f t="shared" si="2"/>
        <v>1.210697284290342E+23</v>
      </c>
      <c r="K10" s="315">
        <f t="shared" si="3"/>
        <v>1.3513945685806839E+23</v>
      </c>
      <c r="L10" s="315">
        <f t="shared" si="4"/>
        <v>1.4920918528710257E+23</v>
      </c>
      <c r="M10" s="315">
        <f t="shared" si="5"/>
        <v>1.6327891371613677E+23</v>
      </c>
      <c r="N10" s="315">
        <f t="shared" si="6"/>
        <v>1.7734864214517096E+23</v>
      </c>
      <c r="O10" s="315">
        <f t="shared" si="7"/>
        <v>1.9141837057420516E+23</v>
      </c>
      <c r="P10" s="315">
        <f t="shared" si="8"/>
        <v>2.0548809900323935E+23</v>
      </c>
    </row>
    <row r="11" spans="1:22" ht="18.5" x14ac:dyDescent="0.45">
      <c r="B11" s="322" t="s">
        <v>172</v>
      </c>
      <c r="C11" s="308">
        <f>'Global mass balance'!Y24</f>
        <v>7.74E+21</v>
      </c>
      <c r="D11" s="311">
        <f>Subduction!G47</f>
        <v>7393265483284.7637</v>
      </c>
      <c r="E11" s="348">
        <f>D11-'Fig. 2'!D13</f>
        <v>6526618424051.3311</v>
      </c>
      <c r="F11" s="311">
        <f>'Fig. 2'!H13</f>
        <v>2031611888279.9365</v>
      </c>
      <c r="G11" s="314">
        <f t="shared" si="0"/>
        <v>-4495006535771.3945</v>
      </c>
      <c r="H11" s="310"/>
      <c r="I11" s="312">
        <f t="shared" si="1"/>
        <v>7.74E+21</v>
      </c>
      <c r="J11" s="315">
        <f t="shared" si="2"/>
        <v>9.9875032678856969E+21</v>
      </c>
      <c r="K11" s="315">
        <f t="shared" si="3"/>
        <v>1.2235006535771395E+22</v>
      </c>
      <c r="L11" s="315">
        <f t="shared" si="4"/>
        <v>1.4482509803657093E+22</v>
      </c>
      <c r="M11" s="315">
        <f t="shared" si="5"/>
        <v>1.6730013071542789E+22</v>
      </c>
      <c r="N11" s="315">
        <f t="shared" si="6"/>
        <v>1.8977516339428485E+22</v>
      </c>
      <c r="O11" s="315">
        <f t="shared" si="7"/>
        <v>2.1225019607314185E+22</v>
      </c>
      <c r="P11" s="315">
        <f t="shared" si="8"/>
        <v>2.3472522875199881E+22</v>
      </c>
    </row>
    <row r="12" spans="1:22" ht="18.5" x14ac:dyDescent="0.45">
      <c r="B12" s="323" t="s">
        <v>18</v>
      </c>
      <c r="C12" s="308">
        <f>'Global mass balance'!Y25</f>
        <v>6.8E+20</v>
      </c>
      <c r="D12" s="311">
        <f>Subduction!G48</f>
        <v>2550814310294.2275</v>
      </c>
      <c r="E12" s="348">
        <f>D12-'Fig. 2'!D14</f>
        <v>2220032989976.1235</v>
      </c>
      <c r="F12" s="311">
        <f>'Fig. 2'!H14</f>
        <v>2218703786770.6221</v>
      </c>
      <c r="G12" s="314">
        <f t="shared" si="0"/>
        <v>-1329203205.5014648</v>
      </c>
      <c r="H12" s="310"/>
      <c r="I12" s="312">
        <f t="shared" si="1"/>
        <v>6.8E+20</v>
      </c>
      <c r="J12" s="315">
        <f t="shared" si="2"/>
        <v>6.8066460160275068E+20</v>
      </c>
      <c r="K12" s="315">
        <f t="shared" si="3"/>
        <v>6.8132920320550149E+20</v>
      </c>
      <c r="L12" s="315">
        <f t="shared" si="4"/>
        <v>6.8199380480825216E+20</v>
      </c>
      <c r="M12" s="315">
        <f t="shared" si="5"/>
        <v>6.8265840641100297E+20</v>
      </c>
      <c r="N12" s="315">
        <f t="shared" si="6"/>
        <v>6.8332300801375365E+20</v>
      </c>
      <c r="O12" s="315">
        <f t="shared" si="7"/>
        <v>6.8398760961650446E+20</v>
      </c>
      <c r="P12" s="315">
        <f t="shared" si="8"/>
        <v>6.8465221121925513E+20</v>
      </c>
    </row>
    <row r="13" spans="1:22" ht="18.5" x14ac:dyDescent="0.45">
      <c r="B13" s="323" t="s">
        <v>19</v>
      </c>
      <c r="C13" s="308">
        <f>'Global mass balance'!Y26</f>
        <v>1.72E+21</v>
      </c>
      <c r="D13" s="311">
        <f>Subduction!G49</f>
        <v>426766232727.78101</v>
      </c>
      <c r="E13" s="348">
        <f>D13-'Fig. 2'!D15</f>
        <v>200050832727.78101</v>
      </c>
      <c r="F13" s="311">
        <f>'Fig. 2'!H15</f>
        <v>125377580325.37827</v>
      </c>
      <c r="G13" s="314">
        <f t="shared" si="0"/>
        <v>-74673252402.40274</v>
      </c>
      <c r="H13" s="310"/>
      <c r="I13" s="312">
        <f t="shared" si="1"/>
        <v>1.72E+21</v>
      </c>
      <c r="J13" s="315">
        <f t="shared" si="2"/>
        <v>1.7573366262012015E+21</v>
      </c>
      <c r="K13" s="315">
        <f t="shared" si="3"/>
        <v>1.7946732524024027E+21</v>
      </c>
      <c r="L13" s="315">
        <f t="shared" si="4"/>
        <v>1.8320098786036042E+21</v>
      </c>
      <c r="M13" s="315">
        <f t="shared" si="5"/>
        <v>1.8693465048048054E+21</v>
      </c>
      <c r="N13" s="315">
        <f t="shared" si="6"/>
        <v>1.9066831310060069E+21</v>
      </c>
      <c r="O13" s="315">
        <f t="shared" si="7"/>
        <v>1.9440197572072083E+21</v>
      </c>
      <c r="P13" s="315">
        <f t="shared" si="8"/>
        <v>1.9813563834084095E+21</v>
      </c>
    </row>
    <row r="14" spans="1:22" ht="18.5" x14ac:dyDescent="0.45">
      <c r="B14" s="323" t="s">
        <v>20</v>
      </c>
      <c r="C14" s="308">
        <f>'Global mass balance'!Y27</f>
        <v>8.07E+20</v>
      </c>
      <c r="D14" s="311">
        <f>Subduction!G50</f>
        <v>421412189134.71069</v>
      </c>
      <c r="E14" s="348">
        <f>D14-'Fig. 2'!D16</f>
        <v>403746054069.77563</v>
      </c>
      <c r="F14" s="311">
        <f>'Fig. 2'!H16</f>
        <v>388330891605.15228</v>
      </c>
      <c r="G14" s="314">
        <f t="shared" si="0"/>
        <v>-15415162464.623352</v>
      </c>
      <c r="H14" s="310"/>
      <c r="I14" s="312"/>
      <c r="J14" s="315"/>
      <c r="K14" s="315"/>
      <c r="L14" s="315"/>
      <c r="M14" s="315"/>
      <c r="N14" s="315"/>
      <c r="O14" s="315"/>
      <c r="P14" s="315"/>
    </row>
    <row r="15" spans="1:22" ht="18.5" x14ac:dyDescent="0.45">
      <c r="B15" s="323" t="s">
        <v>21</v>
      </c>
      <c r="C15" s="308">
        <f>'Global mass balance'!Y28</f>
        <v>2.18E+18</v>
      </c>
      <c r="D15" s="311">
        <f>Subduction!G51</f>
        <v>1558437652.6462159</v>
      </c>
      <c r="E15" s="348">
        <f>D15-'Fig. 2'!D17</f>
        <v>1031192536.3671461</v>
      </c>
      <c r="F15" s="311">
        <f>'Fig. 2'!H17</f>
        <v>155762312.20929843</v>
      </c>
      <c r="G15" s="314">
        <f t="shared" si="0"/>
        <v>-875430224.15784764</v>
      </c>
      <c r="H15" s="310"/>
      <c r="I15" s="312">
        <f>C15-G15*$I$3</f>
        <v>2.18E+18</v>
      </c>
      <c r="J15" s="315">
        <f>C15-G15*$J$3</f>
        <v>2.6177151120789238E+18</v>
      </c>
      <c r="K15" s="315">
        <f>C15-G15*$K$3</f>
        <v>3.0554302241578476E+18</v>
      </c>
      <c r="L15" s="315">
        <f>C15-G15*$L$3</f>
        <v>3.4931453362367713E+18</v>
      </c>
      <c r="M15" s="315">
        <f>C15-G15*$M$3</f>
        <v>3.9308604483156951E+18</v>
      </c>
      <c r="N15" s="315">
        <f>C15-G15*$N$3</f>
        <v>4.3685755603946189E+18</v>
      </c>
      <c r="O15" s="315">
        <f>C15-G15*$O$3</f>
        <v>4.8062906724735427E+18</v>
      </c>
      <c r="P15" s="315">
        <f>C15-G15*$P$3</f>
        <v>5.2440057845524664E+18</v>
      </c>
    </row>
    <row r="16" spans="1:22" ht="18.5" x14ac:dyDescent="0.45">
      <c r="B16" s="323" t="s">
        <v>22</v>
      </c>
      <c r="C16" s="308">
        <f>'Global mass balance'!Y29</f>
        <v>1.48E+17</v>
      </c>
      <c r="D16" s="311">
        <f>Subduction!G52</f>
        <v>275092164.62223542</v>
      </c>
      <c r="E16" s="348">
        <f>D16-'Fig. 2'!D18</f>
        <v>209186525.08735168</v>
      </c>
      <c r="F16" s="311">
        <f>'Fig. 2'!H18</f>
        <v>2101586.1877563349</v>
      </c>
      <c r="G16" s="314">
        <f t="shared" si="0"/>
        <v>-207084938.89959535</v>
      </c>
      <c r="H16" s="310"/>
      <c r="I16" s="312">
        <f>C16-G16*$I$3</f>
        <v>1.48E+17</v>
      </c>
      <c r="J16" s="315">
        <f>C16-G16*$J$3</f>
        <v>2.515424694497977E+17</v>
      </c>
      <c r="K16" s="315">
        <f>C16-G16*$K$3</f>
        <v>3.5508493889959539E+17</v>
      </c>
      <c r="L16" s="315">
        <f>C16-G16*$L$3</f>
        <v>4.5862740834939302E+17</v>
      </c>
      <c r="M16" s="315">
        <f>C16-G16*$M$3</f>
        <v>5.6216987779919072E+17</v>
      </c>
      <c r="N16" s="315">
        <f>C16-G16*$N$3</f>
        <v>6.6571234724898842E+17</v>
      </c>
      <c r="O16" s="315">
        <f>C16-G16*$O$3</f>
        <v>7.6925481669878605E+17</v>
      </c>
      <c r="P16" s="315">
        <f>C16-G16*$P$3</f>
        <v>8.7279728614858368E+17</v>
      </c>
    </row>
    <row r="19" spans="6:16" x14ac:dyDescent="0.35">
      <c r="I19" s="490" t="s">
        <v>551</v>
      </c>
      <c r="J19" s="490"/>
      <c r="K19" s="490"/>
      <c r="L19" s="490"/>
      <c r="M19" s="490"/>
      <c r="N19" s="490"/>
      <c r="O19" s="490"/>
      <c r="P19" s="490"/>
    </row>
    <row r="21" spans="6:16" x14ac:dyDescent="0.35">
      <c r="F21" s="446"/>
      <c r="I21" s="490" t="s">
        <v>550</v>
      </c>
      <c r="J21" s="490"/>
      <c r="K21" s="490"/>
      <c r="L21" s="490"/>
      <c r="M21" s="490"/>
      <c r="N21" s="490"/>
      <c r="O21" s="490"/>
      <c r="P21" s="490"/>
    </row>
    <row r="22" spans="6:16" x14ac:dyDescent="0.35">
      <c r="I22" s="316">
        <v>0</v>
      </c>
      <c r="J22" s="316">
        <v>500000000</v>
      </c>
      <c r="K22" s="316">
        <v>1000000000</v>
      </c>
      <c r="L22" s="316">
        <v>1500000000</v>
      </c>
      <c r="M22" s="316">
        <v>2000000000</v>
      </c>
      <c r="N22" s="316">
        <v>2500000000</v>
      </c>
      <c r="O22" s="316">
        <v>3000000000</v>
      </c>
      <c r="P22" s="316">
        <v>3500000000</v>
      </c>
    </row>
    <row r="23" spans="6:16" ht="18.5" x14ac:dyDescent="0.35">
      <c r="G23" s="321"/>
      <c r="H23" s="322" t="s">
        <v>452</v>
      </c>
      <c r="I23" s="320">
        <f t="shared" ref="I23:P23" si="9">I4/$I$4</f>
        <v>1</v>
      </c>
      <c r="J23" s="320">
        <f t="shared" si="9"/>
        <v>1.025958955288014</v>
      </c>
      <c r="K23" s="320">
        <f t="shared" si="9"/>
        <v>1.0519179105760277</v>
      </c>
      <c r="L23" s="320">
        <f t="shared" si="9"/>
        <v>1.0778768658640414</v>
      </c>
      <c r="M23" s="320">
        <f t="shared" si="9"/>
        <v>1.1038358211520551</v>
      </c>
      <c r="N23" s="320">
        <f t="shared" si="9"/>
        <v>1.1297947764400691</v>
      </c>
      <c r="O23" s="320">
        <f t="shared" si="9"/>
        <v>1.1557537317280828</v>
      </c>
      <c r="P23" s="320">
        <f t="shared" si="9"/>
        <v>1.1817126870160966</v>
      </c>
    </row>
    <row r="24" spans="6:16" ht="18.5" x14ac:dyDescent="0.35">
      <c r="G24" s="321"/>
      <c r="H24" s="322" t="s">
        <v>118</v>
      </c>
      <c r="I24" s="320">
        <f t="shared" ref="I24:P24" si="10">I5/$I$5</f>
        <v>1</v>
      </c>
      <c r="J24" s="320">
        <f t="shared" si="10"/>
        <v>0.9904030638379171</v>
      </c>
      <c r="K24" s="320">
        <f t="shared" si="10"/>
        <v>0.98080612767583419</v>
      </c>
      <c r="L24" s="320">
        <f t="shared" si="10"/>
        <v>0.97120919151375118</v>
      </c>
      <c r="M24" s="320">
        <f t="shared" si="10"/>
        <v>0.96161225535166828</v>
      </c>
      <c r="N24" s="320">
        <f t="shared" si="10"/>
        <v>0.95201531918958548</v>
      </c>
      <c r="O24" s="320">
        <f t="shared" si="10"/>
        <v>0.94241838302750258</v>
      </c>
      <c r="P24" s="320">
        <f t="shared" si="10"/>
        <v>0.93282144686541957</v>
      </c>
    </row>
    <row r="25" spans="6:16" ht="18.5" x14ac:dyDescent="0.35">
      <c r="G25" s="321"/>
      <c r="H25" s="322" t="s">
        <v>83</v>
      </c>
      <c r="I25" s="320">
        <f t="shared" ref="I25:P25" si="11">I6/$I$6</f>
        <v>1</v>
      </c>
      <c r="J25" s="320">
        <f t="shared" si="11"/>
        <v>0.98983081704666254</v>
      </c>
      <c r="K25" s="320">
        <f t="shared" si="11"/>
        <v>0.97966163409332518</v>
      </c>
      <c r="L25" s="320">
        <f t="shared" si="11"/>
        <v>0.96949245113998772</v>
      </c>
      <c r="M25" s="320">
        <f t="shared" si="11"/>
        <v>0.95932326818665026</v>
      </c>
      <c r="N25" s="320">
        <f t="shared" si="11"/>
        <v>0.94915408523331279</v>
      </c>
      <c r="O25" s="320">
        <f t="shared" si="11"/>
        <v>0.93898490227997544</v>
      </c>
      <c r="P25" s="320">
        <f t="shared" si="11"/>
        <v>0.92881571932663798</v>
      </c>
    </row>
    <row r="26" spans="6:16" ht="18.5" x14ac:dyDescent="0.35">
      <c r="G26" s="321"/>
      <c r="H26" s="322" t="s">
        <v>49</v>
      </c>
      <c r="I26" s="320">
        <f t="shared" ref="I26:P26" si="12">I7/$I$7</f>
        <v>1</v>
      </c>
      <c r="J26" s="320">
        <f t="shared" si="12"/>
        <v>0.99977649921779077</v>
      </c>
      <c r="K26" s="320">
        <f t="shared" si="12"/>
        <v>0.99955299843558154</v>
      </c>
      <c r="L26" s="320">
        <f t="shared" si="12"/>
        <v>0.9993294976533722</v>
      </c>
      <c r="M26" s="320">
        <f t="shared" si="12"/>
        <v>0.99910599687116297</v>
      </c>
      <c r="N26" s="320">
        <f t="shared" si="12"/>
        <v>0.99888249608895374</v>
      </c>
      <c r="O26" s="320">
        <f t="shared" si="12"/>
        <v>0.99865899530674451</v>
      </c>
      <c r="P26" s="320">
        <f t="shared" si="12"/>
        <v>0.99843549452453528</v>
      </c>
    </row>
    <row r="27" spans="6:16" ht="18.5" x14ac:dyDescent="0.35">
      <c r="G27" s="321"/>
      <c r="H27" s="322" t="s">
        <v>160</v>
      </c>
      <c r="I27" s="320">
        <f t="shared" ref="I27:P27" si="13">I8/$I$8</f>
        <v>1</v>
      </c>
      <c r="J27" s="320">
        <f t="shared" si="13"/>
        <v>1.0015065577690341</v>
      </c>
      <c r="K27" s="320">
        <f t="shared" si="13"/>
        <v>1.0030131155380684</v>
      </c>
      <c r="L27" s="320">
        <f t="shared" si="13"/>
        <v>1.0045196733071025</v>
      </c>
      <c r="M27" s="320">
        <f t="shared" si="13"/>
        <v>1.0060262310761368</v>
      </c>
      <c r="N27" s="320">
        <f t="shared" si="13"/>
        <v>1.0075327888451711</v>
      </c>
      <c r="O27" s="320">
        <f t="shared" si="13"/>
        <v>1.0090393466142051</v>
      </c>
      <c r="P27" s="320">
        <f t="shared" si="13"/>
        <v>1.0105459043832392</v>
      </c>
    </row>
    <row r="28" spans="6:16" ht="18.5" x14ac:dyDescent="0.35">
      <c r="G28" s="321"/>
      <c r="H28" s="322" t="s">
        <v>164</v>
      </c>
      <c r="I28" s="320">
        <f t="shared" ref="I28:P28" si="14">I9/$I$9</f>
        <v>1</v>
      </c>
      <c r="J28" s="320">
        <f t="shared" si="14"/>
        <v>1.0090257512610132</v>
      </c>
      <c r="K28" s="320">
        <f t="shared" si="14"/>
        <v>1.0180515025220263</v>
      </c>
      <c r="L28" s="320">
        <f t="shared" si="14"/>
        <v>1.0270772537830393</v>
      </c>
      <c r="M28" s="320">
        <f t="shared" si="14"/>
        <v>1.0361030050440525</v>
      </c>
      <c r="N28" s="320">
        <f t="shared" si="14"/>
        <v>1.0451287563050655</v>
      </c>
      <c r="O28" s="320">
        <f t="shared" si="14"/>
        <v>1.0541545075660788</v>
      </c>
      <c r="P28" s="320">
        <f t="shared" si="14"/>
        <v>1.0631802588270918</v>
      </c>
    </row>
    <row r="29" spans="6:16" ht="18.5" x14ac:dyDescent="0.35">
      <c r="G29" s="321"/>
      <c r="H29" s="322" t="s">
        <v>263</v>
      </c>
      <c r="I29" s="327">
        <f t="shared" ref="I29:P29" si="15">I10/$I$10</f>
        <v>1</v>
      </c>
      <c r="J29" s="327">
        <f t="shared" si="15"/>
        <v>1.1314927890563944</v>
      </c>
      <c r="K29" s="327">
        <f t="shared" si="15"/>
        <v>1.2629855781127888</v>
      </c>
      <c r="L29" s="327">
        <f t="shared" si="15"/>
        <v>1.3944783671691829</v>
      </c>
      <c r="M29" s="327">
        <f t="shared" si="15"/>
        <v>1.5259711562255773</v>
      </c>
      <c r="N29" s="320">
        <f t="shared" si="15"/>
        <v>1.6574639452819715</v>
      </c>
      <c r="O29" s="320">
        <f t="shared" si="15"/>
        <v>1.7889567343383659</v>
      </c>
      <c r="P29" s="320">
        <f t="shared" si="15"/>
        <v>1.9204495233947603</v>
      </c>
    </row>
    <row r="30" spans="6:16" ht="18.5" x14ac:dyDescent="0.35">
      <c r="G30" s="321"/>
      <c r="H30" s="322" t="s">
        <v>172</v>
      </c>
      <c r="I30" s="320">
        <f t="shared" ref="I30:P30" si="16">I11/$I$11</f>
        <v>1</v>
      </c>
      <c r="J30" s="320">
        <f t="shared" si="16"/>
        <v>1.2903750992100385</v>
      </c>
      <c r="K30" s="320">
        <f t="shared" si="16"/>
        <v>1.5807501984200769</v>
      </c>
      <c r="L30" s="320">
        <f t="shared" si="16"/>
        <v>1.8711252976301154</v>
      </c>
      <c r="M30" s="320">
        <f t="shared" si="16"/>
        <v>2.1615003968401534</v>
      </c>
      <c r="N30" s="320">
        <f t="shared" si="16"/>
        <v>2.4518754960501918</v>
      </c>
      <c r="O30" s="320">
        <f t="shared" si="16"/>
        <v>2.7422505952602307</v>
      </c>
      <c r="P30" s="320">
        <f t="shared" si="16"/>
        <v>3.0326256944702688</v>
      </c>
    </row>
    <row r="31" spans="6:16" ht="18.5" x14ac:dyDescent="0.35">
      <c r="G31" s="321"/>
      <c r="H31" s="323" t="s">
        <v>18</v>
      </c>
      <c r="I31" s="320">
        <f t="shared" ref="I31:P31" si="17">I12/$I$12</f>
        <v>1</v>
      </c>
      <c r="J31" s="320">
        <f t="shared" si="17"/>
        <v>1.0009773552981627</v>
      </c>
      <c r="K31" s="320">
        <f t="shared" si="17"/>
        <v>1.0019547105963258</v>
      </c>
      <c r="L31" s="320">
        <f t="shared" si="17"/>
        <v>1.0029320658944885</v>
      </c>
      <c r="M31" s="320">
        <f t="shared" si="17"/>
        <v>1.0039094211926514</v>
      </c>
      <c r="N31" s="320">
        <f t="shared" si="17"/>
        <v>1.0048867764908143</v>
      </c>
      <c r="O31" s="320">
        <f t="shared" si="17"/>
        <v>1.0058641317889772</v>
      </c>
      <c r="P31" s="320">
        <f t="shared" si="17"/>
        <v>1.0068414870871398</v>
      </c>
    </row>
    <row r="32" spans="6:16" ht="18.5" x14ac:dyDescent="0.35">
      <c r="G32" s="321"/>
      <c r="H32" s="323" t="s">
        <v>19</v>
      </c>
      <c r="I32" s="320">
        <f t="shared" ref="I32:P32" si="18">I13/$I$13</f>
        <v>1</v>
      </c>
      <c r="J32" s="320">
        <f t="shared" si="18"/>
        <v>1.021707340814652</v>
      </c>
      <c r="K32" s="320">
        <f t="shared" si="18"/>
        <v>1.043414681629304</v>
      </c>
      <c r="L32" s="320">
        <f t="shared" si="18"/>
        <v>1.0651220224439559</v>
      </c>
      <c r="M32" s="320">
        <f t="shared" si="18"/>
        <v>1.0868293632586077</v>
      </c>
      <c r="N32" s="320">
        <f t="shared" si="18"/>
        <v>1.1085367040732599</v>
      </c>
      <c r="O32" s="320">
        <f t="shared" si="18"/>
        <v>1.1302440448879119</v>
      </c>
      <c r="P32" s="320">
        <f t="shared" si="18"/>
        <v>1.1519513857025636</v>
      </c>
    </row>
    <row r="33" spans="6:21" ht="18.5" x14ac:dyDescent="0.35">
      <c r="F33" s="366"/>
      <c r="G33" s="305"/>
      <c r="H33" s="356"/>
    </row>
    <row r="34" spans="6:21" x14ac:dyDescent="0.35">
      <c r="F34" s="325"/>
      <c r="I34" s="325"/>
      <c r="J34" s="325"/>
      <c r="K34" s="325"/>
    </row>
    <row r="35" spans="6:21" x14ac:dyDescent="0.35">
      <c r="F35" s="325"/>
      <c r="I35" s="325"/>
      <c r="J35" s="325"/>
      <c r="K35" s="325"/>
    </row>
    <row r="36" spans="6:21" x14ac:dyDescent="0.35">
      <c r="F36" s="325"/>
      <c r="I36" s="325"/>
      <c r="J36" s="325"/>
      <c r="K36" s="325"/>
    </row>
    <row r="37" spans="6:21" x14ac:dyDescent="0.35">
      <c r="F37" s="325"/>
      <c r="I37" s="325"/>
      <c r="J37" s="325"/>
      <c r="K37" s="325"/>
    </row>
    <row r="38" spans="6:21" x14ac:dyDescent="0.35">
      <c r="I38" s="325"/>
      <c r="J38" s="325"/>
      <c r="K38" s="325"/>
    </row>
    <row r="39" spans="6:21" x14ac:dyDescent="0.35">
      <c r="I39" s="325"/>
      <c r="J39" s="325"/>
      <c r="K39" s="325"/>
    </row>
    <row r="40" spans="6:21" x14ac:dyDescent="0.35"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</row>
    <row r="41" spans="6:21" x14ac:dyDescent="0.35"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</row>
    <row r="42" spans="6:21" x14ac:dyDescent="0.35"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</row>
    <row r="43" spans="6:21" x14ac:dyDescent="0.35"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</row>
    <row r="44" spans="6:21" x14ac:dyDescent="0.35"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</row>
    <row r="46" spans="6:21" x14ac:dyDescent="0.35"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</row>
    <row r="47" spans="6:21" x14ac:dyDescent="0.35"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</row>
    <row r="48" spans="6:21" x14ac:dyDescent="0.35"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</row>
    <row r="49" spans="9:21" x14ac:dyDescent="0.35"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</row>
    <row r="50" spans="9:21" x14ac:dyDescent="0.35"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</row>
  </sheetData>
  <mergeCells count="4">
    <mergeCell ref="A1:V1"/>
    <mergeCell ref="I2:P2"/>
    <mergeCell ref="I21:P21"/>
    <mergeCell ref="I19:P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31"/>
  <sheetViews>
    <sheetView topLeftCell="A79" workbookViewId="0">
      <selection activeCell="E44" sqref="E44"/>
    </sheetView>
  </sheetViews>
  <sheetFormatPr defaultColWidth="11.3046875" defaultRowHeight="15" customHeight="1" x14ac:dyDescent="0.35"/>
  <cols>
    <col min="2" max="2" width="15.53515625" customWidth="1"/>
    <col min="3" max="3" width="33.07421875" customWidth="1"/>
    <col min="4" max="4" width="15.4609375" customWidth="1"/>
    <col min="5" max="5" width="13.69140625" customWidth="1"/>
    <col min="6" max="6" width="13" customWidth="1"/>
    <col min="8" max="8" width="14.69140625" customWidth="1"/>
    <col min="11" max="11" width="12.3046875" customWidth="1"/>
    <col min="12" max="12" width="12.53515625" customWidth="1"/>
  </cols>
  <sheetData>
    <row r="1" spans="1:26" ht="15.5" x14ac:dyDescent="0.35">
      <c r="A1" s="455" t="s">
        <v>176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6" ht="15.5" x14ac:dyDescent="0.35">
      <c r="C2" s="118"/>
      <c r="D2" s="118"/>
      <c r="E2" s="39"/>
      <c r="F2" s="118"/>
      <c r="H2" s="118"/>
    </row>
    <row r="3" spans="1:26" ht="15.5" x14ac:dyDescent="0.35">
      <c r="C3" s="118"/>
      <c r="D3" s="118"/>
      <c r="E3" s="39"/>
      <c r="F3" s="118"/>
      <c r="H3" s="118"/>
    </row>
    <row r="4" spans="1:26" ht="15.5" x14ac:dyDescent="0.35">
      <c r="B4" s="491" t="s">
        <v>177</v>
      </c>
      <c r="C4" s="450"/>
      <c r="D4" s="450"/>
      <c r="E4" s="119"/>
      <c r="F4" s="120"/>
      <c r="G4" s="121"/>
      <c r="H4" s="120"/>
      <c r="I4" s="122"/>
    </row>
    <row r="5" spans="1:26" ht="15.5" x14ac:dyDescent="0.35">
      <c r="B5" s="469"/>
      <c r="C5" s="452"/>
      <c r="D5" s="452"/>
      <c r="E5" s="39"/>
      <c r="F5" s="118"/>
      <c r="H5" s="118"/>
      <c r="I5" s="55"/>
    </row>
    <row r="6" spans="1:26" ht="15.5" x14ac:dyDescent="0.35">
      <c r="B6" s="54"/>
      <c r="C6" s="118"/>
      <c r="D6" s="118"/>
      <c r="E6" s="39"/>
      <c r="F6" s="118"/>
      <c r="H6" s="118"/>
      <c r="I6" s="55"/>
    </row>
    <row r="7" spans="1:26" ht="15.5" x14ac:dyDescent="0.35">
      <c r="B7" s="492" t="s">
        <v>178</v>
      </c>
      <c r="C7" s="123" t="s">
        <v>179</v>
      </c>
      <c r="D7" s="124">
        <v>0.11</v>
      </c>
      <c r="E7" s="125" t="s">
        <v>180</v>
      </c>
      <c r="F7" s="126"/>
      <c r="G7" s="127"/>
      <c r="H7" s="127"/>
      <c r="I7" s="128"/>
    </row>
    <row r="8" spans="1:26" ht="15.5" x14ac:dyDescent="0.35">
      <c r="B8" s="469"/>
      <c r="C8" s="123" t="s">
        <v>181</v>
      </c>
      <c r="D8" s="124">
        <v>3</v>
      </c>
      <c r="E8" s="127"/>
      <c r="F8" s="123"/>
      <c r="G8" s="126"/>
      <c r="H8" s="123"/>
      <c r="I8" s="129"/>
      <c r="K8" s="273"/>
    </row>
    <row r="9" spans="1:26" ht="15.5" x14ac:dyDescent="0.35">
      <c r="B9" s="469"/>
      <c r="C9" s="123" t="s">
        <v>182</v>
      </c>
      <c r="D9" s="124">
        <v>6.4</v>
      </c>
      <c r="E9" s="124" t="s">
        <v>183</v>
      </c>
      <c r="F9" s="110">
        <f>D9*1000</f>
        <v>6400</v>
      </c>
      <c r="G9" s="124" t="s">
        <v>184</v>
      </c>
      <c r="H9" s="110">
        <f>F9*100</f>
        <v>640000</v>
      </c>
      <c r="I9" s="130" t="s">
        <v>185</v>
      </c>
    </row>
    <row r="10" spans="1:26" ht="15.5" x14ac:dyDescent="0.35">
      <c r="B10" s="469"/>
      <c r="C10" s="123" t="s">
        <v>186</v>
      </c>
      <c r="D10" s="124">
        <v>62338</v>
      </c>
      <c r="E10" s="124" t="s">
        <v>183</v>
      </c>
      <c r="F10" s="110">
        <f>D10*1000</f>
        <v>62338000</v>
      </c>
      <c r="G10" s="124" t="s">
        <v>184</v>
      </c>
      <c r="H10" s="110">
        <f>F10*100</f>
        <v>6233800000</v>
      </c>
      <c r="I10" s="130" t="s">
        <v>185</v>
      </c>
    </row>
    <row r="11" spans="1:26" ht="15.5" x14ac:dyDescent="0.35">
      <c r="B11" s="469"/>
      <c r="C11" s="123" t="s">
        <v>187</v>
      </c>
      <c r="D11" s="124">
        <v>46.6</v>
      </c>
      <c r="E11" s="124" t="s">
        <v>188</v>
      </c>
      <c r="F11" s="110">
        <f>D11/1000</f>
        <v>4.6600000000000003E-2</v>
      </c>
      <c r="G11" s="124" t="s">
        <v>189</v>
      </c>
      <c r="H11" s="110">
        <f>F11*100</f>
        <v>4.66</v>
      </c>
      <c r="I11" s="130" t="s">
        <v>190</v>
      </c>
    </row>
    <row r="12" spans="1:26" ht="15.5" x14ac:dyDescent="0.35">
      <c r="B12" s="469"/>
      <c r="C12" s="126"/>
      <c r="D12" s="123"/>
      <c r="E12" s="123"/>
      <c r="F12" s="131"/>
      <c r="G12" s="124"/>
      <c r="H12" s="127"/>
      <c r="I12" s="130"/>
    </row>
    <row r="13" spans="1:26" ht="15.5" x14ac:dyDescent="0.35">
      <c r="B13" s="469"/>
      <c r="C13" s="126"/>
      <c r="D13" s="489" t="s">
        <v>191</v>
      </c>
      <c r="E13" s="452"/>
      <c r="F13" s="131">
        <f>F11*F10*F9</f>
        <v>18591685120</v>
      </c>
      <c r="G13" s="124" t="s">
        <v>192</v>
      </c>
      <c r="H13" s="110">
        <f>F13*1000000</f>
        <v>1.859168512E+16</v>
      </c>
      <c r="I13" s="130" t="s">
        <v>193</v>
      </c>
    </row>
    <row r="14" spans="1:26" ht="15.5" x14ac:dyDescent="0.35">
      <c r="B14" s="469"/>
      <c r="C14" s="124"/>
      <c r="D14" s="124"/>
      <c r="E14" s="124"/>
      <c r="F14" s="131"/>
      <c r="G14" s="124"/>
      <c r="H14" s="127"/>
      <c r="I14" s="130"/>
    </row>
    <row r="15" spans="1:26" ht="15.5" x14ac:dyDescent="0.35">
      <c r="B15" s="469"/>
      <c r="C15" s="123" t="s">
        <v>194</v>
      </c>
      <c r="D15" s="124">
        <v>1.5</v>
      </c>
      <c r="E15" s="124" t="s">
        <v>195</v>
      </c>
      <c r="F15" s="131">
        <f>D15*1000000000</f>
        <v>1500000000</v>
      </c>
      <c r="G15" s="124" t="s">
        <v>192</v>
      </c>
      <c r="H15" s="110">
        <f>F15*1000000</f>
        <v>1500000000000000</v>
      </c>
      <c r="I15" s="130" t="s">
        <v>193</v>
      </c>
    </row>
    <row r="16" spans="1:26" ht="15.5" x14ac:dyDescent="0.35">
      <c r="B16" s="469"/>
      <c r="C16" s="126"/>
      <c r="D16" s="123"/>
      <c r="E16" s="123"/>
      <c r="F16" s="131"/>
      <c r="G16" s="124"/>
      <c r="H16" s="127"/>
      <c r="I16" s="130"/>
    </row>
    <row r="17" spans="2:10" ht="15.5" x14ac:dyDescent="0.35">
      <c r="B17" s="469"/>
      <c r="C17" s="126"/>
      <c r="D17" s="493" t="s">
        <v>196</v>
      </c>
      <c r="E17" s="452"/>
      <c r="F17" s="131">
        <f>F13+F15</f>
        <v>20091685120</v>
      </c>
      <c r="G17" s="124" t="s">
        <v>192</v>
      </c>
      <c r="H17" s="110">
        <f>F17*1000000</f>
        <v>2.009168512E+16</v>
      </c>
      <c r="I17" s="130" t="s">
        <v>193</v>
      </c>
    </row>
    <row r="18" spans="2:10" ht="15.5" x14ac:dyDescent="0.35">
      <c r="B18" s="469"/>
      <c r="C18" s="127"/>
      <c r="D18" s="452"/>
      <c r="E18" s="452"/>
      <c r="F18" s="110">
        <f>H17*D8</f>
        <v>6.027505536E+16</v>
      </c>
      <c r="G18" s="124" t="s">
        <v>197</v>
      </c>
      <c r="H18" s="126"/>
      <c r="I18" s="129"/>
    </row>
    <row r="19" spans="2:10" ht="15.5" x14ac:dyDescent="0.35">
      <c r="B19" s="469"/>
      <c r="C19" s="124"/>
      <c r="D19" s="124"/>
      <c r="E19" s="127"/>
      <c r="F19" s="127"/>
      <c r="G19" s="127"/>
      <c r="H19" s="126"/>
      <c r="I19" s="129"/>
    </row>
    <row r="20" spans="2:10" ht="15.5" x14ac:dyDescent="0.35">
      <c r="B20" s="57"/>
      <c r="E20" s="39"/>
      <c r="F20" s="39"/>
      <c r="G20" s="39"/>
      <c r="H20" s="39"/>
      <c r="I20" s="58"/>
    </row>
    <row r="21" spans="2:10" ht="15.5" x14ac:dyDescent="0.35">
      <c r="B21" s="492" t="s">
        <v>198</v>
      </c>
      <c r="C21" s="123" t="s">
        <v>179</v>
      </c>
      <c r="D21" s="124">
        <v>0.09</v>
      </c>
      <c r="E21" s="126"/>
      <c r="F21" s="133"/>
      <c r="G21" s="134"/>
      <c r="H21" s="133"/>
      <c r="I21" s="129"/>
    </row>
    <row r="22" spans="2:10" ht="15.5" x14ac:dyDescent="0.35">
      <c r="B22" s="469"/>
      <c r="C22" s="135"/>
      <c r="D22" s="124"/>
      <c r="E22" s="124"/>
      <c r="F22" s="131"/>
      <c r="G22" s="124"/>
      <c r="H22" s="127"/>
      <c r="I22" s="130"/>
      <c r="J22" s="136"/>
    </row>
    <row r="23" spans="2:10" ht="15.5" x14ac:dyDescent="0.35">
      <c r="B23" s="469"/>
      <c r="C23" s="137" t="s">
        <v>199</v>
      </c>
      <c r="D23" s="131">
        <f>F17/1000000000*6/100</f>
        <v>1.2055011072000001</v>
      </c>
      <c r="E23" s="124" t="s">
        <v>195</v>
      </c>
      <c r="F23" s="131">
        <f>D23*1000000000</f>
        <v>1205501107.2</v>
      </c>
      <c r="G23" s="124" t="s">
        <v>192</v>
      </c>
      <c r="H23" s="110">
        <f>F23*1000000</f>
        <v>1205501107200000</v>
      </c>
      <c r="I23" s="130" t="s">
        <v>193</v>
      </c>
      <c r="J23" s="136"/>
    </row>
    <row r="24" spans="2:10" ht="15.5" x14ac:dyDescent="0.35">
      <c r="B24" s="469"/>
      <c r="C24" s="127"/>
      <c r="D24" s="124"/>
      <c r="E24" s="124"/>
      <c r="F24" s="110">
        <f>H23*D8</f>
        <v>3616503321600000</v>
      </c>
      <c r="G24" s="124" t="s">
        <v>197</v>
      </c>
      <c r="H24" s="131"/>
      <c r="I24" s="130"/>
    </row>
    <row r="25" spans="2:10" ht="15.5" x14ac:dyDescent="0.35">
      <c r="B25" s="138"/>
      <c r="E25" s="139"/>
      <c r="H25" s="39"/>
      <c r="I25" s="140"/>
    </row>
    <row r="26" spans="2:10" ht="15.5" x14ac:dyDescent="0.35">
      <c r="B26" s="492" t="s">
        <v>200</v>
      </c>
      <c r="C26" s="124" t="s">
        <v>201</v>
      </c>
      <c r="D26" s="124">
        <v>51310</v>
      </c>
      <c r="E26" s="124" t="s">
        <v>183</v>
      </c>
      <c r="F26" s="110">
        <f>D26*1000</f>
        <v>51310000</v>
      </c>
      <c r="G26" s="124" t="s">
        <v>184</v>
      </c>
      <c r="H26" s="110">
        <f>F26*100</f>
        <v>5131000000</v>
      </c>
      <c r="I26" s="130" t="s">
        <v>185</v>
      </c>
    </row>
    <row r="27" spans="2:10" ht="15.5" x14ac:dyDescent="0.35">
      <c r="B27" s="469"/>
      <c r="C27" s="124" t="s">
        <v>202</v>
      </c>
      <c r="D27" s="124">
        <v>62.3</v>
      </c>
      <c r="E27" s="124" t="s">
        <v>188</v>
      </c>
      <c r="F27" s="110">
        <f>D27/1000</f>
        <v>6.2299999999999994E-2</v>
      </c>
      <c r="G27" s="124" t="s">
        <v>189</v>
      </c>
      <c r="H27" s="110">
        <f>F27*100</f>
        <v>6.2299999999999995</v>
      </c>
      <c r="I27" s="130" t="s">
        <v>190</v>
      </c>
    </row>
    <row r="28" spans="2:10" ht="15.5" x14ac:dyDescent="0.35">
      <c r="B28" s="469"/>
      <c r="C28" s="127"/>
      <c r="D28" s="123"/>
      <c r="E28" s="123"/>
      <c r="F28" s="127"/>
      <c r="G28" s="124"/>
      <c r="H28" s="127"/>
      <c r="I28" s="130"/>
    </row>
    <row r="29" spans="2:10" ht="15.5" x14ac:dyDescent="0.35">
      <c r="B29" s="469"/>
      <c r="C29" s="127"/>
      <c r="D29" s="489" t="s">
        <v>203</v>
      </c>
      <c r="E29" s="452"/>
      <c r="F29" s="110">
        <f>F26*F27*F9</f>
        <v>20458323199.999996</v>
      </c>
      <c r="G29" s="124" t="s">
        <v>192</v>
      </c>
      <c r="H29" s="110">
        <f>F29*1000000</f>
        <v>2.0458323199999996E+16</v>
      </c>
      <c r="I29" s="130" t="s">
        <v>193</v>
      </c>
    </row>
    <row r="30" spans="2:10" ht="15.5" x14ac:dyDescent="0.35">
      <c r="B30" s="57"/>
      <c r="C30" s="39"/>
      <c r="D30" s="39"/>
      <c r="E30" s="39"/>
      <c r="F30" s="39"/>
      <c r="G30" s="39"/>
      <c r="H30" s="39"/>
      <c r="I30" s="58"/>
    </row>
    <row r="31" spans="2:10" ht="15.5" x14ac:dyDescent="0.35">
      <c r="B31" s="57"/>
      <c r="C31" s="489" t="s">
        <v>204</v>
      </c>
      <c r="D31" s="452"/>
      <c r="E31" s="452"/>
      <c r="F31" s="141">
        <f>F17/F29</f>
        <v>0.98207878151030503</v>
      </c>
      <c r="G31" s="142" t="s">
        <v>552</v>
      </c>
      <c r="H31" s="39"/>
      <c r="I31" s="58"/>
    </row>
    <row r="32" spans="2:10" ht="15.5" x14ac:dyDescent="0.35">
      <c r="B32" s="57"/>
      <c r="C32" s="39"/>
      <c r="D32" s="39"/>
      <c r="E32" s="39"/>
      <c r="F32" s="39"/>
      <c r="G32" s="39"/>
      <c r="H32" s="39"/>
      <c r="I32" s="58"/>
    </row>
    <row r="33" spans="1:27" ht="15.5" x14ac:dyDescent="0.35">
      <c r="B33" s="492" t="s">
        <v>205</v>
      </c>
      <c r="C33" s="124" t="s">
        <v>206</v>
      </c>
      <c r="D33" s="127">
        <f>D26*80/100</f>
        <v>41048</v>
      </c>
      <c r="E33" s="124" t="s">
        <v>183</v>
      </c>
      <c r="F33" s="110">
        <f>D33*1000</f>
        <v>41048000</v>
      </c>
      <c r="G33" s="124" t="s">
        <v>184</v>
      </c>
      <c r="H33" s="110">
        <f>F33*100</f>
        <v>4104800000</v>
      </c>
      <c r="I33" s="130" t="s">
        <v>185</v>
      </c>
      <c r="K33" s="143"/>
    </row>
    <row r="34" spans="1:27" ht="15.5" x14ac:dyDescent="0.35">
      <c r="B34" s="469"/>
      <c r="C34" s="39"/>
      <c r="D34" s="39"/>
      <c r="E34" s="39"/>
      <c r="F34" s="139"/>
      <c r="G34" s="139"/>
      <c r="I34" s="55"/>
    </row>
    <row r="35" spans="1:27" ht="15.5" x14ac:dyDescent="0.35">
      <c r="B35" s="469"/>
      <c r="C35" s="132" t="s">
        <v>207</v>
      </c>
      <c r="D35" s="124">
        <v>5.1310000000000002</v>
      </c>
      <c r="E35" s="124" t="s">
        <v>208</v>
      </c>
      <c r="F35" s="139"/>
      <c r="G35" s="139"/>
      <c r="I35" s="55"/>
    </row>
    <row r="36" spans="1:27" ht="15.5" x14ac:dyDescent="0.35">
      <c r="B36" s="458"/>
      <c r="C36" s="144"/>
      <c r="D36" s="145">
        <f>D35*1000000000000000*D8</f>
        <v>1.5393E+16</v>
      </c>
      <c r="E36" s="146" t="s">
        <v>209</v>
      </c>
      <c r="F36" s="147"/>
      <c r="G36" s="147"/>
      <c r="H36" s="148"/>
      <c r="I36" s="149"/>
    </row>
    <row r="37" spans="1:27" ht="15.5" x14ac:dyDescent="0.35">
      <c r="C37" s="39"/>
    </row>
    <row r="38" spans="1:27" ht="15.5" x14ac:dyDescent="0.35">
      <c r="A38" s="150"/>
      <c r="B38" s="150"/>
      <c r="C38" s="151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</row>
    <row r="39" spans="1:27" ht="15.5" x14ac:dyDescent="0.35">
      <c r="C39" s="39"/>
    </row>
    <row r="40" spans="1:27" ht="15.5" x14ac:dyDescent="0.35">
      <c r="C40" s="39"/>
      <c r="D40" s="136"/>
      <c r="G40" s="152" t="s">
        <v>210</v>
      </c>
      <c r="I40" s="494" t="s">
        <v>211</v>
      </c>
      <c r="J40" s="450"/>
      <c r="K40" s="450"/>
      <c r="L40" s="450"/>
      <c r="M40" s="450"/>
      <c r="N40" s="450"/>
      <c r="O40" s="450"/>
      <c r="P40" s="457"/>
    </row>
    <row r="41" spans="1:27" ht="15.5" x14ac:dyDescent="0.35">
      <c r="C41" s="39"/>
      <c r="D41" s="139" t="s">
        <v>65</v>
      </c>
      <c r="E41" s="139" t="s">
        <v>64</v>
      </c>
      <c r="F41" s="139" t="s">
        <v>66</v>
      </c>
      <c r="G41" s="39"/>
      <c r="I41" s="153"/>
      <c r="J41" s="126"/>
      <c r="K41" s="126"/>
      <c r="L41" s="126"/>
      <c r="M41" s="126"/>
      <c r="N41" s="126"/>
      <c r="O41" s="126"/>
      <c r="P41" s="129"/>
    </row>
    <row r="42" spans="1:27" ht="15" customHeight="1" x14ac:dyDescent="0.45">
      <c r="B42" s="154" t="s">
        <v>212</v>
      </c>
      <c r="C42" s="155" t="s">
        <v>213</v>
      </c>
      <c r="D42" s="156">
        <v>640</v>
      </c>
      <c r="E42" s="156">
        <f>AVERAGE(D42,F42)</f>
        <v>745</v>
      </c>
      <c r="F42" s="156">
        <v>850</v>
      </c>
      <c r="G42" s="142" t="s">
        <v>214</v>
      </c>
      <c r="H42" s="39"/>
      <c r="I42" s="157"/>
      <c r="J42" s="124"/>
      <c r="K42" s="124" t="s">
        <v>215</v>
      </c>
      <c r="L42" s="125" t="s">
        <v>216</v>
      </c>
      <c r="M42" s="126"/>
      <c r="N42" s="126"/>
      <c r="O42" s="126"/>
      <c r="P42" s="129"/>
    </row>
    <row r="43" spans="1:27" ht="15.5" x14ac:dyDescent="0.35">
      <c r="C43" s="155" t="s">
        <v>217</v>
      </c>
      <c r="D43" s="158">
        <f>$D$42*K43</f>
        <v>130.61224489795916</v>
      </c>
      <c r="E43" s="158">
        <f>$E$42*K43</f>
        <v>152.0408163265306</v>
      </c>
      <c r="F43" s="158">
        <f>$F$42*K43</f>
        <v>173.46938775510202</v>
      </c>
      <c r="G43" s="39"/>
      <c r="H43" s="39"/>
      <c r="I43" s="157"/>
      <c r="J43" s="124" t="s">
        <v>218</v>
      </c>
      <c r="K43" s="159">
        <f>1/4.9</f>
        <v>0.2040816326530612</v>
      </c>
      <c r="L43" s="127"/>
      <c r="M43" s="126"/>
      <c r="N43" s="126"/>
      <c r="O43" s="126"/>
      <c r="P43" s="129"/>
    </row>
    <row r="44" spans="1:27" ht="15.5" x14ac:dyDescent="0.35">
      <c r="C44" s="155" t="s">
        <v>219</v>
      </c>
      <c r="D44" s="158">
        <f>$D$42*K44</f>
        <v>1600</v>
      </c>
      <c r="E44" s="158">
        <f>$E$42*K44</f>
        <v>1862.5</v>
      </c>
      <c r="F44" s="158">
        <f>$F$42*K44</f>
        <v>2125</v>
      </c>
      <c r="G44" s="39"/>
      <c r="H44" s="39"/>
      <c r="I44" s="157"/>
      <c r="J44" s="124" t="s">
        <v>220</v>
      </c>
      <c r="K44" s="159">
        <f>1/0.4</f>
        <v>2.5</v>
      </c>
      <c r="L44" s="127"/>
      <c r="M44" s="126"/>
      <c r="N44" s="126"/>
      <c r="O44" s="126"/>
      <c r="P44" s="129"/>
    </row>
    <row r="45" spans="1:27" ht="15.5" x14ac:dyDescent="0.35">
      <c r="C45" s="155" t="s">
        <v>221</v>
      </c>
      <c r="D45" s="158">
        <f>$D$42*K45</f>
        <v>45.390070921985817</v>
      </c>
      <c r="E45" s="158">
        <f>$E$42*K45</f>
        <v>52.836879432624116</v>
      </c>
      <c r="F45" s="158">
        <f>$F$42*K45</f>
        <v>60.283687943262414</v>
      </c>
      <c r="G45" s="39"/>
      <c r="H45" s="39"/>
      <c r="I45" s="157"/>
      <c r="J45" s="124" t="s">
        <v>222</v>
      </c>
      <c r="K45" s="159">
        <f>1/14.1</f>
        <v>7.0921985815602842E-2</v>
      </c>
      <c r="L45" s="127"/>
      <c r="M45" s="126"/>
      <c r="N45" s="126"/>
      <c r="O45" s="126"/>
      <c r="P45" s="129"/>
    </row>
    <row r="46" spans="1:27" ht="15.5" x14ac:dyDescent="0.35">
      <c r="C46" s="155" t="s">
        <v>223</v>
      </c>
      <c r="D46" s="158">
        <f>$D$42*K46</f>
        <v>0.84210526315789469</v>
      </c>
      <c r="E46" s="158">
        <f>$E$42*K46</f>
        <v>0.98026315789473684</v>
      </c>
      <c r="F46" s="158">
        <f>$F$42*K46</f>
        <v>1.118421052631579</v>
      </c>
      <c r="G46" s="39"/>
      <c r="H46" s="39"/>
      <c r="I46" s="157"/>
      <c r="J46" s="124" t="s">
        <v>224</v>
      </c>
      <c r="K46" s="159">
        <f>1/760</f>
        <v>1.3157894736842105E-3</v>
      </c>
      <c r="L46" s="127"/>
      <c r="M46" s="126"/>
      <c r="N46" s="127"/>
      <c r="O46" s="126"/>
      <c r="P46" s="129"/>
    </row>
    <row r="47" spans="1:27" ht="15.5" x14ac:dyDescent="0.35">
      <c r="C47" s="155" t="s">
        <v>225</v>
      </c>
      <c r="D47" s="160">
        <f>D42*(K55-L55)</f>
        <v>1024000000000</v>
      </c>
      <c r="E47" s="160">
        <f>E42*K55</f>
        <v>1639000000000</v>
      </c>
      <c r="F47" s="160">
        <f>F42*(K55+L55)</f>
        <v>2380000000000</v>
      </c>
      <c r="G47" s="139"/>
      <c r="H47" s="39"/>
      <c r="I47" s="157"/>
      <c r="J47" s="126"/>
      <c r="K47" s="126"/>
      <c r="L47" s="126"/>
      <c r="M47" s="126"/>
      <c r="N47" s="126"/>
      <c r="O47" s="126"/>
      <c r="P47" s="129"/>
    </row>
    <row r="48" spans="1:27" ht="15.5" x14ac:dyDescent="0.35">
      <c r="C48" s="155" t="s">
        <v>226</v>
      </c>
      <c r="D48" s="160">
        <f>L48*$F$18+D42*(L51-L52)</f>
        <v>1811388323467.9561</v>
      </c>
      <c r="E48" s="160">
        <f>M48*$F$18+E42*L51</f>
        <v>2021327182597.8481</v>
      </c>
      <c r="F48" s="160">
        <f>N48*$F$18+F42*(L51+L52)</f>
        <v>2262766041727.7412</v>
      </c>
      <c r="G48" s="161"/>
      <c r="I48" s="495" t="s">
        <v>227</v>
      </c>
      <c r="J48" s="452"/>
      <c r="K48" s="452"/>
      <c r="L48" s="110">
        <f>L49/32.065/1000000</f>
        <v>2.96273195072509E-5</v>
      </c>
      <c r="M48" s="110">
        <f>M49/32.065/1000000</f>
        <v>3.1186652112895681E-5</v>
      </c>
      <c r="N48" s="110">
        <f>N49/32.065/1000000</f>
        <v>3.2745984718540472E-5</v>
      </c>
      <c r="O48" s="133" t="s">
        <v>228</v>
      </c>
      <c r="P48" s="129"/>
    </row>
    <row r="49" spans="3:18" ht="15.5" x14ac:dyDescent="0.35">
      <c r="C49" s="155" t="s">
        <v>229</v>
      </c>
      <c r="D49" s="160">
        <f>D44*(K58-M58)</f>
        <v>8352000000</v>
      </c>
      <c r="E49" s="160">
        <f>E44*K58</f>
        <v>15756750000</v>
      </c>
      <c r="F49" s="160">
        <f>F44*(K58+L58)</f>
        <v>26838750000</v>
      </c>
      <c r="I49" s="495" t="s">
        <v>230</v>
      </c>
      <c r="J49" s="452"/>
      <c r="K49" s="452"/>
      <c r="L49" s="162">
        <v>950</v>
      </c>
      <c r="M49" s="124">
        <v>1000</v>
      </c>
      <c r="N49" s="124">
        <v>1050</v>
      </c>
      <c r="O49" s="127"/>
      <c r="P49" s="129"/>
    </row>
    <row r="50" spans="3:18" ht="15.5" x14ac:dyDescent="0.35">
      <c r="C50" s="155" t="s">
        <v>231</v>
      </c>
      <c r="D50" s="160">
        <f>$F$18*D65/($L$60*(1-$D$7)+$D$7)</f>
        <v>4389492357747.3564</v>
      </c>
      <c r="E50" s="165">
        <f>$F$18*E65/($L$60*(1-$D$7)+$D$7)</f>
        <v>6145289300846.2998</v>
      </c>
      <c r="F50" s="165">
        <f>$F$18*F65/($L$60*(1-$D$7)+$D$7)</f>
        <v>7901086243945.2441</v>
      </c>
      <c r="I50" s="163"/>
      <c r="J50" s="127"/>
      <c r="K50" s="199"/>
      <c r="L50" s="199"/>
      <c r="M50" s="199"/>
      <c r="N50" s="199"/>
      <c r="O50" s="127"/>
      <c r="P50" s="129"/>
    </row>
    <row r="51" spans="3:18" ht="15.5" x14ac:dyDescent="0.35">
      <c r="C51" s="357"/>
      <c r="D51" s="276"/>
      <c r="E51" s="276"/>
      <c r="F51" s="276"/>
      <c r="I51" s="163"/>
      <c r="J51" s="164"/>
      <c r="K51" s="298" t="s">
        <v>232</v>
      </c>
      <c r="L51" s="292">
        <v>190000000</v>
      </c>
      <c r="M51" s="197" t="s">
        <v>233</v>
      </c>
      <c r="N51" s="199"/>
      <c r="O51" s="127"/>
      <c r="P51" s="129"/>
    </row>
    <row r="52" spans="3:18" ht="15.5" x14ac:dyDescent="0.35">
      <c r="C52" s="357"/>
      <c r="D52" s="276"/>
      <c r="E52" s="276"/>
      <c r="F52" s="276"/>
      <c r="I52" s="163"/>
      <c r="J52" s="127"/>
      <c r="K52" s="199" t="s">
        <v>234</v>
      </c>
      <c r="L52" s="292">
        <v>150000000</v>
      </c>
      <c r="M52" s="199"/>
      <c r="N52" s="199"/>
      <c r="O52" s="127"/>
      <c r="P52" s="129"/>
    </row>
    <row r="53" spans="3:18" ht="15.5" x14ac:dyDescent="0.35">
      <c r="C53" s="357"/>
      <c r="D53" s="276"/>
      <c r="E53" s="276"/>
      <c r="F53" s="276"/>
      <c r="I53" s="157"/>
      <c r="J53" s="126"/>
      <c r="K53" s="199"/>
      <c r="L53" s="199"/>
      <c r="M53" s="199"/>
      <c r="N53" s="199"/>
      <c r="O53" s="126"/>
      <c r="P53" s="129"/>
    </row>
    <row r="54" spans="3:18" ht="15.5" x14ac:dyDescent="0.35">
      <c r="C54" s="173" t="s">
        <v>235</v>
      </c>
      <c r="D54" s="170">
        <f>D42/($H$17*$D$8)/D7</f>
        <v>9.6527191612384745E-14</v>
      </c>
      <c r="E54" s="170">
        <f>E42/(F18)*D7</f>
        <v>1.3596005762341287E-15</v>
      </c>
      <c r="F54" s="170">
        <f>F42/($H$17*$D$8)/D7</f>
        <v>1.2820017636019848E-13</v>
      </c>
      <c r="G54" s="39"/>
      <c r="I54" s="157"/>
      <c r="J54" s="126"/>
      <c r="K54" s="199"/>
      <c r="L54" s="199" t="s">
        <v>234</v>
      </c>
      <c r="M54" s="199"/>
      <c r="N54" s="199"/>
      <c r="O54" s="126"/>
      <c r="P54" s="129"/>
    </row>
    <row r="55" spans="3:18" ht="15.5" x14ac:dyDescent="0.35">
      <c r="C55" s="166" t="s">
        <v>236</v>
      </c>
      <c r="D55" s="170">
        <f>K43*$D$54</f>
        <v>1.9699426859670354E-14</v>
      </c>
      <c r="E55" s="170">
        <f>$K$43*E54</f>
        <v>2.774695053539038E-16</v>
      </c>
      <c r="F55" s="170">
        <f>$K$43*F54</f>
        <v>2.6163301297999687E-14</v>
      </c>
      <c r="G55" s="39"/>
      <c r="I55" s="157"/>
      <c r="J55" s="164" t="s">
        <v>243</v>
      </c>
      <c r="K55" s="292">
        <v>2200000000</v>
      </c>
      <c r="L55" s="292">
        <v>600000000</v>
      </c>
      <c r="M55" s="328" t="s">
        <v>244</v>
      </c>
      <c r="N55" s="199"/>
      <c r="O55" s="126"/>
      <c r="P55" s="129"/>
    </row>
    <row r="56" spans="3:18" ht="15.5" x14ac:dyDescent="0.35">
      <c r="C56" s="166" t="s">
        <v>238</v>
      </c>
      <c r="D56" s="170">
        <f>$K$44*D54</f>
        <v>2.4131797903096186E-13</v>
      </c>
      <c r="E56" s="170">
        <f>$K$44*E54</f>
        <v>3.3990014405853217E-15</v>
      </c>
      <c r="F56" s="170">
        <f>$K$44*F54</f>
        <v>3.2050044090049618E-13</v>
      </c>
      <c r="G56" s="39"/>
      <c r="H56" s="39"/>
      <c r="I56" s="157"/>
      <c r="J56" s="126"/>
      <c r="K56" s="199"/>
      <c r="L56" s="199"/>
      <c r="M56" s="199"/>
      <c r="N56" s="199"/>
      <c r="O56" s="126"/>
      <c r="P56" s="129"/>
    </row>
    <row r="57" spans="3:18" ht="15.5" x14ac:dyDescent="0.35">
      <c r="C57" s="166" t="s">
        <v>240</v>
      </c>
      <c r="D57" s="170">
        <f>$K$45*D54</f>
        <v>6.8459001143535287E-15</v>
      </c>
      <c r="E57" s="170">
        <f>$K$45*E54</f>
        <v>9.6425572782562326E-17</v>
      </c>
      <c r="F57" s="170">
        <f>$K$45*F54</f>
        <v>9.0922110893757792E-15</v>
      </c>
      <c r="G57" s="39"/>
      <c r="H57" s="39"/>
      <c r="I57" s="157"/>
      <c r="J57" s="124"/>
      <c r="K57" s="292"/>
      <c r="L57" s="299" t="s">
        <v>247</v>
      </c>
      <c r="M57" s="299" t="s">
        <v>248</v>
      </c>
      <c r="N57" s="199"/>
      <c r="O57" s="126"/>
      <c r="P57" s="129"/>
    </row>
    <row r="58" spans="3:18" ht="15.5" x14ac:dyDescent="0.35">
      <c r="C58" s="166" t="s">
        <v>241</v>
      </c>
      <c r="D58" s="170">
        <f>$K$46*D54</f>
        <v>1.2700946264787465E-16</v>
      </c>
      <c r="E58" s="170">
        <f>$K$46*E54</f>
        <v>1.7889481266238536E-18</v>
      </c>
      <c r="F58" s="170">
        <f>$K$46*F54</f>
        <v>1.6868444257920851E-16</v>
      </c>
      <c r="G58" s="39"/>
      <c r="H58" s="39"/>
      <c r="I58" s="157"/>
      <c r="J58" s="279" t="s">
        <v>251</v>
      </c>
      <c r="K58" s="300">
        <v>8460000</v>
      </c>
      <c r="L58" s="301">
        <v>4170000</v>
      </c>
      <c r="M58" s="301">
        <v>3240000</v>
      </c>
      <c r="N58" s="281" t="s">
        <v>252</v>
      </c>
      <c r="O58" s="278"/>
      <c r="P58" s="129"/>
    </row>
    <row r="59" spans="3:18" ht="15.5" x14ac:dyDescent="0.35">
      <c r="C59" s="173" t="s">
        <v>242</v>
      </c>
      <c r="D59" s="170">
        <f>D54*(K55-L55)</f>
        <v>1.544435065798156E-4</v>
      </c>
      <c r="E59" s="170">
        <f>E54*K55</f>
        <v>2.9911212677150832E-6</v>
      </c>
      <c r="F59" s="170">
        <f>F54*(K55+L55)</f>
        <v>3.5896049380855575E-4</v>
      </c>
      <c r="H59" s="39"/>
      <c r="I59" s="157"/>
      <c r="J59" s="282"/>
      <c r="K59" s="302"/>
      <c r="L59" s="302"/>
      <c r="M59" s="302"/>
      <c r="N59" s="302"/>
      <c r="O59" s="282"/>
      <c r="P59" s="129"/>
    </row>
    <row r="60" spans="3:18" ht="15.5" x14ac:dyDescent="0.35">
      <c r="C60" s="167" t="s">
        <v>245</v>
      </c>
      <c r="D60" s="271">
        <f>D59*12.0107*1000000</f>
        <v>1854.9746244781913</v>
      </c>
      <c r="E60" s="271">
        <f>E59*12.0107*1000000</f>
        <v>35.925460210145552</v>
      </c>
      <c r="F60" s="271">
        <f>F59*12.0107*1000000</f>
        <v>4311.3668029864211</v>
      </c>
      <c r="G60" s="8"/>
      <c r="H60" s="39"/>
      <c r="I60" s="157"/>
      <c r="J60" s="282" t="s">
        <v>442</v>
      </c>
      <c r="K60" s="302"/>
      <c r="L60" s="302">
        <v>2.1999999999999999E-2</v>
      </c>
      <c r="M60" s="303" t="s">
        <v>443</v>
      </c>
      <c r="N60" s="302"/>
      <c r="O60" s="282"/>
      <c r="P60" s="129"/>
    </row>
    <row r="61" spans="3:18" ht="15.5" x14ac:dyDescent="0.35">
      <c r="C61" s="173" t="s">
        <v>246</v>
      </c>
      <c r="D61" s="170">
        <f>D62/32.065/1000000</f>
        <v>4.6779978169343524E-6</v>
      </c>
      <c r="E61" s="170">
        <f>E62/32.065/1000000</f>
        <v>6.0813971620146583E-6</v>
      </c>
      <c r="F61" s="170">
        <f>F62/32.065/1000000</f>
        <v>7.4847965070949634E-6</v>
      </c>
      <c r="G61" s="171"/>
      <c r="H61" s="39"/>
      <c r="I61" s="359"/>
      <c r="J61" s="360"/>
      <c r="K61" s="361"/>
      <c r="L61" s="361"/>
      <c r="M61" s="361" t="s">
        <v>234</v>
      </c>
      <c r="N61" s="361"/>
      <c r="O61" s="360"/>
      <c r="P61" s="129"/>
    </row>
    <row r="62" spans="3:18" ht="15.5" x14ac:dyDescent="0.35">
      <c r="C62" s="167" t="s">
        <v>249</v>
      </c>
      <c r="D62" s="173">
        <f>195-45</f>
        <v>150</v>
      </c>
      <c r="E62" s="173">
        <v>195</v>
      </c>
      <c r="F62" s="173">
        <f>195+45</f>
        <v>240</v>
      </c>
      <c r="G62" s="174" t="s">
        <v>250</v>
      </c>
      <c r="H62" s="39"/>
      <c r="I62" s="362"/>
      <c r="J62" s="360" t="s">
        <v>445</v>
      </c>
      <c r="K62" s="361"/>
      <c r="L62" s="361">
        <v>238</v>
      </c>
      <c r="M62" s="361">
        <v>68</v>
      </c>
      <c r="N62" s="363" t="s">
        <v>441</v>
      </c>
      <c r="O62" s="360"/>
      <c r="P62" s="129"/>
      <c r="R62" s="169"/>
    </row>
    <row r="63" spans="3:18" ht="15.5" x14ac:dyDescent="0.35">
      <c r="C63" s="173" t="s">
        <v>253</v>
      </c>
      <c r="D63" s="170">
        <f>D56*(K58-M58)</f>
        <v>1.259679850541621E-6</v>
      </c>
      <c r="E63" s="170">
        <f>E56*K58</f>
        <v>2.8755552187351822E-8</v>
      </c>
      <c r="F63" s="170">
        <f>F56*(K58+L58)</f>
        <v>4.0479205685732667E-6</v>
      </c>
      <c r="H63" s="39"/>
      <c r="I63" s="362"/>
      <c r="J63" s="364"/>
      <c r="K63" s="364"/>
      <c r="L63" s="364"/>
      <c r="M63" s="364"/>
      <c r="N63" s="364"/>
      <c r="O63" s="364"/>
      <c r="P63" s="129"/>
      <c r="R63" s="169"/>
    </row>
    <row r="64" spans="3:18" ht="15.5" x14ac:dyDescent="0.35">
      <c r="C64" s="167" t="s">
        <v>254</v>
      </c>
      <c r="D64" s="271">
        <f>D63*14.0067*1000000</f>
        <v>17.643957762581323</v>
      </c>
      <c r="E64" s="271">
        <f>E63*14.0067*1000000</f>
        <v>0.40277039282258081</v>
      </c>
      <c r="F64" s="271">
        <f>F63*14.0067*1000000</f>
        <v>56.698009027835177</v>
      </c>
      <c r="H64" s="39"/>
      <c r="I64" s="340"/>
      <c r="J64" s="338"/>
      <c r="K64" s="338"/>
      <c r="L64" s="338"/>
      <c r="M64" s="338"/>
      <c r="N64" s="338"/>
      <c r="O64" s="338"/>
      <c r="P64" s="340"/>
      <c r="R64" s="169"/>
    </row>
    <row r="65" spans="1:27" ht="15.5" x14ac:dyDescent="0.35">
      <c r="C65" s="173" t="s">
        <v>255</v>
      </c>
      <c r="D65" s="170">
        <f>D66/18.015/1000000</f>
        <v>9.4365806272550642E-6</v>
      </c>
      <c r="E65" s="170">
        <f>E66/18.015/1000000</f>
        <v>1.3211212878157091E-5</v>
      </c>
      <c r="F65" s="170">
        <f>F66/18.015/1000000</f>
        <v>1.6985845129059119E-5</v>
      </c>
      <c r="I65" s="358"/>
      <c r="J65" s="358"/>
      <c r="K65" s="358"/>
      <c r="L65" s="358"/>
      <c r="M65" s="358"/>
      <c r="N65" s="358"/>
      <c r="O65" s="358"/>
      <c r="P65" s="358"/>
      <c r="R65" s="169"/>
    </row>
    <row r="66" spans="1:27" ht="15.5" x14ac:dyDescent="0.35">
      <c r="C66" s="173" t="s">
        <v>256</v>
      </c>
      <c r="D66" s="173">
        <f>L62-M62</f>
        <v>170</v>
      </c>
      <c r="E66" s="173">
        <f>L62</f>
        <v>238</v>
      </c>
      <c r="F66" s="173">
        <f>L62+M62</f>
        <v>306</v>
      </c>
      <c r="G66" s="174" t="s">
        <v>441</v>
      </c>
      <c r="I66" s="358"/>
      <c r="J66" s="358"/>
      <c r="K66" s="358"/>
      <c r="L66" s="358"/>
      <c r="M66" s="358"/>
      <c r="N66" s="358"/>
      <c r="O66" s="358"/>
      <c r="P66" s="358"/>
      <c r="R66" s="169"/>
    </row>
    <row r="67" spans="1:27" ht="15.5" x14ac:dyDescent="0.35">
      <c r="I67" s="358"/>
      <c r="J67" s="358"/>
      <c r="K67" s="358"/>
      <c r="L67" s="358"/>
      <c r="M67" s="358"/>
      <c r="N67" s="358"/>
      <c r="O67" s="358"/>
      <c r="P67" s="358"/>
      <c r="R67" s="169"/>
    </row>
    <row r="68" spans="1:27" ht="15.5" x14ac:dyDescent="0.35">
      <c r="R68" s="169"/>
    </row>
    <row r="69" spans="1:27" ht="15.5" x14ac:dyDescent="0.35">
      <c r="A69" s="150"/>
      <c r="B69" s="150"/>
      <c r="C69" s="151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76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</row>
    <row r="70" spans="1:27" ht="15" customHeight="1" x14ac:dyDescent="0.45">
      <c r="B70" s="154"/>
      <c r="C70" s="139"/>
      <c r="D70" s="118"/>
      <c r="E70" s="118"/>
      <c r="F70" s="118"/>
      <c r="G70" s="118"/>
      <c r="H70" s="118"/>
    </row>
    <row r="71" spans="1:27" ht="15" customHeight="1" x14ac:dyDescent="0.45">
      <c r="B71" s="154" t="s">
        <v>257</v>
      </c>
      <c r="C71" s="139" t="s">
        <v>258</v>
      </c>
      <c r="D71" s="118" t="s">
        <v>259</v>
      </c>
      <c r="E71" s="118" t="s">
        <v>260</v>
      </c>
      <c r="F71" s="118" t="s">
        <v>261</v>
      </c>
      <c r="G71" s="118" t="s">
        <v>234</v>
      </c>
      <c r="H71" s="136" t="s">
        <v>262</v>
      </c>
    </row>
    <row r="72" spans="1:27" ht="15.5" x14ac:dyDescent="0.35">
      <c r="C72" s="155" t="s">
        <v>263</v>
      </c>
      <c r="D72" s="165">
        <f>730000000*44454/$D$33</f>
        <v>790572500.48723447</v>
      </c>
      <c r="E72" s="165">
        <f>600000000*44454/$D$33</f>
        <v>649785616.83882284</v>
      </c>
      <c r="F72" s="177">
        <f>AVERAGE(D72:E72)</f>
        <v>720179058.66302872</v>
      </c>
      <c r="G72" s="73">
        <f>MAX(D72:E72)-F72</f>
        <v>70393441.824205756</v>
      </c>
    </row>
    <row r="73" spans="1:27" ht="15.5" x14ac:dyDescent="0.35">
      <c r="C73" s="155" t="s">
        <v>264</v>
      </c>
      <c r="D73" s="165">
        <f>43000000*44454/$D$33</f>
        <v>46567969.206782304</v>
      </c>
      <c r="E73" s="165">
        <f>27000000*44454/$D$33</f>
        <v>29240352.757747028</v>
      </c>
      <c r="F73" s="177">
        <f>AVERAGE(D73:E73)</f>
        <v>37904160.982264668</v>
      </c>
      <c r="G73" s="73">
        <f>MAX(D73:E73)-F73</f>
        <v>8663808.224517636</v>
      </c>
    </row>
    <row r="74" spans="1:27" ht="15.5" x14ac:dyDescent="0.35">
      <c r="C74" s="155" t="s">
        <v>18</v>
      </c>
      <c r="D74" s="165">
        <f>7200000*44454/$D$33</f>
        <v>7797427.4020658741</v>
      </c>
      <c r="E74" s="160">
        <f>30000*1000000/32.065*365/D33</f>
        <v>8319378.3043317031</v>
      </c>
      <c r="F74" s="177">
        <f>AVERAGE(D74:E74)</f>
        <v>8058402.8531987891</v>
      </c>
      <c r="G74" s="73">
        <f>MAX(D74:E74)-F74</f>
        <v>260975.45113291405</v>
      </c>
    </row>
    <row r="75" spans="1:27" ht="15.5" x14ac:dyDescent="0.35">
      <c r="C75" s="155" t="s">
        <v>19</v>
      </c>
      <c r="D75" s="165">
        <f>3500000*44454/$D$33</f>
        <v>3790416.0982264667</v>
      </c>
      <c r="E75" s="165">
        <f>6700000*44454/$D$33</f>
        <v>7255939.3880335214</v>
      </c>
      <c r="F75" s="177">
        <f>AVERAGE(D75:E75)</f>
        <v>5523177.7431299938</v>
      </c>
      <c r="G75" s="73">
        <f>MAX(D75:E75)-F75</f>
        <v>1732761.6449035276</v>
      </c>
      <c r="I75" s="494" t="s">
        <v>211</v>
      </c>
      <c r="J75" s="450"/>
      <c r="K75" s="450"/>
      <c r="L75" s="450"/>
      <c r="M75" s="450"/>
      <c r="N75" s="450"/>
      <c r="O75" s="450"/>
      <c r="P75" s="457"/>
    </row>
    <row r="76" spans="1:27" ht="15.5" x14ac:dyDescent="0.35">
      <c r="I76" s="153"/>
      <c r="J76" s="126"/>
      <c r="K76" s="126"/>
      <c r="L76" s="126"/>
      <c r="M76" s="126"/>
      <c r="N76" s="126"/>
      <c r="O76" s="126"/>
      <c r="P76" s="129"/>
    </row>
    <row r="77" spans="1:27" ht="15.5" x14ac:dyDescent="0.35">
      <c r="C77" s="139" t="s">
        <v>265</v>
      </c>
      <c r="D77" s="118" t="s">
        <v>261</v>
      </c>
      <c r="E77" s="118" t="s">
        <v>234</v>
      </c>
      <c r="I77" s="157"/>
      <c r="J77" s="126"/>
      <c r="K77" s="126"/>
      <c r="L77" s="126"/>
      <c r="M77" s="126"/>
      <c r="N77" s="126"/>
      <c r="O77" s="126"/>
      <c r="P77" s="129"/>
    </row>
    <row r="78" spans="1:27" ht="15.5" x14ac:dyDescent="0.35">
      <c r="C78" s="155" t="s">
        <v>263</v>
      </c>
      <c r="D78" s="160">
        <f t="shared" ref="D78:E81" si="0">F72*$D$33</f>
        <v>29561910000000.004</v>
      </c>
      <c r="E78" s="160">
        <f t="shared" si="0"/>
        <v>2889509999999.998</v>
      </c>
      <c r="F78" s="73"/>
      <c r="I78" s="157"/>
      <c r="J78" s="497" t="s">
        <v>266</v>
      </c>
      <c r="K78" s="452"/>
      <c r="L78" s="452"/>
      <c r="M78" s="126"/>
      <c r="N78" s="126"/>
      <c r="O78" s="126"/>
      <c r="P78" s="129"/>
    </row>
    <row r="79" spans="1:27" ht="15.5" x14ac:dyDescent="0.35">
      <c r="C79" s="155" t="s">
        <v>264</v>
      </c>
      <c r="D79" s="160">
        <f t="shared" si="0"/>
        <v>1555890000000</v>
      </c>
      <c r="E79" s="160">
        <f t="shared" si="0"/>
        <v>355631999999.99994</v>
      </c>
      <c r="F79" s="73"/>
      <c r="G79" s="112"/>
      <c r="I79" s="108"/>
      <c r="J79" s="124" t="s">
        <v>267</v>
      </c>
      <c r="K79" s="124">
        <v>3.0999999999999999E-3</v>
      </c>
      <c r="L79" s="124">
        <v>1.1999999999999999E-3</v>
      </c>
      <c r="M79" s="178" t="s">
        <v>268</v>
      </c>
      <c r="N79" s="126"/>
      <c r="O79" s="126"/>
      <c r="P79" s="129"/>
    </row>
    <row r="80" spans="1:27" ht="15.5" x14ac:dyDescent="0.35">
      <c r="C80" s="155" t="s">
        <v>18</v>
      </c>
      <c r="D80" s="160">
        <f>F74*$D$33</f>
        <v>330781320318.10388</v>
      </c>
      <c r="E80" s="160">
        <f t="shared" si="0"/>
        <v>10712520318.103855</v>
      </c>
      <c r="F80" s="73"/>
      <c r="G80" s="273"/>
      <c r="I80" s="157"/>
      <c r="J80" s="124" t="s">
        <v>269</v>
      </c>
      <c r="K80" s="124">
        <v>5.5599999999999997E-2</v>
      </c>
      <c r="L80" s="124">
        <v>8.8000000000000005E-3</v>
      </c>
      <c r="M80" s="498" t="s">
        <v>270</v>
      </c>
      <c r="N80" s="452"/>
      <c r="O80" s="126"/>
      <c r="P80" s="129"/>
    </row>
    <row r="81" spans="3:16" ht="15.5" x14ac:dyDescent="0.35">
      <c r="C81" s="155" t="s">
        <v>19</v>
      </c>
      <c r="D81" s="160">
        <f t="shared" si="0"/>
        <v>226715400000</v>
      </c>
      <c r="E81" s="160">
        <f t="shared" si="0"/>
        <v>71126400000</v>
      </c>
      <c r="F81" s="73"/>
      <c r="G81" s="273"/>
      <c r="I81" s="157"/>
      <c r="J81" s="124" t="s">
        <v>271</v>
      </c>
      <c r="K81" s="124">
        <v>1.0449999999999999E-3</v>
      </c>
      <c r="L81" s="124">
        <v>9.0000000000000006E-5</v>
      </c>
      <c r="M81" s="498" t="s">
        <v>270</v>
      </c>
      <c r="N81" s="452"/>
      <c r="O81" s="126"/>
      <c r="P81" s="129"/>
    </row>
    <row r="82" spans="3:16" ht="15.5" x14ac:dyDescent="0.35">
      <c r="E82" s="139"/>
      <c r="I82" s="157"/>
      <c r="J82" s="124" t="s">
        <v>272</v>
      </c>
      <c r="K82" s="124">
        <v>0.112</v>
      </c>
      <c r="L82" s="124">
        <v>2.8000000000000001E-2</v>
      </c>
      <c r="M82" s="498" t="s">
        <v>270</v>
      </c>
      <c r="N82" s="452"/>
      <c r="O82" s="126"/>
      <c r="P82" s="129"/>
    </row>
    <row r="83" spans="3:16" ht="15.5" x14ac:dyDescent="0.35">
      <c r="C83" s="179"/>
      <c r="D83" s="179"/>
      <c r="E83" s="155" t="s">
        <v>234</v>
      </c>
      <c r="G83" s="344" t="s">
        <v>458</v>
      </c>
      <c r="I83" s="157"/>
      <c r="J83" s="127"/>
      <c r="K83" s="127"/>
      <c r="L83" s="127"/>
      <c r="M83" s="126"/>
      <c r="N83" s="126"/>
      <c r="O83" s="126"/>
      <c r="P83" s="129"/>
    </row>
    <row r="84" spans="3:16" ht="15.5" x14ac:dyDescent="0.35">
      <c r="C84" s="173" t="s">
        <v>512</v>
      </c>
      <c r="D84" s="160">
        <f>D80*2.62</f>
        <v>866647059233.43225</v>
      </c>
      <c r="E84" s="354">
        <f>SQRT((D80*0.3)^2+(2.62*E80)^2)</f>
        <v>103127158460.65535</v>
      </c>
      <c r="F84" s="305"/>
      <c r="G84" s="20">
        <f>D84*3</f>
        <v>2599941177700.2969</v>
      </c>
      <c r="I84" s="157"/>
      <c r="J84" s="124" t="s">
        <v>273</v>
      </c>
      <c r="K84" s="180">
        <f>K82/K79</f>
        <v>36.12903225806452</v>
      </c>
      <c r="L84" s="180">
        <f>SQRT((L82/K79)^2+(K82/K79^2*L79)^2)</f>
        <v>16.648543165890793</v>
      </c>
      <c r="M84" s="126"/>
      <c r="N84" s="126"/>
      <c r="O84" s="126"/>
      <c r="P84" s="129"/>
    </row>
    <row r="85" spans="3:16" ht="15.5" x14ac:dyDescent="0.35">
      <c r="C85" s="39"/>
      <c r="D85" s="136"/>
      <c r="E85" s="136"/>
      <c r="G85" s="20"/>
      <c r="I85" s="157"/>
      <c r="J85" s="124" t="s">
        <v>274</v>
      </c>
      <c r="K85" s="180">
        <f>1/K79</f>
        <v>322.58064516129031</v>
      </c>
      <c r="L85" s="180">
        <f>L79/K79^2</f>
        <v>124.86992715920915</v>
      </c>
      <c r="M85" s="126"/>
      <c r="N85" s="126"/>
      <c r="O85" s="126"/>
      <c r="P85" s="129"/>
    </row>
    <row r="86" spans="3:16" s="324" customFormat="1" ht="15.5" x14ac:dyDescent="0.35">
      <c r="C86" s="341"/>
      <c r="D86" s="342"/>
      <c r="E86" s="342" t="s">
        <v>234</v>
      </c>
      <c r="G86" s="347"/>
      <c r="I86" s="329"/>
      <c r="J86" s="124" t="s">
        <v>277</v>
      </c>
      <c r="K86" s="180">
        <f>K80/K79</f>
        <v>17.93548387096774</v>
      </c>
      <c r="L86" s="180">
        <f>SQRT((L80/K79)^2+(K80/K79^2*L79)^2)</f>
        <v>7.5006865979684783</v>
      </c>
      <c r="M86" s="126"/>
      <c r="N86" s="126"/>
      <c r="O86" s="126"/>
      <c r="P86" s="330"/>
    </row>
    <row r="87" spans="3:16" s="324" customFormat="1" ht="15.5" x14ac:dyDescent="0.35">
      <c r="C87" s="342" t="s">
        <v>459</v>
      </c>
      <c r="D87" s="343">
        <f>D80*35923/426</f>
        <v>27893561900909.027</v>
      </c>
      <c r="E87" s="343">
        <f>E80*35923/426</f>
        <v>903347106542.82825</v>
      </c>
      <c r="G87" s="20"/>
      <c r="I87" s="329"/>
      <c r="J87" s="124" t="s">
        <v>279</v>
      </c>
      <c r="K87" s="180">
        <f>K81/K79</f>
        <v>0.33709677419354839</v>
      </c>
      <c r="L87" s="180">
        <f>SQRT((L81/K79)^2+(K81/K79^2*L79)^2)</f>
        <v>0.13367973074009101</v>
      </c>
      <c r="M87" s="126"/>
      <c r="N87" s="126"/>
      <c r="O87" s="126"/>
      <c r="P87" s="330"/>
    </row>
    <row r="88" spans="3:16" s="324" customFormat="1" ht="15.5" x14ac:dyDescent="0.35">
      <c r="C88" s="139"/>
      <c r="D88" s="136"/>
      <c r="E88" s="136"/>
      <c r="G88" s="20"/>
      <c r="I88" s="329"/>
      <c r="J88" s="126"/>
      <c r="K88" s="126"/>
      <c r="L88" s="126"/>
      <c r="M88" s="126"/>
      <c r="N88" s="126"/>
      <c r="O88" s="126"/>
      <c r="P88" s="330"/>
    </row>
    <row r="89" spans="3:16" ht="15.5" x14ac:dyDescent="0.35">
      <c r="C89" s="39"/>
      <c r="D89" s="136" t="s">
        <v>275</v>
      </c>
      <c r="E89" s="136" t="s">
        <v>276</v>
      </c>
      <c r="G89" s="20"/>
      <c r="I89" s="157"/>
      <c r="J89" s="126"/>
      <c r="K89" s="126"/>
      <c r="L89" s="126"/>
      <c r="M89" s="126"/>
      <c r="N89" s="126"/>
      <c r="O89" s="126"/>
      <c r="P89" s="129"/>
    </row>
    <row r="90" spans="3:16" ht="15.5" x14ac:dyDescent="0.35">
      <c r="C90" s="155" t="s">
        <v>278</v>
      </c>
      <c r="D90" s="160">
        <f>92.4/315700000000</f>
        <v>2.9268292682926833E-10</v>
      </c>
      <c r="E90" s="165">
        <f>1/6500000000</f>
        <v>1.5384615384615385E-10</v>
      </c>
      <c r="I90" s="157"/>
      <c r="J90" s="124" t="s">
        <v>281</v>
      </c>
      <c r="K90" s="110">
        <f>(320.8*2)*100000000/315700000000</f>
        <v>0.20323091542603738</v>
      </c>
      <c r="L90" s="125" t="s">
        <v>282</v>
      </c>
      <c r="M90" s="126"/>
      <c r="N90" s="126"/>
      <c r="O90" s="126"/>
      <c r="P90" s="129"/>
    </row>
    <row r="91" spans="3:16" ht="15.5" x14ac:dyDescent="0.35">
      <c r="C91" s="155" t="s">
        <v>280</v>
      </c>
      <c r="D91" s="168">
        <f>D80*D90</f>
        <v>96.81404497115237</v>
      </c>
      <c r="E91" s="168">
        <f>(D80)*E90</f>
        <v>50.889433895092907</v>
      </c>
      <c r="F91" s="181"/>
      <c r="I91" s="157"/>
      <c r="J91" s="126"/>
      <c r="K91" s="126"/>
      <c r="L91" s="126"/>
      <c r="M91" s="126"/>
      <c r="N91" s="126"/>
      <c r="O91" s="126"/>
      <c r="P91" s="129"/>
    </row>
    <row r="92" spans="3:16" ht="15.5" x14ac:dyDescent="0.35">
      <c r="D92" s="152"/>
      <c r="I92" s="157"/>
      <c r="J92" s="124" t="s">
        <v>283</v>
      </c>
      <c r="K92" s="184">
        <f>12000000000/154000000000</f>
        <v>7.792207792207792E-2</v>
      </c>
      <c r="L92" s="125" t="s">
        <v>284</v>
      </c>
      <c r="M92" s="126"/>
      <c r="N92" s="126"/>
      <c r="O92" s="126"/>
      <c r="P92" s="129"/>
    </row>
    <row r="93" spans="3:16" ht="15.5" x14ac:dyDescent="0.35">
      <c r="D93" s="118" t="s">
        <v>64</v>
      </c>
      <c r="E93" s="118" t="s">
        <v>234</v>
      </c>
      <c r="H93" s="182"/>
      <c r="I93" s="157"/>
      <c r="J93" s="126"/>
      <c r="K93" s="124"/>
      <c r="L93" s="124"/>
      <c r="M93" s="126"/>
      <c r="N93" s="126"/>
      <c r="O93" s="126"/>
      <c r="P93" s="129"/>
    </row>
    <row r="94" spans="3:16" ht="15.5" x14ac:dyDescent="0.35">
      <c r="C94" s="155" t="s">
        <v>280</v>
      </c>
      <c r="D94" s="183">
        <f>AVERAGE(D91:E91)</f>
        <v>73.851739433122646</v>
      </c>
      <c r="E94" s="183">
        <f>D91-D94</f>
        <v>22.962305538029725</v>
      </c>
      <c r="I94" s="331"/>
      <c r="J94" s="332"/>
      <c r="K94" s="333" t="s">
        <v>261</v>
      </c>
      <c r="L94" s="334" t="s">
        <v>234</v>
      </c>
      <c r="M94" s="332"/>
      <c r="N94" s="332"/>
      <c r="O94" s="332"/>
      <c r="P94" s="129"/>
    </row>
    <row r="95" spans="3:16" ht="15.5" x14ac:dyDescent="0.35">
      <c r="D95" s="118"/>
      <c r="E95" s="39"/>
      <c r="I95" s="331"/>
      <c r="J95" s="333" t="s">
        <v>286</v>
      </c>
      <c r="K95" s="335">
        <v>2.3255813953488372E-3</v>
      </c>
      <c r="L95" s="335">
        <v>1.1627906976744186E-3</v>
      </c>
      <c r="M95" s="336" t="s">
        <v>287</v>
      </c>
      <c r="N95" s="332"/>
      <c r="O95" s="332"/>
      <c r="P95" s="129"/>
    </row>
    <row r="96" spans="3:16" ht="15.5" x14ac:dyDescent="0.35">
      <c r="D96" s="118" t="s">
        <v>65</v>
      </c>
      <c r="E96" s="118" t="s">
        <v>64</v>
      </c>
      <c r="F96" s="118" t="s">
        <v>66</v>
      </c>
      <c r="I96" s="331"/>
      <c r="J96" s="333" t="s">
        <v>289</v>
      </c>
      <c r="K96" s="335">
        <v>2.9069767441860465E-4</v>
      </c>
      <c r="L96" s="335">
        <v>1.7441860465116282E-4</v>
      </c>
      <c r="M96" s="336" t="s">
        <v>287</v>
      </c>
      <c r="N96" s="332"/>
      <c r="O96" s="332"/>
      <c r="P96" s="129"/>
    </row>
    <row r="97" spans="1:27" ht="15.5" x14ac:dyDescent="0.35">
      <c r="C97" s="155" t="s">
        <v>285</v>
      </c>
      <c r="D97" s="158">
        <f>($D$94-$E$94)*(K84-L84)</f>
        <v>991.35106190025363</v>
      </c>
      <c r="E97" s="158">
        <f>$D$94*(K84)</f>
        <v>2668.1918762934638</v>
      </c>
      <c r="F97" s="158">
        <f>($D$94+$E$94)*(K84+L84)</f>
        <v>5109.6105605631956</v>
      </c>
      <c r="I97" s="331"/>
      <c r="J97" s="337"/>
      <c r="K97" s="337"/>
      <c r="L97" s="337"/>
      <c r="M97" s="337"/>
      <c r="N97" s="337"/>
      <c r="O97" s="337"/>
      <c r="P97" s="129"/>
    </row>
    <row r="98" spans="1:27" ht="15.5" x14ac:dyDescent="0.35">
      <c r="C98" s="155" t="s">
        <v>288</v>
      </c>
      <c r="D98" s="158">
        <f>($D$94-$E$94)*(K85-L85)</f>
        <v>10061.386514118267</v>
      </c>
      <c r="E98" s="158">
        <f>$D$94*(K85)</f>
        <v>23823.141752620206</v>
      </c>
      <c r="F98" s="158">
        <f>($D$94+$E$94)*(K85+L85)</f>
        <v>43319.499831004701</v>
      </c>
      <c r="I98" s="331"/>
      <c r="J98" s="337"/>
      <c r="K98" s="337"/>
      <c r="L98" s="337"/>
      <c r="M98" s="337"/>
      <c r="N98" s="337"/>
      <c r="O98" s="337"/>
      <c r="P98" s="129"/>
    </row>
    <row r="99" spans="1:27" ht="15.5" x14ac:dyDescent="0.35">
      <c r="C99" s="155" t="s">
        <v>290</v>
      </c>
      <c r="D99" s="158">
        <f>($D$94-$E$94)*(K86-L86)</f>
        <v>531.02092603299184</v>
      </c>
      <c r="E99" s="158">
        <f>$D$94*(K86)</f>
        <v>1324.5666814456833</v>
      </c>
      <c r="F99" s="158">
        <f>($D$94+$E$94)*(K86+L86)</f>
        <v>2462.5785516734891</v>
      </c>
      <c r="I99" s="340"/>
      <c r="J99" s="338"/>
      <c r="K99" s="338"/>
      <c r="L99" s="338"/>
      <c r="M99" s="338"/>
      <c r="N99" s="338"/>
      <c r="O99" s="338"/>
      <c r="P99" s="340"/>
    </row>
    <row r="100" spans="1:27" ht="15.5" x14ac:dyDescent="0.35">
      <c r="C100" s="155" t="s">
        <v>291</v>
      </c>
      <c r="D100" s="158">
        <f>($D$94-$E$94)*(K87-L87)</f>
        <v>10.351778185959963</v>
      </c>
      <c r="E100" s="158">
        <f>$D$94*(K87)</f>
        <v>24.895183131488118</v>
      </c>
      <c r="F100" s="158">
        <f>($D$94+$E$94)*(K87+L87)</f>
        <v>45.577777720007305</v>
      </c>
      <c r="I100" s="339"/>
      <c r="J100" s="339"/>
      <c r="K100" s="339"/>
      <c r="L100" s="339"/>
      <c r="M100" s="339"/>
      <c r="N100" s="339"/>
      <c r="O100" s="339"/>
      <c r="P100" s="339"/>
    </row>
    <row r="102" spans="1:27" ht="15" customHeight="1" x14ac:dyDescent="0.35">
      <c r="C102" s="139"/>
      <c r="D102" s="118" t="s">
        <v>65</v>
      </c>
      <c r="E102" s="118" t="s">
        <v>64</v>
      </c>
      <c r="F102" s="118" t="s">
        <v>66</v>
      </c>
    </row>
    <row r="103" spans="1:27" ht="15.5" x14ac:dyDescent="0.35">
      <c r="C103" s="155" t="s">
        <v>292</v>
      </c>
      <c r="D103" s="160">
        <f>(D80-E80)*K90</f>
        <v>65047875223.313271</v>
      </c>
      <c r="E103" s="160">
        <f>(D80)*K90</f>
        <v>67224990534.081551</v>
      </c>
      <c r="F103" s="160">
        <f>(D80+E80)*K90</f>
        <v>69402105844.849823</v>
      </c>
    </row>
    <row r="104" spans="1:27" ht="15.5" x14ac:dyDescent="0.35">
      <c r="C104" s="185"/>
      <c r="E104" s="118"/>
      <c r="F104" s="39"/>
      <c r="G104" s="73"/>
    </row>
    <row r="105" spans="1:27" ht="15.5" x14ac:dyDescent="0.35">
      <c r="C105" s="179"/>
      <c r="D105" s="186" t="s">
        <v>65</v>
      </c>
      <c r="E105" s="186" t="s">
        <v>64</v>
      </c>
      <c r="F105" s="186" t="s">
        <v>66</v>
      </c>
    </row>
    <row r="106" spans="1:27" ht="15.5" x14ac:dyDescent="0.35">
      <c r="C106" s="155" t="s">
        <v>293</v>
      </c>
      <c r="D106" s="160">
        <f>(D81-E81)*K92</f>
        <v>12123818181.818182</v>
      </c>
      <c r="E106" s="160">
        <f>(D81)*K92</f>
        <v>17666135064.935066</v>
      </c>
      <c r="F106" s="160">
        <f>(D81+E81)*K92</f>
        <v>23208451948.051949</v>
      </c>
    </row>
    <row r="107" spans="1:27" ht="15.5" x14ac:dyDescent="0.35">
      <c r="C107" s="155" t="s">
        <v>294</v>
      </c>
      <c r="D107" s="160">
        <f>($D$81-E81)*(K95-L95)</f>
        <v>180917441.86046511</v>
      </c>
      <c r="E107" s="160">
        <f>($D$81)*(K95)</f>
        <v>527245116.27906978</v>
      </c>
      <c r="F107" s="160">
        <f>($D$81+E81)*(K95+L95)</f>
        <v>1038983023.255814</v>
      </c>
      <c r="H107" s="273"/>
    </row>
    <row r="108" spans="1:27" ht="15.5" x14ac:dyDescent="0.35">
      <c r="C108" s="155" t="s">
        <v>295</v>
      </c>
      <c r="D108" s="160">
        <f>($D$81-E81)*(K96-L96)</f>
        <v>18091744.186046507</v>
      </c>
      <c r="E108" s="160">
        <f>($D$81)*(K96)</f>
        <v>65905639.534883723</v>
      </c>
      <c r="F108" s="160">
        <f>($D$81+E81)*(K96+L96)</f>
        <v>138531069.76744187</v>
      </c>
      <c r="H108" s="273"/>
    </row>
    <row r="109" spans="1:27" ht="15.5" x14ac:dyDescent="0.35">
      <c r="C109" s="39"/>
    </row>
    <row r="110" spans="1:27" ht="15.5" x14ac:dyDescent="0.35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8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</row>
    <row r="111" spans="1:27" ht="15" customHeight="1" x14ac:dyDescent="0.45">
      <c r="B111" s="154"/>
      <c r="C111" s="139"/>
      <c r="D111" s="139"/>
      <c r="E111" s="139"/>
      <c r="F111" s="136"/>
      <c r="I111" s="112"/>
      <c r="J111" s="139"/>
      <c r="K111" s="39"/>
    </row>
    <row r="112" spans="1:27" ht="15" customHeight="1" x14ac:dyDescent="0.45">
      <c r="B112" s="154" t="s">
        <v>198</v>
      </c>
      <c r="I112" s="112"/>
      <c r="J112" s="139"/>
      <c r="K112" s="39"/>
    </row>
    <row r="113" spans="1:16" ht="15.5" x14ac:dyDescent="0.35">
      <c r="C113" s="39"/>
      <c r="D113" s="118" t="s">
        <v>65</v>
      </c>
      <c r="E113" s="118" t="s">
        <v>64</v>
      </c>
      <c r="F113" s="118" t="s">
        <v>66</v>
      </c>
      <c r="I113" s="494" t="s">
        <v>211</v>
      </c>
      <c r="J113" s="450"/>
      <c r="K113" s="450"/>
      <c r="L113" s="450"/>
      <c r="M113" s="450"/>
      <c r="N113" s="450"/>
      <c r="O113" s="450"/>
      <c r="P113" s="457"/>
    </row>
    <row r="114" spans="1:16" ht="15.5" x14ac:dyDescent="0.35">
      <c r="C114" s="155" t="s">
        <v>296</v>
      </c>
      <c r="D114" s="160">
        <f>0.00000000033/24055</f>
        <v>1.3718561629598837E-14</v>
      </c>
      <c r="E114" s="160">
        <f>AVERAGE(D114,F114)</f>
        <v>2.3279983371440448E-14</v>
      </c>
      <c r="F114" s="160">
        <f>0.00000000079/24055</f>
        <v>3.2841405113282062E-14</v>
      </c>
      <c r="I114" s="189"/>
      <c r="J114" s="190"/>
      <c r="K114" s="190"/>
      <c r="L114" s="190"/>
      <c r="M114" s="190"/>
      <c r="N114" s="190"/>
      <c r="O114" s="190"/>
      <c r="P114" s="191"/>
    </row>
    <row r="115" spans="1:16" ht="15.5" x14ac:dyDescent="0.35">
      <c r="C115" s="155" t="s">
        <v>297</v>
      </c>
      <c r="D115" s="168">
        <f>D114*($F$24/D21)</f>
        <v>551.25804112242781</v>
      </c>
      <c r="E115" s="168">
        <f>E114*($F$24/D21)</f>
        <v>935.46819099563493</v>
      </c>
      <c r="F115" s="168">
        <f>F114*($F$24/D21)</f>
        <v>1319.6783408688423</v>
      </c>
      <c r="I115" s="157"/>
      <c r="J115" s="126"/>
      <c r="K115" s="164" t="s">
        <v>298</v>
      </c>
      <c r="L115" s="124">
        <v>38</v>
      </c>
      <c r="M115" s="124">
        <v>670</v>
      </c>
      <c r="N115" s="125" t="s">
        <v>299</v>
      </c>
      <c r="O115" s="126"/>
      <c r="P115" s="129"/>
    </row>
    <row r="116" spans="1:16" ht="15.5" x14ac:dyDescent="0.35">
      <c r="C116" s="39"/>
      <c r="D116" s="118"/>
      <c r="E116" s="118"/>
      <c r="F116" s="118"/>
      <c r="I116" s="157"/>
      <c r="J116" s="126"/>
      <c r="K116" s="192" t="s">
        <v>300</v>
      </c>
      <c r="L116" s="193">
        <f>(1.49-1.02)*10000000/(1+1/(22*0.00000139))</f>
        <v>143.72160499331932</v>
      </c>
      <c r="M116" s="125" t="s">
        <v>301</v>
      </c>
      <c r="N116" s="126"/>
      <c r="O116" s="126"/>
      <c r="P116" s="129"/>
    </row>
    <row r="117" spans="1:16" ht="15.5" x14ac:dyDescent="0.35">
      <c r="C117" s="39"/>
      <c r="D117" s="118" t="s">
        <v>65</v>
      </c>
      <c r="E117" s="118" t="s">
        <v>64</v>
      </c>
      <c r="F117" s="118" t="s">
        <v>66</v>
      </c>
      <c r="I117" s="157"/>
      <c r="J117" s="194"/>
      <c r="K117" s="194"/>
      <c r="L117" s="194"/>
      <c r="M117" s="194"/>
      <c r="N117" s="194"/>
      <c r="O117" s="194"/>
      <c r="P117" s="195"/>
    </row>
    <row r="118" spans="1:16" ht="15.5" x14ac:dyDescent="0.35">
      <c r="B118" s="196"/>
      <c r="C118" s="155" t="s">
        <v>302</v>
      </c>
      <c r="D118" s="158">
        <f>D115*($K$119-L119)</f>
        <v>176.2345878499072</v>
      </c>
      <c r="E118" s="158">
        <f>E115*$K$119</f>
        <v>314.97245488068512</v>
      </c>
      <c r="F118" s="158">
        <f>F115*($K$119+L119)</f>
        <v>466.77736098479602</v>
      </c>
      <c r="I118" s="157"/>
      <c r="J118" s="124"/>
      <c r="K118" s="124"/>
      <c r="L118" s="124" t="s">
        <v>234</v>
      </c>
      <c r="M118" s="126"/>
      <c r="N118" s="126"/>
      <c r="O118" s="126"/>
      <c r="P118" s="129"/>
    </row>
    <row r="119" spans="1:16" ht="15.5" x14ac:dyDescent="0.35">
      <c r="C119" s="155" t="s">
        <v>303</v>
      </c>
      <c r="D119" s="158">
        <f>D115*($K$120-L120)</f>
        <v>557.48879827967107</v>
      </c>
      <c r="E119" s="158">
        <f>E115*$K$120</f>
        <v>1140.8148670678474</v>
      </c>
      <c r="F119" s="158">
        <f>F115*($K$120+L120)</f>
        <v>1884.133264774076</v>
      </c>
      <c r="I119" s="157"/>
      <c r="J119" s="124" t="s">
        <v>218</v>
      </c>
      <c r="K119" s="159">
        <f>1/2.97</f>
        <v>0.33670033670033667</v>
      </c>
      <c r="L119" s="159">
        <f>0.15/2.97^2</f>
        <v>1.7005067510118013E-2</v>
      </c>
      <c r="M119" s="133" t="s">
        <v>304</v>
      </c>
      <c r="N119" s="126"/>
      <c r="O119" s="126"/>
      <c r="P119" s="129"/>
    </row>
    <row r="120" spans="1:16" ht="15.5" x14ac:dyDescent="0.35">
      <c r="A120" s="8" t="s">
        <v>248</v>
      </c>
      <c r="C120" s="155" t="s">
        <v>305</v>
      </c>
      <c r="D120" s="158">
        <f>D115*($K$121-L121)</f>
        <v>51.468452445535554</v>
      </c>
      <c r="E120" s="158">
        <f>E115*$K$121</f>
        <v>103.94091011062609</v>
      </c>
      <c r="F120" s="158">
        <f>F115*($K$121+L121)</f>
        <v>170.04949767194549</v>
      </c>
      <c r="I120" s="163"/>
      <c r="J120" s="124" t="s">
        <v>220</v>
      </c>
      <c r="K120" s="159">
        <f>1/0.82</f>
        <v>1.2195121951219512</v>
      </c>
      <c r="L120" s="159">
        <f>0.14/0.82^2</f>
        <v>0.20820939916716247</v>
      </c>
      <c r="M120" s="133" t="s">
        <v>304</v>
      </c>
      <c r="N120" s="126"/>
      <c r="O120" s="126"/>
      <c r="P120" s="129"/>
    </row>
    <row r="121" spans="1:16" ht="15.5" x14ac:dyDescent="0.35">
      <c r="C121" s="155" t="s">
        <v>306</v>
      </c>
      <c r="D121" s="158">
        <f>D115*($K$122-L122)</f>
        <v>0.6230703573732751</v>
      </c>
      <c r="E121" s="158">
        <f>E115*$K$122</f>
        <v>1.4830593271882018</v>
      </c>
      <c r="F121" s="158">
        <f>F115*($K$122+L122)</f>
        <v>2.6927532851406468</v>
      </c>
      <c r="I121" s="163"/>
      <c r="J121" s="124" t="s">
        <v>222</v>
      </c>
      <c r="K121" s="159">
        <f>K119*K125</f>
        <v>0.1111111111111111</v>
      </c>
      <c r="L121" s="159">
        <f>SQRT((K125*L119)^2+(K119*L125)^2)</f>
        <v>1.7745665881977436E-2</v>
      </c>
      <c r="M121" s="197"/>
      <c r="N121" s="126"/>
      <c r="O121" s="126"/>
      <c r="P121" s="129"/>
    </row>
    <row r="122" spans="1:16" ht="15.5" x14ac:dyDescent="0.35">
      <c r="C122" s="39"/>
      <c r="G122" s="39"/>
      <c r="I122" s="157"/>
      <c r="J122" s="124" t="s">
        <v>224</v>
      </c>
      <c r="K122" s="159">
        <f>0.0013/0.82</f>
        <v>1.5853658536585367E-3</v>
      </c>
      <c r="L122" s="159">
        <f>SQRT((0.0003/0.82)^2+(0.0013/0.82^2*0.14)^2)</f>
        <v>4.5509597840260604E-4</v>
      </c>
      <c r="M122" s="133" t="s">
        <v>304</v>
      </c>
      <c r="N122" s="126"/>
      <c r="O122" s="126"/>
      <c r="P122" s="129"/>
    </row>
    <row r="123" spans="1:16" ht="15.5" x14ac:dyDescent="0.35">
      <c r="C123" s="155" t="s">
        <v>307</v>
      </c>
      <c r="D123" s="160">
        <f>'Global mass balance'!D56</f>
        <v>3720000000</v>
      </c>
      <c r="E123" s="160">
        <f>'Global mass balance'!C56</f>
        <v>7760000000.8558102</v>
      </c>
      <c r="F123" s="160">
        <f>'Global mass balance'!E56</f>
        <v>11750000000</v>
      </c>
      <c r="I123" s="157"/>
      <c r="J123" s="126"/>
      <c r="K123" s="126"/>
      <c r="L123" s="126"/>
      <c r="M123" s="126"/>
      <c r="N123" s="126"/>
      <c r="O123" s="126"/>
      <c r="P123" s="129"/>
    </row>
    <row r="124" spans="1:16" ht="15.5" x14ac:dyDescent="0.35">
      <c r="I124" s="157"/>
      <c r="J124" s="126"/>
      <c r="K124" s="126"/>
      <c r="L124" s="124" t="s">
        <v>234</v>
      </c>
      <c r="M124" s="126"/>
      <c r="N124" s="126"/>
      <c r="O124" s="126"/>
      <c r="P124" s="129"/>
    </row>
    <row r="125" spans="1:16" ht="15.5" x14ac:dyDescent="0.35">
      <c r="C125" s="155" t="s">
        <v>308</v>
      </c>
      <c r="D125" s="165">
        <f>$F$24*D114*$K$132/D21</f>
        <v>1653774123367.2832</v>
      </c>
      <c r="E125" s="165">
        <f>$F$24*E114*$K$132/0.09</f>
        <v>2806404572986.9048</v>
      </c>
      <c r="F125" s="165">
        <f>$F$24*F114*$K$132/0.09</f>
        <v>3959035022606.5269</v>
      </c>
      <c r="I125" s="157"/>
      <c r="J125" s="124" t="s">
        <v>309</v>
      </c>
      <c r="K125" s="124">
        <v>0.33</v>
      </c>
      <c r="L125" s="124">
        <v>0.05</v>
      </c>
      <c r="M125" s="133" t="s">
        <v>310</v>
      </c>
      <c r="N125" s="126"/>
      <c r="O125" s="126"/>
      <c r="P125" s="129"/>
    </row>
    <row r="126" spans="1:16" ht="15.5" x14ac:dyDescent="0.35">
      <c r="I126" s="157"/>
      <c r="J126" s="126"/>
      <c r="K126" s="126"/>
      <c r="L126" s="126"/>
      <c r="M126" s="126"/>
      <c r="N126" s="126"/>
      <c r="O126" s="126"/>
      <c r="P126" s="129"/>
    </row>
    <row r="127" spans="1:16" ht="15.5" x14ac:dyDescent="0.35">
      <c r="C127" s="155" t="s">
        <v>311</v>
      </c>
      <c r="D127" s="160">
        <f>M135*$F$24</f>
        <v>169179946433.80634</v>
      </c>
      <c r="E127" s="160">
        <f>N135*$F$24</f>
        <v>197376604172.77408</v>
      </c>
      <c r="F127" s="160">
        <f>O135*$F$24</f>
        <v>225573261911.74179</v>
      </c>
      <c r="I127" s="157"/>
      <c r="J127" s="124" t="s">
        <v>312</v>
      </c>
      <c r="K127" s="131">
        <v>3900000</v>
      </c>
      <c r="L127" s="133" t="s">
        <v>313</v>
      </c>
      <c r="M127" s="126"/>
      <c r="N127" s="126"/>
      <c r="O127" s="126"/>
      <c r="P127" s="129"/>
    </row>
    <row r="128" spans="1:16" ht="15.5" x14ac:dyDescent="0.35">
      <c r="C128" s="198"/>
      <c r="I128" s="157"/>
      <c r="J128" s="126"/>
      <c r="K128" s="126"/>
      <c r="L128" s="126"/>
      <c r="M128" s="126"/>
      <c r="N128" s="126"/>
      <c r="O128" s="126"/>
      <c r="P128" s="129"/>
    </row>
    <row r="129" spans="3:16" ht="15.5" x14ac:dyDescent="0.35">
      <c r="C129" s="175" t="s">
        <v>314</v>
      </c>
      <c r="D129" s="165">
        <f>$F$24*$M$144/($L$60*(1-$D$21)+$D$21)</f>
        <v>729865696782.70581</v>
      </c>
      <c r="E129" s="165">
        <f>$F$24*$M$142/($L$60*(1-$D$21)+$D$21)</f>
        <v>1277264969369.7356</v>
      </c>
      <c r="F129" s="165">
        <f>$F$24*$M$146/($L$60*(1-$D$21)+$D$21)</f>
        <v>1678691102600.2239</v>
      </c>
      <c r="I129" s="157"/>
      <c r="J129" s="126"/>
      <c r="K129" s="126"/>
      <c r="L129" s="172" t="s">
        <v>247</v>
      </c>
      <c r="M129" s="172" t="s">
        <v>248</v>
      </c>
      <c r="N129" s="126"/>
      <c r="O129" s="126"/>
      <c r="P129" s="129"/>
    </row>
    <row r="130" spans="3:16" ht="15.5" x14ac:dyDescent="0.35">
      <c r="I130" s="157"/>
      <c r="J130" s="124" t="s">
        <v>315</v>
      </c>
      <c r="K130" s="131">
        <v>700000</v>
      </c>
      <c r="L130" s="131">
        <v>500000</v>
      </c>
      <c r="M130" s="131">
        <v>300000</v>
      </c>
      <c r="N130" s="133" t="s">
        <v>252</v>
      </c>
      <c r="O130" s="126"/>
      <c r="P130" s="129"/>
    </row>
    <row r="131" spans="3:16" ht="15.5" x14ac:dyDescent="0.35">
      <c r="C131" s="175" t="s">
        <v>322</v>
      </c>
      <c r="D131" s="201">
        <f>D114*K132</f>
        <v>4.1155684888796509E-5</v>
      </c>
      <c r="E131" s="201">
        <f>E114*K132</f>
        <v>6.9839950114321345E-5</v>
      </c>
      <c r="F131" s="201">
        <f>F114*K132</f>
        <v>9.8524215339846182E-5</v>
      </c>
      <c r="I131" s="157"/>
      <c r="J131" s="126"/>
      <c r="K131" s="126"/>
      <c r="L131" s="126"/>
      <c r="M131" s="126"/>
      <c r="N131" s="126"/>
      <c r="O131" s="126"/>
      <c r="P131" s="129"/>
    </row>
    <row r="132" spans="3:16" ht="15.5" x14ac:dyDescent="0.35">
      <c r="C132" s="175" t="s">
        <v>323</v>
      </c>
      <c r="D132" s="202">
        <f>D131*12.1*1000000</f>
        <v>497.98378715443778</v>
      </c>
      <c r="E132" s="202">
        <f>E131*12.1*1000000</f>
        <v>845.06339638328825</v>
      </c>
      <c r="F132" s="202">
        <f>F131*12.1*1000000</f>
        <v>1192.1430056121387</v>
      </c>
      <c r="I132" s="157"/>
      <c r="J132" s="124" t="s">
        <v>316</v>
      </c>
      <c r="K132" s="131">
        <v>3000000000</v>
      </c>
      <c r="L132" s="199" t="s">
        <v>317</v>
      </c>
      <c r="M132" s="126"/>
      <c r="N132" s="126"/>
      <c r="O132" s="126"/>
      <c r="P132" s="129"/>
    </row>
    <row r="133" spans="3:16" ht="15.5" x14ac:dyDescent="0.35">
      <c r="C133" s="39"/>
      <c r="I133" s="157"/>
      <c r="J133" s="126"/>
      <c r="K133" s="126"/>
      <c r="L133" s="126"/>
      <c r="M133" s="126"/>
      <c r="N133" s="126"/>
      <c r="O133" s="126"/>
      <c r="P133" s="129"/>
    </row>
    <row r="134" spans="3:16" ht="15.5" x14ac:dyDescent="0.35">
      <c r="I134" s="157"/>
      <c r="J134" s="127"/>
      <c r="K134" s="127"/>
      <c r="L134" s="127"/>
      <c r="M134" s="124" t="s">
        <v>65</v>
      </c>
      <c r="N134" s="124" t="s">
        <v>64</v>
      </c>
      <c r="O134" s="124" t="s">
        <v>66</v>
      </c>
      <c r="P134" s="129"/>
    </row>
    <row r="135" spans="3:16" ht="15.5" x14ac:dyDescent="0.35">
      <c r="I135" s="157"/>
      <c r="J135" s="499" t="s">
        <v>318</v>
      </c>
      <c r="K135" s="452"/>
      <c r="L135" s="452"/>
      <c r="M135" s="110">
        <f>M136/32.065/1000000</f>
        <v>4.6779978169343525E-5</v>
      </c>
      <c r="N135" s="110">
        <f>N136/32.065/1000000</f>
        <v>5.4576641197567447E-5</v>
      </c>
      <c r="O135" s="110">
        <f>O136/32.065/1000000</f>
        <v>6.2373304225791363E-5</v>
      </c>
      <c r="P135" s="129"/>
    </row>
    <row r="136" spans="3:16" ht="15.5" x14ac:dyDescent="0.35">
      <c r="C136" s="39"/>
      <c r="I136" s="157"/>
      <c r="J136" s="496" t="s">
        <v>319</v>
      </c>
      <c r="K136" s="452"/>
      <c r="L136" s="452"/>
      <c r="M136" s="162">
        <v>1500</v>
      </c>
      <c r="N136" s="124">
        <v>1750</v>
      </c>
      <c r="O136" s="124">
        <v>2000</v>
      </c>
      <c r="P136" s="129"/>
    </row>
    <row r="137" spans="3:16" ht="15.5" x14ac:dyDescent="0.35">
      <c r="I137" s="157"/>
      <c r="J137" s="126"/>
      <c r="K137" s="126"/>
      <c r="L137" s="126"/>
      <c r="M137" s="126"/>
      <c r="N137" s="126"/>
      <c r="O137" s="126"/>
      <c r="P137" s="129"/>
    </row>
    <row r="138" spans="3:16" ht="15.5" x14ac:dyDescent="0.35">
      <c r="I138" s="157"/>
      <c r="J138" s="126"/>
      <c r="K138" s="126"/>
      <c r="L138" s="192" t="s">
        <v>320</v>
      </c>
      <c r="M138" s="200">
        <f>(56+164)*1000000/32.065*365</f>
        <v>2504288164.6655231</v>
      </c>
      <c r="N138" s="125" t="s">
        <v>321</v>
      </c>
      <c r="O138" s="126"/>
      <c r="P138" s="129"/>
    </row>
    <row r="139" spans="3:16" ht="15.5" x14ac:dyDescent="0.35">
      <c r="I139" s="157"/>
      <c r="J139" s="126"/>
      <c r="K139" s="126"/>
      <c r="L139" s="126"/>
      <c r="M139" s="126"/>
      <c r="N139" s="126"/>
      <c r="O139" s="126"/>
      <c r="P139" s="129"/>
    </row>
    <row r="140" spans="3:16" ht="15.5" x14ac:dyDescent="0.35">
      <c r="I140" s="285"/>
      <c r="J140" s="279"/>
      <c r="K140" s="279"/>
      <c r="L140" s="279"/>
      <c r="M140" s="293" t="s">
        <v>64</v>
      </c>
      <c r="N140" s="279"/>
      <c r="O140" s="279"/>
      <c r="P140" s="277"/>
    </row>
    <row r="141" spans="3:16" ht="15.5" x14ac:dyDescent="0.35">
      <c r="I141" s="285"/>
      <c r="J141" s="294" t="s">
        <v>444</v>
      </c>
      <c r="K141" s="279"/>
      <c r="L141" s="279"/>
      <c r="M141" s="279">
        <v>700</v>
      </c>
      <c r="N141" s="281" t="s">
        <v>446</v>
      </c>
      <c r="O141" s="279"/>
      <c r="P141" s="277"/>
    </row>
    <row r="142" spans="3:16" ht="15.5" x14ac:dyDescent="0.35">
      <c r="G142" s="39"/>
      <c r="I142" s="285"/>
      <c r="J142" s="278"/>
      <c r="K142" s="278"/>
      <c r="L142" s="295" t="s">
        <v>447</v>
      </c>
      <c r="M142" s="280">
        <f>M141/18.015/1000000</f>
        <v>3.8856508465167914E-5</v>
      </c>
      <c r="N142" s="280"/>
      <c r="O142" s="280"/>
      <c r="P142" s="277"/>
    </row>
    <row r="143" spans="3:16" ht="15.5" x14ac:dyDescent="0.35">
      <c r="G143" s="39"/>
      <c r="I143" s="285"/>
      <c r="J143" s="278"/>
      <c r="K143" s="278"/>
      <c r="L143" s="295" t="s">
        <v>386</v>
      </c>
      <c r="M143" s="295">
        <v>400</v>
      </c>
      <c r="N143" s="293" t="s">
        <v>65</v>
      </c>
      <c r="O143" s="281" t="s">
        <v>448</v>
      </c>
      <c r="P143" s="288"/>
    </row>
    <row r="144" spans="3:16" ht="15" customHeight="1" x14ac:dyDescent="0.35">
      <c r="I144" s="286"/>
      <c r="J144" s="282"/>
      <c r="K144" s="282"/>
      <c r="L144" s="295" t="s">
        <v>447</v>
      </c>
      <c r="M144" s="280">
        <f>M143/18.015/1000000</f>
        <v>2.2203719122953091E-5</v>
      </c>
      <c r="N144" s="283"/>
      <c r="O144" s="282"/>
      <c r="P144" s="277"/>
    </row>
    <row r="145" spans="3:16" ht="15.5" x14ac:dyDescent="0.35">
      <c r="D145" s="203"/>
      <c r="E145" s="203"/>
      <c r="F145" s="203"/>
      <c r="I145" s="286"/>
      <c r="J145" s="282"/>
      <c r="K145" s="282"/>
      <c r="L145" s="295" t="s">
        <v>386</v>
      </c>
      <c r="M145" s="283">
        <v>920</v>
      </c>
      <c r="N145" s="296" t="s">
        <v>66</v>
      </c>
      <c r="O145" s="281" t="s">
        <v>449</v>
      </c>
      <c r="P145" s="277"/>
    </row>
    <row r="146" spans="3:16" ht="15" customHeight="1" x14ac:dyDescent="0.35">
      <c r="I146" s="286"/>
      <c r="J146" s="282"/>
      <c r="K146" s="282"/>
      <c r="L146" s="295" t="s">
        <v>447</v>
      </c>
      <c r="M146" s="280">
        <f>M145/18.015/1000000</f>
        <v>5.1068553982792121E-5</v>
      </c>
      <c r="N146" s="283"/>
      <c r="O146" s="282"/>
      <c r="P146" s="277"/>
    </row>
    <row r="147" spans="3:16" ht="15" customHeight="1" x14ac:dyDescent="0.35">
      <c r="I147" s="287"/>
      <c r="J147" s="284"/>
      <c r="K147" s="284"/>
      <c r="L147" s="297"/>
      <c r="M147" s="297"/>
      <c r="N147" s="297"/>
      <c r="O147" s="284"/>
      <c r="P147" s="289"/>
    </row>
    <row r="148" spans="3:16" ht="15" customHeight="1" x14ac:dyDescent="0.35">
      <c r="C148" s="39"/>
    </row>
    <row r="152" spans="3:16" ht="15" customHeight="1" x14ac:dyDescent="0.35">
      <c r="C152" s="39"/>
    </row>
    <row r="153" spans="3:16" ht="15" customHeight="1" x14ac:dyDescent="0.35">
      <c r="C153" s="39"/>
    </row>
    <row r="154" spans="3:16" ht="15.5" x14ac:dyDescent="0.35">
      <c r="C154" s="39"/>
    </row>
    <row r="155" spans="3:16" ht="15.5" x14ac:dyDescent="0.35">
      <c r="C155" s="39"/>
    </row>
    <row r="156" spans="3:16" ht="15.5" x14ac:dyDescent="0.35">
      <c r="C156" s="39"/>
    </row>
    <row r="157" spans="3:16" ht="15.5" x14ac:dyDescent="0.35">
      <c r="C157" s="39"/>
    </row>
    <row r="158" spans="3:16" ht="15.5" x14ac:dyDescent="0.35">
      <c r="C158" s="39"/>
    </row>
    <row r="159" spans="3:16" ht="15.5" x14ac:dyDescent="0.35">
      <c r="C159" s="39"/>
    </row>
    <row r="160" spans="3:16" ht="15.5" x14ac:dyDescent="0.35">
      <c r="C160" s="39"/>
    </row>
    <row r="161" spans="3:3" ht="15.5" x14ac:dyDescent="0.35">
      <c r="C161" s="39"/>
    </row>
    <row r="162" spans="3:3" ht="15.5" x14ac:dyDescent="0.35">
      <c r="C162" s="39"/>
    </row>
    <row r="163" spans="3:3" ht="15.5" x14ac:dyDescent="0.35">
      <c r="C163" s="39"/>
    </row>
    <row r="164" spans="3:3" ht="15.5" x14ac:dyDescent="0.35">
      <c r="C164" s="39"/>
    </row>
    <row r="165" spans="3:3" ht="15.5" x14ac:dyDescent="0.35">
      <c r="C165" s="39"/>
    </row>
    <row r="166" spans="3:3" ht="15.5" x14ac:dyDescent="0.35">
      <c r="C166" s="39"/>
    </row>
    <row r="167" spans="3:3" ht="15.5" x14ac:dyDescent="0.35">
      <c r="C167" s="39"/>
    </row>
    <row r="168" spans="3:3" ht="15.5" x14ac:dyDescent="0.35">
      <c r="C168" s="39"/>
    </row>
    <row r="169" spans="3:3" ht="15.5" x14ac:dyDescent="0.35">
      <c r="C169" s="39"/>
    </row>
    <row r="170" spans="3:3" ht="15.5" x14ac:dyDescent="0.35">
      <c r="C170" s="39"/>
    </row>
    <row r="171" spans="3:3" ht="15.5" x14ac:dyDescent="0.35">
      <c r="C171" s="39"/>
    </row>
    <row r="172" spans="3:3" ht="15.5" x14ac:dyDescent="0.35">
      <c r="C172" s="39"/>
    </row>
    <row r="173" spans="3:3" ht="15.5" x14ac:dyDescent="0.35">
      <c r="C173" s="39"/>
    </row>
    <row r="174" spans="3:3" ht="15.5" x14ac:dyDescent="0.35">
      <c r="C174" s="39"/>
    </row>
    <row r="175" spans="3:3" ht="15.5" x14ac:dyDescent="0.35">
      <c r="C175" s="39"/>
    </row>
    <row r="176" spans="3:3" ht="15.5" x14ac:dyDescent="0.35">
      <c r="C176" s="39"/>
    </row>
    <row r="177" spans="3:3" ht="15.5" x14ac:dyDescent="0.35">
      <c r="C177" s="39"/>
    </row>
    <row r="178" spans="3:3" ht="15.5" x14ac:dyDescent="0.35">
      <c r="C178" s="39"/>
    </row>
    <row r="179" spans="3:3" ht="15.5" x14ac:dyDescent="0.35">
      <c r="C179" s="39"/>
    </row>
    <row r="180" spans="3:3" ht="15.5" x14ac:dyDescent="0.35">
      <c r="C180" s="39"/>
    </row>
    <row r="181" spans="3:3" ht="15.5" x14ac:dyDescent="0.35">
      <c r="C181" s="39"/>
    </row>
    <row r="182" spans="3:3" ht="15.5" x14ac:dyDescent="0.35">
      <c r="C182" s="39"/>
    </row>
    <row r="183" spans="3:3" ht="15.5" x14ac:dyDescent="0.35">
      <c r="C183" s="39"/>
    </row>
    <row r="184" spans="3:3" ht="15.5" x14ac:dyDescent="0.35">
      <c r="C184" s="39"/>
    </row>
    <row r="185" spans="3:3" ht="15.5" x14ac:dyDescent="0.35">
      <c r="C185" s="39"/>
    </row>
    <row r="186" spans="3:3" ht="15.5" x14ac:dyDescent="0.35">
      <c r="C186" s="39"/>
    </row>
    <row r="187" spans="3:3" ht="15.5" x14ac:dyDescent="0.35">
      <c r="C187" s="39"/>
    </row>
    <row r="188" spans="3:3" ht="15.5" x14ac:dyDescent="0.35">
      <c r="C188" s="39"/>
    </row>
    <row r="189" spans="3:3" ht="15.5" x14ac:dyDescent="0.35">
      <c r="C189" s="39"/>
    </row>
    <row r="190" spans="3:3" ht="15.5" x14ac:dyDescent="0.35">
      <c r="C190" s="39"/>
    </row>
    <row r="191" spans="3:3" ht="15.5" x14ac:dyDescent="0.35">
      <c r="C191" s="39"/>
    </row>
    <row r="192" spans="3:3" ht="15.5" x14ac:dyDescent="0.35">
      <c r="C192" s="39"/>
    </row>
    <row r="193" spans="3:3" ht="15.5" x14ac:dyDescent="0.35">
      <c r="C193" s="39"/>
    </row>
    <row r="194" spans="3:3" ht="15.5" x14ac:dyDescent="0.35">
      <c r="C194" s="39"/>
    </row>
    <row r="195" spans="3:3" ht="15.5" x14ac:dyDescent="0.35">
      <c r="C195" s="39"/>
    </row>
    <row r="196" spans="3:3" ht="15.5" x14ac:dyDescent="0.35">
      <c r="C196" s="39"/>
    </row>
    <row r="197" spans="3:3" ht="15.5" x14ac:dyDescent="0.35">
      <c r="C197" s="39"/>
    </row>
    <row r="198" spans="3:3" ht="15.5" x14ac:dyDescent="0.35">
      <c r="C198" s="39"/>
    </row>
    <row r="199" spans="3:3" ht="15.5" x14ac:dyDescent="0.35">
      <c r="C199" s="39"/>
    </row>
    <row r="200" spans="3:3" ht="15.5" x14ac:dyDescent="0.35">
      <c r="C200" s="39"/>
    </row>
    <row r="201" spans="3:3" ht="15.5" x14ac:dyDescent="0.35">
      <c r="C201" s="39"/>
    </row>
    <row r="202" spans="3:3" ht="15.5" x14ac:dyDescent="0.35">
      <c r="C202" s="39"/>
    </row>
    <row r="203" spans="3:3" ht="15.5" x14ac:dyDescent="0.35">
      <c r="C203" s="39"/>
    </row>
    <row r="204" spans="3:3" ht="15.5" x14ac:dyDescent="0.35">
      <c r="C204" s="39"/>
    </row>
    <row r="205" spans="3:3" ht="15.5" x14ac:dyDescent="0.35">
      <c r="C205" s="39"/>
    </row>
    <row r="206" spans="3:3" ht="15.5" x14ac:dyDescent="0.35">
      <c r="C206" s="39"/>
    </row>
    <row r="207" spans="3:3" ht="15.5" x14ac:dyDescent="0.35">
      <c r="C207" s="39"/>
    </row>
    <row r="208" spans="3:3" ht="15.5" x14ac:dyDescent="0.35">
      <c r="C208" s="39"/>
    </row>
    <row r="209" spans="3:3" ht="15.5" x14ac:dyDescent="0.35">
      <c r="C209" s="39"/>
    </row>
    <row r="210" spans="3:3" ht="15.5" x14ac:dyDescent="0.35">
      <c r="C210" s="39"/>
    </row>
    <row r="211" spans="3:3" ht="15.5" x14ac:dyDescent="0.35">
      <c r="C211" s="39"/>
    </row>
    <row r="212" spans="3:3" ht="15.5" x14ac:dyDescent="0.35">
      <c r="C212" s="39"/>
    </row>
    <row r="213" spans="3:3" ht="15.5" x14ac:dyDescent="0.35">
      <c r="C213" s="39"/>
    </row>
    <row r="214" spans="3:3" ht="15.5" x14ac:dyDescent="0.35">
      <c r="C214" s="39"/>
    </row>
    <row r="215" spans="3:3" ht="15.5" x14ac:dyDescent="0.35">
      <c r="C215" s="39"/>
    </row>
    <row r="216" spans="3:3" ht="15.5" x14ac:dyDescent="0.35">
      <c r="C216" s="39"/>
    </row>
    <row r="217" spans="3:3" ht="15.5" x14ac:dyDescent="0.35">
      <c r="C217" s="39"/>
    </row>
    <row r="218" spans="3:3" ht="15.5" x14ac:dyDescent="0.35">
      <c r="C218" s="39"/>
    </row>
    <row r="219" spans="3:3" ht="15.5" x14ac:dyDescent="0.35">
      <c r="C219" s="39"/>
    </row>
    <row r="220" spans="3:3" ht="15.5" x14ac:dyDescent="0.35">
      <c r="C220" s="39"/>
    </row>
    <row r="221" spans="3:3" ht="15.5" x14ac:dyDescent="0.35">
      <c r="C221" s="39"/>
    </row>
    <row r="222" spans="3:3" ht="15.5" x14ac:dyDescent="0.35">
      <c r="C222" s="39"/>
    </row>
    <row r="223" spans="3:3" ht="15.5" x14ac:dyDescent="0.35">
      <c r="C223" s="39"/>
    </row>
    <row r="224" spans="3:3" ht="15.5" x14ac:dyDescent="0.35">
      <c r="C224" s="39"/>
    </row>
    <row r="225" spans="3:3" ht="15.5" x14ac:dyDescent="0.35">
      <c r="C225" s="39"/>
    </row>
    <row r="226" spans="3:3" ht="15.5" x14ac:dyDescent="0.35">
      <c r="C226" s="39"/>
    </row>
    <row r="227" spans="3:3" ht="15.5" x14ac:dyDescent="0.35">
      <c r="C227" s="39"/>
    </row>
    <row r="228" spans="3:3" ht="15.5" x14ac:dyDescent="0.35">
      <c r="C228" s="39"/>
    </row>
    <row r="229" spans="3:3" ht="15.5" x14ac:dyDescent="0.35">
      <c r="C229" s="39"/>
    </row>
    <row r="230" spans="3:3" ht="15.5" x14ac:dyDescent="0.35">
      <c r="C230" s="39"/>
    </row>
    <row r="231" spans="3:3" ht="15.5" x14ac:dyDescent="0.35">
      <c r="C231" s="39"/>
    </row>
    <row r="232" spans="3:3" ht="15.5" x14ac:dyDescent="0.35">
      <c r="C232" s="39"/>
    </row>
    <row r="233" spans="3:3" ht="15.5" x14ac:dyDescent="0.35">
      <c r="C233" s="39"/>
    </row>
    <row r="234" spans="3:3" ht="15.5" x14ac:dyDescent="0.35">
      <c r="C234" s="39"/>
    </row>
    <row r="235" spans="3:3" ht="15.5" x14ac:dyDescent="0.35">
      <c r="C235" s="39"/>
    </row>
    <row r="236" spans="3:3" ht="15.5" x14ac:dyDescent="0.35">
      <c r="C236" s="39"/>
    </row>
    <row r="237" spans="3:3" ht="15.5" x14ac:dyDescent="0.35">
      <c r="C237" s="39"/>
    </row>
    <row r="238" spans="3:3" ht="15.5" x14ac:dyDescent="0.35">
      <c r="C238" s="39"/>
    </row>
    <row r="239" spans="3:3" ht="15.5" x14ac:dyDescent="0.35">
      <c r="C239" s="39"/>
    </row>
    <row r="240" spans="3:3" ht="15.5" x14ac:dyDescent="0.35">
      <c r="C240" s="39"/>
    </row>
    <row r="241" spans="3:3" ht="15.5" x14ac:dyDescent="0.35">
      <c r="C241" s="39"/>
    </row>
    <row r="242" spans="3:3" ht="15.5" x14ac:dyDescent="0.35">
      <c r="C242" s="39"/>
    </row>
    <row r="243" spans="3:3" ht="15.5" x14ac:dyDescent="0.35">
      <c r="C243" s="39"/>
    </row>
    <row r="244" spans="3:3" ht="15.5" x14ac:dyDescent="0.35">
      <c r="C244" s="39"/>
    </row>
    <row r="245" spans="3:3" ht="15.5" x14ac:dyDescent="0.35">
      <c r="C245" s="39"/>
    </row>
    <row r="246" spans="3:3" ht="15.5" x14ac:dyDescent="0.35">
      <c r="C246" s="39"/>
    </row>
    <row r="247" spans="3:3" ht="15.5" x14ac:dyDescent="0.35">
      <c r="C247" s="39"/>
    </row>
    <row r="248" spans="3:3" ht="15.5" x14ac:dyDescent="0.35">
      <c r="C248" s="39"/>
    </row>
    <row r="249" spans="3:3" ht="15.5" x14ac:dyDescent="0.35">
      <c r="C249" s="39"/>
    </row>
    <row r="250" spans="3:3" ht="15.5" x14ac:dyDescent="0.35">
      <c r="C250" s="39"/>
    </row>
    <row r="251" spans="3:3" ht="15.5" x14ac:dyDescent="0.35">
      <c r="C251" s="39"/>
    </row>
    <row r="252" spans="3:3" ht="15.5" x14ac:dyDescent="0.35">
      <c r="C252" s="39"/>
    </row>
    <row r="253" spans="3:3" ht="15.5" x14ac:dyDescent="0.35">
      <c r="C253" s="39"/>
    </row>
    <row r="254" spans="3:3" ht="15.5" x14ac:dyDescent="0.35">
      <c r="C254" s="39"/>
    </row>
    <row r="255" spans="3:3" ht="15.5" x14ac:dyDescent="0.35">
      <c r="C255" s="39"/>
    </row>
    <row r="256" spans="3:3" ht="15.5" x14ac:dyDescent="0.35">
      <c r="C256" s="39"/>
    </row>
    <row r="257" spans="3:3" ht="15.5" x14ac:dyDescent="0.35">
      <c r="C257" s="39"/>
    </row>
    <row r="258" spans="3:3" ht="15.5" x14ac:dyDescent="0.35">
      <c r="C258" s="39"/>
    </row>
    <row r="259" spans="3:3" ht="15.5" x14ac:dyDescent="0.35">
      <c r="C259" s="39"/>
    </row>
    <row r="260" spans="3:3" ht="15.5" x14ac:dyDescent="0.35">
      <c r="C260" s="39"/>
    </row>
    <row r="261" spans="3:3" ht="15.5" x14ac:dyDescent="0.35">
      <c r="C261" s="39"/>
    </row>
    <row r="262" spans="3:3" ht="15.5" x14ac:dyDescent="0.35">
      <c r="C262" s="39"/>
    </row>
    <row r="263" spans="3:3" ht="15.5" x14ac:dyDescent="0.35">
      <c r="C263" s="39"/>
    </row>
    <row r="264" spans="3:3" ht="15.5" x14ac:dyDescent="0.35">
      <c r="C264" s="39"/>
    </row>
    <row r="265" spans="3:3" ht="15.5" x14ac:dyDescent="0.35">
      <c r="C265" s="39"/>
    </row>
    <row r="266" spans="3:3" ht="15.5" x14ac:dyDescent="0.35">
      <c r="C266" s="39"/>
    </row>
    <row r="267" spans="3:3" ht="15.5" x14ac:dyDescent="0.35">
      <c r="C267" s="39"/>
    </row>
    <row r="268" spans="3:3" ht="15.5" x14ac:dyDescent="0.35">
      <c r="C268" s="39"/>
    </row>
    <row r="269" spans="3:3" ht="15.5" x14ac:dyDescent="0.35">
      <c r="C269" s="39"/>
    </row>
    <row r="270" spans="3:3" ht="15.5" x14ac:dyDescent="0.35">
      <c r="C270" s="39"/>
    </row>
    <row r="271" spans="3:3" ht="15.5" x14ac:dyDescent="0.35">
      <c r="C271" s="39"/>
    </row>
    <row r="272" spans="3:3" ht="15.5" x14ac:dyDescent="0.35">
      <c r="C272" s="39"/>
    </row>
    <row r="273" spans="3:3" ht="15.5" x14ac:dyDescent="0.35">
      <c r="C273" s="39"/>
    </row>
    <row r="274" spans="3:3" ht="15.5" x14ac:dyDescent="0.35">
      <c r="C274" s="39"/>
    </row>
    <row r="275" spans="3:3" ht="15.5" x14ac:dyDescent="0.35">
      <c r="C275" s="39"/>
    </row>
    <row r="276" spans="3:3" ht="15.5" x14ac:dyDescent="0.35">
      <c r="C276" s="39"/>
    </row>
    <row r="277" spans="3:3" ht="15.5" x14ac:dyDescent="0.35">
      <c r="C277" s="39"/>
    </row>
    <row r="278" spans="3:3" ht="15.5" x14ac:dyDescent="0.35">
      <c r="C278" s="39"/>
    </row>
    <row r="279" spans="3:3" ht="15.5" x14ac:dyDescent="0.35">
      <c r="C279" s="39"/>
    </row>
    <row r="280" spans="3:3" ht="15.5" x14ac:dyDescent="0.35">
      <c r="C280" s="39"/>
    </row>
    <row r="281" spans="3:3" ht="15.5" x14ac:dyDescent="0.35">
      <c r="C281" s="39"/>
    </row>
    <row r="282" spans="3:3" ht="15.5" x14ac:dyDescent="0.35">
      <c r="C282" s="39"/>
    </row>
    <row r="283" spans="3:3" ht="15.5" x14ac:dyDescent="0.35">
      <c r="C283" s="39"/>
    </row>
    <row r="284" spans="3:3" ht="15.5" x14ac:dyDescent="0.35">
      <c r="C284" s="39"/>
    </row>
    <row r="285" spans="3:3" ht="15.5" x14ac:dyDescent="0.35">
      <c r="C285" s="39"/>
    </row>
    <row r="286" spans="3:3" ht="15.5" x14ac:dyDescent="0.35">
      <c r="C286" s="39"/>
    </row>
    <row r="287" spans="3:3" ht="15.5" x14ac:dyDescent="0.35">
      <c r="C287" s="39"/>
    </row>
    <row r="288" spans="3:3" ht="15.5" x14ac:dyDescent="0.35">
      <c r="C288" s="39"/>
    </row>
    <row r="289" spans="3:3" ht="15.5" x14ac:dyDescent="0.35">
      <c r="C289" s="39"/>
    </row>
    <row r="290" spans="3:3" ht="15.5" x14ac:dyDescent="0.35">
      <c r="C290" s="39"/>
    </row>
    <row r="291" spans="3:3" ht="15.5" x14ac:dyDescent="0.35">
      <c r="C291" s="39"/>
    </row>
    <row r="292" spans="3:3" ht="15.5" x14ac:dyDescent="0.35">
      <c r="C292" s="39"/>
    </row>
    <row r="293" spans="3:3" ht="15.5" x14ac:dyDescent="0.35">
      <c r="C293" s="39"/>
    </row>
    <row r="294" spans="3:3" ht="15.5" x14ac:dyDescent="0.35">
      <c r="C294" s="39"/>
    </row>
    <row r="295" spans="3:3" ht="15.5" x14ac:dyDescent="0.35">
      <c r="C295" s="39"/>
    </row>
    <row r="296" spans="3:3" ht="15.5" x14ac:dyDescent="0.35">
      <c r="C296" s="39"/>
    </row>
    <row r="297" spans="3:3" ht="15.5" x14ac:dyDescent="0.35">
      <c r="C297" s="39"/>
    </row>
    <row r="298" spans="3:3" ht="15.5" x14ac:dyDescent="0.35">
      <c r="C298" s="39"/>
    </row>
    <row r="299" spans="3:3" ht="15.5" x14ac:dyDescent="0.35">
      <c r="C299" s="39"/>
    </row>
    <row r="300" spans="3:3" ht="15.5" x14ac:dyDescent="0.35">
      <c r="C300" s="39"/>
    </row>
    <row r="301" spans="3:3" ht="15.5" x14ac:dyDescent="0.35">
      <c r="C301" s="39"/>
    </row>
    <row r="302" spans="3:3" ht="15.5" x14ac:dyDescent="0.35">
      <c r="C302" s="39"/>
    </row>
    <row r="303" spans="3:3" ht="15.5" x14ac:dyDescent="0.35">
      <c r="C303" s="39"/>
    </row>
    <row r="304" spans="3:3" ht="15.5" x14ac:dyDescent="0.35">
      <c r="C304" s="39"/>
    </row>
    <row r="305" spans="3:3" ht="15.5" x14ac:dyDescent="0.35">
      <c r="C305" s="39"/>
    </row>
    <row r="306" spans="3:3" ht="15.5" x14ac:dyDescent="0.35">
      <c r="C306" s="39"/>
    </row>
    <row r="307" spans="3:3" ht="15.5" x14ac:dyDescent="0.35">
      <c r="C307" s="39"/>
    </row>
    <row r="308" spans="3:3" ht="15.5" x14ac:dyDescent="0.35">
      <c r="C308" s="39"/>
    </row>
    <row r="309" spans="3:3" ht="15.5" x14ac:dyDescent="0.35">
      <c r="C309" s="39"/>
    </row>
    <row r="310" spans="3:3" ht="15.5" x14ac:dyDescent="0.35">
      <c r="C310" s="39"/>
    </row>
    <row r="311" spans="3:3" ht="15.5" x14ac:dyDescent="0.35">
      <c r="C311" s="39"/>
    </row>
    <row r="312" spans="3:3" ht="15.5" x14ac:dyDescent="0.35">
      <c r="C312" s="39"/>
    </row>
    <row r="313" spans="3:3" ht="15.5" x14ac:dyDescent="0.35">
      <c r="C313" s="39"/>
    </row>
    <row r="314" spans="3:3" ht="15.5" x14ac:dyDescent="0.35">
      <c r="C314" s="39"/>
    </row>
    <row r="315" spans="3:3" ht="15.5" x14ac:dyDescent="0.35">
      <c r="C315" s="39"/>
    </row>
    <row r="316" spans="3:3" ht="15.5" x14ac:dyDescent="0.35">
      <c r="C316" s="39"/>
    </row>
    <row r="317" spans="3:3" ht="15.5" x14ac:dyDescent="0.35">
      <c r="C317" s="39"/>
    </row>
    <row r="318" spans="3:3" ht="15.5" x14ac:dyDescent="0.35">
      <c r="C318" s="39"/>
    </row>
    <row r="319" spans="3:3" ht="15.5" x14ac:dyDescent="0.35">
      <c r="C319" s="39"/>
    </row>
    <row r="320" spans="3:3" ht="15.5" x14ac:dyDescent="0.35">
      <c r="C320" s="39"/>
    </row>
    <row r="321" spans="3:3" ht="15.5" x14ac:dyDescent="0.35">
      <c r="C321" s="39"/>
    </row>
    <row r="322" spans="3:3" ht="15.5" x14ac:dyDescent="0.35">
      <c r="C322" s="39"/>
    </row>
    <row r="323" spans="3:3" ht="15.5" x14ac:dyDescent="0.35">
      <c r="C323" s="39"/>
    </row>
    <row r="324" spans="3:3" ht="15.5" x14ac:dyDescent="0.35">
      <c r="C324" s="39"/>
    </row>
    <row r="325" spans="3:3" ht="15.5" x14ac:dyDescent="0.35">
      <c r="C325" s="39"/>
    </row>
    <row r="326" spans="3:3" ht="15.5" x14ac:dyDescent="0.35">
      <c r="C326" s="39"/>
    </row>
    <row r="327" spans="3:3" ht="15.5" x14ac:dyDescent="0.35">
      <c r="C327" s="39"/>
    </row>
    <row r="328" spans="3:3" ht="15.5" x14ac:dyDescent="0.35">
      <c r="C328" s="39"/>
    </row>
    <row r="329" spans="3:3" ht="15.5" x14ac:dyDescent="0.35">
      <c r="C329" s="39"/>
    </row>
    <row r="330" spans="3:3" ht="15.5" x14ac:dyDescent="0.35">
      <c r="C330" s="39"/>
    </row>
    <row r="331" spans="3:3" ht="15.5" x14ac:dyDescent="0.35">
      <c r="C331" s="39"/>
    </row>
    <row r="332" spans="3:3" ht="15.5" x14ac:dyDescent="0.35">
      <c r="C332" s="39"/>
    </row>
    <row r="333" spans="3:3" ht="15.5" x14ac:dyDescent="0.35">
      <c r="C333" s="39"/>
    </row>
    <row r="334" spans="3:3" ht="15.5" x14ac:dyDescent="0.35">
      <c r="C334" s="39"/>
    </row>
    <row r="335" spans="3:3" ht="15.5" x14ac:dyDescent="0.35">
      <c r="C335" s="39"/>
    </row>
    <row r="336" spans="3:3" ht="15.5" x14ac:dyDescent="0.35">
      <c r="C336" s="39"/>
    </row>
    <row r="337" spans="3:3" ht="15.5" x14ac:dyDescent="0.35">
      <c r="C337" s="39"/>
    </row>
    <row r="338" spans="3:3" ht="15.5" x14ac:dyDescent="0.35">
      <c r="C338" s="39"/>
    </row>
    <row r="339" spans="3:3" ht="15.5" x14ac:dyDescent="0.35">
      <c r="C339" s="39"/>
    </row>
    <row r="340" spans="3:3" ht="15.5" x14ac:dyDescent="0.35">
      <c r="C340" s="39"/>
    </row>
    <row r="341" spans="3:3" ht="15.5" x14ac:dyDescent="0.35">
      <c r="C341" s="39"/>
    </row>
    <row r="342" spans="3:3" ht="15.5" x14ac:dyDescent="0.35">
      <c r="C342" s="39"/>
    </row>
    <row r="343" spans="3:3" ht="15.5" x14ac:dyDescent="0.35">
      <c r="C343" s="39"/>
    </row>
    <row r="344" spans="3:3" ht="15.5" x14ac:dyDescent="0.35">
      <c r="C344" s="39"/>
    </row>
    <row r="345" spans="3:3" ht="15.5" x14ac:dyDescent="0.35">
      <c r="C345" s="39"/>
    </row>
    <row r="346" spans="3:3" ht="15.5" x14ac:dyDescent="0.35">
      <c r="C346" s="39"/>
    </row>
    <row r="347" spans="3:3" ht="15.5" x14ac:dyDescent="0.35">
      <c r="C347" s="39"/>
    </row>
    <row r="348" spans="3:3" ht="15.5" x14ac:dyDescent="0.35">
      <c r="C348" s="39"/>
    </row>
    <row r="349" spans="3:3" ht="15.5" x14ac:dyDescent="0.35">
      <c r="C349" s="39"/>
    </row>
    <row r="350" spans="3:3" ht="15.5" x14ac:dyDescent="0.35">
      <c r="C350" s="39"/>
    </row>
    <row r="351" spans="3:3" ht="15.5" x14ac:dyDescent="0.35">
      <c r="C351" s="39"/>
    </row>
    <row r="352" spans="3:3" ht="15.5" x14ac:dyDescent="0.35">
      <c r="C352" s="39"/>
    </row>
    <row r="353" spans="3:3" ht="15.5" x14ac:dyDescent="0.35">
      <c r="C353" s="39"/>
    </row>
    <row r="354" spans="3:3" ht="15.5" x14ac:dyDescent="0.35">
      <c r="C354" s="39"/>
    </row>
    <row r="355" spans="3:3" ht="15.5" x14ac:dyDescent="0.35">
      <c r="C355" s="39"/>
    </row>
    <row r="356" spans="3:3" ht="15.5" x14ac:dyDescent="0.35">
      <c r="C356" s="39"/>
    </row>
    <row r="357" spans="3:3" ht="15.5" x14ac:dyDescent="0.35">
      <c r="C357" s="39"/>
    </row>
    <row r="358" spans="3:3" ht="15.5" x14ac:dyDescent="0.35">
      <c r="C358" s="39"/>
    </row>
    <row r="359" spans="3:3" ht="15.5" x14ac:dyDescent="0.35">
      <c r="C359" s="39"/>
    </row>
    <row r="360" spans="3:3" ht="15.5" x14ac:dyDescent="0.35">
      <c r="C360" s="39"/>
    </row>
    <row r="361" spans="3:3" ht="15.5" x14ac:dyDescent="0.35">
      <c r="C361" s="39"/>
    </row>
    <row r="362" spans="3:3" ht="15.5" x14ac:dyDescent="0.35">
      <c r="C362" s="39"/>
    </row>
    <row r="363" spans="3:3" ht="15.5" x14ac:dyDescent="0.35">
      <c r="C363" s="39"/>
    </row>
    <row r="364" spans="3:3" ht="15.5" x14ac:dyDescent="0.35">
      <c r="C364" s="39"/>
    </row>
    <row r="365" spans="3:3" ht="15.5" x14ac:dyDescent="0.35">
      <c r="C365" s="39"/>
    </row>
    <row r="366" spans="3:3" ht="15.5" x14ac:dyDescent="0.35">
      <c r="C366" s="39"/>
    </row>
    <row r="367" spans="3:3" ht="15.5" x14ac:dyDescent="0.35">
      <c r="C367" s="39"/>
    </row>
    <row r="368" spans="3:3" ht="15.5" x14ac:dyDescent="0.35">
      <c r="C368" s="39"/>
    </row>
    <row r="369" spans="3:3" ht="15.5" x14ac:dyDescent="0.35">
      <c r="C369" s="39"/>
    </row>
    <row r="370" spans="3:3" ht="15.5" x14ac:dyDescent="0.35">
      <c r="C370" s="39"/>
    </row>
    <row r="371" spans="3:3" ht="15.5" x14ac:dyDescent="0.35">
      <c r="C371" s="39"/>
    </row>
    <row r="372" spans="3:3" ht="15.5" x14ac:dyDescent="0.35">
      <c r="C372" s="39"/>
    </row>
    <row r="373" spans="3:3" ht="15.5" x14ac:dyDescent="0.35">
      <c r="C373" s="39"/>
    </row>
    <row r="374" spans="3:3" ht="15.5" x14ac:dyDescent="0.35">
      <c r="C374" s="39"/>
    </row>
    <row r="375" spans="3:3" ht="15.5" x14ac:dyDescent="0.35">
      <c r="C375" s="39"/>
    </row>
    <row r="376" spans="3:3" ht="15.5" x14ac:dyDescent="0.35">
      <c r="C376" s="39"/>
    </row>
    <row r="377" spans="3:3" ht="15.5" x14ac:dyDescent="0.35">
      <c r="C377" s="39"/>
    </row>
    <row r="378" spans="3:3" ht="15.5" x14ac:dyDescent="0.35">
      <c r="C378" s="39"/>
    </row>
    <row r="379" spans="3:3" ht="15.5" x14ac:dyDescent="0.35">
      <c r="C379" s="39"/>
    </row>
    <row r="380" spans="3:3" ht="15.5" x14ac:dyDescent="0.35">
      <c r="C380" s="39"/>
    </row>
    <row r="381" spans="3:3" ht="15.5" x14ac:dyDescent="0.35">
      <c r="C381" s="39"/>
    </row>
    <row r="382" spans="3:3" ht="15.5" x14ac:dyDescent="0.35">
      <c r="C382" s="39"/>
    </row>
    <row r="383" spans="3:3" ht="15.5" x14ac:dyDescent="0.35">
      <c r="C383" s="39"/>
    </row>
    <row r="384" spans="3:3" ht="15.5" x14ac:dyDescent="0.35">
      <c r="C384" s="39"/>
    </row>
    <row r="385" spans="3:3" ht="15.5" x14ac:dyDescent="0.35">
      <c r="C385" s="39"/>
    </row>
    <row r="386" spans="3:3" ht="15.5" x14ac:dyDescent="0.35">
      <c r="C386" s="39"/>
    </row>
    <row r="387" spans="3:3" ht="15.5" x14ac:dyDescent="0.35">
      <c r="C387" s="39"/>
    </row>
    <row r="388" spans="3:3" ht="15.5" x14ac:dyDescent="0.35">
      <c r="C388" s="39"/>
    </row>
    <row r="389" spans="3:3" ht="15.5" x14ac:dyDescent="0.35">
      <c r="C389" s="39"/>
    </row>
    <row r="390" spans="3:3" ht="15.5" x14ac:dyDescent="0.35">
      <c r="C390" s="39"/>
    </row>
    <row r="391" spans="3:3" ht="15.5" x14ac:dyDescent="0.35">
      <c r="C391" s="39"/>
    </row>
    <row r="392" spans="3:3" ht="15.5" x14ac:dyDescent="0.35">
      <c r="C392" s="39"/>
    </row>
    <row r="393" spans="3:3" ht="15.5" x14ac:dyDescent="0.35">
      <c r="C393" s="39"/>
    </row>
    <row r="394" spans="3:3" ht="15.5" x14ac:dyDescent="0.35">
      <c r="C394" s="39"/>
    </row>
    <row r="395" spans="3:3" ht="15.5" x14ac:dyDescent="0.35">
      <c r="C395" s="39"/>
    </row>
    <row r="396" spans="3:3" ht="15.5" x14ac:dyDescent="0.35">
      <c r="C396" s="39"/>
    </row>
    <row r="397" spans="3:3" ht="15.5" x14ac:dyDescent="0.35">
      <c r="C397" s="39"/>
    </row>
    <row r="398" spans="3:3" ht="15.5" x14ac:dyDescent="0.35">
      <c r="C398" s="39"/>
    </row>
    <row r="399" spans="3:3" ht="15.5" x14ac:dyDescent="0.35">
      <c r="C399" s="39"/>
    </row>
    <row r="400" spans="3:3" ht="15.5" x14ac:dyDescent="0.35">
      <c r="C400" s="39"/>
    </row>
    <row r="401" spans="3:3" ht="15.5" x14ac:dyDescent="0.35">
      <c r="C401" s="39"/>
    </row>
    <row r="402" spans="3:3" ht="15.5" x14ac:dyDescent="0.35">
      <c r="C402" s="39"/>
    </row>
    <row r="403" spans="3:3" ht="15.5" x14ac:dyDescent="0.35">
      <c r="C403" s="39"/>
    </row>
    <row r="404" spans="3:3" ht="15.5" x14ac:dyDescent="0.35">
      <c r="C404" s="39"/>
    </row>
    <row r="405" spans="3:3" ht="15.5" x14ac:dyDescent="0.35">
      <c r="C405" s="39"/>
    </row>
    <row r="406" spans="3:3" ht="15.5" x14ac:dyDescent="0.35">
      <c r="C406" s="39"/>
    </row>
    <row r="407" spans="3:3" ht="15.5" x14ac:dyDescent="0.35">
      <c r="C407" s="39"/>
    </row>
    <row r="408" spans="3:3" ht="15.5" x14ac:dyDescent="0.35">
      <c r="C408" s="39"/>
    </row>
    <row r="409" spans="3:3" ht="15.5" x14ac:dyDescent="0.35">
      <c r="C409" s="39"/>
    </row>
    <row r="410" spans="3:3" ht="15.5" x14ac:dyDescent="0.35">
      <c r="C410" s="39"/>
    </row>
    <row r="411" spans="3:3" ht="15.5" x14ac:dyDescent="0.35">
      <c r="C411" s="39"/>
    </row>
    <row r="412" spans="3:3" ht="15.5" x14ac:dyDescent="0.35">
      <c r="C412" s="39"/>
    </row>
    <row r="413" spans="3:3" ht="15.5" x14ac:dyDescent="0.35">
      <c r="C413" s="39"/>
    </row>
    <row r="414" spans="3:3" ht="15.5" x14ac:dyDescent="0.35">
      <c r="C414" s="39"/>
    </row>
    <row r="415" spans="3:3" ht="15.5" x14ac:dyDescent="0.35">
      <c r="C415" s="39"/>
    </row>
    <row r="416" spans="3:3" ht="15.5" x14ac:dyDescent="0.35">
      <c r="C416" s="39"/>
    </row>
    <row r="417" spans="3:3" ht="15.5" x14ac:dyDescent="0.35">
      <c r="C417" s="39"/>
    </row>
    <row r="418" spans="3:3" ht="15.5" x14ac:dyDescent="0.35">
      <c r="C418" s="39"/>
    </row>
    <row r="419" spans="3:3" ht="15.5" x14ac:dyDescent="0.35">
      <c r="C419" s="39"/>
    </row>
    <row r="420" spans="3:3" ht="15.5" x14ac:dyDescent="0.35">
      <c r="C420" s="39"/>
    </row>
    <row r="421" spans="3:3" ht="15.5" x14ac:dyDescent="0.35">
      <c r="C421" s="39"/>
    </row>
    <row r="422" spans="3:3" ht="15.5" x14ac:dyDescent="0.35">
      <c r="C422" s="39"/>
    </row>
    <row r="423" spans="3:3" ht="15.5" x14ac:dyDescent="0.35">
      <c r="C423" s="39"/>
    </row>
    <row r="424" spans="3:3" ht="15.5" x14ac:dyDescent="0.35">
      <c r="C424" s="39"/>
    </row>
    <row r="425" spans="3:3" ht="15.5" x14ac:dyDescent="0.35">
      <c r="C425" s="39"/>
    </row>
    <row r="426" spans="3:3" ht="15.5" x14ac:dyDescent="0.35">
      <c r="C426" s="39"/>
    </row>
    <row r="427" spans="3:3" ht="15.5" x14ac:dyDescent="0.35">
      <c r="C427" s="39"/>
    </row>
    <row r="428" spans="3:3" ht="15.5" x14ac:dyDescent="0.35">
      <c r="C428" s="39"/>
    </row>
    <row r="429" spans="3:3" ht="15.5" x14ac:dyDescent="0.35">
      <c r="C429" s="39"/>
    </row>
    <row r="430" spans="3:3" ht="15.5" x14ac:dyDescent="0.35">
      <c r="C430" s="39"/>
    </row>
    <row r="431" spans="3:3" ht="15.5" x14ac:dyDescent="0.35">
      <c r="C431" s="39"/>
    </row>
    <row r="432" spans="3:3" ht="15.5" x14ac:dyDescent="0.35">
      <c r="C432" s="39"/>
    </row>
    <row r="433" spans="3:3" ht="15.5" x14ac:dyDescent="0.35">
      <c r="C433" s="39"/>
    </row>
    <row r="434" spans="3:3" ht="15.5" x14ac:dyDescent="0.35">
      <c r="C434" s="39"/>
    </row>
    <row r="435" spans="3:3" ht="15.5" x14ac:dyDescent="0.35">
      <c r="C435" s="39"/>
    </row>
    <row r="436" spans="3:3" ht="15.5" x14ac:dyDescent="0.35">
      <c r="C436" s="39"/>
    </row>
    <row r="437" spans="3:3" ht="15.5" x14ac:dyDescent="0.35">
      <c r="C437" s="39"/>
    </row>
    <row r="438" spans="3:3" ht="15.5" x14ac:dyDescent="0.35">
      <c r="C438" s="39"/>
    </row>
    <row r="439" spans="3:3" ht="15.5" x14ac:dyDescent="0.35">
      <c r="C439" s="39"/>
    </row>
    <row r="440" spans="3:3" ht="15.5" x14ac:dyDescent="0.35">
      <c r="C440" s="39"/>
    </row>
    <row r="441" spans="3:3" ht="15.5" x14ac:dyDescent="0.35">
      <c r="C441" s="39"/>
    </row>
    <row r="442" spans="3:3" ht="15.5" x14ac:dyDescent="0.35">
      <c r="C442" s="39"/>
    </row>
    <row r="443" spans="3:3" ht="15.5" x14ac:dyDescent="0.35">
      <c r="C443" s="39"/>
    </row>
    <row r="444" spans="3:3" ht="15.5" x14ac:dyDescent="0.35">
      <c r="C444" s="39"/>
    </row>
    <row r="445" spans="3:3" ht="15.5" x14ac:dyDescent="0.35">
      <c r="C445" s="39"/>
    </row>
    <row r="446" spans="3:3" ht="15.5" x14ac:dyDescent="0.35">
      <c r="C446" s="39"/>
    </row>
    <row r="447" spans="3:3" ht="15.5" x14ac:dyDescent="0.35">
      <c r="C447" s="39"/>
    </row>
    <row r="448" spans="3:3" ht="15.5" x14ac:dyDescent="0.35">
      <c r="C448" s="39"/>
    </row>
    <row r="449" spans="3:3" ht="15.5" x14ac:dyDescent="0.35">
      <c r="C449" s="39"/>
    </row>
    <row r="450" spans="3:3" ht="15.5" x14ac:dyDescent="0.35">
      <c r="C450" s="39"/>
    </row>
    <row r="451" spans="3:3" ht="15.5" x14ac:dyDescent="0.35">
      <c r="C451" s="39"/>
    </row>
    <row r="452" spans="3:3" ht="15.5" x14ac:dyDescent="0.35">
      <c r="C452" s="39"/>
    </row>
    <row r="453" spans="3:3" ht="15.5" x14ac:dyDescent="0.35">
      <c r="C453" s="39"/>
    </row>
    <row r="454" spans="3:3" ht="15.5" x14ac:dyDescent="0.35">
      <c r="C454" s="39"/>
    </row>
    <row r="455" spans="3:3" ht="15.5" x14ac:dyDescent="0.35">
      <c r="C455" s="39"/>
    </row>
    <row r="456" spans="3:3" ht="15.5" x14ac:dyDescent="0.35">
      <c r="C456" s="39"/>
    </row>
    <row r="457" spans="3:3" ht="15.5" x14ac:dyDescent="0.35">
      <c r="C457" s="39"/>
    </row>
    <row r="458" spans="3:3" ht="15.5" x14ac:dyDescent="0.35">
      <c r="C458" s="39"/>
    </row>
    <row r="459" spans="3:3" ht="15.5" x14ac:dyDescent="0.35">
      <c r="C459" s="39"/>
    </row>
    <row r="460" spans="3:3" ht="15.5" x14ac:dyDescent="0.35">
      <c r="C460" s="39"/>
    </row>
    <row r="461" spans="3:3" ht="15.5" x14ac:dyDescent="0.35">
      <c r="C461" s="39"/>
    </row>
    <row r="462" spans="3:3" ht="15.5" x14ac:dyDescent="0.35">
      <c r="C462" s="39"/>
    </row>
    <row r="463" spans="3:3" ht="15.5" x14ac:dyDescent="0.35">
      <c r="C463" s="39"/>
    </row>
    <row r="464" spans="3:3" ht="15.5" x14ac:dyDescent="0.35">
      <c r="C464" s="39"/>
    </row>
    <row r="465" spans="3:3" ht="15.5" x14ac:dyDescent="0.35">
      <c r="C465" s="39"/>
    </row>
    <row r="466" spans="3:3" ht="15.5" x14ac:dyDescent="0.35">
      <c r="C466" s="39"/>
    </row>
    <row r="467" spans="3:3" ht="15.5" x14ac:dyDescent="0.35">
      <c r="C467" s="39"/>
    </row>
    <row r="468" spans="3:3" ht="15.5" x14ac:dyDescent="0.35">
      <c r="C468" s="39"/>
    </row>
    <row r="469" spans="3:3" ht="15.5" x14ac:dyDescent="0.35">
      <c r="C469" s="39"/>
    </row>
    <row r="470" spans="3:3" ht="15.5" x14ac:dyDescent="0.35">
      <c r="C470" s="39"/>
    </row>
    <row r="471" spans="3:3" ht="15.5" x14ac:dyDescent="0.35">
      <c r="C471" s="39"/>
    </row>
    <row r="472" spans="3:3" ht="15.5" x14ac:dyDescent="0.35">
      <c r="C472" s="39"/>
    </row>
    <row r="473" spans="3:3" ht="15.5" x14ac:dyDescent="0.35">
      <c r="C473" s="39"/>
    </row>
    <row r="474" spans="3:3" ht="15.5" x14ac:dyDescent="0.35">
      <c r="C474" s="39"/>
    </row>
    <row r="475" spans="3:3" ht="15.5" x14ac:dyDescent="0.35">
      <c r="C475" s="39"/>
    </row>
    <row r="476" spans="3:3" ht="15.5" x14ac:dyDescent="0.35">
      <c r="C476" s="39"/>
    </row>
    <row r="477" spans="3:3" ht="15.5" x14ac:dyDescent="0.35">
      <c r="C477" s="39"/>
    </row>
    <row r="478" spans="3:3" ht="15.5" x14ac:dyDescent="0.35">
      <c r="C478" s="39"/>
    </row>
    <row r="479" spans="3:3" ht="15.5" x14ac:dyDescent="0.35">
      <c r="C479" s="39"/>
    </row>
    <row r="480" spans="3:3" ht="15.5" x14ac:dyDescent="0.35">
      <c r="C480" s="39"/>
    </row>
    <row r="481" spans="3:3" ht="15.5" x14ac:dyDescent="0.35">
      <c r="C481" s="39"/>
    </row>
    <row r="482" spans="3:3" ht="15.5" x14ac:dyDescent="0.35">
      <c r="C482" s="39"/>
    </row>
    <row r="483" spans="3:3" ht="15.5" x14ac:dyDescent="0.35">
      <c r="C483" s="39"/>
    </row>
    <row r="484" spans="3:3" ht="15.5" x14ac:dyDescent="0.35">
      <c r="C484" s="39"/>
    </row>
    <row r="485" spans="3:3" ht="15.5" x14ac:dyDescent="0.35">
      <c r="C485" s="39"/>
    </row>
    <row r="486" spans="3:3" ht="15.5" x14ac:dyDescent="0.35">
      <c r="C486" s="39"/>
    </row>
    <row r="487" spans="3:3" ht="15.5" x14ac:dyDescent="0.35">
      <c r="C487" s="39"/>
    </row>
    <row r="488" spans="3:3" ht="15.5" x14ac:dyDescent="0.35">
      <c r="C488" s="39"/>
    </row>
    <row r="489" spans="3:3" ht="15.5" x14ac:dyDescent="0.35">
      <c r="C489" s="39"/>
    </row>
    <row r="490" spans="3:3" ht="15.5" x14ac:dyDescent="0.35">
      <c r="C490" s="39"/>
    </row>
    <row r="491" spans="3:3" ht="15.5" x14ac:dyDescent="0.35">
      <c r="C491" s="39"/>
    </row>
    <row r="492" spans="3:3" ht="15.5" x14ac:dyDescent="0.35">
      <c r="C492" s="39"/>
    </row>
    <row r="493" spans="3:3" ht="15.5" x14ac:dyDescent="0.35">
      <c r="C493" s="39"/>
    </row>
    <row r="494" spans="3:3" ht="15.5" x14ac:dyDescent="0.35">
      <c r="C494" s="39"/>
    </row>
    <row r="495" spans="3:3" ht="15.5" x14ac:dyDescent="0.35">
      <c r="C495" s="39"/>
    </row>
    <row r="496" spans="3:3" ht="15.5" x14ac:dyDescent="0.35">
      <c r="C496" s="39"/>
    </row>
    <row r="497" spans="3:3" ht="15.5" x14ac:dyDescent="0.35">
      <c r="C497" s="39"/>
    </row>
    <row r="498" spans="3:3" ht="15.5" x14ac:dyDescent="0.35">
      <c r="C498" s="39"/>
    </row>
    <row r="499" spans="3:3" ht="15.5" x14ac:dyDescent="0.35">
      <c r="C499" s="39"/>
    </row>
    <row r="500" spans="3:3" ht="15.5" x14ac:dyDescent="0.35">
      <c r="C500" s="39"/>
    </row>
    <row r="501" spans="3:3" ht="15.5" x14ac:dyDescent="0.35">
      <c r="C501" s="39"/>
    </row>
    <row r="502" spans="3:3" ht="15.5" x14ac:dyDescent="0.35">
      <c r="C502" s="39"/>
    </row>
    <row r="503" spans="3:3" ht="15.5" x14ac:dyDescent="0.35">
      <c r="C503" s="39"/>
    </row>
    <row r="504" spans="3:3" ht="15.5" x14ac:dyDescent="0.35">
      <c r="C504" s="39"/>
    </row>
    <row r="505" spans="3:3" ht="15.5" x14ac:dyDescent="0.35">
      <c r="C505" s="39"/>
    </row>
    <row r="506" spans="3:3" ht="15.5" x14ac:dyDescent="0.35">
      <c r="C506" s="39"/>
    </row>
    <row r="507" spans="3:3" ht="15.5" x14ac:dyDescent="0.35">
      <c r="C507" s="39"/>
    </row>
    <row r="508" spans="3:3" ht="15.5" x14ac:dyDescent="0.35">
      <c r="C508" s="39"/>
    </row>
    <row r="509" spans="3:3" ht="15.5" x14ac:dyDescent="0.35">
      <c r="C509" s="39"/>
    </row>
    <row r="510" spans="3:3" ht="15.5" x14ac:dyDescent="0.35">
      <c r="C510" s="39"/>
    </row>
    <row r="511" spans="3:3" ht="15.5" x14ac:dyDescent="0.35">
      <c r="C511" s="39"/>
    </row>
    <row r="512" spans="3:3" ht="15.5" x14ac:dyDescent="0.35">
      <c r="C512" s="39"/>
    </row>
    <row r="513" spans="3:3" ht="15.5" x14ac:dyDescent="0.35">
      <c r="C513" s="39"/>
    </row>
    <row r="514" spans="3:3" ht="15.5" x14ac:dyDescent="0.35">
      <c r="C514" s="39"/>
    </row>
    <row r="515" spans="3:3" ht="15.5" x14ac:dyDescent="0.35">
      <c r="C515" s="39"/>
    </row>
    <row r="516" spans="3:3" ht="15.5" x14ac:dyDescent="0.35">
      <c r="C516" s="39"/>
    </row>
    <row r="517" spans="3:3" ht="15.5" x14ac:dyDescent="0.35">
      <c r="C517" s="39"/>
    </row>
    <row r="518" spans="3:3" ht="15.5" x14ac:dyDescent="0.35">
      <c r="C518" s="39"/>
    </row>
    <row r="519" spans="3:3" ht="15.5" x14ac:dyDescent="0.35">
      <c r="C519" s="39"/>
    </row>
    <row r="520" spans="3:3" ht="15.5" x14ac:dyDescent="0.35">
      <c r="C520" s="39"/>
    </row>
    <row r="521" spans="3:3" ht="15.5" x14ac:dyDescent="0.35">
      <c r="C521" s="39"/>
    </row>
    <row r="522" spans="3:3" ht="15.5" x14ac:dyDescent="0.35">
      <c r="C522" s="39"/>
    </row>
    <row r="523" spans="3:3" ht="15.5" x14ac:dyDescent="0.35">
      <c r="C523" s="39"/>
    </row>
    <row r="524" spans="3:3" ht="15.5" x14ac:dyDescent="0.35">
      <c r="C524" s="39"/>
    </row>
    <row r="525" spans="3:3" ht="15.5" x14ac:dyDescent="0.35">
      <c r="C525" s="39"/>
    </row>
    <row r="526" spans="3:3" ht="15.5" x14ac:dyDescent="0.35">
      <c r="C526" s="39"/>
    </row>
    <row r="527" spans="3:3" ht="15.5" x14ac:dyDescent="0.35">
      <c r="C527" s="39"/>
    </row>
    <row r="528" spans="3:3" ht="15.5" x14ac:dyDescent="0.35">
      <c r="C528" s="39"/>
    </row>
    <row r="529" spans="3:3" ht="15.5" x14ac:dyDescent="0.35">
      <c r="C529" s="39"/>
    </row>
    <row r="530" spans="3:3" ht="15.5" x14ac:dyDescent="0.35">
      <c r="C530" s="39"/>
    </row>
    <row r="531" spans="3:3" ht="15.5" x14ac:dyDescent="0.35">
      <c r="C531" s="39"/>
    </row>
    <row r="532" spans="3:3" ht="15.5" x14ac:dyDescent="0.35">
      <c r="C532" s="39"/>
    </row>
    <row r="533" spans="3:3" ht="15.5" x14ac:dyDescent="0.35">
      <c r="C533" s="39"/>
    </row>
    <row r="534" spans="3:3" ht="15.5" x14ac:dyDescent="0.35">
      <c r="C534" s="39"/>
    </row>
    <row r="535" spans="3:3" ht="15.5" x14ac:dyDescent="0.35">
      <c r="C535" s="39"/>
    </row>
    <row r="536" spans="3:3" ht="15.5" x14ac:dyDescent="0.35">
      <c r="C536" s="39"/>
    </row>
    <row r="537" spans="3:3" ht="15.5" x14ac:dyDescent="0.35">
      <c r="C537" s="39"/>
    </row>
    <row r="538" spans="3:3" ht="15.5" x14ac:dyDescent="0.35">
      <c r="C538" s="39"/>
    </row>
    <row r="539" spans="3:3" ht="15.5" x14ac:dyDescent="0.35">
      <c r="C539" s="39"/>
    </row>
    <row r="540" spans="3:3" ht="15.5" x14ac:dyDescent="0.35">
      <c r="C540" s="39"/>
    </row>
    <row r="541" spans="3:3" ht="15.5" x14ac:dyDescent="0.35">
      <c r="C541" s="39"/>
    </row>
    <row r="542" spans="3:3" ht="15.5" x14ac:dyDescent="0.35">
      <c r="C542" s="39"/>
    </row>
    <row r="543" spans="3:3" ht="15.5" x14ac:dyDescent="0.35">
      <c r="C543" s="39"/>
    </row>
    <row r="544" spans="3:3" ht="15.5" x14ac:dyDescent="0.35">
      <c r="C544" s="39"/>
    </row>
    <row r="545" spans="3:3" ht="15.5" x14ac:dyDescent="0.35">
      <c r="C545" s="39"/>
    </row>
    <row r="546" spans="3:3" ht="15.5" x14ac:dyDescent="0.35">
      <c r="C546" s="39"/>
    </row>
    <row r="547" spans="3:3" ht="15.5" x14ac:dyDescent="0.35">
      <c r="C547" s="39"/>
    </row>
    <row r="548" spans="3:3" ht="15.5" x14ac:dyDescent="0.35">
      <c r="C548" s="39"/>
    </row>
    <row r="549" spans="3:3" ht="15.5" x14ac:dyDescent="0.35">
      <c r="C549" s="39"/>
    </row>
    <row r="550" spans="3:3" ht="15.5" x14ac:dyDescent="0.35">
      <c r="C550" s="39"/>
    </row>
    <row r="551" spans="3:3" ht="15.5" x14ac:dyDescent="0.35">
      <c r="C551" s="39"/>
    </row>
    <row r="552" spans="3:3" ht="15.5" x14ac:dyDescent="0.35">
      <c r="C552" s="39"/>
    </row>
    <row r="553" spans="3:3" ht="15.5" x14ac:dyDescent="0.35">
      <c r="C553" s="39"/>
    </row>
    <row r="554" spans="3:3" ht="15.5" x14ac:dyDescent="0.35">
      <c r="C554" s="39"/>
    </row>
    <row r="555" spans="3:3" ht="15.5" x14ac:dyDescent="0.35">
      <c r="C555" s="39"/>
    </row>
    <row r="556" spans="3:3" ht="15.5" x14ac:dyDescent="0.35">
      <c r="C556" s="39"/>
    </row>
    <row r="557" spans="3:3" ht="15.5" x14ac:dyDescent="0.35">
      <c r="C557" s="39"/>
    </row>
    <row r="558" spans="3:3" ht="15.5" x14ac:dyDescent="0.35">
      <c r="C558" s="39"/>
    </row>
    <row r="559" spans="3:3" ht="15.5" x14ac:dyDescent="0.35">
      <c r="C559" s="39"/>
    </row>
    <row r="560" spans="3:3" ht="15.5" x14ac:dyDescent="0.35">
      <c r="C560" s="39"/>
    </row>
    <row r="561" spans="3:3" ht="15.5" x14ac:dyDescent="0.35">
      <c r="C561" s="39"/>
    </row>
    <row r="562" spans="3:3" ht="15.5" x14ac:dyDescent="0.35">
      <c r="C562" s="39"/>
    </row>
    <row r="563" spans="3:3" ht="15.5" x14ac:dyDescent="0.35">
      <c r="C563" s="39"/>
    </row>
    <row r="564" spans="3:3" ht="15.5" x14ac:dyDescent="0.35">
      <c r="C564" s="39"/>
    </row>
    <row r="565" spans="3:3" ht="15.5" x14ac:dyDescent="0.35">
      <c r="C565" s="39"/>
    </row>
    <row r="566" spans="3:3" ht="15.5" x14ac:dyDescent="0.35">
      <c r="C566" s="39"/>
    </row>
    <row r="567" spans="3:3" ht="15.5" x14ac:dyDescent="0.35">
      <c r="C567" s="39"/>
    </row>
    <row r="568" spans="3:3" ht="15.5" x14ac:dyDescent="0.35">
      <c r="C568" s="39"/>
    </row>
    <row r="569" spans="3:3" ht="15.5" x14ac:dyDescent="0.35">
      <c r="C569" s="39"/>
    </row>
    <row r="570" spans="3:3" ht="15.5" x14ac:dyDescent="0.35">
      <c r="C570" s="39"/>
    </row>
    <row r="571" spans="3:3" ht="15.5" x14ac:dyDescent="0.35">
      <c r="C571" s="39"/>
    </row>
    <row r="572" spans="3:3" ht="15.5" x14ac:dyDescent="0.35">
      <c r="C572" s="39"/>
    </row>
    <row r="573" spans="3:3" ht="15.5" x14ac:dyDescent="0.35">
      <c r="C573" s="39"/>
    </row>
    <row r="574" spans="3:3" ht="15.5" x14ac:dyDescent="0.35">
      <c r="C574" s="39"/>
    </row>
    <row r="575" spans="3:3" ht="15.5" x14ac:dyDescent="0.35">
      <c r="C575" s="39"/>
    </row>
    <row r="576" spans="3:3" ht="15.5" x14ac:dyDescent="0.35">
      <c r="C576" s="39"/>
    </row>
    <row r="577" spans="3:3" ht="15.5" x14ac:dyDescent="0.35">
      <c r="C577" s="39"/>
    </row>
    <row r="578" spans="3:3" ht="15.5" x14ac:dyDescent="0.35">
      <c r="C578" s="39"/>
    </row>
    <row r="579" spans="3:3" ht="15.5" x14ac:dyDescent="0.35">
      <c r="C579" s="39"/>
    </row>
    <row r="580" spans="3:3" ht="15.5" x14ac:dyDescent="0.35">
      <c r="C580" s="39"/>
    </row>
    <row r="581" spans="3:3" ht="15.5" x14ac:dyDescent="0.35">
      <c r="C581" s="39"/>
    </row>
    <row r="582" spans="3:3" ht="15.5" x14ac:dyDescent="0.35">
      <c r="C582" s="39"/>
    </row>
    <row r="583" spans="3:3" ht="15.5" x14ac:dyDescent="0.35">
      <c r="C583" s="39"/>
    </row>
    <row r="584" spans="3:3" ht="15.5" x14ac:dyDescent="0.35">
      <c r="C584" s="39"/>
    </row>
    <row r="585" spans="3:3" ht="15.5" x14ac:dyDescent="0.35">
      <c r="C585" s="39"/>
    </row>
    <row r="586" spans="3:3" ht="15.5" x14ac:dyDescent="0.35">
      <c r="C586" s="39"/>
    </row>
    <row r="587" spans="3:3" ht="15.5" x14ac:dyDescent="0.35">
      <c r="C587" s="39"/>
    </row>
    <row r="588" spans="3:3" ht="15.5" x14ac:dyDescent="0.35">
      <c r="C588" s="39"/>
    </row>
    <row r="589" spans="3:3" ht="15.5" x14ac:dyDescent="0.35">
      <c r="C589" s="39"/>
    </row>
    <row r="590" spans="3:3" ht="15.5" x14ac:dyDescent="0.35">
      <c r="C590" s="39"/>
    </row>
    <row r="591" spans="3:3" ht="15.5" x14ac:dyDescent="0.35">
      <c r="C591" s="39"/>
    </row>
    <row r="592" spans="3:3" ht="15.5" x14ac:dyDescent="0.35">
      <c r="C592" s="39"/>
    </row>
    <row r="593" spans="3:3" ht="15.5" x14ac:dyDescent="0.35">
      <c r="C593" s="39"/>
    </row>
    <row r="594" spans="3:3" ht="15.5" x14ac:dyDescent="0.35">
      <c r="C594" s="39"/>
    </row>
    <row r="595" spans="3:3" ht="15.5" x14ac:dyDescent="0.35">
      <c r="C595" s="39"/>
    </row>
    <row r="596" spans="3:3" ht="15.5" x14ac:dyDescent="0.35">
      <c r="C596" s="39"/>
    </row>
    <row r="597" spans="3:3" ht="15.5" x14ac:dyDescent="0.35">
      <c r="C597" s="39"/>
    </row>
    <row r="598" spans="3:3" ht="15.5" x14ac:dyDescent="0.35">
      <c r="C598" s="39"/>
    </row>
    <row r="599" spans="3:3" ht="15.5" x14ac:dyDescent="0.35">
      <c r="C599" s="39"/>
    </row>
    <row r="600" spans="3:3" ht="15.5" x14ac:dyDescent="0.35">
      <c r="C600" s="39"/>
    </row>
    <row r="601" spans="3:3" ht="15.5" x14ac:dyDescent="0.35">
      <c r="C601" s="39"/>
    </row>
    <row r="602" spans="3:3" ht="15.5" x14ac:dyDescent="0.35">
      <c r="C602" s="39"/>
    </row>
    <row r="603" spans="3:3" ht="15.5" x14ac:dyDescent="0.35">
      <c r="C603" s="39"/>
    </row>
    <row r="604" spans="3:3" ht="15.5" x14ac:dyDescent="0.35">
      <c r="C604" s="39"/>
    </row>
    <row r="605" spans="3:3" ht="15.5" x14ac:dyDescent="0.35">
      <c r="C605" s="39"/>
    </row>
    <row r="606" spans="3:3" ht="15.5" x14ac:dyDescent="0.35">
      <c r="C606" s="39"/>
    </row>
    <row r="607" spans="3:3" ht="15.5" x14ac:dyDescent="0.35">
      <c r="C607" s="39"/>
    </row>
    <row r="608" spans="3:3" ht="15.5" x14ac:dyDescent="0.35">
      <c r="C608" s="39"/>
    </row>
    <row r="609" spans="3:3" ht="15.5" x14ac:dyDescent="0.35">
      <c r="C609" s="39"/>
    </row>
    <row r="610" spans="3:3" ht="15.5" x14ac:dyDescent="0.35">
      <c r="C610" s="39"/>
    </row>
    <row r="611" spans="3:3" ht="15.5" x14ac:dyDescent="0.35">
      <c r="C611" s="39"/>
    </row>
    <row r="612" spans="3:3" ht="15.5" x14ac:dyDescent="0.35">
      <c r="C612" s="39"/>
    </row>
    <row r="613" spans="3:3" ht="15.5" x14ac:dyDescent="0.35">
      <c r="C613" s="39"/>
    </row>
    <row r="614" spans="3:3" ht="15.5" x14ac:dyDescent="0.35">
      <c r="C614" s="39"/>
    </row>
    <row r="615" spans="3:3" ht="15.5" x14ac:dyDescent="0.35">
      <c r="C615" s="39"/>
    </row>
    <row r="616" spans="3:3" ht="15.5" x14ac:dyDescent="0.35">
      <c r="C616" s="39"/>
    </row>
    <row r="617" spans="3:3" ht="15.5" x14ac:dyDescent="0.35">
      <c r="C617" s="39"/>
    </row>
    <row r="618" spans="3:3" ht="15.5" x14ac:dyDescent="0.35">
      <c r="C618" s="39"/>
    </row>
    <row r="619" spans="3:3" ht="15.5" x14ac:dyDescent="0.35">
      <c r="C619" s="39"/>
    </row>
    <row r="620" spans="3:3" ht="15.5" x14ac:dyDescent="0.35">
      <c r="C620" s="39"/>
    </row>
    <row r="621" spans="3:3" ht="15.5" x14ac:dyDescent="0.35">
      <c r="C621" s="39"/>
    </row>
    <row r="622" spans="3:3" ht="15.5" x14ac:dyDescent="0.35">
      <c r="C622" s="39"/>
    </row>
    <row r="623" spans="3:3" ht="15.5" x14ac:dyDescent="0.35">
      <c r="C623" s="39"/>
    </row>
    <row r="624" spans="3:3" ht="15.5" x14ac:dyDescent="0.35">
      <c r="C624" s="39"/>
    </row>
    <row r="625" spans="3:3" ht="15.5" x14ac:dyDescent="0.35">
      <c r="C625" s="39"/>
    </row>
    <row r="626" spans="3:3" ht="15.5" x14ac:dyDescent="0.35">
      <c r="C626" s="39"/>
    </row>
    <row r="627" spans="3:3" ht="15.5" x14ac:dyDescent="0.35">
      <c r="C627" s="39"/>
    </row>
    <row r="628" spans="3:3" ht="15.5" x14ac:dyDescent="0.35">
      <c r="C628" s="39"/>
    </row>
    <row r="629" spans="3:3" ht="15.5" x14ac:dyDescent="0.35">
      <c r="C629" s="39"/>
    </row>
    <row r="630" spans="3:3" ht="15.5" x14ac:dyDescent="0.35">
      <c r="C630" s="39"/>
    </row>
    <row r="631" spans="3:3" ht="15.5" x14ac:dyDescent="0.35">
      <c r="C631" s="39"/>
    </row>
    <row r="632" spans="3:3" ht="15.5" x14ac:dyDescent="0.35">
      <c r="C632" s="39"/>
    </row>
    <row r="633" spans="3:3" ht="15.5" x14ac:dyDescent="0.35">
      <c r="C633" s="39"/>
    </row>
    <row r="634" spans="3:3" ht="15.5" x14ac:dyDescent="0.35">
      <c r="C634" s="39"/>
    </row>
    <row r="635" spans="3:3" ht="15.5" x14ac:dyDescent="0.35">
      <c r="C635" s="39"/>
    </row>
    <row r="636" spans="3:3" ht="15.5" x14ac:dyDescent="0.35">
      <c r="C636" s="39"/>
    </row>
    <row r="637" spans="3:3" ht="15.5" x14ac:dyDescent="0.35">
      <c r="C637" s="39"/>
    </row>
    <row r="638" spans="3:3" ht="15.5" x14ac:dyDescent="0.35">
      <c r="C638" s="39"/>
    </row>
    <row r="639" spans="3:3" ht="15.5" x14ac:dyDescent="0.35">
      <c r="C639" s="39"/>
    </row>
    <row r="640" spans="3:3" ht="15.5" x14ac:dyDescent="0.35">
      <c r="C640" s="39"/>
    </row>
    <row r="641" spans="3:3" ht="15.5" x14ac:dyDescent="0.35">
      <c r="C641" s="39"/>
    </row>
    <row r="642" spans="3:3" ht="15.5" x14ac:dyDescent="0.35">
      <c r="C642" s="39"/>
    </row>
    <row r="643" spans="3:3" ht="15.5" x14ac:dyDescent="0.35">
      <c r="C643" s="39"/>
    </row>
    <row r="644" spans="3:3" ht="15.5" x14ac:dyDescent="0.35">
      <c r="C644" s="39"/>
    </row>
    <row r="645" spans="3:3" ht="15.5" x14ac:dyDescent="0.35">
      <c r="C645" s="39"/>
    </row>
    <row r="646" spans="3:3" ht="15.5" x14ac:dyDescent="0.35">
      <c r="C646" s="39"/>
    </row>
    <row r="647" spans="3:3" ht="15.5" x14ac:dyDescent="0.35">
      <c r="C647" s="39"/>
    </row>
    <row r="648" spans="3:3" ht="15.5" x14ac:dyDescent="0.35">
      <c r="C648" s="39"/>
    </row>
    <row r="649" spans="3:3" ht="15.5" x14ac:dyDescent="0.35">
      <c r="C649" s="39"/>
    </row>
    <row r="650" spans="3:3" ht="15.5" x14ac:dyDescent="0.35">
      <c r="C650" s="39"/>
    </row>
    <row r="651" spans="3:3" ht="15.5" x14ac:dyDescent="0.35">
      <c r="C651" s="39"/>
    </row>
    <row r="652" spans="3:3" ht="15.5" x14ac:dyDescent="0.35">
      <c r="C652" s="39"/>
    </row>
    <row r="653" spans="3:3" ht="15.5" x14ac:dyDescent="0.35">
      <c r="C653" s="39"/>
    </row>
    <row r="654" spans="3:3" ht="15.5" x14ac:dyDescent="0.35">
      <c r="C654" s="39"/>
    </row>
    <row r="655" spans="3:3" ht="15.5" x14ac:dyDescent="0.35">
      <c r="C655" s="39"/>
    </row>
    <row r="656" spans="3:3" ht="15.5" x14ac:dyDescent="0.35">
      <c r="C656" s="39"/>
    </row>
    <row r="657" spans="3:3" ht="15.5" x14ac:dyDescent="0.35">
      <c r="C657" s="39"/>
    </row>
    <row r="658" spans="3:3" ht="15.5" x14ac:dyDescent="0.35">
      <c r="C658" s="39"/>
    </row>
    <row r="659" spans="3:3" ht="15.5" x14ac:dyDescent="0.35">
      <c r="C659" s="39"/>
    </row>
    <row r="660" spans="3:3" ht="15.5" x14ac:dyDescent="0.35">
      <c r="C660" s="39"/>
    </row>
    <row r="661" spans="3:3" ht="15.5" x14ac:dyDescent="0.35">
      <c r="C661" s="39"/>
    </row>
    <row r="662" spans="3:3" ht="15.5" x14ac:dyDescent="0.35">
      <c r="C662" s="39"/>
    </row>
    <row r="663" spans="3:3" ht="15.5" x14ac:dyDescent="0.35">
      <c r="C663" s="39"/>
    </row>
    <row r="664" spans="3:3" ht="15.5" x14ac:dyDescent="0.35">
      <c r="C664" s="39"/>
    </row>
    <row r="665" spans="3:3" ht="15.5" x14ac:dyDescent="0.35">
      <c r="C665" s="39"/>
    </row>
    <row r="666" spans="3:3" ht="15.5" x14ac:dyDescent="0.35">
      <c r="C666" s="39"/>
    </row>
    <row r="667" spans="3:3" ht="15.5" x14ac:dyDescent="0.35">
      <c r="C667" s="39"/>
    </row>
    <row r="668" spans="3:3" ht="15.5" x14ac:dyDescent="0.35">
      <c r="C668" s="39"/>
    </row>
    <row r="669" spans="3:3" ht="15.5" x14ac:dyDescent="0.35">
      <c r="C669" s="39"/>
    </row>
    <row r="670" spans="3:3" ht="15.5" x14ac:dyDescent="0.35">
      <c r="C670" s="39"/>
    </row>
    <row r="671" spans="3:3" ht="15.5" x14ac:dyDescent="0.35">
      <c r="C671" s="39"/>
    </row>
    <row r="672" spans="3:3" ht="15.5" x14ac:dyDescent="0.35">
      <c r="C672" s="39"/>
    </row>
    <row r="673" spans="3:3" ht="15.5" x14ac:dyDescent="0.35">
      <c r="C673" s="39"/>
    </row>
    <row r="674" spans="3:3" ht="15.5" x14ac:dyDescent="0.35">
      <c r="C674" s="39"/>
    </row>
    <row r="675" spans="3:3" ht="15.5" x14ac:dyDescent="0.35">
      <c r="C675" s="39"/>
    </row>
    <row r="676" spans="3:3" ht="15.5" x14ac:dyDescent="0.35">
      <c r="C676" s="39"/>
    </row>
    <row r="677" spans="3:3" ht="15.5" x14ac:dyDescent="0.35">
      <c r="C677" s="39"/>
    </row>
    <row r="678" spans="3:3" ht="15.5" x14ac:dyDescent="0.35">
      <c r="C678" s="39"/>
    </row>
    <row r="679" spans="3:3" ht="15.5" x14ac:dyDescent="0.35">
      <c r="C679" s="39"/>
    </row>
    <row r="680" spans="3:3" ht="15.5" x14ac:dyDescent="0.35">
      <c r="C680" s="39"/>
    </row>
    <row r="681" spans="3:3" ht="15.5" x14ac:dyDescent="0.35">
      <c r="C681" s="39"/>
    </row>
    <row r="682" spans="3:3" ht="15.5" x14ac:dyDescent="0.35">
      <c r="C682" s="39"/>
    </row>
    <row r="683" spans="3:3" ht="15.5" x14ac:dyDescent="0.35">
      <c r="C683" s="39"/>
    </row>
    <row r="684" spans="3:3" ht="15.5" x14ac:dyDescent="0.35">
      <c r="C684" s="39"/>
    </row>
    <row r="685" spans="3:3" ht="15.5" x14ac:dyDescent="0.35">
      <c r="C685" s="39"/>
    </row>
    <row r="686" spans="3:3" ht="15.5" x14ac:dyDescent="0.35">
      <c r="C686" s="39"/>
    </row>
    <row r="687" spans="3:3" ht="15.5" x14ac:dyDescent="0.35">
      <c r="C687" s="39"/>
    </row>
    <row r="688" spans="3:3" ht="15.5" x14ac:dyDescent="0.35">
      <c r="C688" s="39"/>
    </row>
    <row r="689" spans="3:3" ht="15.5" x14ac:dyDescent="0.35">
      <c r="C689" s="39"/>
    </row>
    <row r="690" spans="3:3" ht="15.5" x14ac:dyDescent="0.35">
      <c r="C690" s="39"/>
    </row>
    <row r="691" spans="3:3" ht="15.5" x14ac:dyDescent="0.35">
      <c r="C691" s="39"/>
    </row>
    <row r="692" spans="3:3" ht="15.5" x14ac:dyDescent="0.35">
      <c r="C692" s="39"/>
    </row>
    <row r="693" spans="3:3" ht="15.5" x14ac:dyDescent="0.35">
      <c r="C693" s="39"/>
    </row>
    <row r="694" spans="3:3" ht="15.5" x14ac:dyDescent="0.35">
      <c r="C694" s="39"/>
    </row>
    <row r="695" spans="3:3" ht="15.5" x14ac:dyDescent="0.35">
      <c r="C695" s="39"/>
    </row>
    <row r="696" spans="3:3" ht="15.5" x14ac:dyDescent="0.35">
      <c r="C696" s="39"/>
    </row>
    <row r="697" spans="3:3" ht="15.5" x14ac:dyDescent="0.35">
      <c r="C697" s="39"/>
    </row>
    <row r="698" spans="3:3" ht="15.5" x14ac:dyDescent="0.35">
      <c r="C698" s="39"/>
    </row>
    <row r="699" spans="3:3" ht="15.5" x14ac:dyDescent="0.35">
      <c r="C699" s="39"/>
    </row>
    <row r="700" spans="3:3" ht="15.5" x14ac:dyDescent="0.35">
      <c r="C700" s="39"/>
    </row>
    <row r="701" spans="3:3" ht="15.5" x14ac:dyDescent="0.35">
      <c r="C701" s="39"/>
    </row>
    <row r="702" spans="3:3" ht="15.5" x14ac:dyDescent="0.35">
      <c r="C702" s="39"/>
    </row>
    <row r="703" spans="3:3" ht="15.5" x14ac:dyDescent="0.35">
      <c r="C703" s="39"/>
    </row>
    <row r="704" spans="3:3" ht="15.5" x14ac:dyDescent="0.35">
      <c r="C704" s="39"/>
    </row>
    <row r="705" spans="3:3" ht="15.5" x14ac:dyDescent="0.35">
      <c r="C705" s="39"/>
    </row>
    <row r="706" spans="3:3" ht="15.5" x14ac:dyDescent="0.35">
      <c r="C706" s="39"/>
    </row>
    <row r="707" spans="3:3" ht="15.5" x14ac:dyDescent="0.35">
      <c r="C707" s="39"/>
    </row>
    <row r="708" spans="3:3" ht="15.5" x14ac:dyDescent="0.35">
      <c r="C708" s="39"/>
    </row>
    <row r="709" spans="3:3" ht="15.5" x14ac:dyDescent="0.35">
      <c r="C709" s="39"/>
    </row>
    <row r="710" spans="3:3" ht="15.5" x14ac:dyDescent="0.35">
      <c r="C710" s="39"/>
    </row>
    <row r="711" spans="3:3" ht="15.5" x14ac:dyDescent="0.35">
      <c r="C711" s="39"/>
    </row>
    <row r="712" spans="3:3" ht="15.5" x14ac:dyDescent="0.35">
      <c r="C712" s="39"/>
    </row>
    <row r="713" spans="3:3" ht="15.5" x14ac:dyDescent="0.35">
      <c r="C713" s="39"/>
    </row>
    <row r="714" spans="3:3" ht="15.5" x14ac:dyDescent="0.35">
      <c r="C714" s="39"/>
    </row>
    <row r="715" spans="3:3" ht="15.5" x14ac:dyDescent="0.35">
      <c r="C715" s="39"/>
    </row>
    <row r="716" spans="3:3" ht="15.5" x14ac:dyDescent="0.35">
      <c r="C716" s="39"/>
    </row>
    <row r="717" spans="3:3" ht="15.5" x14ac:dyDescent="0.35">
      <c r="C717" s="39"/>
    </row>
    <row r="718" spans="3:3" ht="15.5" x14ac:dyDescent="0.35">
      <c r="C718" s="39"/>
    </row>
    <row r="719" spans="3:3" ht="15.5" x14ac:dyDescent="0.35">
      <c r="C719" s="39"/>
    </row>
    <row r="720" spans="3:3" ht="15.5" x14ac:dyDescent="0.35">
      <c r="C720" s="39"/>
    </row>
    <row r="721" spans="3:3" ht="15.5" x14ac:dyDescent="0.35">
      <c r="C721" s="39"/>
    </row>
    <row r="722" spans="3:3" ht="15.5" x14ac:dyDescent="0.35">
      <c r="C722" s="39"/>
    </row>
    <row r="723" spans="3:3" ht="15.5" x14ac:dyDescent="0.35">
      <c r="C723" s="39"/>
    </row>
    <row r="724" spans="3:3" ht="15.5" x14ac:dyDescent="0.35">
      <c r="C724" s="39"/>
    </row>
    <row r="725" spans="3:3" ht="15.5" x14ac:dyDescent="0.35">
      <c r="C725" s="39"/>
    </row>
    <row r="726" spans="3:3" ht="15.5" x14ac:dyDescent="0.35">
      <c r="C726" s="39"/>
    </row>
    <row r="727" spans="3:3" ht="15.5" x14ac:dyDescent="0.35">
      <c r="C727" s="39"/>
    </row>
    <row r="728" spans="3:3" ht="15.5" x14ac:dyDescent="0.35">
      <c r="C728" s="39"/>
    </row>
    <row r="729" spans="3:3" ht="15.5" x14ac:dyDescent="0.35">
      <c r="C729" s="39"/>
    </row>
    <row r="730" spans="3:3" ht="15.5" x14ac:dyDescent="0.35">
      <c r="C730" s="39"/>
    </row>
    <row r="731" spans="3:3" ht="15.5" x14ac:dyDescent="0.35">
      <c r="C731" s="39"/>
    </row>
    <row r="732" spans="3:3" ht="15.5" x14ac:dyDescent="0.35">
      <c r="C732" s="39"/>
    </row>
    <row r="733" spans="3:3" ht="15.5" x14ac:dyDescent="0.35">
      <c r="C733" s="39"/>
    </row>
    <row r="734" spans="3:3" ht="15.5" x14ac:dyDescent="0.35">
      <c r="C734" s="39"/>
    </row>
    <row r="735" spans="3:3" ht="15.5" x14ac:dyDescent="0.35">
      <c r="C735" s="39"/>
    </row>
    <row r="736" spans="3:3" ht="15.5" x14ac:dyDescent="0.35">
      <c r="C736" s="39"/>
    </row>
    <row r="737" spans="3:3" ht="15.5" x14ac:dyDescent="0.35">
      <c r="C737" s="39"/>
    </row>
    <row r="738" spans="3:3" ht="15.5" x14ac:dyDescent="0.35">
      <c r="C738" s="39"/>
    </row>
    <row r="739" spans="3:3" ht="15.5" x14ac:dyDescent="0.35">
      <c r="C739" s="39"/>
    </row>
    <row r="740" spans="3:3" ht="15.5" x14ac:dyDescent="0.35">
      <c r="C740" s="39"/>
    </row>
    <row r="741" spans="3:3" ht="15.5" x14ac:dyDescent="0.35">
      <c r="C741" s="39"/>
    </row>
    <row r="742" spans="3:3" ht="15.5" x14ac:dyDescent="0.35">
      <c r="C742" s="39"/>
    </row>
    <row r="743" spans="3:3" ht="15.5" x14ac:dyDescent="0.35">
      <c r="C743" s="39"/>
    </row>
    <row r="744" spans="3:3" ht="15.5" x14ac:dyDescent="0.35">
      <c r="C744" s="39"/>
    </row>
    <row r="745" spans="3:3" ht="15.5" x14ac:dyDescent="0.35">
      <c r="C745" s="39"/>
    </row>
    <row r="746" spans="3:3" ht="15.5" x14ac:dyDescent="0.35">
      <c r="C746" s="39"/>
    </row>
    <row r="747" spans="3:3" ht="15.5" x14ac:dyDescent="0.35">
      <c r="C747" s="39"/>
    </row>
    <row r="748" spans="3:3" ht="15.5" x14ac:dyDescent="0.35">
      <c r="C748" s="39"/>
    </row>
    <row r="749" spans="3:3" ht="15.5" x14ac:dyDescent="0.35">
      <c r="C749" s="39"/>
    </row>
    <row r="750" spans="3:3" ht="15.5" x14ac:dyDescent="0.35">
      <c r="C750" s="39"/>
    </row>
    <row r="751" spans="3:3" ht="15.5" x14ac:dyDescent="0.35">
      <c r="C751" s="39"/>
    </row>
    <row r="752" spans="3:3" ht="15.5" x14ac:dyDescent="0.35">
      <c r="C752" s="39"/>
    </row>
    <row r="753" spans="3:3" ht="15.5" x14ac:dyDescent="0.35">
      <c r="C753" s="39"/>
    </row>
    <row r="754" spans="3:3" ht="15.5" x14ac:dyDescent="0.35">
      <c r="C754" s="39"/>
    </row>
    <row r="755" spans="3:3" ht="15.5" x14ac:dyDescent="0.35">
      <c r="C755" s="39"/>
    </row>
    <row r="756" spans="3:3" ht="15.5" x14ac:dyDescent="0.35">
      <c r="C756" s="39"/>
    </row>
    <row r="757" spans="3:3" ht="15.5" x14ac:dyDescent="0.35">
      <c r="C757" s="39"/>
    </row>
    <row r="758" spans="3:3" ht="15.5" x14ac:dyDescent="0.35">
      <c r="C758" s="39"/>
    </row>
    <row r="759" spans="3:3" ht="15.5" x14ac:dyDescent="0.35">
      <c r="C759" s="39"/>
    </row>
    <row r="760" spans="3:3" ht="15.5" x14ac:dyDescent="0.35">
      <c r="C760" s="39"/>
    </row>
    <row r="761" spans="3:3" ht="15.5" x14ac:dyDescent="0.35">
      <c r="C761" s="39"/>
    </row>
    <row r="762" spans="3:3" ht="15.5" x14ac:dyDescent="0.35">
      <c r="C762" s="39"/>
    </row>
    <row r="763" spans="3:3" ht="15.5" x14ac:dyDescent="0.35">
      <c r="C763" s="39"/>
    </row>
    <row r="764" spans="3:3" ht="15.5" x14ac:dyDescent="0.35">
      <c r="C764" s="39"/>
    </row>
    <row r="765" spans="3:3" ht="15.5" x14ac:dyDescent="0.35">
      <c r="C765" s="39"/>
    </row>
    <row r="766" spans="3:3" ht="15.5" x14ac:dyDescent="0.35">
      <c r="C766" s="39"/>
    </row>
    <row r="767" spans="3:3" ht="15.5" x14ac:dyDescent="0.35">
      <c r="C767" s="39"/>
    </row>
    <row r="768" spans="3:3" ht="15.5" x14ac:dyDescent="0.35">
      <c r="C768" s="39"/>
    </row>
    <row r="769" spans="3:3" ht="15.5" x14ac:dyDescent="0.35">
      <c r="C769" s="39"/>
    </row>
    <row r="770" spans="3:3" ht="15.5" x14ac:dyDescent="0.35">
      <c r="C770" s="39"/>
    </row>
    <row r="771" spans="3:3" ht="15.5" x14ac:dyDescent="0.35">
      <c r="C771" s="39"/>
    </row>
    <row r="772" spans="3:3" ht="15.5" x14ac:dyDescent="0.35">
      <c r="C772" s="39"/>
    </row>
    <row r="773" spans="3:3" ht="15.5" x14ac:dyDescent="0.35">
      <c r="C773" s="39"/>
    </row>
    <row r="774" spans="3:3" ht="15.5" x14ac:dyDescent="0.35">
      <c r="C774" s="39"/>
    </row>
    <row r="775" spans="3:3" ht="15.5" x14ac:dyDescent="0.35">
      <c r="C775" s="39"/>
    </row>
    <row r="776" spans="3:3" ht="15.5" x14ac:dyDescent="0.35">
      <c r="C776" s="39"/>
    </row>
    <row r="777" spans="3:3" ht="15.5" x14ac:dyDescent="0.35">
      <c r="C777" s="39"/>
    </row>
    <row r="778" spans="3:3" ht="15.5" x14ac:dyDescent="0.35">
      <c r="C778" s="39"/>
    </row>
    <row r="779" spans="3:3" ht="15.5" x14ac:dyDescent="0.35">
      <c r="C779" s="39"/>
    </row>
    <row r="780" spans="3:3" ht="15.5" x14ac:dyDescent="0.35">
      <c r="C780" s="39"/>
    </row>
    <row r="781" spans="3:3" ht="15.5" x14ac:dyDescent="0.35">
      <c r="C781" s="39"/>
    </row>
    <row r="782" spans="3:3" ht="15.5" x14ac:dyDescent="0.35">
      <c r="C782" s="39"/>
    </row>
    <row r="783" spans="3:3" ht="15.5" x14ac:dyDescent="0.35">
      <c r="C783" s="39"/>
    </row>
    <row r="784" spans="3:3" ht="15.5" x14ac:dyDescent="0.35">
      <c r="C784" s="39"/>
    </row>
    <row r="785" spans="3:3" ht="15.5" x14ac:dyDescent="0.35">
      <c r="C785" s="39"/>
    </row>
    <row r="786" spans="3:3" ht="15.5" x14ac:dyDescent="0.35">
      <c r="C786" s="39"/>
    </row>
    <row r="787" spans="3:3" ht="15.5" x14ac:dyDescent="0.35">
      <c r="C787" s="39"/>
    </row>
    <row r="788" spans="3:3" ht="15.5" x14ac:dyDescent="0.35">
      <c r="C788" s="39"/>
    </row>
    <row r="789" spans="3:3" ht="15.5" x14ac:dyDescent="0.35">
      <c r="C789" s="39"/>
    </row>
    <row r="790" spans="3:3" ht="15.5" x14ac:dyDescent="0.35">
      <c r="C790" s="39"/>
    </row>
    <row r="791" spans="3:3" ht="15.5" x14ac:dyDescent="0.35">
      <c r="C791" s="39"/>
    </row>
    <row r="792" spans="3:3" ht="15.5" x14ac:dyDescent="0.35">
      <c r="C792" s="39"/>
    </row>
    <row r="793" spans="3:3" ht="15.5" x14ac:dyDescent="0.35">
      <c r="C793" s="39"/>
    </row>
    <row r="794" spans="3:3" ht="15.5" x14ac:dyDescent="0.35">
      <c r="C794" s="39"/>
    </row>
    <row r="795" spans="3:3" ht="15.5" x14ac:dyDescent="0.35">
      <c r="C795" s="39"/>
    </row>
    <row r="796" spans="3:3" ht="15.5" x14ac:dyDescent="0.35">
      <c r="C796" s="39"/>
    </row>
    <row r="797" spans="3:3" ht="15.5" x14ac:dyDescent="0.35">
      <c r="C797" s="39"/>
    </row>
    <row r="798" spans="3:3" ht="15.5" x14ac:dyDescent="0.35">
      <c r="C798" s="39"/>
    </row>
    <row r="799" spans="3:3" ht="15.5" x14ac:dyDescent="0.35">
      <c r="C799" s="39"/>
    </row>
    <row r="800" spans="3:3" ht="15.5" x14ac:dyDescent="0.35">
      <c r="C800" s="39"/>
    </row>
    <row r="801" spans="3:3" ht="15.5" x14ac:dyDescent="0.35">
      <c r="C801" s="39"/>
    </row>
    <row r="802" spans="3:3" ht="15.5" x14ac:dyDescent="0.35">
      <c r="C802" s="39"/>
    </row>
    <row r="803" spans="3:3" ht="15.5" x14ac:dyDescent="0.35">
      <c r="C803" s="39"/>
    </row>
    <row r="804" spans="3:3" ht="15.5" x14ac:dyDescent="0.35">
      <c r="C804" s="39"/>
    </row>
    <row r="805" spans="3:3" ht="15.5" x14ac:dyDescent="0.35">
      <c r="C805" s="39"/>
    </row>
    <row r="806" spans="3:3" ht="15.5" x14ac:dyDescent="0.35">
      <c r="C806" s="39"/>
    </row>
    <row r="807" spans="3:3" ht="15.5" x14ac:dyDescent="0.35">
      <c r="C807" s="39"/>
    </row>
    <row r="808" spans="3:3" ht="15.5" x14ac:dyDescent="0.35">
      <c r="C808" s="39"/>
    </row>
    <row r="809" spans="3:3" ht="15.5" x14ac:dyDescent="0.35">
      <c r="C809" s="39"/>
    </row>
    <row r="810" spans="3:3" ht="15.5" x14ac:dyDescent="0.35">
      <c r="C810" s="39"/>
    </row>
    <row r="811" spans="3:3" ht="15.5" x14ac:dyDescent="0.35">
      <c r="C811" s="39"/>
    </row>
    <row r="812" spans="3:3" ht="15.5" x14ac:dyDescent="0.35">
      <c r="C812" s="39"/>
    </row>
    <row r="813" spans="3:3" ht="15.5" x14ac:dyDescent="0.35">
      <c r="C813" s="39"/>
    </row>
    <row r="814" spans="3:3" ht="15.5" x14ac:dyDescent="0.35">
      <c r="C814" s="39"/>
    </row>
    <row r="815" spans="3:3" ht="15.5" x14ac:dyDescent="0.35">
      <c r="C815" s="39"/>
    </row>
    <row r="816" spans="3:3" ht="15.5" x14ac:dyDescent="0.35">
      <c r="C816" s="39"/>
    </row>
    <row r="817" spans="3:3" ht="15.5" x14ac:dyDescent="0.35">
      <c r="C817" s="39"/>
    </row>
    <row r="818" spans="3:3" ht="15.5" x14ac:dyDescent="0.35">
      <c r="C818" s="39"/>
    </row>
    <row r="819" spans="3:3" ht="15.5" x14ac:dyDescent="0.35">
      <c r="C819" s="39"/>
    </row>
    <row r="820" spans="3:3" ht="15.5" x14ac:dyDescent="0.35">
      <c r="C820" s="39"/>
    </row>
    <row r="821" spans="3:3" ht="15.5" x14ac:dyDescent="0.35">
      <c r="C821" s="39"/>
    </row>
    <row r="822" spans="3:3" ht="15.5" x14ac:dyDescent="0.35">
      <c r="C822" s="39"/>
    </row>
    <row r="823" spans="3:3" ht="15.5" x14ac:dyDescent="0.35">
      <c r="C823" s="39"/>
    </row>
    <row r="824" spans="3:3" ht="15.5" x14ac:dyDescent="0.35">
      <c r="C824" s="39"/>
    </row>
    <row r="825" spans="3:3" ht="15.5" x14ac:dyDescent="0.35">
      <c r="C825" s="39"/>
    </row>
    <row r="826" spans="3:3" ht="15.5" x14ac:dyDescent="0.35">
      <c r="C826" s="39"/>
    </row>
    <row r="827" spans="3:3" ht="15.5" x14ac:dyDescent="0.35">
      <c r="C827" s="39"/>
    </row>
    <row r="828" spans="3:3" ht="15.5" x14ac:dyDescent="0.35">
      <c r="C828" s="39"/>
    </row>
    <row r="829" spans="3:3" ht="15.5" x14ac:dyDescent="0.35">
      <c r="C829" s="39"/>
    </row>
    <row r="830" spans="3:3" ht="15.5" x14ac:dyDescent="0.35">
      <c r="C830" s="39"/>
    </row>
    <row r="831" spans="3:3" ht="15.5" x14ac:dyDescent="0.35">
      <c r="C831" s="39"/>
    </row>
    <row r="832" spans="3:3" ht="15.5" x14ac:dyDescent="0.35">
      <c r="C832" s="39"/>
    </row>
    <row r="833" spans="3:3" ht="15.5" x14ac:dyDescent="0.35">
      <c r="C833" s="39"/>
    </row>
    <row r="834" spans="3:3" ht="15.5" x14ac:dyDescent="0.35">
      <c r="C834" s="39"/>
    </row>
    <row r="835" spans="3:3" ht="15.5" x14ac:dyDescent="0.35">
      <c r="C835" s="39"/>
    </row>
    <row r="836" spans="3:3" ht="15.5" x14ac:dyDescent="0.35">
      <c r="C836" s="39"/>
    </row>
    <row r="837" spans="3:3" ht="15.5" x14ac:dyDescent="0.35">
      <c r="C837" s="39"/>
    </row>
    <row r="838" spans="3:3" ht="15.5" x14ac:dyDescent="0.35">
      <c r="C838" s="39"/>
    </row>
    <row r="839" spans="3:3" ht="15.5" x14ac:dyDescent="0.35">
      <c r="C839" s="39"/>
    </row>
    <row r="840" spans="3:3" ht="15.5" x14ac:dyDescent="0.35">
      <c r="C840" s="39"/>
    </row>
    <row r="841" spans="3:3" ht="15.5" x14ac:dyDescent="0.35">
      <c r="C841" s="39"/>
    </row>
    <row r="842" spans="3:3" ht="15.5" x14ac:dyDescent="0.35">
      <c r="C842" s="39"/>
    </row>
    <row r="843" spans="3:3" ht="15.5" x14ac:dyDescent="0.35">
      <c r="C843" s="39"/>
    </row>
    <row r="844" spans="3:3" ht="15.5" x14ac:dyDescent="0.35">
      <c r="C844" s="39"/>
    </row>
    <row r="845" spans="3:3" ht="15.5" x14ac:dyDescent="0.35">
      <c r="C845" s="39"/>
    </row>
    <row r="846" spans="3:3" ht="15.5" x14ac:dyDescent="0.35">
      <c r="C846" s="39"/>
    </row>
    <row r="847" spans="3:3" ht="15.5" x14ac:dyDescent="0.35">
      <c r="C847" s="39"/>
    </row>
    <row r="848" spans="3:3" ht="15.5" x14ac:dyDescent="0.35">
      <c r="C848" s="39"/>
    </row>
    <row r="849" spans="3:3" ht="15.5" x14ac:dyDescent="0.35">
      <c r="C849" s="39"/>
    </row>
    <row r="850" spans="3:3" ht="15.5" x14ac:dyDescent="0.35">
      <c r="C850" s="39"/>
    </row>
    <row r="851" spans="3:3" ht="15.5" x14ac:dyDescent="0.35">
      <c r="C851" s="39"/>
    </row>
    <row r="852" spans="3:3" ht="15.5" x14ac:dyDescent="0.35">
      <c r="C852" s="39"/>
    </row>
    <row r="853" spans="3:3" ht="15.5" x14ac:dyDescent="0.35">
      <c r="C853" s="39"/>
    </row>
    <row r="854" spans="3:3" ht="15.5" x14ac:dyDescent="0.35">
      <c r="C854" s="39"/>
    </row>
    <row r="855" spans="3:3" ht="15.5" x14ac:dyDescent="0.35">
      <c r="C855" s="39"/>
    </row>
    <row r="856" spans="3:3" ht="15.5" x14ac:dyDescent="0.35">
      <c r="C856" s="39"/>
    </row>
    <row r="857" spans="3:3" ht="15.5" x14ac:dyDescent="0.35">
      <c r="C857" s="39"/>
    </row>
    <row r="858" spans="3:3" ht="15.5" x14ac:dyDescent="0.35">
      <c r="C858" s="39"/>
    </row>
    <row r="859" spans="3:3" ht="15.5" x14ac:dyDescent="0.35">
      <c r="C859" s="39"/>
    </row>
    <row r="860" spans="3:3" ht="15.5" x14ac:dyDescent="0.35">
      <c r="C860" s="39"/>
    </row>
    <row r="861" spans="3:3" ht="15.5" x14ac:dyDescent="0.35">
      <c r="C861" s="39"/>
    </row>
    <row r="862" spans="3:3" ht="15.5" x14ac:dyDescent="0.35">
      <c r="C862" s="39"/>
    </row>
    <row r="863" spans="3:3" ht="15.5" x14ac:dyDescent="0.35">
      <c r="C863" s="39"/>
    </row>
    <row r="864" spans="3:3" ht="15.5" x14ac:dyDescent="0.35">
      <c r="C864" s="39"/>
    </row>
    <row r="865" spans="3:3" ht="15.5" x14ac:dyDescent="0.35">
      <c r="C865" s="39"/>
    </row>
    <row r="866" spans="3:3" ht="15.5" x14ac:dyDescent="0.35">
      <c r="C866" s="39"/>
    </row>
    <row r="867" spans="3:3" ht="15.5" x14ac:dyDescent="0.35">
      <c r="C867" s="39"/>
    </row>
    <row r="868" spans="3:3" ht="15.5" x14ac:dyDescent="0.35">
      <c r="C868" s="39"/>
    </row>
    <row r="869" spans="3:3" ht="15.5" x14ac:dyDescent="0.35">
      <c r="C869" s="39"/>
    </row>
    <row r="870" spans="3:3" ht="15.5" x14ac:dyDescent="0.35">
      <c r="C870" s="39"/>
    </row>
    <row r="871" spans="3:3" ht="15.5" x14ac:dyDescent="0.35">
      <c r="C871" s="39"/>
    </row>
    <row r="872" spans="3:3" ht="15.5" x14ac:dyDescent="0.35">
      <c r="C872" s="39"/>
    </row>
    <row r="873" spans="3:3" ht="15.5" x14ac:dyDescent="0.35">
      <c r="C873" s="39"/>
    </row>
    <row r="874" spans="3:3" ht="15.5" x14ac:dyDescent="0.35">
      <c r="C874" s="39"/>
    </row>
    <row r="875" spans="3:3" ht="15.5" x14ac:dyDescent="0.35">
      <c r="C875" s="39"/>
    </row>
    <row r="876" spans="3:3" ht="15.5" x14ac:dyDescent="0.35">
      <c r="C876" s="39"/>
    </row>
    <row r="877" spans="3:3" ht="15.5" x14ac:dyDescent="0.35">
      <c r="C877" s="39"/>
    </row>
    <row r="878" spans="3:3" ht="15.5" x14ac:dyDescent="0.35">
      <c r="C878" s="39"/>
    </row>
    <row r="879" spans="3:3" ht="15.5" x14ac:dyDescent="0.35">
      <c r="C879" s="39"/>
    </row>
    <row r="880" spans="3:3" ht="15.5" x14ac:dyDescent="0.35">
      <c r="C880" s="39"/>
    </row>
    <row r="881" spans="3:3" ht="15.5" x14ac:dyDescent="0.35">
      <c r="C881" s="39"/>
    </row>
    <row r="882" spans="3:3" ht="15.5" x14ac:dyDescent="0.35">
      <c r="C882" s="39"/>
    </row>
    <row r="883" spans="3:3" ht="15.5" x14ac:dyDescent="0.35">
      <c r="C883" s="39"/>
    </row>
    <row r="884" spans="3:3" ht="15.5" x14ac:dyDescent="0.35">
      <c r="C884" s="39"/>
    </row>
    <row r="885" spans="3:3" ht="15.5" x14ac:dyDescent="0.35">
      <c r="C885" s="39"/>
    </row>
    <row r="886" spans="3:3" ht="15.5" x14ac:dyDescent="0.35">
      <c r="C886" s="39"/>
    </row>
    <row r="887" spans="3:3" ht="15.5" x14ac:dyDescent="0.35">
      <c r="C887" s="39"/>
    </row>
    <row r="888" spans="3:3" ht="15.5" x14ac:dyDescent="0.35">
      <c r="C888" s="39"/>
    </row>
    <row r="889" spans="3:3" ht="15.5" x14ac:dyDescent="0.35">
      <c r="C889" s="39"/>
    </row>
    <row r="890" spans="3:3" ht="15.5" x14ac:dyDescent="0.35">
      <c r="C890" s="39"/>
    </row>
    <row r="891" spans="3:3" ht="15.5" x14ac:dyDescent="0.35">
      <c r="C891" s="39"/>
    </row>
    <row r="892" spans="3:3" ht="15.5" x14ac:dyDescent="0.35">
      <c r="C892" s="39"/>
    </row>
    <row r="893" spans="3:3" ht="15.5" x14ac:dyDescent="0.35">
      <c r="C893" s="39"/>
    </row>
    <row r="894" spans="3:3" ht="15.5" x14ac:dyDescent="0.35">
      <c r="C894" s="39"/>
    </row>
    <row r="895" spans="3:3" ht="15.5" x14ac:dyDescent="0.35">
      <c r="C895" s="39"/>
    </row>
    <row r="896" spans="3:3" ht="15.5" x14ac:dyDescent="0.35">
      <c r="C896" s="39"/>
    </row>
    <row r="897" spans="3:3" ht="15.5" x14ac:dyDescent="0.35">
      <c r="C897" s="39"/>
    </row>
    <row r="898" spans="3:3" ht="15.5" x14ac:dyDescent="0.35">
      <c r="C898" s="39"/>
    </row>
    <row r="899" spans="3:3" ht="15.5" x14ac:dyDescent="0.35">
      <c r="C899" s="39"/>
    </row>
    <row r="900" spans="3:3" ht="15.5" x14ac:dyDescent="0.35">
      <c r="C900" s="39"/>
    </row>
    <row r="901" spans="3:3" ht="15.5" x14ac:dyDescent="0.35">
      <c r="C901" s="39"/>
    </row>
    <row r="902" spans="3:3" ht="15.5" x14ac:dyDescent="0.35">
      <c r="C902" s="39"/>
    </row>
    <row r="903" spans="3:3" ht="15.5" x14ac:dyDescent="0.35">
      <c r="C903" s="39"/>
    </row>
    <row r="904" spans="3:3" ht="15.5" x14ac:dyDescent="0.35">
      <c r="C904" s="39"/>
    </row>
    <row r="905" spans="3:3" ht="15.5" x14ac:dyDescent="0.35">
      <c r="C905" s="39"/>
    </row>
    <row r="906" spans="3:3" ht="15.5" x14ac:dyDescent="0.35">
      <c r="C906" s="39"/>
    </row>
    <row r="907" spans="3:3" ht="15.5" x14ac:dyDescent="0.35">
      <c r="C907" s="39"/>
    </row>
    <row r="908" spans="3:3" ht="15.5" x14ac:dyDescent="0.35">
      <c r="C908" s="39"/>
    </row>
    <row r="909" spans="3:3" ht="15.5" x14ac:dyDescent="0.35">
      <c r="C909" s="39"/>
    </row>
    <row r="910" spans="3:3" ht="15.5" x14ac:dyDescent="0.35">
      <c r="C910" s="39"/>
    </row>
    <row r="911" spans="3:3" ht="15.5" x14ac:dyDescent="0.35">
      <c r="C911" s="39"/>
    </row>
    <row r="912" spans="3:3" ht="15.5" x14ac:dyDescent="0.35">
      <c r="C912" s="39"/>
    </row>
    <row r="913" spans="3:3" ht="15.5" x14ac:dyDescent="0.35">
      <c r="C913" s="39"/>
    </row>
    <row r="914" spans="3:3" ht="15.5" x14ac:dyDescent="0.35">
      <c r="C914" s="39"/>
    </row>
    <row r="915" spans="3:3" ht="15.5" x14ac:dyDescent="0.35">
      <c r="C915" s="39"/>
    </row>
    <row r="916" spans="3:3" ht="15.5" x14ac:dyDescent="0.35">
      <c r="C916" s="39"/>
    </row>
    <row r="917" spans="3:3" ht="15.5" x14ac:dyDescent="0.35">
      <c r="C917" s="39"/>
    </row>
    <row r="918" spans="3:3" ht="15.5" x14ac:dyDescent="0.35">
      <c r="C918" s="39"/>
    </row>
    <row r="919" spans="3:3" ht="15.5" x14ac:dyDescent="0.35">
      <c r="C919" s="39"/>
    </row>
    <row r="920" spans="3:3" ht="15.5" x14ac:dyDescent="0.35">
      <c r="C920" s="39"/>
    </row>
    <row r="921" spans="3:3" ht="15.5" x14ac:dyDescent="0.35">
      <c r="C921" s="39"/>
    </row>
    <row r="922" spans="3:3" ht="15.5" x14ac:dyDescent="0.35">
      <c r="C922" s="39"/>
    </row>
    <row r="923" spans="3:3" ht="15.5" x14ac:dyDescent="0.35">
      <c r="C923" s="39"/>
    </row>
    <row r="924" spans="3:3" ht="15.5" x14ac:dyDescent="0.35">
      <c r="C924" s="39"/>
    </row>
    <row r="925" spans="3:3" ht="15.5" x14ac:dyDescent="0.35">
      <c r="C925" s="39"/>
    </row>
    <row r="926" spans="3:3" ht="15.5" x14ac:dyDescent="0.35">
      <c r="C926" s="39"/>
    </row>
    <row r="927" spans="3:3" ht="15.5" x14ac:dyDescent="0.35">
      <c r="C927" s="39"/>
    </row>
    <row r="928" spans="3:3" ht="15.5" x14ac:dyDescent="0.35">
      <c r="C928" s="39"/>
    </row>
    <row r="929" spans="3:3" ht="15.5" x14ac:dyDescent="0.35">
      <c r="C929" s="39"/>
    </row>
    <row r="930" spans="3:3" ht="15.5" x14ac:dyDescent="0.35">
      <c r="C930" s="39"/>
    </row>
    <row r="931" spans="3:3" ht="15.5" x14ac:dyDescent="0.35">
      <c r="C931" s="39"/>
    </row>
    <row r="932" spans="3:3" ht="15.5" x14ac:dyDescent="0.35">
      <c r="C932" s="39"/>
    </row>
    <row r="933" spans="3:3" ht="15.5" x14ac:dyDescent="0.35">
      <c r="C933" s="39"/>
    </row>
    <row r="934" spans="3:3" ht="15.5" x14ac:dyDescent="0.35">
      <c r="C934" s="39"/>
    </row>
    <row r="935" spans="3:3" ht="15.5" x14ac:dyDescent="0.35">
      <c r="C935" s="39"/>
    </row>
    <row r="936" spans="3:3" ht="15.5" x14ac:dyDescent="0.35">
      <c r="C936" s="39"/>
    </row>
    <row r="937" spans="3:3" ht="15.5" x14ac:dyDescent="0.35">
      <c r="C937" s="39"/>
    </row>
    <row r="938" spans="3:3" ht="15.5" x14ac:dyDescent="0.35">
      <c r="C938" s="39"/>
    </row>
    <row r="939" spans="3:3" ht="15.5" x14ac:dyDescent="0.35">
      <c r="C939" s="39"/>
    </row>
    <row r="940" spans="3:3" ht="15.5" x14ac:dyDescent="0.35">
      <c r="C940" s="39"/>
    </row>
    <row r="941" spans="3:3" ht="15.5" x14ac:dyDescent="0.35">
      <c r="C941" s="39"/>
    </row>
    <row r="942" spans="3:3" ht="15.5" x14ac:dyDescent="0.35">
      <c r="C942" s="39"/>
    </row>
    <row r="943" spans="3:3" ht="15.5" x14ac:dyDescent="0.35">
      <c r="C943" s="39"/>
    </row>
    <row r="944" spans="3:3" ht="15.5" x14ac:dyDescent="0.35">
      <c r="C944" s="39"/>
    </row>
    <row r="945" spans="3:3" ht="15.5" x14ac:dyDescent="0.35">
      <c r="C945" s="39"/>
    </row>
    <row r="946" spans="3:3" ht="15.5" x14ac:dyDescent="0.35">
      <c r="C946" s="39"/>
    </row>
    <row r="947" spans="3:3" ht="15.5" x14ac:dyDescent="0.35">
      <c r="C947" s="39"/>
    </row>
    <row r="948" spans="3:3" ht="15.5" x14ac:dyDescent="0.35">
      <c r="C948" s="39"/>
    </row>
    <row r="949" spans="3:3" ht="15.5" x14ac:dyDescent="0.35">
      <c r="C949" s="39"/>
    </row>
    <row r="950" spans="3:3" ht="15.5" x14ac:dyDescent="0.35">
      <c r="C950" s="39"/>
    </row>
    <row r="951" spans="3:3" ht="15.5" x14ac:dyDescent="0.35">
      <c r="C951" s="39"/>
    </row>
    <row r="952" spans="3:3" ht="15.5" x14ac:dyDescent="0.35">
      <c r="C952" s="39"/>
    </row>
    <row r="953" spans="3:3" ht="15.5" x14ac:dyDescent="0.35">
      <c r="C953" s="39"/>
    </row>
    <row r="954" spans="3:3" ht="15.5" x14ac:dyDescent="0.35">
      <c r="C954" s="39"/>
    </row>
    <row r="955" spans="3:3" ht="15.5" x14ac:dyDescent="0.35">
      <c r="C955" s="39"/>
    </row>
    <row r="956" spans="3:3" ht="15.5" x14ac:dyDescent="0.35">
      <c r="C956" s="39"/>
    </row>
    <row r="957" spans="3:3" ht="15.5" x14ac:dyDescent="0.35">
      <c r="C957" s="39"/>
    </row>
    <row r="958" spans="3:3" ht="15.5" x14ac:dyDescent="0.35">
      <c r="C958" s="39"/>
    </row>
    <row r="959" spans="3:3" ht="15.5" x14ac:dyDescent="0.35">
      <c r="C959" s="39"/>
    </row>
    <row r="960" spans="3:3" ht="15.5" x14ac:dyDescent="0.35">
      <c r="C960" s="39"/>
    </row>
    <row r="961" spans="3:3" ht="15.5" x14ac:dyDescent="0.35">
      <c r="C961" s="39"/>
    </row>
    <row r="962" spans="3:3" ht="15.5" x14ac:dyDescent="0.35">
      <c r="C962" s="39"/>
    </row>
    <row r="963" spans="3:3" ht="15.5" x14ac:dyDescent="0.35">
      <c r="C963" s="39"/>
    </row>
    <row r="964" spans="3:3" ht="15.5" x14ac:dyDescent="0.35">
      <c r="C964" s="39"/>
    </row>
    <row r="965" spans="3:3" ht="15.5" x14ac:dyDescent="0.35">
      <c r="C965" s="39"/>
    </row>
    <row r="966" spans="3:3" ht="15.5" x14ac:dyDescent="0.35">
      <c r="C966" s="39"/>
    </row>
    <row r="967" spans="3:3" ht="15.5" x14ac:dyDescent="0.35">
      <c r="C967" s="39"/>
    </row>
    <row r="968" spans="3:3" ht="15.5" x14ac:dyDescent="0.35">
      <c r="C968" s="39"/>
    </row>
    <row r="969" spans="3:3" ht="15.5" x14ac:dyDescent="0.35">
      <c r="C969" s="39"/>
    </row>
    <row r="970" spans="3:3" ht="15.5" x14ac:dyDescent="0.35">
      <c r="C970" s="39"/>
    </row>
    <row r="971" spans="3:3" ht="15.5" x14ac:dyDescent="0.35">
      <c r="C971" s="39"/>
    </row>
    <row r="972" spans="3:3" ht="15.5" x14ac:dyDescent="0.35">
      <c r="C972" s="39"/>
    </row>
    <row r="973" spans="3:3" ht="15.5" x14ac:dyDescent="0.35">
      <c r="C973" s="39"/>
    </row>
    <row r="974" spans="3:3" ht="15.5" x14ac:dyDescent="0.35">
      <c r="C974" s="39"/>
    </row>
    <row r="975" spans="3:3" ht="15.5" x14ac:dyDescent="0.35">
      <c r="C975" s="39"/>
    </row>
    <row r="976" spans="3:3" ht="15.5" x14ac:dyDescent="0.35">
      <c r="C976" s="39"/>
    </row>
    <row r="977" spans="3:3" ht="15.5" x14ac:dyDescent="0.35">
      <c r="C977" s="39"/>
    </row>
    <row r="978" spans="3:3" ht="15.5" x14ac:dyDescent="0.35">
      <c r="C978" s="39"/>
    </row>
    <row r="979" spans="3:3" ht="15.5" x14ac:dyDescent="0.35">
      <c r="C979" s="39"/>
    </row>
    <row r="980" spans="3:3" ht="15.5" x14ac:dyDescent="0.35">
      <c r="C980" s="39"/>
    </row>
    <row r="981" spans="3:3" ht="15.5" x14ac:dyDescent="0.35">
      <c r="C981" s="39"/>
    </row>
    <row r="982" spans="3:3" ht="15.5" x14ac:dyDescent="0.35">
      <c r="C982" s="39"/>
    </row>
    <row r="983" spans="3:3" ht="15.5" x14ac:dyDescent="0.35">
      <c r="C983" s="39"/>
    </row>
    <row r="984" spans="3:3" ht="15.5" x14ac:dyDescent="0.35">
      <c r="C984" s="39"/>
    </row>
    <row r="985" spans="3:3" ht="15.5" x14ac:dyDescent="0.35">
      <c r="C985" s="39"/>
    </row>
    <row r="986" spans="3:3" ht="15.5" x14ac:dyDescent="0.35">
      <c r="C986" s="39"/>
    </row>
    <row r="987" spans="3:3" ht="15.5" x14ac:dyDescent="0.35">
      <c r="C987" s="39"/>
    </row>
    <row r="988" spans="3:3" ht="15.5" x14ac:dyDescent="0.35">
      <c r="C988" s="39"/>
    </row>
    <row r="989" spans="3:3" ht="15.5" x14ac:dyDescent="0.35">
      <c r="C989" s="39"/>
    </row>
    <row r="990" spans="3:3" ht="15.5" x14ac:dyDescent="0.35">
      <c r="C990" s="39"/>
    </row>
    <row r="991" spans="3:3" ht="15.5" x14ac:dyDescent="0.35">
      <c r="C991" s="39"/>
    </row>
    <row r="992" spans="3:3" ht="15.5" x14ac:dyDescent="0.35">
      <c r="C992" s="39"/>
    </row>
    <row r="993" spans="3:3" ht="15.5" x14ac:dyDescent="0.35">
      <c r="C993" s="39"/>
    </row>
    <row r="994" spans="3:3" ht="15.5" x14ac:dyDescent="0.35">
      <c r="C994" s="39"/>
    </row>
    <row r="995" spans="3:3" ht="15.5" x14ac:dyDescent="0.35">
      <c r="C995" s="39"/>
    </row>
    <row r="996" spans="3:3" ht="15.5" x14ac:dyDescent="0.35">
      <c r="C996" s="39"/>
    </row>
    <row r="997" spans="3:3" ht="15.5" x14ac:dyDescent="0.35">
      <c r="C997" s="39"/>
    </row>
    <row r="998" spans="3:3" ht="15.5" x14ac:dyDescent="0.35">
      <c r="C998" s="39"/>
    </row>
    <row r="999" spans="3:3" ht="15.5" x14ac:dyDescent="0.35">
      <c r="C999" s="39"/>
    </row>
    <row r="1000" spans="3:3" ht="15.5" x14ac:dyDescent="0.35">
      <c r="C1000" s="39"/>
    </row>
    <row r="1001" spans="3:3" ht="15.5" x14ac:dyDescent="0.35">
      <c r="C1001" s="39"/>
    </row>
    <row r="1002" spans="3:3" ht="15.5" x14ac:dyDescent="0.35">
      <c r="C1002" s="39"/>
    </row>
    <row r="1003" spans="3:3" ht="15.5" x14ac:dyDescent="0.35">
      <c r="C1003" s="39"/>
    </row>
    <row r="1004" spans="3:3" ht="15.5" x14ac:dyDescent="0.35">
      <c r="C1004" s="39"/>
    </row>
    <row r="1005" spans="3:3" ht="15.5" x14ac:dyDescent="0.35">
      <c r="C1005" s="39"/>
    </row>
    <row r="1006" spans="3:3" ht="15.5" x14ac:dyDescent="0.35">
      <c r="C1006" s="39"/>
    </row>
    <row r="1007" spans="3:3" ht="15.5" x14ac:dyDescent="0.35">
      <c r="C1007" s="39"/>
    </row>
    <row r="1008" spans="3:3" ht="15.5" x14ac:dyDescent="0.35">
      <c r="C1008" s="39"/>
    </row>
    <row r="1009" spans="3:3" ht="15.5" x14ac:dyDescent="0.35">
      <c r="C1009" s="39"/>
    </row>
    <row r="1010" spans="3:3" ht="15.5" x14ac:dyDescent="0.35">
      <c r="C1010" s="39"/>
    </row>
    <row r="1011" spans="3:3" ht="15.5" x14ac:dyDescent="0.35">
      <c r="C1011" s="39"/>
    </row>
    <row r="1012" spans="3:3" ht="15.5" x14ac:dyDescent="0.35">
      <c r="C1012" s="39"/>
    </row>
    <row r="1013" spans="3:3" ht="15.5" x14ac:dyDescent="0.35">
      <c r="C1013" s="39"/>
    </row>
    <row r="1014" spans="3:3" ht="15.5" x14ac:dyDescent="0.35">
      <c r="C1014" s="39"/>
    </row>
    <row r="1015" spans="3:3" ht="15.5" x14ac:dyDescent="0.35">
      <c r="C1015" s="39"/>
    </row>
    <row r="1016" spans="3:3" ht="15.5" x14ac:dyDescent="0.35">
      <c r="C1016" s="39"/>
    </row>
    <row r="1017" spans="3:3" ht="15.5" x14ac:dyDescent="0.35">
      <c r="C1017" s="39"/>
    </row>
    <row r="1018" spans="3:3" ht="15.5" x14ac:dyDescent="0.35">
      <c r="C1018" s="39"/>
    </row>
    <row r="1019" spans="3:3" ht="15.5" x14ac:dyDescent="0.35">
      <c r="C1019" s="39"/>
    </row>
    <row r="1020" spans="3:3" ht="15.5" x14ac:dyDescent="0.35">
      <c r="C1020" s="39"/>
    </row>
    <row r="1021" spans="3:3" ht="15.5" x14ac:dyDescent="0.35">
      <c r="C1021" s="39"/>
    </row>
    <row r="1022" spans="3:3" ht="15.5" x14ac:dyDescent="0.35">
      <c r="C1022" s="39"/>
    </row>
    <row r="1023" spans="3:3" ht="15.5" x14ac:dyDescent="0.35">
      <c r="C1023" s="39"/>
    </row>
    <row r="1024" spans="3:3" ht="15.5" x14ac:dyDescent="0.35">
      <c r="C1024" s="39"/>
    </row>
    <row r="1025" spans="3:3" ht="15.5" x14ac:dyDescent="0.35">
      <c r="C1025" s="39"/>
    </row>
    <row r="1026" spans="3:3" ht="15.5" x14ac:dyDescent="0.35">
      <c r="C1026" s="39"/>
    </row>
    <row r="1027" spans="3:3" ht="15.5" x14ac:dyDescent="0.35">
      <c r="C1027" s="39"/>
    </row>
    <row r="1028" spans="3:3" ht="15.5" x14ac:dyDescent="0.35">
      <c r="C1028" s="39"/>
    </row>
    <row r="1029" spans="3:3" ht="15.5" x14ac:dyDescent="0.35">
      <c r="C1029" s="39"/>
    </row>
    <row r="1030" spans="3:3" ht="15.5" x14ac:dyDescent="0.35">
      <c r="C1030" s="39"/>
    </row>
    <row r="1031" spans="3:3" ht="15.5" x14ac:dyDescent="0.35">
      <c r="C1031" s="39"/>
    </row>
  </sheetData>
  <mergeCells count="21">
    <mergeCell ref="J136:L136"/>
    <mergeCell ref="J78:L78"/>
    <mergeCell ref="M80:N80"/>
    <mergeCell ref="M81:N81"/>
    <mergeCell ref="M82:N82"/>
    <mergeCell ref="I113:P113"/>
    <mergeCell ref="J135:L135"/>
    <mergeCell ref="I40:P40"/>
    <mergeCell ref="I48:K48"/>
    <mergeCell ref="I49:K49"/>
    <mergeCell ref="I75:P75"/>
    <mergeCell ref="B21:B24"/>
    <mergeCell ref="B26:B29"/>
    <mergeCell ref="D29:E29"/>
    <mergeCell ref="C31:E31"/>
    <mergeCell ref="B33:B36"/>
    <mergeCell ref="A1:Z1"/>
    <mergeCell ref="B4:D5"/>
    <mergeCell ref="B7:B19"/>
    <mergeCell ref="D13:E13"/>
    <mergeCell ref="D17:E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255"/>
  <sheetViews>
    <sheetView workbookViewId="0">
      <selection activeCell="AV17" sqref="AV17"/>
    </sheetView>
  </sheetViews>
  <sheetFormatPr defaultColWidth="11.53515625" defaultRowHeight="15.5" x14ac:dyDescent="0.35"/>
  <cols>
    <col min="1" max="4" width="10.69140625" style="375"/>
    <col min="5" max="8" width="10.69140625" style="376"/>
    <col min="9" max="9" width="9.4609375" style="376" customWidth="1"/>
    <col min="10" max="12" width="10.69140625" style="376"/>
    <col min="13" max="13" width="10.69140625" style="377"/>
    <col min="14" max="14" width="10.69140625" style="376"/>
    <col min="15" max="15" width="10.69140625" style="376" customWidth="1"/>
    <col min="16" max="51" width="10.69140625" style="369"/>
  </cols>
  <sheetData>
    <row r="1" spans="1:55" s="324" customFormat="1" x14ac:dyDescent="0.35">
      <c r="A1" s="375"/>
      <c r="B1" s="375"/>
      <c r="C1" s="375"/>
      <c r="D1" s="375"/>
      <c r="E1" s="376"/>
      <c r="F1" s="376"/>
      <c r="G1" s="376"/>
      <c r="H1" s="376"/>
      <c r="I1" s="376"/>
      <c r="J1" s="376"/>
      <c r="K1" s="376"/>
      <c r="L1" s="376"/>
      <c r="M1" s="377"/>
      <c r="N1" s="376"/>
      <c r="O1" s="376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69"/>
      <c r="AK1" s="369"/>
      <c r="AL1" s="369"/>
      <c r="AM1" s="369"/>
      <c r="AN1" s="369"/>
      <c r="AO1" s="369"/>
      <c r="AP1" s="369"/>
      <c r="AQ1" s="369"/>
      <c r="AR1" s="369"/>
      <c r="AS1" s="369"/>
      <c r="AT1" s="369"/>
      <c r="AU1" s="369"/>
      <c r="AV1" s="369"/>
      <c r="AW1" s="369"/>
      <c r="AX1" s="369"/>
      <c r="AY1" s="369"/>
    </row>
    <row r="2" spans="1:55" s="324" customFormat="1" ht="25" x14ac:dyDescent="0.5">
      <c r="A2" s="502" t="s">
        <v>4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378"/>
      <c r="M2" s="502" t="s">
        <v>484</v>
      </c>
      <c r="N2" s="503"/>
      <c r="O2" s="503"/>
      <c r="P2" s="503"/>
      <c r="Q2" s="503"/>
      <c r="R2" s="503"/>
      <c r="S2" s="503"/>
      <c r="T2" s="503"/>
      <c r="U2" s="503"/>
      <c r="V2" s="503"/>
      <c r="W2" s="503"/>
      <c r="X2" s="369"/>
      <c r="Y2" s="369"/>
      <c r="Z2" s="502" t="s">
        <v>505</v>
      </c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8"/>
      <c r="AL2" s="508"/>
      <c r="AM2" s="508"/>
      <c r="AN2" s="369"/>
      <c r="AO2" s="500" t="s">
        <v>555</v>
      </c>
      <c r="AP2" s="500"/>
      <c r="AQ2" s="500"/>
      <c r="AR2" s="500"/>
      <c r="AS2" s="500"/>
      <c r="AT2" s="500"/>
      <c r="AU2" s="500"/>
      <c r="AV2" s="500"/>
      <c r="AW2" s="500"/>
      <c r="AX2" s="500"/>
      <c r="AY2" s="501"/>
      <c r="AZ2" s="346"/>
      <c r="BA2" s="346"/>
      <c r="BB2" s="346"/>
      <c r="BC2" s="305"/>
    </row>
    <row r="3" spans="1:55" s="324" customFormat="1" x14ac:dyDescent="0.35">
      <c r="A3" s="375"/>
      <c r="B3" s="375"/>
      <c r="C3" s="375"/>
      <c r="D3" s="375"/>
      <c r="E3" s="376"/>
      <c r="F3" s="376"/>
      <c r="G3" s="376"/>
      <c r="H3" s="376"/>
      <c r="I3" s="376"/>
      <c r="J3" s="376"/>
      <c r="K3" s="376"/>
      <c r="L3" s="376"/>
      <c r="M3" s="377"/>
      <c r="N3" s="376"/>
      <c r="O3" s="376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369"/>
      <c r="AK3" s="369"/>
      <c r="AL3" s="369"/>
      <c r="AM3" s="369"/>
      <c r="AN3" s="369"/>
      <c r="AO3" s="369"/>
      <c r="AP3" s="369"/>
      <c r="AQ3" s="369"/>
      <c r="AR3" s="369"/>
      <c r="AS3" s="369"/>
      <c r="AT3" s="369"/>
      <c r="AU3" s="369"/>
      <c r="AV3" s="369"/>
      <c r="AW3" s="369"/>
      <c r="AX3" s="369"/>
      <c r="AY3" s="369"/>
    </row>
    <row r="4" spans="1:55" x14ac:dyDescent="0.35">
      <c r="A4" s="368" t="s">
        <v>20</v>
      </c>
      <c r="B4" s="368" t="s">
        <v>19</v>
      </c>
      <c r="C4" s="368" t="s">
        <v>21</v>
      </c>
      <c r="D4" s="368" t="s">
        <v>22</v>
      </c>
      <c r="M4" s="379"/>
      <c r="N4" s="368" t="s">
        <v>20</v>
      </c>
      <c r="O4" s="504" t="s">
        <v>19</v>
      </c>
      <c r="P4" s="505"/>
      <c r="Q4" s="368" t="s">
        <v>21</v>
      </c>
      <c r="R4" s="368" t="s">
        <v>22</v>
      </c>
      <c r="S4" s="375"/>
      <c r="T4" s="375"/>
      <c r="U4" s="375"/>
      <c r="V4" s="375"/>
      <c r="W4" s="375"/>
      <c r="X4" s="375"/>
      <c r="Y4" s="375"/>
      <c r="Z4" s="368" t="s">
        <v>20</v>
      </c>
      <c r="AA4" s="368" t="s">
        <v>19</v>
      </c>
      <c r="AB4" s="368" t="s">
        <v>21</v>
      </c>
      <c r="AC4" s="368" t="s">
        <v>22</v>
      </c>
      <c r="AD4" s="375"/>
      <c r="AE4" s="375"/>
      <c r="AF4" s="375"/>
      <c r="AG4" s="375"/>
      <c r="AH4" s="375"/>
      <c r="AI4" s="375"/>
      <c r="AJ4" s="375"/>
      <c r="AK4" s="375"/>
      <c r="AL4" s="375"/>
      <c r="AM4" s="375"/>
      <c r="AN4" s="375"/>
      <c r="AO4" s="409" t="s">
        <v>531</v>
      </c>
      <c r="AP4" s="408"/>
      <c r="AQ4" s="408"/>
      <c r="AR4" s="408"/>
      <c r="AS4" s="408"/>
      <c r="AT4" s="408"/>
      <c r="AU4" s="408"/>
      <c r="AV4" s="408"/>
      <c r="AW4" s="408"/>
      <c r="AX4" s="408"/>
      <c r="AY4" s="410"/>
    </row>
    <row r="5" spans="1:55" x14ac:dyDescent="0.35">
      <c r="A5" s="371" t="s">
        <v>460</v>
      </c>
      <c r="B5" s="371" t="s">
        <v>460</v>
      </c>
      <c r="C5" s="371" t="s">
        <v>461</v>
      </c>
      <c r="D5" s="371" t="s">
        <v>461</v>
      </c>
      <c r="E5" s="369"/>
      <c r="F5" s="370" t="s">
        <v>462</v>
      </c>
      <c r="M5" s="379"/>
      <c r="N5" s="371" t="s">
        <v>460</v>
      </c>
      <c r="O5" s="506" t="s">
        <v>460</v>
      </c>
      <c r="P5" s="507"/>
      <c r="Q5" s="371" t="s">
        <v>461</v>
      </c>
      <c r="R5" s="371" t="s">
        <v>461</v>
      </c>
      <c r="S5" s="375"/>
      <c r="T5" s="372" t="s">
        <v>485</v>
      </c>
      <c r="U5" s="375"/>
      <c r="V5" s="375"/>
      <c r="W5" s="375"/>
      <c r="X5" s="375"/>
      <c r="Y5" s="375"/>
      <c r="Z5" s="371" t="s">
        <v>460</v>
      </c>
      <c r="AA5" s="371" t="s">
        <v>460</v>
      </c>
      <c r="AB5" s="371" t="s">
        <v>461</v>
      </c>
      <c r="AC5" s="371" t="s">
        <v>461</v>
      </c>
      <c r="AD5" s="375"/>
      <c r="AE5" s="375"/>
      <c r="AF5" s="372" t="s">
        <v>506</v>
      </c>
      <c r="AG5" s="375"/>
      <c r="AH5" s="375"/>
      <c r="AI5" s="375"/>
      <c r="AJ5" s="375"/>
      <c r="AK5" s="375"/>
      <c r="AL5" s="375"/>
      <c r="AM5" s="375"/>
      <c r="AN5" s="375"/>
      <c r="AO5" s="411"/>
      <c r="AP5" s="405"/>
      <c r="AQ5" s="405"/>
      <c r="AR5" s="405"/>
      <c r="AS5" s="406"/>
      <c r="AT5" s="405"/>
      <c r="AU5" s="405"/>
      <c r="AV5" s="405"/>
      <c r="AW5" s="405"/>
      <c r="AX5" s="405"/>
      <c r="AY5" s="412"/>
    </row>
    <row r="6" spans="1:55" x14ac:dyDescent="0.35">
      <c r="A6" s="380">
        <v>140</v>
      </c>
      <c r="B6" s="380">
        <v>685.70056445112743</v>
      </c>
      <c r="C6" s="380">
        <v>1229.9942298893377</v>
      </c>
      <c r="D6" s="380">
        <v>70.504652974766742</v>
      </c>
      <c r="F6" s="376" t="s">
        <v>463</v>
      </c>
      <c r="M6" s="379" t="s">
        <v>486</v>
      </c>
      <c r="N6" s="375">
        <v>31</v>
      </c>
      <c r="O6" s="381" t="s">
        <v>487</v>
      </c>
      <c r="P6" s="381">
        <v>1100</v>
      </c>
      <c r="Q6" s="375">
        <v>5200</v>
      </c>
      <c r="R6" s="375">
        <v>56</v>
      </c>
      <c r="S6" s="375"/>
      <c r="T6" s="375"/>
      <c r="U6" s="375"/>
      <c r="V6" s="375"/>
      <c r="W6" s="375"/>
      <c r="X6" s="375"/>
      <c r="Y6" s="375"/>
      <c r="Z6" s="382">
        <v>499</v>
      </c>
      <c r="AA6" s="382">
        <v>810</v>
      </c>
      <c r="AB6" s="382">
        <v>70000</v>
      </c>
      <c r="AC6" s="382">
        <v>76100</v>
      </c>
      <c r="AD6" s="382"/>
      <c r="AE6" s="375"/>
      <c r="AF6" s="375" t="s">
        <v>463</v>
      </c>
      <c r="AG6" s="375"/>
      <c r="AH6" s="375"/>
      <c r="AN6" s="375"/>
      <c r="AO6" s="411"/>
      <c r="AP6" s="398"/>
      <c r="AQ6" s="398" t="s">
        <v>212</v>
      </c>
      <c r="AR6" s="398" t="s">
        <v>514</v>
      </c>
      <c r="AS6" s="406" t="s">
        <v>515</v>
      </c>
      <c r="AT6" s="398"/>
      <c r="AU6" s="398"/>
      <c r="AV6" s="398" t="s">
        <v>516</v>
      </c>
      <c r="AW6" s="398" t="s">
        <v>514</v>
      </c>
      <c r="AX6" s="405" t="s">
        <v>515</v>
      </c>
      <c r="AY6" s="412"/>
    </row>
    <row r="7" spans="1:55" x14ac:dyDescent="0.35">
      <c r="A7" s="380">
        <v>42</v>
      </c>
      <c r="B7" s="380">
        <v>306.55942566128738</v>
      </c>
      <c r="C7" s="380">
        <v>851.56708361431981</v>
      </c>
      <c r="D7" s="380">
        <v>10.73627226040511</v>
      </c>
      <c r="F7" s="376" t="s">
        <v>464</v>
      </c>
      <c r="M7" s="379"/>
      <c r="N7" s="375">
        <v>28</v>
      </c>
      <c r="O7" s="381"/>
      <c r="P7" s="381">
        <v>460</v>
      </c>
      <c r="Q7" s="375">
        <v>1300</v>
      </c>
      <c r="R7" s="375">
        <v>580</v>
      </c>
      <c r="S7" s="375"/>
      <c r="T7" s="375" t="s">
        <v>463</v>
      </c>
      <c r="U7" s="375"/>
      <c r="V7" s="375"/>
      <c r="Z7" s="382">
        <v>522</v>
      </c>
      <c r="AA7" s="382">
        <v>1992</v>
      </c>
      <c r="AB7" s="382">
        <v>41000</v>
      </c>
      <c r="AC7" s="382">
        <v>8720</v>
      </c>
      <c r="AD7" s="382"/>
      <c r="AE7" s="375"/>
      <c r="AF7" s="375" t="s">
        <v>507</v>
      </c>
      <c r="AG7" s="375"/>
      <c r="AH7" s="375"/>
      <c r="AN7" s="375"/>
      <c r="AO7" s="411"/>
      <c r="AP7" s="398" t="s">
        <v>517</v>
      </c>
      <c r="AQ7" s="398">
        <v>0.06</v>
      </c>
      <c r="AR7" s="398">
        <v>0.01</v>
      </c>
      <c r="AS7" s="406" t="s">
        <v>518</v>
      </c>
      <c r="AT7" s="398"/>
      <c r="AU7" s="398"/>
      <c r="AV7" s="398">
        <v>0.06</v>
      </c>
      <c r="AW7" s="398">
        <v>0.01</v>
      </c>
      <c r="AX7" s="405" t="s">
        <v>518</v>
      </c>
      <c r="AY7" s="412"/>
    </row>
    <row r="8" spans="1:55" x14ac:dyDescent="0.35">
      <c r="A8" s="380">
        <v>259</v>
      </c>
      <c r="B8" s="380">
        <v>841.48618710848666</v>
      </c>
      <c r="C8" s="380">
        <v>1447.8188646812159</v>
      </c>
      <c r="D8" s="380">
        <v>125.44355451409626</v>
      </c>
      <c r="F8" s="376" t="s">
        <v>465</v>
      </c>
      <c r="M8" s="379"/>
      <c r="N8" s="375">
        <v>9</v>
      </c>
      <c r="O8" s="381"/>
      <c r="P8" s="381">
        <v>1200</v>
      </c>
      <c r="Q8" s="375">
        <v>6800</v>
      </c>
      <c r="R8" s="375">
        <v>85</v>
      </c>
      <c r="S8" s="375"/>
      <c r="T8" s="375" t="s">
        <v>488</v>
      </c>
      <c r="U8" s="375"/>
      <c r="V8" s="375"/>
      <c r="Z8" s="382">
        <v>393</v>
      </c>
      <c r="AA8" s="382">
        <v>188</v>
      </c>
      <c r="AB8" s="382">
        <v>2000</v>
      </c>
      <c r="AC8" s="382">
        <v>2210</v>
      </c>
      <c r="AD8" s="382"/>
      <c r="AE8" s="375"/>
      <c r="AF8" s="375" t="s">
        <v>508</v>
      </c>
      <c r="AG8" s="375"/>
      <c r="AH8" s="375"/>
      <c r="AN8" s="375"/>
      <c r="AO8" s="411"/>
      <c r="AP8" s="398" t="s">
        <v>519</v>
      </c>
      <c r="AQ8" s="398">
        <v>100</v>
      </c>
      <c r="AR8" s="398">
        <v>10</v>
      </c>
      <c r="AS8" s="406" t="s">
        <v>520</v>
      </c>
      <c r="AT8" s="398"/>
      <c r="AU8" s="398"/>
      <c r="AV8" s="398">
        <v>480</v>
      </c>
      <c r="AW8" s="398">
        <v>48</v>
      </c>
      <c r="AX8" s="405" t="s">
        <v>520</v>
      </c>
      <c r="AY8" s="412"/>
    </row>
    <row r="9" spans="1:55" x14ac:dyDescent="0.35">
      <c r="A9" s="380">
        <v>262</v>
      </c>
      <c r="B9" s="380">
        <v>816.97969590784498</v>
      </c>
      <c r="C9" s="380">
        <v>1014.2586736508688</v>
      </c>
      <c r="D9" s="380">
        <v>159.45079443518171</v>
      </c>
      <c r="F9" s="376" t="s">
        <v>467</v>
      </c>
      <c r="M9" s="379"/>
      <c r="N9" s="375">
        <v>77</v>
      </c>
      <c r="O9" s="381"/>
      <c r="P9" s="381">
        <v>800</v>
      </c>
      <c r="Q9" s="375">
        <v>4500</v>
      </c>
      <c r="R9" s="375">
        <v>43</v>
      </c>
      <c r="S9" s="375"/>
      <c r="T9" s="375" t="s">
        <v>489</v>
      </c>
      <c r="U9" s="375"/>
      <c r="V9" s="375"/>
      <c r="Z9" s="382">
        <v>645</v>
      </c>
      <c r="AA9" s="382">
        <v>1325</v>
      </c>
      <c r="AB9" s="382">
        <v>6400</v>
      </c>
      <c r="AC9" s="382">
        <v>1820</v>
      </c>
      <c r="AD9" s="382"/>
      <c r="AE9" s="375"/>
      <c r="AF9" s="375" t="s">
        <v>509</v>
      </c>
      <c r="AG9" s="375"/>
      <c r="AH9" s="375"/>
      <c r="AN9" s="375"/>
      <c r="AO9" s="411"/>
      <c r="AP9" s="398"/>
      <c r="AQ9" s="398"/>
      <c r="AR9" s="398"/>
      <c r="AS9" s="406"/>
      <c r="AT9" s="398"/>
      <c r="AU9" s="398"/>
      <c r="AV9" s="398"/>
      <c r="AW9" s="398"/>
      <c r="AX9" s="405"/>
      <c r="AY9" s="412"/>
    </row>
    <row r="10" spans="1:55" x14ac:dyDescent="0.35">
      <c r="A10" s="380">
        <v>35</v>
      </c>
      <c r="B10" s="380">
        <v>425.80007187857512</v>
      </c>
      <c r="C10" s="380">
        <v>1042.4986199280613</v>
      </c>
      <c r="D10" s="380">
        <v>3.8640799636792731</v>
      </c>
      <c r="F10" s="376" t="s">
        <v>469</v>
      </c>
      <c r="M10" s="379"/>
      <c r="N10" s="375">
        <v>425</v>
      </c>
      <c r="O10" s="381"/>
      <c r="P10" s="381">
        <v>1200</v>
      </c>
      <c r="Q10" s="375">
        <v>6000</v>
      </c>
      <c r="R10" s="375">
        <v>74</v>
      </c>
      <c r="S10" s="375"/>
      <c r="T10" s="375"/>
      <c r="U10" s="375"/>
      <c r="V10" s="375"/>
      <c r="Z10" s="382">
        <v>1259</v>
      </c>
      <c r="AA10" s="382">
        <v>1419</v>
      </c>
      <c r="AB10" s="382">
        <v>3500</v>
      </c>
      <c r="AC10" s="382">
        <v>1940</v>
      </c>
      <c r="AD10" s="382"/>
      <c r="AE10" s="375"/>
      <c r="AF10" s="375" t="s">
        <v>510</v>
      </c>
      <c r="AG10" s="375"/>
      <c r="AH10" s="375"/>
      <c r="AN10" s="375"/>
      <c r="AO10" s="411"/>
      <c r="AP10" s="413" t="s">
        <v>521</v>
      </c>
      <c r="AQ10" s="413">
        <f>AQ8*AQ7</f>
        <v>6</v>
      </c>
      <c r="AR10" s="413">
        <f>AQ10*SQRT((AR7/AQ7)^2+(AR8/AQ8)^2)</f>
        <v>1.1661903789690602</v>
      </c>
      <c r="AS10" s="407"/>
      <c r="AT10" s="404"/>
      <c r="AU10" s="404"/>
      <c r="AV10" s="413">
        <f>AV8*AV7</f>
        <v>28.799999999999997</v>
      </c>
      <c r="AW10" s="413">
        <f>AV10*SQRT((AW7/AV7)^2+(AW8/AV8)^2)</f>
        <v>5.5977138190514886</v>
      </c>
      <c r="AX10" s="405"/>
      <c r="AY10" s="412"/>
    </row>
    <row r="11" spans="1:55" x14ac:dyDescent="0.35">
      <c r="A11" s="380">
        <v>25</v>
      </c>
      <c r="B11" s="380">
        <v>40.168489156321613</v>
      </c>
      <c r="C11" s="380">
        <v>93.587123583452694</v>
      </c>
      <c r="D11" s="380">
        <v>2.9989796085278622</v>
      </c>
      <c r="F11" s="376" t="s">
        <v>470</v>
      </c>
      <c r="M11" s="379"/>
      <c r="N11" s="375">
        <v>37</v>
      </c>
      <c r="O11" s="383" t="s">
        <v>490</v>
      </c>
      <c r="P11" s="383">
        <v>1400</v>
      </c>
      <c r="Q11" s="375">
        <v>5100</v>
      </c>
      <c r="R11" s="375">
        <v>180</v>
      </c>
      <c r="S11" s="375"/>
      <c r="T11" s="375"/>
      <c r="U11" s="375"/>
      <c r="V11" s="375"/>
      <c r="Z11" s="384">
        <v>784</v>
      </c>
      <c r="AA11" s="384">
        <v>44.8</v>
      </c>
      <c r="AB11" s="384">
        <v>300</v>
      </c>
      <c r="AC11" s="384">
        <v>1840</v>
      </c>
      <c r="AD11" s="384"/>
      <c r="AE11" s="375"/>
      <c r="AF11" s="375"/>
      <c r="AG11" s="375"/>
      <c r="AH11" s="375"/>
      <c r="AN11" s="375"/>
      <c r="AO11" s="411"/>
      <c r="AP11" s="404"/>
      <c r="AQ11" s="404"/>
      <c r="AR11" s="404"/>
      <c r="AS11" s="407"/>
      <c r="AT11" s="404"/>
      <c r="AU11" s="404"/>
      <c r="AV11" s="404"/>
      <c r="AW11" s="404"/>
      <c r="AX11" s="405"/>
      <c r="AY11" s="412"/>
    </row>
    <row r="12" spans="1:55" x14ac:dyDescent="0.35">
      <c r="A12" s="380">
        <v>136</v>
      </c>
      <c r="B12" s="380">
        <v>218.74200808512515</v>
      </c>
      <c r="C12" s="380">
        <v>503.10306370146122</v>
      </c>
      <c r="D12" s="380">
        <v>32.128852375478139</v>
      </c>
      <c r="F12" s="376" t="s">
        <v>471</v>
      </c>
      <c r="M12" s="379"/>
      <c r="N12" s="375">
        <v>27</v>
      </c>
      <c r="O12" s="383"/>
      <c r="P12" s="383">
        <v>590</v>
      </c>
      <c r="Q12" s="375">
        <v>1600</v>
      </c>
      <c r="R12" s="375">
        <v>17</v>
      </c>
      <c r="S12" s="375"/>
      <c r="T12" s="375"/>
      <c r="U12" s="375"/>
      <c r="V12" s="375"/>
      <c r="Z12" s="382"/>
      <c r="AA12" s="382"/>
      <c r="AB12" s="382">
        <v>119855.99999999999</v>
      </c>
      <c r="AC12" s="382">
        <v>65482.696200000013</v>
      </c>
      <c r="AD12" s="382"/>
      <c r="AE12" s="375"/>
      <c r="AF12" s="375"/>
      <c r="AG12" s="375"/>
      <c r="AH12" s="375"/>
      <c r="AN12" s="375"/>
      <c r="AO12" s="411"/>
      <c r="AP12" s="404"/>
      <c r="AQ12" s="404"/>
      <c r="AR12" s="404"/>
      <c r="AS12" s="407"/>
      <c r="AT12" s="404"/>
      <c r="AU12" s="404"/>
      <c r="AV12" s="404"/>
      <c r="AW12" s="404"/>
      <c r="AX12" s="405"/>
      <c r="AY12" s="412"/>
    </row>
    <row r="13" spans="1:55" x14ac:dyDescent="0.35">
      <c r="A13" s="380">
        <v>114</v>
      </c>
      <c r="B13" s="380">
        <v>30.741844225394019</v>
      </c>
      <c r="C13" s="380">
        <v>78.089110633098429</v>
      </c>
      <c r="D13" s="380">
        <v>3.8317957025856586</v>
      </c>
      <c r="M13" s="379"/>
      <c r="N13" s="375">
        <v>80</v>
      </c>
      <c r="O13" s="383"/>
      <c r="P13" s="383">
        <v>1200</v>
      </c>
      <c r="Q13" s="375">
        <v>3800</v>
      </c>
      <c r="R13" s="375">
        <v>53</v>
      </c>
      <c r="S13" s="375"/>
      <c r="T13" s="375"/>
      <c r="U13" s="375"/>
      <c r="V13" s="375"/>
      <c r="Z13" s="382"/>
      <c r="AA13" s="382"/>
      <c r="AB13" s="382">
        <v>100039.808</v>
      </c>
      <c r="AC13" s="382">
        <v>47462.264299999995</v>
      </c>
      <c r="AD13" s="382"/>
      <c r="AE13" s="375"/>
      <c r="AF13" s="375"/>
      <c r="AG13" s="375"/>
      <c r="AH13" s="375"/>
      <c r="AN13" s="375"/>
      <c r="AO13" s="411"/>
      <c r="AP13" s="404" t="s">
        <v>522</v>
      </c>
      <c r="AQ13" s="404">
        <v>108</v>
      </c>
      <c r="AR13" s="404">
        <v>2</v>
      </c>
      <c r="AS13" s="407" t="s">
        <v>518</v>
      </c>
      <c r="AT13" s="404"/>
      <c r="AU13" s="404"/>
      <c r="AV13" s="404">
        <v>108</v>
      </c>
      <c r="AW13" s="404">
        <v>2</v>
      </c>
      <c r="AX13" s="405" t="s">
        <v>518</v>
      </c>
      <c r="AY13" s="412"/>
    </row>
    <row r="14" spans="1:55" x14ac:dyDescent="0.35">
      <c r="A14" s="380" t="s">
        <v>474</v>
      </c>
      <c r="B14" s="380">
        <v>53.986554338770837</v>
      </c>
      <c r="C14" s="380">
        <v>180.33645350547579</v>
      </c>
      <c r="D14" s="380">
        <v>5.7894853682332235</v>
      </c>
      <c r="M14" s="379"/>
      <c r="N14" s="375">
        <v>66</v>
      </c>
      <c r="O14" s="383"/>
      <c r="P14" s="383">
        <v>1700</v>
      </c>
      <c r="Q14" s="375">
        <v>5500</v>
      </c>
      <c r="R14" s="375">
        <v>500</v>
      </c>
      <c r="S14" s="375"/>
      <c r="T14" s="375"/>
      <c r="U14" s="375"/>
      <c r="V14" s="375"/>
      <c r="Z14" s="382"/>
      <c r="AA14" s="382"/>
      <c r="AB14" s="382">
        <v>82620.736000000004</v>
      </c>
      <c r="AC14" s="382">
        <v>28934.214599999999</v>
      </c>
      <c r="AD14" s="382"/>
      <c r="AE14" s="375"/>
      <c r="AF14" s="375"/>
      <c r="AG14" s="375"/>
      <c r="AH14" s="375"/>
      <c r="AI14" s="375"/>
      <c r="AJ14" s="375"/>
      <c r="AK14" s="375"/>
      <c r="AL14" s="375"/>
      <c r="AM14" s="375"/>
      <c r="AN14" s="375"/>
      <c r="AO14" s="411"/>
      <c r="AP14" s="404" t="s">
        <v>523</v>
      </c>
      <c r="AQ14" s="404">
        <v>0.11</v>
      </c>
      <c r="AR14" s="404">
        <v>0.02</v>
      </c>
      <c r="AS14" s="407" t="s">
        <v>524</v>
      </c>
      <c r="AT14" s="404"/>
      <c r="AU14" s="404"/>
      <c r="AV14" s="404">
        <f>AVERAGE(0.2,0.22,0.18)</f>
        <v>0.20000000000000004</v>
      </c>
      <c r="AW14" s="404">
        <f>STDEVA(0.2,0.22,0.18)</f>
        <v>2.0000000000000004E-2</v>
      </c>
      <c r="AX14" s="405" t="s">
        <v>525</v>
      </c>
      <c r="AY14" s="412"/>
    </row>
    <row r="15" spans="1:55" x14ac:dyDescent="0.35">
      <c r="A15" s="380">
        <v>54</v>
      </c>
      <c r="B15" s="380">
        <v>64.434878336020688</v>
      </c>
      <c r="C15" s="380">
        <v>160.36423792502455</v>
      </c>
      <c r="D15" s="380">
        <v>2.035307133218792</v>
      </c>
      <c r="M15" s="379"/>
      <c r="N15" s="375">
        <v>34</v>
      </c>
      <c r="O15" s="385" t="s">
        <v>491</v>
      </c>
      <c r="P15" s="385">
        <v>420</v>
      </c>
      <c r="Q15" s="375">
        <v>2700</v>
      </c>
      <c r="R15" s="375">
        <v>6200</v>
      </c>
      <c r="S15" s="375"/>
      <c r="T15" s="375"/>
      <c r="U15" s="375"/>
      <c r="V15" s="375"/>
      <c r="Z15" s="382"/>
      <c r="AA15" s="382"/>
      <c r="AB15" s="382">
        <v>47942.399999999994</v>
      </c>
      <c r="AC15" s="382">
        <v>22081.374299999999</v>
      </c>
      <c r="AD15" s="382"/>
      <c r="AE15" s="375"/>
      <c r="AO15" s="411"/>
      <c r="AP15" s="404"/>
      <c r="AQ15" s="404"/>
      <c r="AR15" s="404"/>
      <c r="AS15" s="407"/>
      <c r="AT15" s="404"/>
      <c r="AU15" s="404"/>
      <c r="AV15" s="404"/>
      <c r="AW15" s="404"/>
      <c r="AX15" s="405"/>
      <c r="AY15" s="412"/>
    </row>
    <row r="16" spans="1:55" x14ac:dyDescent="0.35">
      <c r="A16" s="380">
        <v>80</v>
      </c>
      <c r="B16" s="380">
        <v>144.2559125410157</v>
      </c>
      <c r="C16" s="380">
        <v>473.55696539265989</v>
      </c>
      <c r="D16" s="380">
        <v>893.87034561210351</v>
      </c>
      <c r="F16" s="375"/>
      <c r="G16" s="375"/>
      <c r="H16" s="375"/>
      <c r="I16" s="375"/>
      <c r="J16" s="375"/>
      <c r="M16" s="379"/>
      <c r="N16" s="375"/>
      <c r="O16" s="385"/>
      <c r="P16" s="385">
        <v>1000</v>
      </c>
      <c r="Q16" s="375">
        <v>8200</v>
      </c>
      <c r="R16" s="375">
        <v>45000</v>
      </c>
      <c r="S16" s="375"/>
      <c r="T16" s="375"/>
      <c r="U16" s="375"/>
      <c r="V16" s="375"/>
      <c r="Z16" s="382"/>
      <c r="AA16" s="382"/>
      <c r="AB16" s="382">
        <v>38833.343999999997</v>
      </c>
      <c r="AC16" s="382">
        <v>7614.2669999999998</v>
      </c>
      <c r="AD16" s="382"/>
      <c r="AE16" s="375"/>
      <c r="AO16" s="411"/>
      <c r="AP16" s="413" t="s">
        <v>526</v>
      </c>
      <c r="AQ16" s="413">
        <f>AQ14*AQ13</f>
        <v>11.88</v>
      </c>
      <c r="AR16" s="413">
        <f>AQ16*SQRT((AR13/AQ13)^2+(AR14/AQ14)^2)</f>
        <v>2.1711747972008153</v>
      </c>
      <c r="AS16" s="407"/>
      <c r="AT16" s="404"/>
      <c r="AU16" s="404"/>
      <c r="AV16" s="413">
        <f>AV14*AV13</f>
        <v>21.600000000000005</v>
      </c>
      <c r="AW16" s="413">
        <f>AV16*SQRT((AW13/AV13)^2+(AW14/AV14)^2)</f>
        <v>2.1967248348393578</v>
      </c>
      <c r="AX16" s="405"/>
      <c r="AY16" s="412"/>
    </row>
    <row r="17" spans="1:51" x14ac:dyDescent="0.35">
      <c r="A17" s="380">
        <v>78</v>
      </c>
      <c r="B17" s="380">
        <v>154.80626641565078</v>
      </c>
      <c r="C17" s="380">
        <v>523.95422471682343</v>
      </c>
      <c r="D17" s="380">
        <v>759.51713223685351</v>
      </c>
      <c r="F17" s="375"/>
      <c r="G17" s="368" t="s">
        <v>20</v>
      </c>
      <c r="H17" s="368" t="s">
        <v>19</v>
      </c>
      <c r="I17" s="368" t="s">
        <v>21</v>
      </c>
      <c r="J17" s="368" t="s">
        <v>22</v>
      </c>
      <c r="M17" s="379" t="s">
        <v>493</v>
      </c>
      <c r="N17" s="375">
        <v>31</v>
      </c>
      <c r="O17" s="385"/>
      <c r="P17" s="385">
        <v>1200</v>
      </c>
      <c r="Q17" s="375">
        <v>8200</v>
      </c>
      <c r="R17" s="375">
        <v>35000</v>
      </c>
      <c r="S17" s="375"/>
      <c r="T17" s="375"/>
      <c r="U17" s="375"/>
      <c r="V17" s="375"/>
      <c r="Z17" s="382"/>
      <c r="AA17" s="382"/>
      <c r="AB17" s="382">
        <v>76228.415999999997</v>
      </c>
      <c r="AC17" s="382">
        <v>36294.672699999996</v>
      </c>
      <c r="AD17" s="382"/>
      <c r="AE17" s="375"/>
      <c r="AO17" s="411"/>
      <c r="AP17" s="404"/>
      <c r="AQ17" s="404"/>
      <c r="AR17" s="404"/>
      <c r="AS17" s="407"/>
      <c r="AT17" s="404"/>
      <c r="AU17" s="404"/>
      <c r="AV17" s="404"/>
      <c r="AW17" s="404"/>
      <c r="AX17" s="405"/>
      <c r="AY17" s="412"/>
    </row>
    <row r="18" spans="1:51" x14ac:dyDescent="0.35">
      <c r="A18" s="380" t="s">
        <v>479</v>
      </c>
      <c r="B18" s="380">
        <v>273.89743116837207</v>
      </c>
      <c r="C18" s="380">
        <v>643.43916395597353</v>
      </c>
      <c r="D18" s="380">
        <v>7.6524982707711855</v>
      </c>
      <c r="F18" s="375"/>
      <c r="G18" s="371" t="s">
        <v>460</v>
      </c>
      <c r="H18" s="371" t="s">
        <v>460</v>
      </c>
      <c r="I18" s="371" t="s">
        <v>461</v>
      </c>
      <c r="J18" s="371" t="s">
        <v>461</v>
      </c>
      <c r="M18" s="379"/>
      <c r="N18" s="375">
        <v>24</v>
      </c>
      <c r="O18" s="385"/>
      <c r="P18" s="385">
        <v>630</v>
      </c>
      <c r="Q18" s="375">
        <v>5100</v>
      </c>
      <c r="R18" s="375">
        <v>18000</v>
      </c>
      <c r="S18" s="375"/>
      <c r="T18" s="375"/>
      <c r="U18" s="375"/>
      <c r="V18" s="375"/>
      <c r="Z18" s="382"/>
      <c r="AA18" s="382"/>
      <c r="AB18" s="382">
        <v>21414.271999999997</v>
      </c>
      <c r="AC18" s="382">
        <v>1522.8534</v>
      </c>
      <c r="AD18" s="382"/>
      <c r="AE18" s="375"/>
      <c r="AO18" s="411"/>
      <c r="AP18" s="404"/>
      <c r="AQ18" s="404"/>
      <c r="AR18" s="404"/>
      <c r="AS18" s="407"/>
      <c r="AT18" s="404"/>
      <c r="AU18" s="404"/>
      <c r="AV18" s="404"/>
      <c r="AW18" s="404"/>
      <c r="AX18" s="405"/>
      <c r="AY18" s="412"/>
    </row>
    <row r="19" spans="1:51" x14ac:dyDescent="0.35">
      <c r="A19" s="380" t="s">
        <v>479</v>
      </c>
      <c r="B19" s="380">
        <v>306.01239840789282</v>
      </c>
      <c r="C19" s="380">
        <v>750.45536941104297</v>
      </c>
      <c r="D19" s="380">
        <v>76.962065882497797</v>
      </c>
      <c r="F19" s="375" t="s">
        <v>466</v>
      </c>
      <c r="G19" s="375">
        <f>COUNT(A$6:A$187)</f>
        <v>72</v>
      </c>
      <c r="H19" s="375">
        <f>COUNT(B$6:B$255)</f>
        <v>223</v>
      </c>
      <c r="I19" s="375">
        <f>COUNT(C$6:C$255)</f>
        <v>130</v>
      </c>
      <c r="J19" s="375">
        <f>COUNT(D$6:D$255)</f>
        <v>90</v>
      </c>
      <c r="M19" s="379"/>
      <c r="N19" s="375">
        <v>14</v>
      </c>
      <c r="O19" s="385"/>
      <c r="P19" s="385">
        <v>2300</v>
      </c>
      <c r="Q19" s="375">
        <v>24000</v>
      </c>
      <c r="R19" s="375">
        <v>9400</v>
      </c>
      <c r="S19" s="375"/>
      <c r="T19" s="375"/>
      <c r="U19" s="375"/>
      <c r="V19" s="375"/>
      <c r="Z19" s="382"/>
      <c r="AA19" s="382"/>
      <c r="AB19" s="382">
        <v>49380.671999999999</v>
      </c>
      <c r="AC19" s="382">
        <v>12182.8272</v>
      </c>
      <c r="AD19" s="382"/>
      <c r="AE19" s="375"/>
      <c r="AO19" s="411"/>
      <c r="AP19" s="404"/>
      <c r="AQ19" s="404"/>
      <c r="AR19" s="404"/>
      <c r="AS19" s="404"/>
      <c r="AT19" s="404"/>
      <c r="AU19" s="404"/>
      <c r="AV19" s="404"/>
      <c r="AW19" s="404"/>
      <c r="AX19" s="405"/>
      <c r="AY19" s="412"/>
    </row>
    <row r="20" spans="1:51" x14ac:dyDescent="0.35">
      <c r="A20" s="380">
        <v>61</v>
      </c>
      <c r="B20" s="380">
        <v>436.30501469772366</v>
      </c>
      <c r="C20" s="380">
        <v>1460.9405797990187</v>
      </c>
      <c r="D20" s="380">
        <v>197.67726771941693</v>
      </c>
      <c r="F20" s="375" t="s">
        <v>468</v>
      </c>
      <c r="G20" s="382">
        <f>MIN(A$6:A$187)</f>
        <v>20</v>
      </c>
      <c r="H20" s="382">
        <f>MIN(B$6:B$255)</f>
        <v>14</v>
      </c>
      <c r="I20" s="382">
        <f>MIN(C$6:C$255)</f>
        <v>43.552857093284366</v>
      </c>
      <c r="J20" s="382">
        <f>MIN(D$6:D$255)</f>
        <v>0.5</v>
      </c>
      <c r="M20" s="379"/>
      <c r="N20" s="375">
        <v>1</v>
      </c>
      <c r="O20" s="385"/>
      <c r="P20" s="385">
        <v>1100</v>
      </c>
      <c r="Q20" s="375">
        <v>5700</v>
      </c>
      <c r="R20" s="375">
        <v>2100</v>
      </c>
      <c r="S20" s="375"/>
      <c r="T20" s="375"/>
      <c r="U20" s="375"/>
      <c r="V20" s="375"/>
      <c r="Z20" s="382"/>
      <c r="AA20" s="382"/>
      <c r="AB20" s="382">
        <v>13583.68</v>
      </c>
      <c r="AC20" s="382">
        <v>507.61779999999999</v>
      </c>
      <c r="AD20" s="382"/>
      <c r="AE20" s="375"/>
      <c r="AG20" s="375"/>
      <c r="AH20" s="368" t="s">
        <v>20</v>
      </c>
      <c r="AI20" s="368" t="s">
        <v>19</v>
      </c>
      <c r="AJ20" s="368" t="s">
        <v>21</v>
      </c>
      <c r="AK20" s="368" t="s">
        <v>22</v>
      </c>
      <c r="AO20" s="411"/>
      <c r="AP20" s="404"/>
      <c r="AQ20" s="404"/>
      <c r="AR20" s="404"/>
      <c r="AS20" s="404"/>
      <c r="AT20" s="404"/>
      <c r="AU20" s="404"/>
      <c r="AV20" s="404"/>
      <c r="AW20" s="404"/>
      <c r="AX20" s="405"/>
      <c r="AY20" s="412"/>
    </row>
    <row r="21" spans="1:51" x14ac:dyDescent="0.35">
      <c r="A21" s="380">
        <v>116</v>
      </c>
      <c r="B21" s="380">
        <v>124.31507453677108</v>
      </c>
      <c r="C21" s="380">
        <v>425.97750462186508</v>
      </c>
      <c r="D21" s="380">
        <v>2485.8591011495769</v>
      </c>
      <c r="F21" s="375" t="s">
        <v>66</v>
      </c>
      <c r="G21" s="382">
        <f>MAX(A$6:A$187)</f>
        <v>1046</v>
      </c>
      <c r="H21" s="382">
        <f>MAX(B$6:B$255)</f>
        <v>1620</v>
      </c>
      <c r="I21" s="382">
        <f>MAX(C$6:C$255)</f>
        <v>3300</v>
      </c>
      <c r="J21" s="382">
        <f>MAX(D$6:D$255)</f>
        <v>2485.8591011495769</v>
      </c>
      <c r="M21" s="379"/>
      <c r="N21" s="375">
        <v>1.1000000000000001</v>
      </c>
      <c r="O21" s="385"/>
      <c r="P21" s="385">
        <v>1100</v>
      </c>
      <c r="Q21" s="375">
        <v>8400</v>
      </c>
      <c r="R21" s="375">
        <v>5200</v>
      </c>
      <c r="S21" s="375"/>
      <c r="T21" s="375"/>
      <c r="U21" s="375"/>
      <c r="V21" s="375"/>
      <c r="Z21" s="382"/>
      <c r="AA21" s="382"/>
      <c r="AB21" s="382">
        <v>32281.216</v>
      </c>
      <c r="AC21" s="382">
        <v>7106.6491999999998</v>
      </c>
      <c r="AD21" s="382"/>
      <c r="AE21" s="375"/>
      <c r="AG21" s="375"/>
      <c r="AH21" s="371" t="s">
        <v>460</v>
      </c>
      <c r="AI21" s="371" t="s">
        <v>460</v>
      </c>
      <c r="AJ21" s="371" t="s">
        <v>461</v>
      </c>
      <c r="AK21" s="371" t="s">
        <v>461</v>
      </c>
      <c r="AO21" s="411"/>
      <c r="AP21" s="407" t="s">
        <v>529</v>
      </c>
      <c r="AQ21" s="404"/>
      <c r="AR21" s="404"/>
      <c r="AS21" s="404"/>
      <c r="AT21" s="407" t="s">
        <v>530</v>
      </c>
      <c r="AU21" s="404"/>
      <c r="AV21" s="404"/>
      <c r="AW21" s="404"/>
      <c r="AX21" s="405"/>
      <c r="AY21" s="412"/>
    </row>
    <row r="22" spans="1:51" x14ac:dyDescent="0.35">
      <c r="A22" s="380">
        <v>80</v>
      </c>
      <c r="B22" s="380">
        <v>132.06836348730735</v>
      </c>
      <c r="C22" s="380">
        <v>448.64762915164926</v>
      </c>
      <c r="D22" s="380">
        <v>938.29929041372338</v>
      </c>
      <c r="F22" s="375" t="s">
        <v>261</v>
      </c>
      <c r="G22" s="382">
        <f>AVERAGE(A$6:A$187)</f>
        <v>143.56944444444446</v>
      </c>
      <c r="H22" s="382">
        <f>AVERAGE(B$6:B$255)</f>
        <v>279.02359409188114</v>
      </c>
      <c r="I22" s="382">
        <f>AVERAGE(C$6:C$255)</f>
        <v>882.355873319083</v>
      </c>
      <c r="J22" s="382">
        <f>AVERAGE(D$6:D$255)</f>
        <v>179.75038053215857</v>
      </c>
      <c r="M22" s="379"/>
      <c r="N22" s="375"/>
      <c r="O22" s="386"/>
      <c r="P22" s="386">
        <v>990</v>
      </c>
      <c r="Q22" s="387">
        <v>7200</v>
      </c>
      <c r="R22" s="387">
        <v>6900</v>
      </c>
      <c r="S22" s="375"/>
      <c r="T22" s="375"/>
      <c r="U22" s="375"/>
      <c r="V22" s="375"/>
      <c r="Z22" s="382"/>
      <c r="AA22" s="382"/>
      <c r="AB22" s="382">
        <v>28445.823999999997</v>
      </c>
      <c r="AC22" s="382">
        <v>7106.6491999999998</v>
      </c>
      <c r="AD22" s="382"/>
      <c r="AE22" s="375"/>
      <c r="AG22" s="375" t="s">
        <v>466</v>
      </c>
      <c r="AH22" s="375">
        <f>COUNT(Z$6:Z$123)</f>
        <v>6</v>
      </c>
      <c r="AI22" s="375">
        <f>COUNT(AA$6:AA$146)</f>
        <v>30</v>
      </c>
      <c r="AJ22" s="375">
        <f>COUNT(AB$6:AB$123)</f>
        <v>117</v>
      </c>
      <c r="AK22" s="375">
        <f>COUNT(AC$6:AC$123)</f>
        <v>117</v>
      </c>
      <c r="AO22" s="411" t="s">
        <v>212</v>
      </c>
      <c r="AP22" s="404" t="s">
        <v>19</v>
      </c>
      <c r="AQ22" s="404">
        <v>5</v>
      </c>
      <c r="AR22" s="404">
        <v>2</v>
      </c>
      <c r="AS22" s="404"/>
      <c r="AT22" s="404"/>
      <c r="AU22" s="404"/>
      <c r="AV22" s="404"/>
      <c r="AW22" s="404"/>
      <c r="AX22" s="405"/>
      <c r="AY22" s="412"/>
    </row>
    <row r="23" spans="1:51" x14ac:dyDescent="0.35">
      <c r="A23" s="380">
        <v>67</v>
      </c>
      <c r="B23" s="380">
        <v>22.824628812735408</v>
      </c>
      <c r="C23" s="380">
        <v>73.970645490102967</v>
      </c>
      <c r="D23" s="380">
        <v>2.776626361086759</v>
      </c>
      <c r="F23" s="381" t="s">
        <v>472</v>
      </c>
      <c r="G23" s="388">
        <f>MEDIAN(A$6:A$187)</f>
        <v>108</v>
      </c>
      <c r="H23" s="388">
        <f>MEDIAN(B$6:B$187)</f>
        <v>144.2559125410157</v>
      </c>
      <c r="I23" s="388">
        <f>MEDIAN(C$6:C$187)</f>
        <v>617.81581833058692</v>
      </c>
      <c r="J23" s="388">
        <f>MEDIAN(D$6:D$187)</f>
        <v>9</v>
      </c>
      <c r="M23" s="379"/>
      <c r="N23" s="375"/>
      <c r="O23" s="383" t="s">
        <v>490</v>
      </c>
      <c r="P23" s="383">
        <v>900</v>
      </c>
      <c r="Q23" s="375"/>
      <c r="R23" s="375"/>
      <c r="S23" s="375" t="s">
        <v>503</v>
      </c>
      <c r="T23" s="375"/>
      <c r="U23" s="375"/>
      <c r="V23" s="389"/>
      <c r="Z23" s="382"/>
      <c r="AA23" s="382"/>
      <c r="AB23" s="382">
        <v>38353.919999999998</v>
      </c>
      <c r="AC23" s="382">
        <v>12690.445</v>
      </c>
      <c r="AD23" s="382"/>
      <c r="AE23" s="375"/>
      <c r="AG23" s="375" t="s">
        <v>468</v>
      </c>
      <c r="AH23" s="382">
        <f>MIN(Z$6:Z$122)</f>
        <v>393</v>
      </c>
      <c r="AI23" s="382">
        <f>MIN(AA$6:AA$146)</f>
        <v>36</v>
      </c>
      <c r="AJ23" s="382">
        <f>MIN(AB$6:AB$122)</f>
        <v>300</v>
      </c>
      <c r="AK23" s="382">
        <f>MIN(AC$6:AC$122)</f>
        <v>507.61779999999999</v>
      </c>
      <c r="AO23" s="411"/>
      <c r="AP23" s="404" t="s">
        <v>20</v>
      </c>
      <c r="AQ23" s="404">
        <v>12</v>
      </c>
      <c r="AR23" s="404">
        <v>2</v>
      </c>
      <c r="AS23" s="404"/>
      <c r="AT23" s="404"/>
      <c r="AU23" s="404"/>
      <c r="AV23" s="404" t="s">
        <v>234</v>
      </c>
      <c r="AW23" s="404"/>
      <c r="AX23" s="405"/>
      <c r="AY23" s="412"/>
    </row>
    <row r="24" spans="1:51" x14ac:dyDescent="0.35">
      <c r="A24" s="380">
        <v>117</v>
      </c>
      <c r="B24" s="380">
        <v>90.383976270091409</v>
      </c>
      <c r="C24" s="380">
        <v>290.07073125085526</v>
      </c>
      <c r="D24" s="380">
        <v>104.61509453340074</v>
      </c>
      <c r="F24" s="381" t="s">
        <v>482</v>
      </c>
      <c r="G24" s="388">
        <f>QUARTILE(A$6:A$187,1)</f>
        <v>54</v>
      </c>
      <c r="H24" s="388">
        <f>QUARTILE(B$6:B$187,1)</f>
        <v>31.689945839846629</v>
      </c>
      <c r="I24" s="388">
        <f>QUARTILE(C$6:C$187,1)</f>
        <v>124.65147136270785</v>
      </c>
      <c r="J24" s="388">
        <f>QUARTILE(D$6:D$187,1)</f>
        <v>3.1335297785552867</v>
      </c>
      <c r="M24" s="379" t="s">
        <v>494</v>
      </c>
      <c r="N24" s="375">
        <v>31</v>
      </c>
      <c r="O24" s="383" t="s">
        <v>495</v>
      </c>
      <c r="P24" s="383">
        <v>1300</v>
      </c>
      <c r="Q24" s="375"/>
      <c r="R24" s="375"/>
      <c r="S24" s="375"/>
      <c r="T24" s="375"/>
      <c r="U24" s="375"/>
      <c r="V24" s="390"/>
      <c r="Z24" s="382"/>
      <c r="AA24" s="382"/>
      <c r="AB24" s="382">
        <v>27167.360000000001</v>
      </c>
      <c r="AC24" s="382">
        <v>5076.1780000000008</v>
      </c>
      <c r="AD24" s="382"/>
      <c r="AE24" s="375"/>
      <c r="AG24" s="375" t="s">
        <v>66</v>
      </c>
      <c r="AH24" s="382">
        <f>MAX(Z$6:Z$122)</f>
        <v>1259</v>
      </c>
      <c r="AI24" s="382">
        <f>MAX(AA$6:AA$146)</f>
        <v>1992</v>
      </c>
      <c r="AJ24" s="382">
        <f>MAX(AB$6:AB$122)</f>
        <v>119855.99999999999</v>
      </c>
      <c r="AK24" s="382">
        <f>MAX(AC$6:AC$122)</f>
        <v>76100</v>
      </c>
      <c r="AO24" s="411"/>
      <c r="AP24" s="404"/>
      <c r="AQ24" s="404"/>
      <c r="AR24" s="404"/>
      <c r="AS24" s="404"/>
      <c r="AT24" s="404" t="s">
        <v>237</v>
      </c>
      <c r="AU24" s="404">
        <v>2.8E-3</v>
      </c>
      <c r="AV24" s="404">
        <v>5.9999999999999995E-4</v>
      </c>
      <c r="AW24" s="404"/>
      <c r="AX24" s="405"/>
      <c r="AY24" s="412"/>
    </row>
    <row r="25" spans="1:51" x14ac:dyDescent="0.35">
      <c r="A25" s="380">
        <v>85</v>
      </c>
      <c r="B25" s="380">
        <v>35.04406598320044</v>
      </c>
      <c r="C25" s="380">
        <v>109.97447386236057</v>
      </c>
      <c r="D25" s="380">
        <v>9.5613215779720662</v>
      </c>
      <c r="F25" s="381" t="s">
        <v>483</v>
      </c>
      <c r="G25" s="388">
        <f>QUARTILE(A$6:A$187,3)</f>
        <v>226</v>
      </c>
      <c r="H25" s="388">
        <f>QUARTILE(B$6:B$187,3)</f>
        <v>312.77971283064369</v>
      </c>
      <c r="I25" s="388">
        <f>QUARTILE(C$6:C$187,3)</f>
        <v>1482.9601449497545</v>
      </c>
      <c r="J25" s="388">
        <f>QUARTILE(D$6:D$187,3)</f>
        <v>37.9</v>
      </c>
      <c r="M25" s="379"/>
      <c r="N25" s="375">
        <v>6.8</v>
      </c>
      <c r="O25" s="383"/>
      <c r="P25" s="383">
        <v>1000</v>
      </c>
      <c r="Q25" s="375"/>
      <c r="R25" s="375"/>
      <c r="S25" s="375"/>
      <c r="T25" s="375"/>
      <c r="U25" s="375"/>
      <c r="V25" s="391"/>
      <c r="Z25" s="382"/>
      <c r="AA25" s="382"/>
      <c r="AB25" s="382">
        <v>26528.128000000001</v>
      </c>
      <c r="AC25" s="382">
        <v>4060.9423999999999</v>
      </c>
      <c r="AD25" s="382"/>
      <c r="AE25" s="375"/>
      <c r="AG25" s="375" t="s">
        <v>261</v>
      </c>
      <c r="AH25" s="382">
        <f>AVERAGE(Z$6:Z$122)</f>
        <v>683.66666666666663</v>
      </c>
      <c r="AI25" s="382">
        <f>AVERAGE(AA$6:AA$146)</f>
        <v>581.95999999999992</v>
      </c>
      <c r="AJ25" s="382">
        <f>AVERAGE(AB$6:AB$122)</f>
        <v>33368.900813675209</v>
      </c>
      <c r="AK25" s="382">
        <f>AVERAGE(AC$6:AC$122)</f>
        <v>18491.083889743597</v>
      </c>
      <c r="AO25" s="411" t="s">
        <v>516</v>
      </c>
      <c r="AP25" s="404" t="s">
        <v>19</v>
      </c>
      <c r="AQ25" s="404">
        <v>26</v>
      </c>
      <c r="AR25" s="404">
        <v>8</v>
      </c>
      <c r="AS25" s="404"/>
      <c r="AT25" s="404" t="s">
        <v>239</v>
      </c>
      <c r="AU25" s="404">
        <v>6.0000000000000002E-5</v>
      </c>
      <c r="AV25" s="404">
        <v>3.0000000000000001E-5</v>
      </c>
      <c r="AW25" s="404"/>
      <c r="AX25" s="405"/>
      <c r="AY25" s="412"/>
    </row>
    <row r="26" spans="1:51" x14ac:dyDescent="0.35">
      <c r="A26" s="380">
        <v>66</v>
      </c>
      <c r="B26" s="380">
        <v>26.201662017509356</v>
      </c>
      <c r="C26" s="380">
        <v>93.444126539372149</v>
      </c>
      <c r="D26" s="380">
        <v>4.3932796878106508</v>
      </c>
      <c r="F26" s="375" t="s">
        <v>473</v>
      </c>
      <c r="G26" s="375">
        <f>MODE(A$6:A$187)</f>
        <v>262</v>
      </c>
      <c r="H26" s="375">
        <f>MODE(B$6:B$255)</f>
        <v>20</v>
      </c>
      <c r="I26" s="375">
        <f>MODE(C$6:C$255)</f>
        <v>1900</v>
      </c>
      <c r="J26" s="375">
        <f>MODE(D$6:D$255)</f>
        <v>9</v>
      </c>
      <c r="M26" s="379"/>
      <c r="N26" s="375">
        <v>7</v>
      </c>
      <c r="O26" s="383"/>
      <c r="P26" s="383">
        <v>800</v>
      </c>
      <c r="Q26" s="375"/>
      <c r="R26" s="375"/>
      <c r="S26" s="375"/>
      <c r="T26" s="375"/>
      <c r="U26" s="375"/>
      <c r="V26" s="391"/>
      <c r="Z26" s="382"/>
      <c r="AA26" s="382"/>
      <c r="AB26" s="382">
        <v>29404.671999999999</v>
      </c>
      <c r="AC26" s="382">
        <v>6345.2224999999999</v>
      </c>
      <c r="AD26" s="382"/>
      <c r="AE26" s="375"/>
      <c r="AF26" s="375"/>
      <c r="AG26" s="381" t="s">
        <v>472</v>
      </c>
      <c r="AH26" s="388">
        <f>MEDIAN(Z$6:Z$122)</f>
        <v>583.5</v>
      </c>
      <c r="AI26" s="388">
        <f>MEDIAN(AA$6:AA$146)</f>
        <v>470</v>
      </c>
      <c r="AJ26" s="388">
        <f>MEDIAN(AB$6:AB$122)</f>
        <v>32441.024000000005</v>
      </c>
      <c r="AK26" s="388">
        <f>MEDIAN(AC$6:AC$122)</f>
        <v>15482.3429</v>
      </c>
      <c r="AM26" s="375"/>
      <c r="AN26" s="375"/>
      <c r="AO26" s="411"/>
      <c r="AP26" s="404" t="s">
        <v>20</v>
      </c>
      <c r="AQ26" s="404">
        <v>17</v>
      </c>
      <c r="AR26" s="404">
        <v>6</v>
      </c>
      <c r="AS26" s="404"/>
      <c r="AT26" s="404"/>
      <c r="AU26" s="404"/>
      <c r="AV26" s="404"/>
      <c r="AW26" s="404"/>
      <c r="AX26" s="405"/>
      <c r="AY26" s="412"/>
    </row>
    <row r="27" spans="1:51" ht="17.149999999999999" customHeight="1" x14ac:dyDescent="0.35">
      <c r="A27" s="380" t="s">
        <v>479</v>
      </c>
      <c r="B27" s="380">
        <v>344.46790809446549</v>
      </c>
      <c r="C27" s="380">
        <v>897.58161179275055</v>
      </c>
      <c r="D27" s="380">
        <v>9.3858897852188363</v>
      </c>
      <c r="F27" s="375"/>
      <c r="G27" s="375"/>
      <c r="H27" s="375"/>
      <c r="I27" s="375"/>
      <c r="J27" s="375"/>
      <c r="M27" s="379"/>
      <c r="N27" s="375">
        <v>6.1</v>
      </c>
      <c r="O27" s="383"/>
      <c r="P27" s="383">
        <v>1400.0000000000002</v>
      </c>
      <c r="Q27" s="375"/>
      <c r="S27" s="375"/>
      <c r="T27" s="368" t="s">
        <v>20</v>
      </c>
      <c r="U27" s="368" t="s">
        <v>19</v>
      </c>
      <c r="V27" s="368" t="s">
        <v>21</v>
      </c>
      <c r="W27" s="368" t="s">
        <v>22</v>
      </c>
      <c r="X27" s="375"/>
      <c r="Y27" s="375"/>
      <c r="Z27" s="382"/>
      <c r="AA27" s="382"/>
      <c r="AB27" s="382">
        <v>27966.399999999998</v>
      </c>
      <c r="AC27" s="382">
        <v>6599.0313999999989</v>
      </c>
      <c r="AD27" s="382"/>
      <c r="AE27" s="375"/>
      <c r="AF27" s="375"/>
      <c r="AG27" s="381" t="s">
        <v>482</v>
      </c>
      <c r="AH27" s="388">
        <f>QUARTILE(Z$6:Z$122,1)</f>
        <v>504.75</v>
      </c>
      <c r="AI27" s="388">
        <f>QUARTILE(AA$6:AA$146,1)</f>
        <v>214.5</v>
      </c>
      <c r="AJ27" s="388">
        <f>QUARTILE(AB$6:AB$122,1)</f>
        <v>21414.271999999997</v>
      </c>
      <c r="AK27" s="388">
        <f>QUARTILE(AC$6:AC$122,1)</f>
        <v>7106.6491999999998</v>
      </c>
      <c r="AM27" s="375"/>
      <c r="AN27" s="375"/>
      <c r="AO27" s="411"/>
      <c r="AP27" s="404"/>
      <c r="AQ27" s="404"/>
      <c r="AR27" s="404"/>
      <c r="AS27" s="404"/>
      <c r="AT27" s="404"/>
      <c r="AU27" s="404"/>
      <c r="AV27" s="404"/>
      <c r="AW27" s="404"/>
      <c r="AX27" s="405"/>
      <c r="AY27" s="412"/>
    </row>
    <row r="28" spans="1:51" x14ac:dyDescent="0.35">
      <c r="A28" s="380">
        <v>57</v>
      </c>
      <c r="B28" s="380">
        <v>73.008726204204322</v>
      </c>
      <c r="C28" s="380">
        <v>248.8182861620561</v>
      </c>
      <c r="D28" s="380">
        <v>17.297398285299177</v>
      </c>
      <c r="F28" s="375"/>
      <c r="G28" s="375"/>
      <c r="H28" s="375"/>
      <c r="I28" s="375"/>
      <c r="J28" s="375" t="s">
        <v>475</v>
      </c>
      <c r="M28" s="379"/>
      <c r="N28" s="375">
        <v>76</v>
      </c>
      <c r="O28" s="383"/>
      <c r="P28" s="383">
        <v>1600</v>
      </c>
      <c r="Q28" s="375"/>
      <c r="S28" s="375"/>
      <c r="T28" s="371" t="s">
        <v>460</v>
      </c>
      <c r="U28" s="371" t="s">
        <v>460</v>
      </c>
      <c r="V28" s="371" t="s">
        <v>461</v>
      </c>
      <c r="W28" s="371" t="s">
        <v>461</v>
      </c>
      <c r="X28" s="375"/>
      <c r="Y28" s="375"/>
      <c r="Z28" s="382"/>
      <c r="AA28" s="382"/>
      <c r="AB28" s="382">
        <v>16620.031999999999</v>
      </c>
      <c r="AC28" s="382">
        <v>3553.3245999999999</v>
      </c>
      <c r="AD28" s="382"/>
      <c r="AE28" s="375"/>
      <c r="AF28" s="375"/>
      <c r="AG28" s="381" t="s">
        <v>483</v>
      </c>
      <c r="AH28" s="388">
        <f>QUARTILE(Z$6:Z$122,3)</f>
        <v>749.25</v>
      </c>
      <c r="AI28" s="388">
        <f>QUARTILE(AA$6:AA$146,3)</f>
        <v>763.5</v>
      </c>
      <c r="AJ28" s="388">
        <f t="shared" ref="AJ28" si="0">QUARTILE(AB$6:AB$122,3)</f>
        <v>42029.503999999994</v>
      </c>
      <c r="AK28" s="388">
        <f>QUARTILE(AC$6:AC$122,3)</f>
        <v>25127.081099999999</v>
      </c>
      <c r="AM28" s="375"/>
      <c r="AN28" s="375"/>
      <c r="AO28" s="411"/>
      <c r="AP28" s="404"/>
      <c r="AQ28" s="404"/>
      <c r="AR28" s="404"/>
      <c r="AS28" s="404"/>
      <c r="AT28" s="404"/>
      <c r="AU28" s="404"/>
      <c r="AV28" s="404"/>
      <c r="AW28" s="404"/>
      <c r="AX28" s="405"/>
      <c r="AY28" s="412"/>
    </row>
    <row r="29" spans="1:51" x14ac:dyDescent="0.35">
      <c r="A29" s="380">
        <v>58</v>
      </c>
      <c r="B29" s="380">
        <v>18.673427664868676</v>
      </c>
      <c r="C29" s="380">
        <v>52.544937740922627</v>
      </c>
      <c r="D29" s="380">
        <v>1.9760738134460074</v>
      </c>
      <c r="M29" s="379"/>
      <c r="N29" s="375">
        <v>64</v>
      </c>
      <c r="O29" s="383"/>
      <c r="P29" s="383">
        <v>1600</v>
      </c>
      <c r="Q29" s="375"/>
      <c r="S29" s="375" t="s">
        <v>466</v>
      </c>
      <c r="T29" s="375">
        <f>COUNT(N$6:N$92)</f>
        <v>52</v>
      </c>
      <c r="U29" s="375">
        <f>COUNT(P$6:P$92)</f>
        <v>87</v>
      </c>
      <c r="V29" s="375">
        <f>COUNT(Q$6:Q$92)</f>
        <v>17</v>
      </c>
      <c r="W29" s="375">
        <f>COUNT(R$6:R$92)</f>
        <v>17</v>
      </c>
      <c r="X29" s="375"/>
      <c r="Y29" s="375"/>
      <c r="Z29" s="382"/>
      <c r="AA29" s="382"/>
      <c r="AB29" s="382">
        <v>29724.287999999997</v>
      </c>
      <c r="AC29" s="382">
        <v>9644.7382000000016</v>
      </c>
      <c r="AD29" s="382"/>
      <c r="AE29" s="375"/>
      <c r="AF29" s="375"/>
      <c r="AG29" s="392" t="s">
        <v>473</v>
      </c>
      <c r="AH29" s="392" t="e">
        <f>MODE(Z$3:Z$119)</f>
        <v>#N/A</v>
      </c>
      <c r="AI29" s="392">
        <f>MODE(AA$6:AA$146)</f>
        <v>500</v>
      </c>
      <c r="AJ29" s="393">
        <f>MODE(AB$6:AB$122)</f>
        <v>19017.151999999998</v>
      </c>
      <c r="AK29" s="393">
        <f>MODE(AC$6:AC$122)</f>
        <v>7106.6491999999998</v>
      </c>
      <c r="AM29" s="375"/>
      <c r="AN29" s="375"/>
      <c r="AO29" s="411"/>
      <c r="AP29" s="413" t="s">
        <v>527</v>
      </c>
      <c r="AQ29" s="413">
        <f>AQ10*AU24</f>
        <v>1.6799999999999999E-2</v>
      </c>
      <c r="AR29" s="413">
        <f>SQRT((AQ10*AV24)^2+(AU24*AR10)^2)</f>
        <v>4.8602880573068918E-3</v>
      </c>
      <c r="AS29" s="404"/>
      <c r="AT29" s="404"/>
      <c r="AU29" s="413" t="s">
        <v>527</v>
      </c>
      <c r="AV29" s="413">
        <f>AV10*AU24</f>
        <v>8.0639999999999989E-2</v>
      </c>
      <c r="AW29" s="413">
        <f>SQRT((AV10*AV24)^2+(AU24*AW10)^2)</f>
        <v>2.3329382675073077E-2</v>
      </c>
      <c r="AX29" s="405"/>
      <c r="AY29" s="412"/>
    </row>
    <row r="30" spans="1:51" x14ac:dyDescent="0.35">
      <c r="A30" s="380">
        <v>136</v>
      </c>
      <c r="B30" s="380">
        <v>160.74187508119189</v>
      </c>
      <c r="C30" s="380">
        <v>526.83027481181932</v>
      </c>
      <c r="D30" s="380">
        <v>1811.5752055594789</v>
      </c>
      <c r="G30" s="373" t="s">
        <v>20</v>
      </c>
      <c r="H30" s="373" t="s">
        <v>19</v>
      </c>
      <c r="I30" s="373" t="s">
        <v>21</v>
      </c>
      <c r="J30" s="373" t="s">
        <v>22</v>
      </c>
      <c r="M30" s="379"/>
      <c r="N30" s="375">
        <v>37</v>
      </c>
      <c r="O30" s="383"/>
      <c r="P30" s="383">
        <v>1400.0000000000002</v>
      </c>
      <c r="Q30" s="375"/>
      <c r="S30" s="375" t="s">
        <v>468</v>
      </c>
      <c r="T30" s="375">
        <f>MIN(N$6:N$92)</f>
        <v>1</v>
      </c>
      <c r="U30" s="375">
        <f>MIN(P$6:P$92)</f>
        <v>100</v>
      </c>
      <c r="V30" s="375">
        <f>MIN(Q$3:Q$89)</f>
        <v>1300</v>
      </c>
      <c r="W30" s="375">
        <f>MIN(R$3:R$89)</f>
        <v>17</v>
      </c>
      <c r="X30" s="375"/>
      <c r="Y30" s="375"/>
      <c r="Z30" s="382"/>
      <c r="AA30" s="382"/>
      <c r="AB30" s="382">
        <v>31002.751999999997</v>
      </c>
      <c r="AC30" s="382">
        <v>8883.3115000000016</v>
      </c>
      <c r="AD30" s="382"/>
      <c r="AE30" s="375"/>
      <c r="AF30" s="375"/>
      <c r="AG30" s="375"/>
      <c r="AH30" s="375"/>
      <c r="AI30" s="375"/>
      <c r="AJ30" s="375"/>
      <c r="AK30" s="375"/>
      <c r="AL30" s="375"/>
      <c r="AM30" s="375"/>
      <c r="AN30" s="375"/>
      <c r="AO30" s="414"/>
      <c r="AP30" s="415" t="s">
        <v>528</v>
      </c>
      <c r="AQ30" s="415">
        <f>AQ10*AU25</f>
        <v>3.6000000000000002E-4</v>
      </c>
      <c r="AR30" s="415">
        <f>SQRT((AQ10*AV25)^2+(AU25*AR10)^2)</f>
        <v>1.93121723273173E-4</v>
      </c>
      <c r="AS30" s="416"/>
      <c r="AT30" s="416"/>
      <c r="AU30" s="415" t="s">
        <v>528</v>
      </c>
      <c r="AV30" s="415">
        <f>AV10*AU25</f>
        <v>1.7279999999999999E-3</v>
      </c>
      <c r="AW30" s="415">
        <f>SQRT((AV10*AV25)^2+(AU25*AW10)^2)</f>
        <v>9.2698427171123028E-4</v>
      </c>
      <c r="AX30" s="397"/>
      <c r="AY30" s="417"/>
    </row>
    <row r="31" spans="1:51" x14ac:dyDescent="0.35">
      <c r="A31" s="380">
        <v>33</v>
      </c>
      <c r="B31" s="380">
        <v>25.033229995323527</v>
      </c>
      <c r="C31" s="380">
        <v>68.604161144800315</v>
      </c>
      <c r="D31" s="380">
        <v>17.833298754842378</v>
      </c>
      <c r="G31" s="374" t="s">
        <v>460</v>
      </c>
      <c r="H31" s="374" t="s">
        <v>460</v>
      </c>
      <c r="I31" s="374" t="s">
        <v>461</v>
      </c>
      <c r="J31" s="374" t="s">
        <v>461</v>
      </c>
      <c r="M31" s="379"/>
      <c r="N31" s="375">
        <v>3</v>
      </c>
      <c r="O31" s="383"/>
      <c r="P31" s="383">
        <v>1600</v>
      </c>
      <c r="Q31" s="375"/>
      <c r="S31" s="375" t="s">
        <v>66</v>
      </c>
      <c r="T31" s="375">
        <f>MAX(N$6:N$92)</f>
        <v>425</v>
      </c>
      <c r="U31" s="375">
        <f>MAX(P$6:P$92)</f>
        <v>4600</v>
      </c>
      <c r="V31" s="375">
        <f>MAX(Q$6:Q$92)</f>
        <v>24000</v>
      </c>
      <c r="W31" s="375">
        <f>MAX(R$6:R$92)</f>
        <v>45000</v>
      </c>
      <c r="X31" s="375"/>
      <c r="Y31" s="375"/>
      <c r="Z31" s="382"/>
      <c r="AA31" s="382"/>
      <c r="AB31" s="382">
        <v>23331.967999999997</v>
      </c>
      <c r="AC31" s="382">
        <v>8883.3115000000016</v>
      </c>
      <c r="AD31" s="375"/>
      <c r="AE31" s="375"/>
      <c r="AF31" s="375"/>
      <c r="AG31" s="379" t="s">
        <v>475</v>
      </c>
      <c r="AH31" s="375">
        <v>611</v>
      </c>
      <c r="AI31" s="375">
        <v>640</v>
      </c>
      <c r="AJ31" s="375"/>
      <c r="AK31" s="375"/>
      <c r="AL31" s="394" t="s">
        <v>480</v>
      </c>
      <c r="AM31" s="375"/>
      <c r="AN31" s="375"/>
    </row>
    <row r="32" spans="1:51" x14ac:dyDescent="0.35">
      <c r="A32" s="380" t="s">
        <v>479</v>
      </c>
      <c r="B32" s="380">
        <v>191.44626564356423</v>
      </c>
      <c r="C32" s="380">
        <v>518.60505821076163</v>
      </c>
      <c r="D32" s="380">
        <v>219.3166337649823</v>
      </c>
      <c r="F32" s="379" t="s">
        <v>476</v>
      </c>
      <c r="G32" s="375"/>
      <c r="H32" s="375">
        <v>206</v>
      </c>
      <c r="I32" s="375"/>
      <c r="J32" s="375"/>
      <c r="M32" s="379"/>
      <c r="N32" s="375">
        <v>81</v>
      </c>
      <c r="O32" s="383"/>
      <c r="P32" s="383">
        <v>2200</v>
      </c>
      <c r="Q32" s="375"/>
      <c r="S32" s="375" t="s">
        <v>261</v>
      </c>
      <c r="T32" s="382">
        <f>AVERAGE(N$6:N$92)</f>
        <v>66.157692307692315</v>
      </c>
      <c r="U32" s="382">
        <f>AVERAGE(P$6:P$92)</f>
        <v>981.49425287356325</v>
      </c>
      <c r="V32" s="382">
        <f>AVERAGE(Q$6:Q$92)</f>
        <v>6429.411764705882</v>
      </c>
      <c r="W32" s="382">
        <f>AVERAGE(R$6:R$92)</f>
        <v>7611.0588235294117</v>
      </c>
      <c r="X32" s="375"/>
      <c r="Y32" s="375"/>
      <c r="Z32" s="382"/>
      <c r="AA32" s="382"/>
      <c r="AB32" s="382">
        <v>25249.663999999997</v>
      </c>
      <c r="AC32" s="382">
        <v>9644.7382000000016</v>
      </c>
      <c r="AD32" s="375"/>
      <c r="AE32" s="375"/>
      <c r="AF32" s="375"/>
      <c r="AG32" s="375"/>
      <c r="AH32" s="375"/>
      <c r="AI32" s="375">
        <v>640</v>
      </c>
      <c r="AJ32" s="375"/>
      <c r="AK32" s="375"/>
      <c r="AL32" s="394" t="s">
        <v>477</v>
      </c>
      <c r="AM32" s="375"/>
      <c r="AN32" s="375"/>
    </row>
    <row r="33" spans="1:40" x14ac:dyDescent="0.35">
      <c r="A33" s="380">
        <v>53</v>
      </c>
      <c r="B33" s="380">
        <v>32.248179571029901</v>
      </c>
      <c r="C33" s="380">
        <v>82.050642170513385</v>
      </c>
      <c r="D33" s="380">
        <v>91.430820559918516</v>
      </c>
      <c r="F33" s="379" t="s">
        <v>477</v>
      </c>
      <c r="G33" s="375"/>
      <c r="H33" s="375">
        <v>253</v>
      </c>
      <c r="I33" s="375">
        <v>435</v>
      </c>
      <c r="J33" s="375">
        <v>3</v>
      </c>
      <c r="M33" s="379"/>
      <c r="N33" s="375">
        <v>147</v>
      </c>
      <c r="O33" s="383"/>
      <c r="P33" s="383">
        <v>1500</v>
      </c>
      <c r="Q33" s="375"/>
      <c r="S33" s="381" t="s">
        <v>472</v>
      </c>
      <c r="T33" s="395">
        <f>MEDIAN(N$6:N$92)</f>
        <v>38.799999999999997</v>
      </c>
      <c r="U33" s="395">
        <f>MEDIAN(P$6:P$92)</f>
        <v>630</v>
      </c>
      <c r="V33" s="395">
        <f>MEDIAN(Q$6:Q$92)</f>
        <v>5500</v>
      </c>
      <c r="W33" s="395">
        <f>MEDIAN(R$6:R$92)</f>
        <v>580</v>
      </c>
      <c r="X33" s="375"/>
      <c r="Y33" s="375"/>
      <c r="Z33" s="382"/>
      <c r="AA33" s="382"/>
      <c r="AB33" s="382">
        <v>16939.647999999997</v>
      </c>
      <c r="AC33" s="382">
        <v>5837.6046999999999</v>
      </c>
      <c r="AD33" s="375"/>
      <c r="AE33" s="375"/>
      <c r="AF33" s="375"/>
      <c r="AG33" s="375"/>
      <c r="AH33" s="375">
        <v>611</v>
      </c>
      <c r="AI33" s="375">
        <v>640</v>
      </c>
      <c r="AJ33" s="375">
        <v>20000</v>
      </c>
      <c r="AK33" s="375">
        <v>5000</v>
      </c>
      <c r="AL33" s="394" t="s">
        <v>481</v>
      </c>
      <c r="AM33" s="375"/>
      <c r="AN33" s="375"/>
    </row>
    <row r="34" spans="1:40" x14ac:dyDescent="0.35">
      <c r="A34" s="380">
        <v>137</v>
      </c>
      <c r="B34" s="380">
        <v>338.5094039001097</v>
      </c>
      <c r="C34" s="380">
        <v>1125.1072542415986</v>
      </c>
      <c r="D34" s="380">
        <v>1944.0921209124203</v>
      </c>
      <c r="F34" s="379" t="s">
        <v>478</v>
      </c>
      <c r="G34" s="375"/>
      <c r="H34" s="375">
        <v>50</v>
      </c>
      <c r="I34" s="375"/>
      <c r="J34" s="375"/>
      <c r="M34" s="379"/>
      <c r="N34" s="375">
        <v>154</v>
      </c>
      <c r="O34" s="383"/>
      <c r="P34" s="383">
        <v>1000</v>
      </c>
      <c r="Q34" s="375"/>
      <c r="S34" s="381" t="s">
        <v>482</v>
      </c>
      <c r="T34" s="395">
        <f>QUARTILE(N6:N92,1)</f>
        <v>16.05</v>
      </c>
      <c r="U34" s="381">
        <f>QUARTILE(P6:P92,1)</f>
        <v>400</v>
      </c>
      <c r="V34" s="381">
        <f>QUARTILE(Q6:Q92,1)/1000</f>
        <v>4.5</v>
      </c>
      <c r="W34" s="381">
        <f>QUARTILE(R6:R92,1)/1000</f>
        <v>7.3999999999999996E-2</v>
      </c>
      <c r="X34" s="375"/>
      <c r="Y34" s="375"/>
      <c r="Z34" s="382"/>
      <c r="AA34" s="382"/>
      <c r="AB34" s="382">
        <v>16779.84</v>
      </c>
      <c r="AC34" s="382">
        <v>5837.6046999999999</v>
      </c>
      <c r="AD34" s="375"/>
      <c r="AE34" s="375"/>
      <c r="AF34" s="375"/>
      <c r="AG34" s="375"/>
      <c r="AH34" s="375"/>
      <c r="AI34" s="375">
        <v>1200</v>
      </c>
      <c r="AJ34" s="375"/>
      <c r="AK34" s="375"/>
      <c r="AL34" s="394" t="s">
        <v>478</v>
      </c>
      <c r="AM34" s="375"/>
      <c r="AN34" s="375"/>
    </row>
    <row r="35" spans="1:40" x14ac:dyDescent="0.35">
      <c r="A35" s="380" t="s">
        <v>474</v>
      </c>
      <c r="B35" s="380">
        <v>300.26725615939364</v>
      </c>
      <c r="C35" s="380">
        <v>1154.3743121748003</v>
      </c>
      <c r="D35" s="380">
        <v>811.80505685016146</v>
      </c>
      <c r="F35" s="379" t="s">
        <v>480</v>
      </c>
      <c r="G35" s="375">
        <v>216</v>
      </c>
      <c r="H35" s="375">
        <v>78</v>
      </c>
      <c r="I35" s="375"/>
      <c r="J35" s="375"/>
      <c r="M35" s="379"/>
      <c r="N35" s="375">
        <v>34</v>
      </c>
      <c r="O35" s="383"/>
      <c r="P35" s="383">
        <v>1500</v>
      </c>
      <c r="Q35" s="375"/>
      <c r="S35" s="381" t="s">
        <v>483</v>
      </c>
      <c r="T35" s="395">
        <f>QUARTILE(N6:N92,3)</f>
        <v>76.25</v>
      </c>
      <c r="U35" s="381">
        <f>QUARTILE(P6:P92,3)</f>
        <v>1350</v>
      </c>
      <c r="V35" s="381">
        <f>QUARTILE(Q6:Q92,3)/1000</f>
        <v>7.2</v>
      </c>
      <c r="W35" s="381">
        <f>QUARTILE(R6:R92,3)/1000</f>
        <v>6.9</v>
      </c>
      <c r="Y35" s="375"/>
      <c r="Z35" s="382"/>
      <c r="AA35" s="382"/>
      <c r="AB35" s="382">
        <v>24450.624</v>
      </c>
      <c r="AC35" s="382">
        <v>8375.6936999999998</v>
      </c>
      <c r="AD35" s="375"/>
      <c r="AE35" s="375"/>
      <c r="AF35" s="375"/>
      <c r="AG35" s="375"/>
      <c r="AH35" s="375"/>
      <c r="AI35" s="375"/>
      <c r="AJ35" s="375"/>
      <c r="AK35" s="375"/>
      <c r="AL35" s="394"/>
      <c r="AM35" s="375"/>
      <c r="AN35" s="375"/>
    </row>
    <row r="36" spans="1:40" x14ac:dyDescent="0.35">
      <c r="A36" s="380">
        <v>48</v>
      </c>
      <c r="B36" s="380">
        <v>160.79511809800186</v>
      </c>
      <c r="C36" s="380">
        <v>531.61096635098272</v>
      </c>
      <c r="D36" s="380">
        <v>1602.6130373959913</v>
      </c>
      <c r="F36" s="379" t="s">
        <v>481</v>
      </c>
      <c r="G36" s="375">
        <v>216</v>
      </c>
      <c r="H36" s="375">
        <v>207</v>
      </c>
      <c r="I36" s="375">
        <v>150</v>
      </c>
      <c r="J36" s="375">
        <v>9</v>
      </c>
      <c r="M36" s="379"/>
      <c r="N36" s="375"/>
      <c r="O36" s="383"/>
      <c r="P36" s="383">
        <v>1100</v>
      </c>
      <c r="Q36" s="375"/>
      <c r="S36" s="392" t="s">
        <v>473</v>
      </c>
      <c r="T36" s="392">
        <f>MODE(N$6:N$92)</f>
        <v>31</v>
      </c>
      <c r="U36" s="392">
        <f>MODE(P$6:P$92)</f>
        <v>100</v>
      </c>
      <c r="V36" s="392">
        <f>MODE(Q$6:Q$92)</f>
        <v>5100</v>
      </c>
      <c r="W36" s="392" t="e">
        <f>MODE(R$6:R$92)</f>
        <v>#N/A</v>
      </c>
      <c r="Y36" s="375"/>
      <c r="Z36" s="382"/>
      <c r="AA36" s="382"/>
      <c r="AB36" s="382">
        <v>37075.455999999998</v>
      </c>
      <c r="AC36" s="382">
        <v>13705.6806</v>
      </c>
      <c r="AE36" s="394" t="s">
        <v>511</v>
      </c>
      <c r="AF36" s="375"/>
      <c r="AG36" s="375"/>
      <c r="AH36" s="375"/>
      <c r="AI36" s="375"/>
      <c r="AJ36" s="375"/>
      <c r="AK36" s="375"/>
      <c r="AL36" s="375"/>
      <c r="AM36" s="375"/>
      <c r="AN36" s="375"/>
    </row>
    <row r="37" spans="1:40" x14ac:dyDescent="0.35">
      <c r="A37" s="380">
        <v>28</v>
      </c>
      <c r="B37" s="380">
        <v>25.506110595160749</v>
      </c>
      <c r="C37" s="380">
        <v>87.175163792238948</v>
      </c>
      <c r="D37" s="380">
        <v>2.8721751444683394</v>
      </c>
      <c r="G37" s="375"/>
      <c r="H37" s="375"/>
      <c r="I37" s="375"/>
      <c r="J37" s="375"/>
      <c r="M37" s="379" t="s">
        <v>496</v>
      </c>
      <c r="N37" s="375">
        <v>8</v>
      </c>
      <c r="O37" s="383"/>
      <c r="P37" s="383">
        <v>2500</v>
      </c>
      <c r="Q37" s="375"/>
      <c r="Y37" s="375"/>
      <c r="Z37" s="382"/>
      <c r="AA37" s="382"/>
      <c r="AB37" s="382">
        <v>40591.231999999996</v>
      </c>
      <c r="AC37" s="382">
        <v>20304.712000000003</v>
      </c>
      <c r="AD37" s="375"/>
      <c r="AE37" s="375"/>
      <c r="AF37" s="375"/>
      <c r="AG37" s="375"/>
      <c r="AH37" s="375"/>
      <c r="AI37" s="375"/>
      <c r="AJ37" s="375"/>
      <c r="AK37" s="375"/>
      <c r="AL37" s="375"/>
      <c r="AM37" s="375"/>
      <c r="AN37" s="375"/>
    </row>
    <row r="38" spans="1:40" x14ac:dyDescent="0.35">
      <c r="A38" s="380">
        <v>70</v>
      </c>
      <c r="B38" s="380">
        <v>148.70292198174008</v>
      </c>
      <c r="C38" s="380">
        <v>503.81642279995555</v>
      </c>
      <c r="D38" s="380">
        <v>1913.190858642133</v>
      </c>
      <c r="G38" s="375"/>
      <c r="H38" s="375"/>
      <c r="I38" s="375"/>
      <c r="J38" s="375"/>
      <c r="M38" s="379"/>
      <c r="N38" s="375">
        <v>6.5</v>
      </c>
      <c r="O38" s="383"/>
      <c r="P38" s="383">
        <v>2300</v>
      </c>
      <c r="Q38" s="375"/>
      <c r="S38" s="375"/>
      <c r="T38" s="375"/>
      <c r="U38" s="375"/>
      <c r="V38" s="375"/>
      <c r="W38" s="375"/>
      <c r="X38" s="375"/>
      <c r="Y38" s="375"/>
      <c r="Z38" s="382"/>
      <c r="AA38" s="382"/>
      <c r="AB38" s="382">
        <v>42029.503999999994</v>
      </c>
      <c r="AC38" s="382">
        <v>23604.227699999996</v>
      </c>
      <c r="AD38" s="375"/>
      <c r="AE38" s="375"/>
      <c r="AF38" s="375"/>
      <c r="AG38" s="375"/>
      <c r="AI38" s="375"/>
      <c r="AJ38" s="375"/>
      <c r="AK38" s="375"/>
      <c r="AL38" s="375"/>
      <c r="AM38" s="375"/>
      <c r="AN38" s="375"/>
    </row>
    <row r="39" spans="1:40" x14ac:dyDescent="0.35">
      <c r="A39" s="380">
        <v>106</v>
      </c>
      <c r="B39" s="380">
        <v>35.848865069486536</v>
      </c>
      <c r="C39" s="380">
        <v>113.04444790888915</v>
      </c>
      <c r="D39" s="380">
        <v>762.37036531089234</v>
      </c>
      <c r="G39" s="375"/>
      <c r="H39" s="375"/>
      <c r="I39" s="375"/>
      <c r="J39" s="375"/>
      <c r="M39" s="379"/>
      <c r="N39" s="375">
        <v>15.6</v>
      </c>
      <c r="O39" s="383"/>
      <c r="P39" s="383">
        <v>2100</v>
      </c>
      <c r="Q39" s="375"/>
      <c r="R39" s="379"/>
      <c r="T39" s="379" t="s">
        <v>475</v>
      </c>
      <c r="U39" s="375">
        <v>677</v>
      </c>
      <c r="V39" s="375">
        <v>3178</v>
      </c>
      <c r="W39" s="375">
        <v>751</v>
      </c>
      <c r="X39" s="394" t="s">
        <v>477</v>
      </c>
      <c r="Y39" s="375"/>
      <c r="Z39" s="382"/>
      <c r="AA39" s="382"/>
      <c r="AB39" s="382">
        <v>24930.047999999999</v>
      </c>
      <c r="AC39" s="382">
        <v>4060.9423999999999</v>
      </c>
      <c r="AD39" s="375"/>
      <c r="AE39" s="375"/>
      <c r="AF39" s="375"/>
      <c r="AG39" s="375"/>
      <c r="AH39" s="375"/>
      <c r="AI39" s="375"/>
      <c r="AJ39" s="375"/>
      <c r="AK39" s="375"/>
      <c r="AL39" s="375"/>
      <c r="AM39" s="375"/>
      <c r="AN39" s="375"/>
    </row>
    <row r="40" spans="1:40" x14ac:dyDescent="0.35">
      <c r="A40" s="380">
        <v>38</v>
      </c>
      <c r="B40" s="380">
        <v>15.182027504737766</v>
      </c>
      <c r="C40" s="380">
        <v>43.552857093284366</v>
      </c>
      <c r="D40" s="380">
        <v>1.4809602509984248</v>
      </c>
      <c r="G40" s="375"/>
      <c r="H40" s="375"/>
      <c r="I40" s="375"/>
      <c r="J40" s="375"/>
      <c r="M40" s="379"/>
      <c r="N40" s="375">
        <v>13.7</v>
      </c>
      <c r="O40" s="383"/>
      <c r="P40" s="383">
        <v>2300</v>
      </c>
      <c r="Q40" s="375"/>
      <c r="S40" s="375"/>
      <c r="T40" s="375">
        <v>204</v>
      </c>
      <c r="U40" s="375">
        <v>2000</v>
      </c>
      <c r="V40" s="375">
        <v>6400</v>
      </c>
      <c r="W40" s="375">
        <v>7600</v>
      </c>
      <c r="X40" s="394" t="s">
        <v>481</v>
      </c>
      <c r="Y40" s="375"/>
      <c r="Z40" s="382"/>
      <c r="AA40" s="382"/>
      <c r="AB40" s="382">
        <v>35637.183999999994</v>
      </c>
      <c r="AC40" s="382">
        <v>11675.2094</v>
      </c>
      <c r="AD40" s="375"/>
      <c r="AE40" s="375"/>
      <c r="AF40" s="375"/>
      <c r="AG40" s="375"/>
      <c r="AH40" s="375"/>
      <c r="AI40" s="375"/>
      <c r="AJ40" s="375"/>
      <c r="AK40" s="375"/>
      <c r="AL40" s="375"/>
      <c r="AM40" s="375"/>
      <c r="AN40" s="375"/>
    </row>
    <row r="41" spans="1:40" x14ac:dyDescent="0.35">
      <c r="A41" s="380">
        <v>54</v>
      </c>
      <c r="B41" s="380">
        <v>41.983526069736065</v>
      </c>
      <c r="C41" s="380">
        <v>127.2058854508314</v>
      </c>
      <c r="D41" s="380">
        <v>34.891884895711833</v>
      </c>
      <c r="G41" s="375"/>
      <c r="H41" s="375"/>
      <c r="I41" s="375"/>
      <c r="J41" s="375"/>
      <c r="M41" s="379"/>
      <c r="N41" s="375">
        <v>14.4</v>
      </c>
      <c r="O41" s="383"/>
      <c r="P41" s="383">
        <v>2500</v>
      </c>
      <c r="Q41" s="375"/>
      <c r="S41" s="375"/>
      <c r="T41" s="375"/>
      <c r="U41" s="375"/>
      <c r="V41" s="375"/>
      <c r="W41" s="375"/>
      <c r="X41" s="375"/>
      <c r="Y41" s="375"/>
      <c r="Z41" s="382"/>
      <c r="AA41" s="382"/>
      <c r="AB41" s="382">
        <v>24131.008000000002</v>
      </c>
      <c r="AC41" s="382">
        <v>8883.3115000000016</v>
      </c>
      <c r="AD41" s="375"/>
      <c r="AE41" s="375"/>
      <c r="AF41" s="375"/>
      <c r="AG41" s="375"/>
      <c r="AH41" s="375"/>
      <c r="AI41" s="375"/>
      <c r="AJ41" s="375"/>
      <c r="AK41" s="375"/>
      <c r="AL41" s="375"/>
      <c r="AM41" s="375"/>
      <c r="AN41" s="375"/>
    </row>
    <row r="42" spans="1:40" x14ac:dyDescent="0.35">
      <c r="A42" s="380">
        <v>33</v>
      </c>
      <c r="B42" s="380">
        <v>31.131712108663354</v>
      </c>
      <c r="C42" s="380">
        <v>101.33358504864309</v>
      </c>
      <c r="D42" s="380">
        <v>5.092822443693529</v>
      </c>
      <c r="G42" s="375"/>
      <c r="H42" s="375"/>
      <c r="I42" s="375"/>
      <c r="J42" s="375"/>
      <c r="M42" s="379"/>
      <c r="N42" s="375">
        <v>18.8</v>
      </c>
      <c r="O42" s="383"/>
      <c r="P42" s="383">
        <v>1200</v>
      </c>
      <c r="Q42" s="394" t="s">
        <v>492</v>
      </c>
      <c r="S42" s="375"/>
      <c r="U42" s="375"/>
      <c r="V42" s="375"/>
      <c r="W42" s="375"/>
      <c r="X42" s="375"/>
      <c r="Y42" s="375"/>
      <c r="Z42" s="382"/>
      <c r="AA42" s="382"/>
      <c r="AB42" s="382">
        <v>6232.5119999999997</v>
      </c>
      <c r="AC42" s="382">
        <v>3045.7067999999999</v>
      </c>
      <c r="AD42" s="382"/>
      <c r="AE42" s="375"/>
      <c r="AF42" s="375"/>
      <c r="AG42" s="375"/>
      <c r="AH42" s="375"/>
      <c r="AI42" s="375"/>
      <c r="AJ42" s="375"/>
      <c r="AK42" s="375"/>
      <c r="AL42" s="375"/>
      <c r="AM42" s="375"/>
      <c r="AN42" s="375"/>
    </row>
    <row r="43" spans="1:40" x14ac:dyDescent="0.35">
      <c r="A43" s="380">
        <v>90</v>
      </c>
      <c r="B43" s="380">
        <v>190.45110263093028</v>
      </c>
      <c r="C43" s="380">
        <v>571.09595117701519</v>
      </c>
      <c r="D43" s="380">
        <v>42.808697594221506</v>
      </c>
      <c r="M43" s="379"/>
      <c r="N43" s="375">
        <v>16.2</v>
      </c>
      <c r="O43" s="383"/>
      <c r="P43" s="383">
        <v>1700.0000000000002</v>
      </c>
      <c r="Q43" s="394" t="s">
        <v>504</v>
      </c>
      <c r="U43" s="375"/>
      <c r="V43" s="375"/>
      <c r="W43" s="375"/>
      <c r="X43" s="375"/>
      <c r="Y43" s="375"/>
      <c r="Z43" s="382"/>
      <c r="AA43" s="382"/>
      <c r="AB43" s="382">
        <v>14063.103999999998</v>
      </c>
      <c r="AC43" s="382">
        <v>7360.4581000000007</v>
      </c>
      <c r="AD43" s="382"/>
      <c r="AE43" s="375"/>
      <c r="AF43" s="375"/>
      <c r="AG43" s="375"/>
      <c r="AH43" s="375"/>
      <c r="AI43" s="375"/>
      <c r="AJ43" s="375"/>
      <c r="AK43" s="375"/>
      <c r="AL43" s="375"/>
      <c r="AM43" s="375"/>
      <c r="AN43" s="375"/>
    </row>
    <row r="44" spans="1:40" x14ac:dyDescent="0.35">
      <c r="A44" s="380">
        <v>24</v>
      </c>
      <c r="B44" s="380">
        <v>28.393737234950088</v>
      </c>
      <c r="C44" s="380">
        <v>76.782136658786868</v>
      </c>
      <c r="D44" s="380">
        <v>2.0868822007383008</v>
      </c>
      <c r="M44" s="379"/>
      <c r="N44" s="375">
        <v>41.9</v>
      </c>
      <c r="O44" s="396" t="s">
        <v>487</v>
      </c>
      <c r="P44" s="396">
        <v>1000</v>
      </c>
      <c r="Q44" s="375"/>
      <c r="S44" s="390"/>
      <c r="X44" s="375"/>
      <c r="Y44" s="375"/>
      <c r="Z44" s="382"/>
      <c r="AA44" s="382"/>
      <c r="AB44" s="382">
        <v>37395.072</v>
      </c>
      <c r="AC44" s="382">
        <v>17766.623000000003</v>
      </c>
      <c r="AD44" s="382"/>
      <c r="AE44" s="375"/>
      <c r="AF44" s="375"/>
      <c r="AG44" s="375"/>
      <c r="AH44" s="375"/>
      <c r="AI44" s="375"/>
      <c r="AJ44" s="375"/>
      <c r="AK44" s="375"/>
      <c r="AL44" s="375"/>
      <c r="AM44" s="375"/>
      <c r="AN44" s="375"/>
    </row>
    <row r="45" spans="1:40" x14ac:dyDescent="0.35">
      <c r="A45" s="380">
        <v>37</v>
      </c>
      <c r="B45" s="380">
        <v>64.592496437803433</v>
      </c>
      <c r="C45" s="380">
        <v>227.63601096922093</v>
      </c>
      <c r="D45" s="380">
        <v>22.658755022280783</v>
      </c>
      <c r="M45" s="379"/>
      <c r="N45" s="375">
        <v>47.3</v>
      </c>
      <c r="O45" s="396" t="s">
        <v>497</v>
      </c>
      <c r="P45" s="396">
        <v>400</v>
      </c>
      <c r="Q45" s="375"/>
      <c r="S45" s="391"/>
      <c r="T45" s="378"/>
      <c r="U45" s="375"/>
      <c r="V45" s="375"/>
      <c r="W45" s="375"/>
      <c r="X45" s="375"/>
      <c r="Y45" s="375"/>
      <c r="Z45" s="382"/>
      <c r="AA45" s="382"/>
      <c r="AB45" s="382">
        <v>38034.303999999996</v>
      </c>
      <c r="AC45" s="382">
        <v>17259.005200000003</v>
      </c>
      <c r="AD45" s="382"/>
      <c r="AE45" s="375"/>
      <c r="AF45" s="375"/>
      <c r="AG45" s="375"/>
      <c r="AH45" s="375"/>
      <c r="AI45" s="375"/>
      <c r="AJ45" s="375"/>
      <c r="AK45" s="375"/>
      <c r="AL45" s="375"/>
      <c r="AM45" s="375"/>
      <c r="AN45" s="375"/>
    </row>
    <row r="46" spans="1:40" x14ac:dyDescent="0.35">
      <c r="A46" s="380">
        <v>72</v>
      </c>
      <c r="B46" s="380">
        <v>244.67048869901811</v>
      </c>
      <c r="C46" s="380">
        <v>924.39672643125209</v>
      </c>
      <c r="D46" s="380">
        <v>21.433704016136893</v>
      </c>
      <c r="M46" s="379"/>
      <c r="N46" s="375">
        <v>63.5</v>
      </c>
      <c r="O46" s="396"/>
      <c r="P46" s="396">
        <v>300</v>
      </c>
      <c r="Q46" s="375"/>
      <c r="S46" s="391"/>
      <c r="X46" s="375"/>
      <c r="Y46" s="375"/>
      <c r="Z46" s="382"/>
      <c r="AA46" s="382"/>
      <c r="AB46" s="382">
        <v>10227.712</v>
      </c>
      <c r="AC46" s="382">
        <v>1776.6623</v>
      </c>
      <c r="AD46" s="382"/>
      <c r="AE46" s="375"/>
      <c r="AF46" s="375"/>
      <c r="AG46" s="375"/>
      <c r="AH46" s="375"/>
      <c r="AI46" s="375"/>
      <c r="AJ46" s="375"/>
      <c r="AK46" s="375"/>
      <c r="AL46" s="375"/>
      <c r="AM46" s="375"/>
      <c r="AN46" s="375"/>
    </row>
    <row r="47" spans="1:40" x14ac:dyDescent="0.35">
      <c r="A47" s="380">
        <v>70</v>
      </c>
      <c r="B47" s="380">
        <v>41.855576794945001</v>
      </c>
      <c r="C47" s="380">
        <v>139.5278886604215</v>
      </c>
      <c r="D47" s="380">
        <v>188.28120862909094</v>
      </c>
      <c r="M47" s="379"/>
      <c r="N47" s="375">
        <v>59.2</v>
      </c>
      <c r="O47" s="396"/>
      <c r="P47" s="396">
        <v>300</v>
      </c>
      <c r="Q47" s="375"/>
      <c r="S47" s="391"/>
      <c r="T47" s="391"/>
      <c r="U47" s="375"/>
      <c r="V47" s="375"/>
      <c r="W47" s="375"/>
      <c r="X47" s="375"/>
      <c r="Y47" s="375"/>
      <c r="Z47" s="382"/>
      <c r="AA47" s="382"/>
      <c r="AB47" s="382">
        <v>30842.944</v>
      </c>
      <c r="AC47" s="382">
        <v>13451.8717</v>
      </c>
      <c r="AD47" s="382"/>
      <c r="AE47" s="375"/>
      <c r="AF47" s="375"/>
      <c r="AG47" s="375"/>
      <c r="AH47" s="375"/>
      <c r="AI47" s="375"/>
      <c r="AJ47" s="375"/>
      <c r="AK47" s="375"/>
      <c r="AL47" s="375"/>
      <c r="AM47" s="375"/>
      <c r="AN47" s="375"/>
    </row>
    <row r="48" spans="1:40" x14ac:dyDescent="0.35">
      <c r="A48" s="380">
        <v>43</v>
      </c>
      <c r="B48" s="380">
        <v>24.099253613640048</v>
      </c>
      <c r="C48" s="380">
        <v>61.109480721745996</v>
      </c>
      <c r="D48" s="380">
        <v>1.1875442559508713</v>
      </c>
      <c r="M48" s="379"/>
      <c r="N48" s="375">
        <v>57.5</v>
      </c>
      <c r="O48" s="396"/>
      <c r="P48" s="396">
        <v>500</v>
      </c>
      <c r="Q48" s="375"/>
      <c r="R48" s="375"/>
      <c r="S48" s="375"/>
      <c r="T48" s="375"/>
      <c r="U48" s="375"/>
      <c r="V48" s="391"/>
      <c r="W48" s="391"/>
      <c r="X48" s="391"/>
      <c r="Y48" s="375"/>
      <c r="Z48" s="382"/>
      <c r="AA48" s="382"/>
      <c r="AB48" s="382">
        <v>6392.32</v>
      </c>
      <c r="AC48" s="382">
        <v>1269.0445000000002</v>
      </c>
      <c r="AD48" s="382"/>
      <c r="AE48" s="375"/>
      <c r="AF48" s="375"/>
      <c r="AG48" s="375"/>
      <c r="AH48" s="375"/>
      <c r="AI48" s="375"/>
      <c r="AJ48" s="375"/>
      <c r="AK48" s="375"/>
      <c r="AL48" s="375"/>
      <c r="AM48" s="375"/>
      <c r="AN48" s="375"/>
    </row>
    <row r="49" spans="1:53" x14ac:dyDescent="0.35">
      <c r="A49" s="380" t="s">
        <v>479</v>
      </c>
      <c r="B49" s="380">
        <v>193.61772809641585</v>
      </c>
      <c r="C49" s="380">
        <v>611.63163666117384</v>
      </c>
      <c r="D49" s="380">
        <v>4.3591087548080454</v>
      </c>
      <c r="M49" s="379"/>
      <c r="N49" s="375">
        <v>39.700000000000003</v>
      </c>
      <c r="O49" s="396"/>
      <c r="P49" s="396">
        <v>600</v>
      </c>
      <c r="Q49" s="375"/>
      <c r="R49" s="375"/>
      <c r="S49" s="375"/>
      <c r="T49" s="375"/>
      <c r="U49" s="375"/>
      <c r="V49" s="391"/>
      <c r="W49" s="391"/>
      <c r="X49" s="391"/>
      <c r="Y49" s="375"/>
      <c r="Z49" s="382"/>
      <c r="AA49" s="382"/>
      <c r="AB49" s="382">
        <v>3995.2</v>
      </c>
      <c r="AC49" s="382">
        <v>761.42669999999998</v>
      </c>
      <c r="AD49" s="382"/>
      <c r="AE49" s="375"/>
      <c r="AF49" s="375"/>
      <c r="AG49" s="375"/>
      <c r="AH49" s="375"/>
      <c r="AI49" s="375"/>
      <c r="AJ49" s="375"/>
      <c r="AK49" s="375"/>
      <c r="AL49" s="375"/>
      <c r="AM49" s="375"/>
      <c r="AN49" s="375"/>
      <c r="BA49" s="345"/>
    </row>
    <row r="50" spans="1:53" x14ac:dyDescent="0.35">
      <c r="A50" s="380" t="s">
        <v>474</v>
      </c>
      <c r="B50" s="380">
        <v>19.559394180786008</v>
      </c>
      <c r="C50" s="380">
        <v>69.088106376172036</v>
      </c>
      <c r="D50" s="380">
        <v>8.1250814126690756</v>
      </c>
      <c r="M50" s="379"/>
      <c r="N50" s="375">
        <v>113</v>
      </c>
      <c r="O50" s="396"/>
      <c r="P50" s="396">
        <v>400</v>
      </c>
      <c r="Q50" s="375"/>
      <c r="R50" s="375"/>
      <c r="S50" s="375"/>
      <c r="T50" s="375"/>
      <c r="U50" s="375"/>
      <c r="V50" s="391"/>
      <c r="W50" s="391"/>
      <c r="X50" s="391"/>
      <c r="Y50" s="375"/>
      <c r="Z50" s="382"/>
      <c r="AA50" s="382"/>
      <c r="AB50" s="382">
        <v>23012.351999999999</v>
      </c>
      <c r="AC50" s="382">
        <v>11421.400499999998</v>
      </c>
      <c r="AD50" s="382"/>
      <c r="AE50" s="375"/>
      <c r="AF50" s="375"/>
      <c r="AG50" s="375"/>
      <c r="AH50" s="375"/>
      <c r="AI50" s="375"/>
      <c r="AJ50" s="375"/>
      <c r="AK50" s="375"/>
      <c r="AL50" s="375"/>
      <c r="AM50" s="375"/>
      <c r="AN50" s="375"/>
      <c r="BA50" s="345"/>
    </row>
    <row r="51" spans="1:53" x14ac:dyDescent="0.35">
      <c r="A51" s="380">
        <v>69</v>
      </c>
      <c r="B51" s="380">
        <v>19.489915759068445</v>
      </c>
      <c r="C51" s="380">
        <v>58.702383228353924</v>
      </c>
      <c r="D51" s="380">
        <v>3.5371802886375603</v>
      </c>
      <c r="M51" s="379"/>
      <c r="N51" s="375">
        <v>103</v>
      </c>
      <c r="O51" s="396"/>
      <c r="P51" s="396">
        <v>600</v>
      </c>
      <c r="Q51" s="375"/>
      <c r="R51" s="375"/>
      <c r="S51" s="375"/>
      <c r="T51" s="375"/>
      <c r="U51" s="375"/>
      <c r="V51" s="391"/>
      <c r="W51" s="391"/>
      <c r="X51" s="391"/>
      <c r="Y51" s="375"/>
      <c r="Z51" s="382"/>
      <c r="AA51" s="382"/>
      <c r="AB51" s="382">
        <v>38034.303999999996</v>
      </c>
      <c r="AC51" s="382">
        <v>17005.1963</v>
      </c>
      <c r="AD51" s="382"/>
      <c r="AE51" s="375"/>
      <c r="AF51" s="375"/>
      <c r="AG51" s="375"/>
      <c r="AH51" s="375"/>
      <c r="AI51" s="375"/>
      <c r="AJ51" s="375"/>
      <c r="AK51" s="375"/>
      <c r="AL51" s="375"/>
      <c r="AM51" s="375"/>
      <c r="BA51" s="345"/>
    </row>
    <row r="52" spans="1:53" x14ac:dyDescent="0.35">
      <c r="A52" s="380">
        <v>34</v>
      </c>
      <c r="B52" s="380">
        <v>29.555666656007539</v>
      </c>
      <c r="C52" s="380">
        <v>80.645208817383548</v>
      </c>
      <c r="D52" s="380">
        <v>2.6593970565776628</v>
      </c>
      <c r="M52" s="379"/>
      <c r="N52" s="375">
        <v>61.9</v>
      </c>
      <c r="O52" s="396"/>
      <c r="P52" s="396">
        <v>500</v>
      </c>
      <c r="Q52" s="375"/>
      <c r="R52" s="375"/>
      <c r="S52" s="375"/>
      <c r="T52" s="375"/>
      <c r="U52" s="375"/>
      <c r="V52" s="391"/>
      <c r="W52" s="391"/>
      <c r="X52" s="391"/>
      <c r="Y52" s="375"/>
      <c r="Z52" s="382"/>
      <c r="AA52" s="382"/>
      <c r="AB52" s="382">
        <v>37235.264000000003</v>
      </c>
      <c r="AC52" s="382">
        <v>17766.623000000003</v>
      </c>
      <c r="AD52" s="382"/>
      <c r="AE52" s="375"/>
      <c r="AF52" s="375"/>
      <c r="AG52" s="375"/>
      <c r="AH52" s="375"/>
      <c r="AI52" s="375"/>
      <c r="AJ52" s="375"/>
      <c r="AK52" s="375"/>
      <c r="AL52" s="375"/>
      <c r="AM52" s="375"/>
      <c r="BA52" s="345"/>
    </row>
    <row r="53" spans="1:53" x14ac:dyDescent="0.35">
      <c r="A53" s="380">
        <v>26</v>
      </c>
      <c r="B53" s="380">
        <v>27.638415494960107</v>
      </c>
      <c r="C53" s="380">
        <v>90.878413376184412</v>
      </c>
      <c r="D53" s="380">
        <v>1.6916347584154674</v>
      </c>
      <c r="M53" s="379"/>
      <c r="N53" s="375">
        <v>50.2</v>
      </c>
      <c r="O53" s="396"/>
      <c r="P53" s="396">
        <v>400</v>
      </c>
      <c r="Q53" s="375"/>
      <c r="R53" s="375"/>
      <c r="S53" s="375"/>
      <c r="T53" s="375"/>
      <c r="U53" s="375"/>
      <c r="V53" s="391"/>
      <c r="W53" s="391"/>
      <c r="X53" s="391"/>
      <c r="Y53" s="375"/>
      <c r="Z53" s="382"/>
      <c r="AA53" s="382"/>
      <c r="AB53" s="382">
        <v>6552.1279999999997</v>
      </c>
      <c r="AC53" s="382">
        <v>2284.2800999999999</v>
      </c>
      <c r="AD53" s="382"/>
      <c r="AE53" s="375"/>
      <c r="AF53" s="375"/>
      <c r="AG53" s="375"/>
      <c r="AH53" s="375"/>
      <c r="AI53" s="375"/>
      <c r="AJ53" s="375"/>
      <c r="AK53" s="375"/>
      <c r="AL53" s="375"/>
      <c r="AM53" s="375"/>
      <c r="BA53" s="345"/>
    </row>
    <row r="54" spans="1:53" x14ac:dyDescent="0.35">
      <c r="A54" s="384">
        <v>24</v>
      </c>
      <c r="B54" s="384">
        <v>27.076639662064405</v>
      </c>
      <c r="C54" s="384">
        <v>102.06484620419124</v>
      </c>
      <c r="D54" s="384">
        <v>1.8226537537000485</v>
      </c>
      <c r="E54" s="397"/>
      <c r="F54" s="397"/>
      <c r="G54" s="397"/>
      <c r="H54" s="397"/>
      <c r="I54" s="397"/>
      <c r="M54" s="379"/>
      <c r="N54" s="375">
        <v>63.6</v>
      </c>
      <c r="O54" s="396"/>
      <c r="P54" s="396">
        <v>500</v>
      </c>
      <c r="Q54" s="375"/>
      <c r="R54" s="375"/>
      <c r="S54" s="375"/>
      <c r="T54" s="375"/>
      <c r="U54" s="375"/>
      <c r="V54" s="391"/>
      <c r="W54" s="391"/>
      <c r="X54" s="391"/>
      <c r="Y54" s="375"/>
      <c r="Z54" s="382"/>
      <c r="AA54" s="382"/>
      <c r="AB54" s="382">
        <v>6072.7039999999997</v>
      </c>
      <c r="AC54" s="382">
        <v>1522.8534</v>
      </c>
      <c r="AD54" s="382"/>
      <c r="AE54" s="375"/>
      <c r="AF54" s="375"/>
      <c r="AG54" s="375"/>
      <c r="AH54" s="375"/>
      <c r="AI54" s="375"/>
      <c r="AJ54" s="375"/>
      <c r="AK54" s="375"/>
      <c r="AL54" s="375"/>
      <c r="AM54" s="375"/>
      <c r="BA54" s="345"/>
    </row>
    <row r="55" spans="1:53" x14ac:dyDescent="0.35">
      <c r="A55" s="398"/>
      <c r="B55" s="398">
        <v>30</v>
      </c>
      <c r="C55" s="380">
        <v>85.8</v>
      </c>
      <c r="D55" s="380">
        <v>7.5</v>
      </c>
      <c r="M55" s="379"/>
      <c r="N55" s="375">
        <v>63.3</v>
      </c>
      <c r="O55" s="396"/>
      <c r="P55" s="396">
        <v>400</v>
      </c>
      <c r="Q55" s="375"/>
      <c r="R55" s="375"/>
      <c r="S55" s="375"/>
      <c r="T55" s="375"/>
      <c r="U55" s="375"/>
      <c r="V55" s="391"/>
      <c r="W55" s="391"/>
      <c r="X55" s="391"/>
      <c r="Y55" s="375"/>
      <c r="Z55" s="382"/>
      <c r="AA55" s="382"/>
      <c r="AB55" s="382">
        <v>30363.52</v>
      </c>
      <c r="AC55" s="382">
        <v>14720.916200000001</v>
      </c>
      <c r="AD55" s="382"/>
      <c r="AE55" s="375"/>
      <c r="AF55" s="375"/>
      <c r="AG55" s="375"/>
      <c r="AH55" s="375"/>
      <c r="AI55" s="375"/>
      <c r="AJ55" s="375"/>
      <c r="AK55" s="375"/>
      <c r="AL55" s="375"/>
      <c r="AM55" s="375"/>
    </row>
    <row r="56" spans="1:53" x14ac:dyDescent="0.35">
      <c r="A56" s="398"/>
      <c r="B56" s="398">
        <v>14</v>
      </c>
      <c r="C56" s="380">
        <v>58.7</v>
      </c>
      <c r="D56" s="380">
        <v>250.3</v>
      </c>
      <c r="M56" s="379"/>
      <c r="N56" s="375">
        <v>279</v>
      </c>
      <c r="O56" s="396"/>
      <c r="P56" s="396">
        <v>300</v>
      </c>
      <c r="Q56" s="375"/>
      <c r="R56" s="375"/>
      <c r="S56" s="375"/>
      <c r="T56" s="375"/>
      <c r="U56" s="375"/>
      <c r="V56" s="391"/>
      <c r="W56" s="391"/>
      <c r="X56" s="391"/>
      <c r="Y56" s="375"/>
      <c r="Z56" s="382"/>
      <c r="AA56" s="382"/>
      <c r="AB56" s="382">
        <v>35477.375999999997</v>
      </c>
      <c r="AC56" s="382">
        <v>13705.6806</v>
      </c>
      <c r="AD56" s="382"/>
      <c r="AE56" s="375"/>
      <c r="AF56" s="375"/>
      <c r="AG56" s="375"/>
      <c r="AH56" s="375"/>
      <c r="AI56" s="375"/>
      <c r="AJ56" s="375"/>
      <c r="AK56" s="375"/>
      <c r="AL56" s="375"/>
      <c r="AM56" s="375"/>
    </row>
    <row r="57" spans="1:53" x14ac:dyDescent="0.35">
      <c r="A57" s="398"/>
      <c r="B57" s="398">
        <v>135</v>
      </c>
      <c r="C57" s="380">
        <v>392.9</v>
      </c>
      <c r="D57" s="380">
        <v>37.9</v>
      </c>
      <c r="M57" s="379"/>
      <c r="N57" s="375">
        <v>320</v>
      </c>
      <c r="O57" s="396"/>
      <c r="P57" s="396">
        <v>600</v>
      </c>
      <c r="Q57" s="375"/>
      <c r="R57" s="375"/>
      <c r="S57" s="375"/>
      <c r="T57" s="375"/>
      <c r="U57" s="375"/>
      <c r="V57" s="391"/>
      <c r="W57" s="391"/>
      <c r="X57" s="391"/>
      <c r="Y57" s="375"/>
      <c r="Z57" s="382"/>
      <c r="AA57" s="382"/>
      <c r="AB57" s="382">
        <v>18218.112000000001</v>
      </c>
      <c r="AC57" s="382">
        <v>9898.5470999999998</v>
      </c>
      <c r="AD57" s="382"/>
      <c r="AE57" s="375"/>
      <c r="AF57" s="375"/>
      <c r="AG57" s="375"/>
      <c r="AH57" s="375"/>
      <c r="AI57" s="375"/>
      <c r="AJ57" s="375"/>
      <c r="AK57" s="375"/>
      <c r="AL57" s="375"/>
      <c r="AM57" s="375"/>
    </row>
    <row r="58" spans="1:53" x14ac:dyDescent="0.35">
      <c r="A58" s="398"/>
      <c r="B58" s="398">
        <v>237</v>
      </c>
      <c r="C58" s="380">
        <v>785</v>
      </c>
      <c r="D58" s="380">
        <v>0.7</v>
      </c>
      <c r="M58" s="379"/>
      <c r="N58" s="375">
        <v>114</v>
      </c>
      <c r="O58" s="396"/>
      <c r="P58" s="396">
        <v>500</v>
      </c>
      <c r="Q58" s="375"/>
      <c r="R58" s="375"/>
      <c r="S58" s="375"/>
      <c r="T58" s="375"/>
      <c r="U58" s="375"/>
      <c r="V58" s="391"/>
      <c r="W58" s="391"/>
      <c r="X58" s="391"/>
      <c r="Y58" s="375"/>
      <c r="Z58" s="382"/>
      <c r="AA58" s="382"/>
      <c r="AB58" s="382">
        <v>3355.9680000000003</v>
      </c>
      <c r="AC58" s="382">
        <v>18274.2408</v>
      </c>
      <c r="AD58" s="382"/>
      <c r="AE58" s="375"/>
      <c r="AF58" s="375"/>
      <c r="AG58" s="375"/>
      <c r="AH58" s="375"/>
      <c r="AI58" s="375"/>
      <c r="AJ58" s="375"/>
      <c r="AK58" s="375"/>
      <c r="AL58" s="375"/>
      <c r="AM58" s="375"/>
    </row>
    <row r="59" spans="1:53" x14ac:dyDescent="0.35">
      <c r="A59" s="398"/>
      <c r="B59" s="398"/>
      <c r="C59" s="380"/>
      <c r="D59" s="380"/>
      <c r="M59" s="379"/>
      <c r="N59" s="375">
        <v>96</v>
      </c>
      <c r="O59" s="396"/>
      <c r="P59" s="396">
        <v>1200</v>
      </c>
      <c r="Q59" s="375"/>
      <c r="R59" s="375"/>
      <c r="S59" s="375"/>
      <c r="T59" s="375"/>
      <c r="U59" s="375"/>
      <c r="V59" s="391"/>
      <c r="W59" s="391"/>
      <c r="X59" s="391"/>
      <c r="Y59" s="375"/>
      <c r="Z59" s="382"/>
      <c r="AA59" s="382"/>
      <c r="AB59" s="382">
        <v>35637.183999999994</v>
      </c>
      <c r="AC59" s="382">
        <v>12690.445</v>
      </c>
      <c r="AD59" s="382"/>
      <c r="AE59" s="375"/>
      <c r="AF59" s="375"/>
      <c r="AG59" s="375"/>
      <c r="AH59" s="375"/>
      <c r="AI59" s="375"/>
      <c r="AJ59" s="375"/>
      <c r="AK59" s="375"/>
      <c r="AL59" s="375"/>
      <c r="AM59" s="375"/>
    </row>
    <row r="60" spans="1:53" x14ac:dyDescent="0.35">
      <c r="A60" s="398"/>
      <c r="B60" s="398">
        <v>55</v>
      </c>
      <c r="C60" s="380">
        <v>144.19999999999999</v>
      </c>
      <c r="D60" s="380">
        <v>0.59</v>
      </c>
      <c r="M60" s="379"/>
      <c r="N60" s="375">
        <v>37.9</v>
      </c>
      <c r="O60" s="396"/>
      <c r="P60" s="396">
        <v>600</v>
      </c>
      <c r="Q60" s="375"/>
      <c r="R60" s="375"/>
      <c r="S60" s="375"/>
      <c r="T60" s="375"/>
      <c r="U60" s="375"/>
      <c r="V60" s="391"/>
      <c r="W60" s="391"/>
      <c r="X60" s="391"/>
      <c r="Y60" s="375"/>
      <c r="Z60" s="382"/>
      <c r="AA60" s="382"/>
      <c r="AB60" s="382">
        <v>13583.68</v>
      </c>
      <c r="AC60" s="382">
        <v>507.61779999999999</v>
      </c>
      <c r="AD60" s="382"/>
      <c r="AE60" s="375"/>
      <c r="AF60" s="375"/>
      <c r="AG60" s="375"/>
      <c r="AH60" s="375"/>
      <c r="AI60" s="375"/>
      <c r="AJ60" s="375"/>
      <c r="AK60" s="375"/>
      <c r="AL60" s="375"/>
      <c r="AM60" s="375"/>
    </row>
    <row r="61" spans="1:53" x14ac:dyDescent="0.35">
      <c r="A61" s="398"/>
      <c r="B61" s="398">
        <v>41</v>
      </c>
      <c r="C61" s="380">
        <v>123.8</v>
      </c>
      <c r="D61" s="380">
        <v>0.5</v>
      </c>
      <c r="M61" s="379"/>
      <c r="N61" s="375"/>
      <c r="O61" s="396" t="s">
        <v>487</v>
      </c>
      <c r="P61" s="396">
        <v>100</v>
      </c>
      <c r="Q61" s="375"/>
      <c r="R61" s="375"/>
      <c r="S61" s="375"/>
      <c r="T61" s="375"/>
      <c r="U61" s="375"/>
      <c r="V61" s="391"/>
      <c r="W61" s="391"/>
      <c r="X61" s="391"/>
      <c r="Y61" s="375"/>
      <c r="Z61" s="382"/>
      <c r="AA61" s="382"/>
      <c r="AB61" s="382">
        <v>33879.295999999995</v>
      </c>
      <c r="AC61" s="382">
        <v>17512.814100000003</v>
      </c>
      <c r="AD61" s="382"/>
      <c r="AE61" s="375"/>
      <c r="AF61" s="375"/>
      <c r="AG61" s="375"/>
      <c r="AH61" s="375"/>
      <c r="AI61" s="375"/>
      <c r="AJ61" s="375"/>
      <c r="AK61" s="375"/>
      <c r="AL61" s="375"/>
      <c r="AM61" s="375"/>
    </row>
    <row r="62" spans="1:53" x14ac:dyDescent="0.35">
      <c r="A62" s="398"/>
      <c r="B62" s="398"/>
      <c r="C62" s="380">
        <v>814.9</v>
      </c>
      <c r="D62" s="380">
        <v>1.5</v>
      </c>
      <c r="M62" s="399" t="s">
        <v>498</v>
      </c>
      <c r="N62" s="375">
        <v>204</v>
      </c>
      <c r="O62" s="396" t="s">
        <v>499</v>
      </c>
      <c r="P62" s="396">
        <v>100</v>
      </c>
      <c r="Q62" s="375"/>
      <c r="R62" s="375"/>
      <c r="S62" s="375"/>
      <c r="T62" s="375"/>
      <c r="U62" s="375"/>
      <c r="V62" s="391"/>
      <c r="W62" s="391"/>
      <c r="X62" s="391"/>
      <c r="Y62" s="375"/>
      <c r="Z62" s="382"/>
      <c r="AA62" s="382"/>
      <c r="AB62" s="382">
        <v>42988.351999999999</v>
      </c>
      <c r="AC62" s="382">
        <v>12690.445</v>
      </c>
      <c r="AD62" s="382"/>
      <c r="AE62" s="375"/>
      <c r="AF62" s="375"/>
      <c r="AG62" s="375"/>
      <c r="AH62" s="375"/>
      <c r="AI62" s="375"/>
      <c r="AJ62" s="375"/>
      <c r="AK62" s="375"/>
      <c r="AL62" s="375"/>
      <c r="AM62" s="375"/>
    </row>
    <row r="63" spans="1:53" x14ac:dyDescent="0.35">
      <c r="A63" s="398"/>
      <c r="B63" s="398">
        <v>191</v>
      </c>
      <c r="C63" s="380">
        <v>643.20000000000005</v>
      </c>
      <c r="D63" s="380">
        <v>37.9</v>
      </c>
      <c r="M63" s="379"/>
      <c r="N63" s="375"/>
      <c r="O63" s="396"/>
      <c r="P63" s="396">
        <v>100</v>
      </c>
      <c r="Q63" s="375"/>
      <c r="R63" s="375"/>
      <c r="S63" s="375"/>
      <c r="T63" s="375"/>
      <c r="U63" s="375"/>
      <c r="V63" s="391"/>
      <c r="W63" s="391"/>
      <c r="X63" s="391"/>
      <c r="Y63" s="375"/>
      <c r="Z63" s="382"/>
      <c r="AA63" s="382"/>
      <c r="AB63" s="382">
        <v>42668.736000000004</v>
      </c>
      <c r="AC63" s="382">
        <v>27918.978999999999</v>
      </c>
      <c r="AD63" s="382"/>
      <c r="AE63" s="375"/>
      <c r="AF63" s="375"/>
      <c r="AG63" s="375"/>
      <c r="AH63" s="375"/>
      <c r="AI63" s="375"/>
      <c r="AJ63" s="375"/>
      <c r="AK63" s="375"/>
      <c r="AL63" s="375"/>
      <c r="AM63" s="375"/>
    </row>
    <row r="64" spans="1:53" x14ac:dyDescent="0.35">
      <c r="A64" s="398"/>
      <c r="B64" s="398">
        <v>200</v>
      </c>
      <c r="C64" s="380">
        <v>373.3</v>
      </c>
      <c r="D64" s="380">
        <v>5.9</v>
      </c>
      <c r="M64" s="379"/>
      <c r="N64" s="375"/>
      <c r="O64" s="396"/>
      <c r="P64" s="396">
        <v>100</v>
      </c>
      <c r="Q64" s="375"/>
      <c r="R64" s="375"/>
      <c r="S64" s="375"/>
      <c r="T64" s="375"/>
      <c r="U64" s="375"/>
      <c r="V64" s="391"/>
      <c r="W64" s="391"/>
      <c r="X64" s="391"/>
      <c r="Y64" s="375"/>
      <c r="Z64" s="382"/>
      <c r="AA64" s="382"/>
      <c r="AB64" s="382">
        <v>45225.663999999997</v>
      </c>
      <c r="AC64" s="382">
        <v>29188.023499999999</v>
      </c>
      <c r="AD64" s="382"/>
      <c r="AE64" s="375"/>
      <c r="AF64" s="375"/>
      <c r="AG64" s="375"/>
      <c r="AH64" s="375"/>
      <c r="AI64" s="375"/>
      <c r="AJ64" s="375"/>
      <c r="AK64" s="375"/>
      <c r="AL64" s="375"/>
      <c r="AM64" s="375"/>
    </row>
    <row r="65" spans="1:46" x14ac:dyDescent="0.35">
      <c r="A65" s="398"/>
      <c r="B65" s="398">
        <v>198</v>
      </c>
      <c r="C65" s="380">
        <v>460.1</v>
      </c>
      <c r="D65" s="380">
        <v>0.7</v>
      </c>
      <c r="M65" s="379"/>
      <c r="N65" s="375"/>
      <c r="O65" s="396"/>
      <c r="P65" s="396">
        <v>100</v>
      </c>
      <c r="Q65" s="375"/>
      <c r="R65" s="375"/>
      <c r="S65" s="375"/>
      <c r="T65" s="375"/>
      <c r="U65" s="375"/>
      <c r="V65" s="391"/>
      <c r="W65" s="391"/>
      <c r="X65" s="391"/>
      <c r="Y65" s="375"/>
      <c r="Z65" s="382"/>
      <c r="AA65" s="382"/>
      <c r="AB65" s="382">
        <v>45864.895999999993</v>
      </c>
      <c r="AC65" s="382">
        <v>35533.246000000006</v>
      </c>
      <c r="AD65" s="382"/>
      <c r="AE65" s="375"/>
      <c r="AF65" s="375"/>
      <c r="AG65" s="375"/>
      <c r="AH65" s="375"/>
      <c r="AI65" s="375"/>
      <c r="AJ65" s="375"/>
      <c r="AK65" s="375"/>
      <c r="AL65" s="375"/>
      <c r="AM65" s="375"/>
    </row>
    <row r="66" spans="1:46" x14ac:dyDescent="0.35">
      <c r="A66" s="398"/>
      <c r="B66" s="398"/>
      <c r="C66" s="380">
        <v>340.7</v>
      </c>
      <c r="D66" s="380">
        <v>1.7</v>
      </c>
      <c r="M66" s="379"/>
      <c r="N66" s="375"/>
      <c r="O66" s="396"/>
      <c r="P66" s="396">
        <v>100</v>
      </c>
      <c r="Q66" s="375"/>
      <c r="R66" s="375"/>
      <c r="S66" s="375"/>
      <c r="T66" s="375"/>
      <c r="U66" s="375"/>
      <c r="V66" s="391"/>
      <c r="W66" s="391"/>
      <c r="X66" s="391"/>
      <c r="Y66" s="375"/>
      <c r="Z66" s="382"/>
      <c r="AA66" s="382"/>
      <c r="AB66" s="382">
        <v>67758.59199999999</v>
      </c>
      <c r="AC66" s="382">
        <v>46700.837599999999</v>
      </c>
      <c r="AD66" s="382"/>
      <c r="AE66" s="375"/>
      <c r="AF66" s="375"/>
      <c r="AG66" s="375"/>
      <c r="AH66" s="375"/>
      <c r="AI66" s="375"/>
      <c r="AJ66" s="375"/>
      <c r="AK66" s="375"/>
      <c r="AL66" s="375"/>
      <c r="AM66" s="375"/>
    </row>
    <row r="67" spans="1:46" x14ac:dyDescent="0.35">
      <c r="A67" s="398"/>
      <c r="B67" s="398">
        <v>193</v>
      </c>
      <c r="C67" s="380">
        <v>360.1</v>
      </c>
      <c r="D67" s="380">
        <v>1</v>
      </c>
      <c r="M67" s="379"/>
      <c r="N67" s="375"/>
      <c r="O67" s="396"/>
      <c r="P67" s="396">
        <v>200</v>
      </c>
      <c r="Q67" s="375"/>
      <c r="R67" s="375"/>
      <c r="S67" s="375"/>
      <c r="T67" s="375"/>
      <c r="U67" s="375"/>
      <c r="V67" s="391"/>
      <c r="W67" s="391"/>
      <c r="X67" s="391"/>
      <c r="Y67" s="375"/>
      <c r="Z67" s="382"/>
      <c r="AA67" s="382"/>
      <c r="AB67" s="382">
        <v>51617.983999999997</v>
      </c>
      <c r="AC67" s="382">
        <v>46193.219799999999</v>
      </c>
      <c r="AD67" s="382"/>
      <c r="AE67" s="375"/>
      <c r="AF67" s="375"/>
      <c r="AG67" s="375"/>
      <c r="AH67" s="375"/>
      <c r="AI67" s="375"/>
      <c r="AJ67" s="375"/>
      <c r="AK67" s="375"/>
      <c r="AL67" s="375"/>
      <c r="AM67" s="375"/>
    </row>
    <row r="68" spans="1:46" x14ac:dyDescent="0.35">
      <c r="A68" s="398"/>
      <c r="B68" s="398">
        <v>582</v>
      </c>
      <c r="C68" s="380">
        <v>1490.3</v>
      </c>
      <c r="D68" s="380">
        <v>2.1</v>
      </c>
      <c r="M68" s="379"/>
      <c r="N68" s="375"/>
      <c r="O68" s="396"/>
      <c r="P68" s="396">
        <v>100</v>
      </c>
      <c r="Q68" s="375"/>
      <c r="R68" s="375"/>
      <c r="S68" s="375"/>
      <c r="T68" s="375"/>
      <c r="U68" s="375"/>
      <c r="V68" s="391"/>
      <c r="W68" s="400"/>
      <c r="X68" s="391"/>
      <c r="Y68" s="375"/>
      <c r="Z68" s="382"/>
      <c r="AA68" s="382"/>
      <c r="AB68" s="382">
        <v>56252.41599999999</v>
      </c>
      <c r="AC68" s="382">
        <v>53046.060099999995</v>
      </c>
      <c r="AD68" s="382"/>
      <c r="AE68" s="375"/>
      <c r="AF68" s="375"/>
      <c r="AG68" s="375"/>
      <c r="AH68" s="375"/>
      <c r="AI68" s="375"/>
      <c r="AJ68" s="375"/>
      <c r="AK68" s="375"/>
      <c r="AL68" s="375"/>
      <c r="AM68" s="375"/>
    </row>
    <row r="69" spans="1:46" x14ac:dyDescent="0.35">
      <c r="A69" s="398"/>
      <c r="B69" s="398">
        <v>875</v>
      </c>
      <c r="C69" s="380">
        <v>2484.4</v>
      </c>
      <c r="D69" s="380">
        <v>5.2</v>
      </c>
      <c r="M69" s="379"/>
      <c r="N69" s="375"/>
      <c r="O69" s="396"/>
      <c r="P69" s="396">
        <v>300</v>
      </c>
      <c r="Q69" s="375"/>
      <c r="R69" s="375"/>
      <c r="S69" s="375"/>
      <c r="T69" s="375"/>
      <c r="U69" s="375"/>
      <c r="V69" s="391"/>
      <c r="W69" s="391"/>
      <c r="X69" s="391"/>
      <c r="Y69" s="375"/>
      <c r="Z69" s="382"/>
      <c r="AA69" s="382"/>
      <c r="AB69" s="382">
        <v>50019.904000000002</v>
      </c>
      <c r="AC69" s="382">
        <v>38325.143900000003</v>
      </c>
      <c r="AD69" s="382"/>
      <c r="AE69" s="375"/>
      <c r="AF69" s="375"/>
      <c r="AG69" s="375"/>
      <c r="AH69" s="375"/>
      <c r="AI69" s="375"/>
      <c r="AJ69" s="375"/>
      <c r="AK69" s="375"/>
      <c r="AL69" s="375"/>
      <c r="AM69" s="375"/>
    </row>
    <row r="70" spans="1:46" x14ac:dyDescent="0.35">
      <c r="A70" s="398"/>
      <c r="B70" s="398">
        <v>82</v>
      </c>
      <c r="C70" s="380">
        <v>82</v>
      </c>
      <c r="D70" s="380"/>
      <c r="M70" s="379"/>
      <c r="N70" s="375"/>
      <c r="O70" s="396"/>
      <c r="P70" s="396">
        <v>400</v>
      </c>
      <c r="Q70" s="375"/>
      <c r="R70" s="375"/>
      <c r="S70" s="375"/>
      <c r="T70" s="375"/>
      <c r="U70" s="375"/>
      <c r="V70" s="391"/>
      <c r="W70" s="400"/>
      <c r="X70" s="391"/>
      <c r="Y70" s="375"/>
      <c r="Z70" s="382"/>
      <c r="AA70" s="382"/>
      <c r="AB70" s="382">
        <v>52417.023999999998</v>
      </c>
      <c r="AC70" s="382">
        <v>49238.926599999999</v>
      </c>
      <c r="AD70" s="382"/>
      <c r="AE70" s="375"/>
      <c r="AF70" s="375"/>
      <c r="AG70" s="375"/>
      <c r="AH70" s="375"/>
      <c r="AI70" s="375"/>
      <c r="AJ70" s="375"/>
      <c r="AK70" s="375"/>
      <c r="AL70" s="375"/>
      <c r="AM70" s="375"/>
    </row>
    <row r="71" spans="1:46" x14ac:dyDescent="0.35">
      <c r="A71" s="398"/>
      <c r="B71" s="398">
        <v>60</v>
      </c>
      <c r="C71" s="380">
        <v>56.4</v>
      </c>
      <c r="D71" s="380">
        <v>21.9</v>
      </c>
      <c r="M71" s="379"/>
      <c r="N71" s="375"/>
      <c r="O71" s="396"/>
      <c r="P71" s="396">
        <v>100</v>
      </c>
      <c r="Q71" s="375"/>
      <c r="R71" s="375"/>
      <c r="S71" s="375"/>
      <c r="T71" s="375"/>
      <c r="U71" s="375"/>
      <c r="V71" s="391"/>
      <c r="W71" s="400"/>
      <c r="X71" s="391"/>
      <c r="Y71" s="375"/>
      <c r="Z71" s="382"/>
      <c r="AA71" s="382"/>
      <c r="AB71" s="382">
        <v>47782.591999999997</v>
      </c>
      <c r="AC71" s="382">
        <v>38325.143900000003</v>
      </c>
      <c r="AD71" s="382"/>
      <c r="AE71" s="375"/>
      <c r="AF71" s="375"/>
      <c r="AG71" s="375"/>
      <c r="AH71" s="375"/>
      <c r="AI71" s="375"/>
      <c r="AJ71" s="375"/>
      <c r="AK71" s="375"/>
      <c r="AL71" s="375"/>
      <c r="AM71" s="375"/>
    </row>
    <row r="72" spans="1:46" x14ac:dyDescent="0.35">
      <c r="A72" s="398"/>
      <c r="B72" s="398">
        <v>34</v>
      </c>
      <c r="C72" s="380">
        <v>71.8</v>
      </c>
      <c r="D72" s="380">
        <v>113.4</v>
      </c>
      <c r="M72" s="379"/>
      <c r="N72" s="375"/>
      <c r="O72" s="396"/>
      <c r="P72" s="396">
        <v>400</v>
      </c>
      <c r="Q72" s="375"/>
      <c r="R72" s="375"/>
      <c r="S72" s="375"/>
      <c r="T72" s="375"/>
      <c r="U72" s="375"/>
      <c r="V72" s="391"/>
      <c r="W72" s="391"/>
      <c r="X72" s="391"/>
      <c r="Y72" s="375"/>
      <c r="Z72" s="382"/>
      <c r="AA72" s="382"/>
      <c r="AB72" s="382">
        <v>50339.519999999997</v>
      </c>
      <c r="AC72" s="382">
        <v>44162.748599999999</v>
      </c>
      <c r="AD72" s="382"/>
      <c r="AE72" s="375"/>
      <c r="AF72" s="375"/>
      <c r="AG72" s="375"/>
      <c r="AH72" s="375"/>
      <c r="AI72" s="375"/>
      <c r="AJ72" s="375"/>
      <c r="AK72" s="375"/>
      <c r="AL72" s="375"/>
      <c r="AM72" s="375"/>
    </row>
    <row r="73" spans="1:46" x14ac:dyDescent="0.35">
      <c r="A73" s="398"/>
      <c r="B73" s="398">
        <v>103</v>
      </c>
      <c r="C73" s="380">
        <v>87.3</v>
      </c>
      <c r="D73" s="380">
        <v>1.5</v>
      </c>
      <c r="M73" s="379"/>
      <c r="N73" s="375"/>
      <c r="O73" s="396"/>
      <c r="P73" s="396">
        <v>200</v>
      </c>
      <c r="Q73" s="375"/>
      <c r="R73" s="375"/>
      <c r="S73" s="375"/>
      <c r="T73" s="375"/>
      <c r="U73" s="375"/>
      <c r="V73" s="391"/>
      <c r="W73" s="400"/>
      <c r="X73" s="391"/>
      <c r="Y73" s="375"/>
      <c r="Z73" s="382"/>
      <c r="AA73" s="382"/>
      <c r="AB73" s="382">
        <v>46823.743999999992</v>
      </c>
      <c r="AC73" s="382">
        <v>46447.028699999995</v>
      </c>
      <c r="AD73" s="382"/>
      <c r="AE73" s="375"/>
      <c r="AF73" s="375"/>
      <c r="AG73" s="375"/>
      <c r="AH73" s="375"/>
      <c r="AI73" s="375"/>
      <c r="AJ73" s="375"/>
      <c r="AK73" s="375"/>
      <c r="AL73" s="375"/>
      <c r="AM73" s="375"/>
    </row>
    <row r="74" spans="1:46" x14ac:dyDescent="0.35">
      <c r="A74" s="398"/>
      <c r="B74" s="398">
        <v>81</v>
      </c>
      <c r="C74" s="380">
        <v>234.7</v>
      </c>
      <c r="D74" s="380">
        <v>12.6</v>
      </c>
      <c r="M74" s="379"/>
      <c r="N74" s="375"/>
      <c r="O74" s="396"/>
      <c r="P74" s="396">
        <v>100</v>
      </c>
      <c r="Q74" s="375"/>
      <c r="R74" s="375"/>
      <c r="S74" s="375"/>
      <c r="T74" s="375"/>
      <c r="U74" s="375"/>
      <c r="V74" s="391"/>
      <c r="W74" s="400"/>
      <c r="X74" s="391"/>
      <c r="Y74" s="375"/>
      <c r="Z74" s="382"/>
      <c r="AA74" s="382"/>
      <c r="AB74" s="382">
        <v>62325.120000000003</v>
      </c>
      <c r="AC74" s="382">
        <v>50000.353300000002</v>
      </c>
      <c r="AD74" s="382"/>
      <c r="AE74" s="375"/>
      <c r="AF74" s="375"/>
      <c r="AG74" s="375"/>
      <c r="AH74" s="375"/>
      <c r="AI74" s="375"/>
      <c r="AJ74" s="375"/>
      <c r="AK74" s="375"/>
      <c r="AL74" s="375"/>
      <c r="AM74" s="375"/>
    </row>
    <row r="75" spans="1:46" x14ac:dyDescent="0.35">
      <c r="A75" s="398"/>
      <c r="B75" s="398">
        <v>46</v>
      </c>
      <c r="C75" s="380">
        <v>44.3</v>
      </c>
      <c r="D75" s="380">
        <v>7.1</v>
      </c>
      <c r="M75" s="379"/>
      <c r="N75" s="375"/>
      <c r="O75" s="396"/>
      <c r="P75" s="396">
        <v>600</v>
      </c>
      <c r="Q75" s="375"/>
      <c r="R75" s="375"/>
      <c r="S75" s="375"/>
      <c r="T75" s="375"/>
      <c r="U75" s="375"/>
      <c r="V75" s="391"/>
      <c r="W75" s="400"/>
      <c r="X75" s="391"/>
      <c r="Y75" s="375"/>
      <c r="Z75" s="382"/>
      <c r="AA75" s="382"/>
      <c r="AB75" s="382">
        <v>42349.120000000003</v>
      </c>
      <c r="AC75" s="382">
        <v>31979.921399999999</v>
      </c>
      <c r="AD75" s="382"/>
      <c r="AE75" s="375"/>
      <c r="AF75" s="375"/>
      <c r="AG75" s="375"/>
      <c r="AH75" s="375"/>
      <c r="AI75" s="375"/>
      <c r="AJ75" s="375"/>
      <c r="AK75" s="375"/>
      <c r="AL75" s="375"/>
      <c r="AM75" s="375"/>
    </row>
    <row r="76" spans="1:46" x14ac:dyDescent="0.35">
      <c r="A76" s="398"/>
      <c r="B76" s="398">
        <v>77</v>
      </c>
      <c r="C76" s="380">
        <v>69.7</v>
      </c>
      <c r="D76" s="380">
        <v>15.7</v>
      </c>
      <c r="M76" s="379"/>
      <c r="N76" s="375"/>
      <c r="O76" s="396"/>
      <c r="P76" s="396">
        <v>600</v>
      </c>
      <c r="Q76" s="375"/>
      <c r="R76" s="375"/>
      <c r="S76" s="375"/>
      <c r="T76" s="375"/>
      <c r="U76" s="375"/>
      <c r="V76" s="391"/>
      <c r="W76" s="400"/>
      <c r="X76" s="391"/>
      <c r="Y76" s="375"/>
      <c r="Z76" s="382"/>
      <c r="AA76" s="382"/>
      <c r="AB76" s="382">
        <v>37395.072</v>
      </c>
      <c r="AC76" s="382">
        <v>31472.303600000003</v>
      </c>
      <c r="AD76" s="382"/>
      <c r="AE76" s="375"/>
      <c r="AF76" s="375"/>
      <c r="AG76" s="375"/>
      <c r="AH76" s="375"/>
      <c r="AI76" s="375"/>
      <c r="AJ76" s="375"/>
      <c r="AK76" s="375"/>
      <c r="AL76" s="375"/>
      <c r="AM76" s="375"/>
    </row>
    <row r="77" spans="1:46" x14ac:dyDescent="0.35">
      <c r="A77" s="398"/>
      <c r="B77" s="398">
        <v>58</v>
      </c>
      <c r="C77" s="380">
        <v>86.5</v>
      </c>
      <c r="D77" s="380"/>
      <c r="M77" s="379"/>
      <c r="N77" s="375"/>
      <c r="O77" s="396"/>
      <c r="P77" s="396">
        <v>300</v>
      </c>
      <c r="Q77" s="375"/>
      <c r="R77" s="375"/>
      <c r="S77" s="375"/>
      <c r="T77" s="375"/>
      <c r="U77" s="375"/>
      <c r="V77" s="391"/>
      <c r="W77" s="400"/>
      <c r="X77" s="391"/>
      <c r="Y77" s="375"/>
      <c r="Z77" s="382"/>
      <c r="AA77" s="382"/>
      <c r="AB77" s="382">
        <v>43467.776000000005</v>
      </c>
      <c r="AC77" s="382">
        <v>37056.099399999999</v>
      </c>
      <c r="AD77" s="382"/>
      <c r="AE77" s="375"/>
      <c r="AF77" s="375"/>
      <c r="AG77" s="375"/>
      <c r="AH77" s="375"/>
      <c r="AI77" s="375"/>
      <c r="AJ77" s="375"/>
      <c r="AK77" s="375"/>
      <c r="AL77" s="375"/>
      <c r="AM77" s="375"/>
    </row>
    <row r="78" spans="1:46" x14ac:dyDescent="0.35">
      <c r="A78" s="398"/>
      <c r="B78" s="398">
        <v>125</v>
      </c>
      <c r="C78" s="380"/>
      <c r="D78" s="380"/>
      <c r="M78" s="379"/>
      <c r="N78" s="375"/>
      <c r="O78" s="396"/>
      <c r="P78" s="396">
        <v>400</v>
      </c>
      <c r="Q78" s="375"/>
      <c r="R78" s="375"/>
      <c r="S78" s="375"/>
      <c r="T78" s="375"/>
      <c r="U78" s="375"/>
      <c r="V78" s="391"/>
      <c r="W78" s="400"/>
      <c r="X78" s="391"/>
      <c r="Y78" s="375"/>
      <c r="Z78" s="382"/>
      <c r="AA78" s="382"/>
      <c r="AB78" s="382">
        <v>47143.360000000001</v>
      </c>
      <c r="AC78" s="382">
        <v>31472.303600000003</v>
      </c>
      <c r="AD78" s="382"/>
      <c r="AE78" s="375"/>
      <c r="AF78" s="375"/>
      <c r="AG78" s="375"/>
      <c r="AH78" s="375"/>
      <c r="AI78" s="375"/>
      <c r="AJ78" s="375"/>
      <c r="AK78" s="375"/>
      <c r="AL78" s="375"/>
      <c r="AM78" s="375"/>
      <c r="AN78" s="375"/>
      <c r="AO78" s="375"/>
    </row>
    <row r="79" spans="1:46" x14ac:dyDescent="0.35">
      <c r="A79" s="398"/>
      <c r="B79" s="398">
        <v>79</v>
      </c>
      <c r="C79" s="380">
        <v>97.6</v>
      </c>
      <c r="D79" s="380"/>
      <c r="M79" s="379"/>
      <c r="N79" s="375"/>
      <c r="O79" s="396" t="s">
        <v>487</v>
      </c>
      <c r="P79" s="396">
        <v>600</v>
      </c>
      <c r="Q79" s="375"/>
      <c r="R79" s="375"/>
      <c r="S79" s="375"/>
      <c r="T79" s="375"/>
      <c r="U79" s="375"/>
      <c r="V79" s="392"/>
      <c r="W79" s="392"/>
      <c r="X79" s="392"/>
      <c r="Y79" s="375"/>
      <c r="Z79" s="382"/>
      <c r="AA79" s="382"/>
      <c r="AB79" s="382">
        <v>37874.495999999992</v>
      </c>
      <c r="AC79" s="382">
        <v>25634.698899999999</v>
      </c>
      <c r="AD79" s="382"/>
      <c r="AE79" s="375"/>
      <c r="AF79" s="375"/>
      <c r="AG79" s="375"/>
      <c r="AH79" s="375"/>
      <c r="AI79" s="375"/>
      <c r="AJ79" s="375"/>
      <c r="AK79" s="375"/>
      <c r="AL79" s="375"/>
      <c r="AM79" s="375"/>
      <c r="AN79" s="375"/>
      <c r="AO79" s="375"/>
    </row>
    <row r="80" spans="1:46" x14ac:dyDescent="0.35">
      <c r="A80" s="398"/>
      <c r="B80" s="398">
        <v>132</v>
      </c>
      <c r="C80" s="380">
        <v>98</v>
      </c>
      <c r="D80" s="380">
        <v>1.8</v>
      </c>
      <c r="M80" s="379"/>
      <c r="N80" s="375"/>
      <c r="O80" s="396" t="s">
        <v>499</v>
      </c>
      <c r="P80" s="396">
        <v>4600</v>
      </c>
      <c r="Q80" s="375"/>
      <c r="R80" s="375"/>
      <c r="S80" s="375"/>
      <c r="T80" s="375"/>
      <c r="U80" s="375"/>
      <c r="V80" s="391"/>
      <c r="W80" s="391"/>
      <c r="X80" s="391"/>
      <c r="Y80" s="375"/>
      <c r="Z80" s="382"/>
      <c r="AA80" s="382"/>
      <c r="AB80" s="382">
        <v>34997.951999999997</v>
      </c>
      <c r="AC80" s="382">
        <v>21066.138700000003</v>
      </c>
      <c r="AD80" s="382"/>
      <c r="AE80" s="375"/>
      <c r="AF80" s="375"/>
      <c r="AG80" s="375"/>
      <c r="AH80" s="375"/>
      <c r="AI80" s="375"/>
      <c r="AJ80" s="375"/>
      <c r="AK80" s="375"/>
      <c r="AL80" s="375"/>
      <c r="AM80" s="375"/>
      <c r="AN80" s="375"/>
      <c r="AO80" s="375"/>
      <c r="AP80" s="375"/>
      <c r="AQ80" s="375"/>
      <c r="AR80" s="375"/>
      <c r="AS80" s="375"/>
      <c r="AT80" s="375"/>
    </row>
    <row r="81" spans="1:46" x14ac:dyDescent="0.35">
      <c r="A81" s="398"/>
      <c r="B81" s="398">
        <v>62</v>
      </c>
      <c r="C81" s="380">
        <v>58.9</v>
      </c>
      <c r="D81" s="380">
        <v>2.2999999999999998</v>
      </c>
      <c r="M81" s="379"/>
      <c r="N81" s="375"/>
      <c r="O81" s="396"/>
      <c r="P81" s="396">
        <v>2600</v>
      </c>
      <c r="Q81" s="375"/>
      <c r="R81" s="375"/>
      <c r="S81" s="375"/>
      <c r="T81" s="375"/>
      <c r="U81" s="375"/>
      <c r="V81" s="391"/>
      <c r="W81" s="391"/>
      <c r="X81" s="391"/>
      <c r="Y81" s="375"/>
      <c r="Z81" s="382"/>
      <c r="AA81" s="382"/>
      <c r="AB81" s="382">
        <v>34358.719999999994</v>
      </c>
      <c r="AC81" s="382">
        <v>23604.227699999996</v>
      </c>
      <c r="AD81" s="382"/>
      <c r="AE81" s="375"/>
      <c r="AF81" s="375"/>
      <c r="AG81" s="375"/>
      <c r="AH81" s="375"/>
      <c r="AI81" s="375"/>
      <c r="AJ81" s="375"/>
      <c r="AK81" s="375"/>
      <c r="AL81" s="375"/>
      <c r="AM81" s="375"/>
      <c r="AN81" s="375"/>
      <c r="AO81" s="375"/>
      <c r="AP81" s="375"/>
      <c r="AQ81" s="375"/>
      <c r="AR81" s="375"/>
      <c r="AS81" s="375"/>
      <c r="AT81" s="375"/>
    </row>
    <row r="82" spans="1:46" x14ac:dyDescent="0.35">
      <c r="A82" s="387"/>
      <c r="B82" s="387">
        <v>66</v>
      </c>
      <c r="C82" s="384">
        <v>73.8</v>
      </c>
      <c r="D82" s="384">
        <v>1.9</v>
      </c>
      <c r="E82" s="397"/>
      <c r="F82" s="397"/>
      <c r="G82" s="397"/>
      <c r="H82" s="397"/>
      <c r="I82" s="397"/>
      <c r="M82" s="379"/>
      <c r="N82" s="375"/>
      <c r="O82" s="383" t="s">
        <v>490</v>
      </c>
      <c r="P82" s="383">
        <v>400</v>
      </c>
      <c r="Q82" s="375"/>
      <c r="R82" s="375"/>
      <c r="S82" s="375"/>
      <c r="T82" s="375"/>
      <c r="U82" s="375"/>
      <c r="V82" s="392"/>
      <c r="W82" s="392"/>
      <c r="X82" s="392"/>
      <c r="Y82" s="375"/>
      <c r="Z82" s="382"/>
      <c r="AA82" s="382"/>
      <c r="AB82" s="382">
        <v>12784.64</v>
      </c>
      <c r="AC82" s="382">
        <v>7106.6491999999998</v>
      </c>
      <c r="AD82" s="382"/>
      <c r="AE82" s="375"/>
      <c r="AF82" s="375"/>
      <c r="AG82" s="375"/>
      <c r="AH82" s="375"/>
      <c r="AI82" s="375"/>
      <c r="AJ82" s="375"/>
      <c r="AK82" s="375"/>
      <c r="AL82" s="375"/>
      <c r="AM82" s="375"/>
      <c r="AN82" s="375"/>
      <c r="AO82" s="375"/>
      <c r="AP82" s="375"/>
      <c r="AQ82" s="375"/>
      <c r="AR82" s="375"/>
      <c r="AS82" s="375"/>
      <c r="AT82" s="375"/>
    </row>
    <row r="83" spans="1:46" x14ac:dyDescent="0.35">
      <c r="A83" s="401"/>
      <c r="B83" s="401"/>
      <c r="C83" s="401">
        <v>1900</v>
      </c>
      <c r="M83" s="379"/>
      <c r="N83" s="375"/>
      <c r="O83" s="383" t="s">
        <v>500</v>
      </c>
      <c r="P83" s="383">
        <v>400</v>
      </c>
      <c r="Q83" s="375"/>
      <c r="R83" s="375"/>
      <c r="S83" s="375"/>
      <c r="T83" s="375"/>
      <c r="U83" s="375"/>
      <c r="V83" s="391"/>
      <c r="W83" s="391"/>
      <c r="X83" s="391"/>
      <c r="Y83" s="375"/>
      <c r="Z83" s="382"/>
      <c r="AA83" s="382"/>
      <c r="AB83" s="382">
        <v>26048.703999999998</v>
      </c>
      <c r="AC83" s="382">
        <v>16243.7696</v>
      </c>
      <c r="AD83" s="382"/>
      <c r="AE83" s="375"/>
      <c r="AF83" s="375"/>
      <c r="AG83" s="375"/>
      <c r="AH83" s="375"/>
      <c r="AI83" s="375"/>
      <c r="AJ83" s="375"/>
      <c r="AK83" s="375"/>
      <c r="AL83" s="375"/>
      <c r="AM83" s="375"/>
      <c r="AN83" s="375"/>
      <c r="AO83" s="375"/>
      <c r="AP83" s="375"/>
      <c r="AQ83" s="375"/>
      <c r="AR83" s="375"/>
      <c r="AS83" s="375"/>
      <c r="AT83" s="375"/>
    </row>
    <row r="84" spans="1:46" x14ac:dyDescent="0.35">
      <c r="A84" s="398">
        <v>20</v>
      </c>
      <c r="B84" s="398">
        <v>479</v>
      </c>
      <c r="C84" s="398">
        <v>1900</v>
      </c>
      <c r="M84" s="379"/>
      <c r="N84" s="375"/>
      <c r="O84" s="383"/>
      <c r="P84" s="383">
        <v>3800</v>
      </c>
      <c r="Q84" s="375"/>
      <c r="R84" s="375"/>
      <c r="S84" s="375"/>
      <c r="T84" s="375"/>
      <c r="U84" s="375"/>
      <c r="V84" s="391"/>
      <c r="W84" s="391"/>
      <c r="X84" s="391"/>
      <c r="Y84" s="375"/>
      <c r="Z84" s="382"/>
      <c r="AA84" s="382"/>
      <c r="AB84" s="382">
        <v>41230.464</v>
      </c>
      <c r="AC84" s="382">
        <v>23858.036599999999</v>
      </c>
      <c r="AD84" s="382"/>
      <c r="AE84" s="375"/>
      <c r="AF84" s="375"/>
      <c r="AG84" s="375"/>
      <c r="AH84" s="375"/>
      <c r="AI84" s="375"/>
      <c r="AJ84" s="375"/>
      <c r="AK84" s="375"/>
      <c r="AL84" s="375"/>
      <c r="AM84" s="375"/>
      <c r="AN84" s="375"/>
      <c r="AO84" s="375"/>
      <c r="AP84" s="375"/>
      <c r="AQ84" s="375"/>
      <c r="AR84" s="375"/>
      <c r="AS84" s="375"/>
      <c r="AT84" s="375"/>
    </row>
    <row r="85" spans="1:46" x14ac:dyDescent="0.35">
      <c r="A85" s="398"/>
      <c r="B85" s="398"/>
      <c r="C85" s="398">
        <v>3300</v>
      </c>
      <c r="M85" s="379"/>
      <c r="N85" s="375"/>
      <c r="O85" s="383"/>
      <c r="P85" s="383">
        <v>1000</v>
      </c>
      <c r="Q85" s="375"/>
      <c r="R85" s="375"/>
      <c r="S85" s="375"/>
      <c r="T85" s="375"/>
      <c r="U85" s="375"/>
      <c r="V85" s="391"/>
      <c r="W85" s="391"/>
      <c r="X85" s="391"/>
      <c r="Y85" s="375"/>
      <c r="Z85" s="382"/>
      <c r="AA85" s="382"/>
      <c r="AB85" s="382">
        <v>32441.024000000005</v>
      </c>
      <c r="AC85" s="382">
        <v>18274.2408</v>
      </c>
      <c r="AD85" s="382"/>
      <c r="AE85" s="375"/>
      <c r="AF85" s="375"/>
      <c r="AG85" s="375"/>
      <c r="AH85" s="375"/>
      <c r="AI85" s="375"/>
      <c r="AJ85" s="375"/>
      <c r="AK85" s="375"/>
      <c r="AL85" s="375"/>
      <c r="AM85" s="375"/>
      <c r="AN85" s="375"/>
      <c r="AO85" s="375"/>
      <c r="AP85" s="375"/>
      <c r="AQ85" s="375"/>
      <c r="AR85" s="375"/>
      <c r="AS85" s="375"/>
      <c r="AT85" s="375"/>
    </row>
    <row r="86" spans="1:46" x14ac:dyDescent="0.35">
      <c r="A86" s="398">
        <v>29</v>
      </c>
      <c r="B86" s="398">
        <v>458</v>
      </c>
      <c r="C86" s="398">
        <v>2100</v>
      </c>
      <c r="M86" s="379"/>
      <c r="N86" s="375"/>
      <c r="O86" s="396" t="s">
        <v>487</v>
      </c>
      <c r="P86" s="396">
        <v>300</v>
      </c>
      <c r="Q86" s="375"/>
      <c r="R86" s="375"/>
      <c r="S86" s="375"/>
      <c r="T86" s="375"/>
      <c r="U86" s="375"/>
      <c r="V86" s="391"/>
      <c r="W86" s="391"/>
      <c r="X86" s="391"/>
      <c r="Y86" s="375"/>
      <c r="Z86" s="382"/>
      <c r="AA86" s="382"/>
      <c r="AB86" s="382">
        <v>8150.2079999999987</v>
      </c>
      <c r="AC86" s="382">
        <v>3045.7067999999999</v>
      </c>
      <c r="AD86" s="382"/>
      <c r="AE86" s="375"/>
      <c r="AF86" s="375"/>
      <c r="AG86" s="375"/>
      <c r="AH86" s="375"/>
      <c r="AI86" s="375"/>
      <c r="AJ86" s="375"/>
      <c r="AK86" s="375"/>
      <c r="AL86" s="375"/>
      <c r="AM86" s="375"/>
      <c r="AN86" s="375"/>
      <c r="AO86" s="375"/>
      <c r="AP86" s="375"/>
      <c r="AQ86" s="375"/>
      <c r="AR86" s="375"/>
      <c r="AS86" s="375"/>
      <c r="AT86" s="375"/>
    </row>
    <row r="87" spans="1:46" x14ac:dyDescent="0.35">
      <c r="A87" s="398">
        <v>107</v>
      </c>
      <c r="B87" s="398">
        <v>612</v>
      </c>
      <c r="C87" s="398">
        <v>2400</v>
      </c>
      <c r="M87" s="379"/>
      <c r="N87" s="375"/>
      <c r="O87" s="396" t="s">
        <v>501</v>
      </c>
      <c r="P87" s="396">
        <v>3100</v>
      </c>
      <c r="Q87" s="375"/>
      <c r="R87" s="375"/>
      <c r="S87" s="375"/>
      <c r="T87" s="375"/>
      <c r="U87" s="375"/>
      <c r="V87" s="391"/>
      <c r="W87" s="391"/>
      <c r="X87" s="391"/>
      <c r="Y87" s="375"/>
      <c r="Z87" s="382"/>
      <c r="AA87" s="382"/>
      <c r="AB87" s="382">
        <v>39152.959999999992</v>
      </c>
      <c r="AC87" s="382">
        <v>25634.698899999999</v>
      </c>
      <c r="AD87" s="382"/>
      <c r="AE87" s="375"/>
      <c r="AF87" s="375"/>
      <c r="AG87" s="375"/>
      <c r="AH87" s="375"/>
      <c r="AI87" s="375"/>
      <c r="AJ87" s="375"/>
      <c r="AK87" s="375"/>
      <c r="AL87" s="375"/>
      <c r="AM87" s="375"/>
      <c r="AN87" s="375"/>
      <c r="AO87" s="375"/>
      <c r="AP87" s="375"/>
      <c r="AQ87" s="375"/>
      <c r="AR87" s="375"/>
      <c r="AS87" s="375"/>
      <c r="AT87" s="375"/>
    </row>
    <row r="88" spans="1:46" x14ac:dyDescent="0.35">
      <c r="A88" s="398"/>
      <c r="B88" s="398"/>
      <c r="C88" s="398">
        <v>2600</v>
      </c>
      <c r="M88" s="379"/>
      <c r="N88" s="375"/>
      <c r="O88" s="385" t="s">
        <v>491</v>
      </c>
      <c r="P88" s="385">
        <v>800</v>
      </c>
      <c r="Q88" s="375"/>
      <c r="R88" s="375"/>
      <c r="S88" s="375"/>
      <c r="T88" s="375"/>
      <c r="U88" s="375"/>
      <c r="V88" s="392"/>
      <c r="W88" s="392"/>
      <c r="X88" s="392"/>
      <c r="Y88" s="375"/>
      <c r="Z88" s="382"/>
      <c r="AA88" s="382"/>
      <c r="AB88" s="382">
        <v>42668.736000000004</v>
      </c>
      <c r="AC88" s="382">
        <v>24111.845499999999</v>
      </c>
      <c r="AD88" s="382"/>
      <c r="AE88" s="375"/>
      <c r="AF88" s="375"/>
      <c r="AG88" s="375"/>
      <c r="AH88" s="375"/>
      <c r="AI88" s="375"/>
      <c r="AJ88" s="375"/>
      <c r="AK88" s="375"/>
      <c r="AL88" s="375"/>
      <c r="AM88" s="375"/>
      <c r="AN88" s="375"/>
      <c r="AO88" s="375"/>
      <c r="AP88" s="375"/>
      <c r="AQ88" s="375"/>
      <c r="AR88" s="375"/>
      <c r="AS88" s="375"/>
      <c r="AT88" s="375"/>
    </row>
    <row r="89" spans="1:46" x14ac:dyDescent="0.35">
      <c r="A89" s="398">
        <v>109</v>
      </c>
      <c r="B89" s="398">
        <v>652</v>
      </c>
      <c r="C89" s="398">
        <v>2500</v>
      </c>
      <c r="M89" s="379"/>
      <c r="N89" s="375"/>
      <c r="O89" s="385" t="s">
        <v>502</v>
      </c>
      <c r="P89" s="385">
        <v>1600</v>
      </c>
      <c r="Q89" s="375"/>
      <c r="R89" s="375"/>
      <c r="S89" s="375"/>
      <c r="T89" s="375"/>
      <c r="U89" s="375"/>
      <c r="V89" s="391"/>
      <c r="W89" s="391"/>
      <c r="X89" s="391"/>
      <c r="Y89" s="375"/>
      <c r="Z89" s="382"/>
      <c r="AA89" s="382"/>
      <c r="AB89" s="382">
        <v>31322.368000000002</v>
      </c>
      <c r="AC89" s="382">
        <v>19797.0942</v>
      </c>
      <c r="AD89" s="382"/>
      <c r="AE89" s="375"/>
      <c r="AF89" s="375"/>
      <c r="AG89" s="375"/>
      <c r="AH89" s="375"/>
      <c r="AI89" s="375"/>
      <c r="AJ89" s="375"/>
      <c r="AK89" s="375"/>
      <c r="AL89" s="375"/>
      <c r="AM89" s="375"/>
      <c r="AN89" s="375"/>
      <c r="AO89" s="375"/>
      <c r="AP89" s="375"/>
      <c r="AQ89" s="375"/>
      <c r="AR89" s="375"/>
      <c r="AS89" s="375"/>
      <c r="AT89" s="375"/>
    </row>
    <row r="90" spans="1:46" x14ac:dyDescent="0.35">
      <c r="A90" s="398"/>
      <c r="B90" s="398"/>
      <c r="C90" s="398">
        <v>1700</v>
      </c>
      <c r="M90" s="379"/>
      <c r="N90" s="375"/>
      <c r="O90" s="385"/>
      <c r="P90" s="385">
        <v>500</v>
      </c>
      <c r="Q90" s="375"/>
      <c r="R90" s="375"/>
      <c r="S90" s="375"/>
      <c r="T90" s="375"/>
      <c r="U90" s="375"/>
      <c r="V90" s="391"/>
      <c r="W90" s="391"/>
      <c r="X90" s="402"/>
      <c r="Y90" s="375"/>
      <c r="Z90" s="382"/>
      <c r="AA90" s="382"/>
      <c r="AB90" s="382">
        <v>41390.271999999997</v>
      </c>
      <c r="AC90" s="382">
        <v>26142.316699999999</v>
      </c>
      <c r="AD90" s="382"/>
      <c r="AE90" s="375"/>
      <c r="AF90" s="375"/>
      <c r="AG90" s="375"/>
      <c r="AH90" s="375"/>
      <c r="AI90" s="375"/>
      <c r="AJ90" s="375"/>
      <c r="AK90" s="375"/>
      <c r="AL90" s="375"/>
      <c r="AM90" s="375"/>
      <c r="AN90" s="375"/>
      <c r="AO90" s="375"/>
      <c r="AP90" s="375"/>
      <c r="AQ90" s="375"/>
      <c r="AR90" s="375"/>
      <c r="AS90" s="375"/>
      <c r="AT90" s="375"/>
    </row>
    <row r="91" spans="1:46" x14ac:dyDescent="0.35">
      <c r="A91" s="398">
        <v>348</v>
      </c>
      <c r="B91" s="398">
        <v>1005</v>
      </c>
      <c r="C91" s="398">
        <v>1400</v>
      </c>
      <c r="M91" s="379"/>
      <c r="N91" s="375"/>
      <c r="O91" s="385"/>
      <c r="P91" s="385">
        <v>100</v>
      </c>
      <c r="Q91" s="375"/>
      <c r="R91" s="375"/>
      <c r="S91" s="375"/>
      <c r="T91" s="375"/>
      <c r="U91" s="375"/>
      <c r="V91" s="391"/>
      <c r="W91" s="391"/>
      <c r="X91" s="391"/>
      <c r="Y91" s="375"/>
      <c r="Z91" s="382"/>
      <c r="AA91" s="382"/>
      <c r="AB91" s="382">
        <v>29244.863999999998</v>
      </c>
      <c r="AC91" s="382">
        <v>21827.565399999999</v>
      </c>
      <c r="AD91" s="382"/>
      <c r="AE91" s="375"/>
      <c r="AF91" s="375"/>
      <c r="AG91" s="375"/>
      <c r="AH91" s="375"/>
      <c r="AI91" s="375"/>
      <c r="AJ91" s="375"/>
      <c r="AK91" s="375"/>
      <c r="AL91" s="375"/>
      <c r="AM91" s="375"/>
      <c r="AN91" s="375"/>
      <c r="AO91" s="375"/>
      <c r="AP91" s="375"/>
      <c r="AQ91" s="375"/>
      <c r="AR91" s="375"/>
      <c r="AS91" s="375"/>
      <c r="AT91" s="375"/>
    </row>
    <row r="92" spans="1:46" x14ac:dyDescent="0.35">
      <c r="A92" s="398"/>
      <c r="B92" s="398"/>
      <c r="C92" s="398">
        <v>1500</v>
      </c>
      <c r="M92" s="379"/>
      <c r="N92" s="375"/>
      <c r="O92" s="385"/>
      <c r="P92" s="385">
        <v>300</v>
      </c>
      <c r="Q92" s="375"/>
      <c r="R92" s="375"/>
      <c r="S92" s="375"/>
      <c r="T92" s="375"/>
      <c r="U92" s="375"/>
      <c r="V92" s="391"/>
      <c r="W92" s="391"/>
      <c r="X92" s="391"/>
      <c r="Y92" s="375"/>
      <c r="Z92" s="382"/>
      <c r="AA92" s="382"/>
      <c r="AB92" s="382">
        <v>40431.423999999999</v>
      </c>
      <c r="AC92" s="382">
        <v>25127.081099999999</v>
      </c>
      <c r="AD92" s="382"/>
      <c r="AE92" s="375"/>
      <c r="AF92" s="375"/>
      <c r="AG92" s="375"/>
      <c r="AH92" s="375"/>
      <c r="AI92" s="375"/>
      <c r="AJ92" s="375"/>
      <c r="AK92" s="375"/>
      <c r="AL92" s="375"/>
      <c r="AM92" s="375"/>
      <c r="AN92" s="375"/>
      <c r="AO92" s="375"/>
      <c r="AP92" s="375"/>
      <c r="AQ92" s="375"/>
      <c r="AR92" s="375"/>
      <c r="AS92" s="375"/>
      <c r="AT92" s="375"/>
    </row>
    <row r="93" spans="1:46" x14ac:dyDescent="0.35">
      <c r="A93" s="398"/>
      <c r="B93" s="398"/>
      <c r="C93" s="398">
        <v>1900</v>
      </c>
      <c r="M93" s="379"/>
      <c r="N93" s="375"/>
      <c r="O93" s="375"/>
      <c r="P93" s="375"/>
      <c r="Q93" s="375"/>
      <c r="R93" s="375"/>
      <c r="S93" s="375"/>
      <c r="T93" s="375"/>
      <c r="U93" s="375"/>
      <c r="V93" s="390"/>
      <c r="W93" s="391"/>
      <c r="X93" s="391"/>
      <c r="Y93" s="375"/>
      <c r="Z93" s="382"/>
      <c r="AA93" s="382"/>
      <c r="AB93" s="382">
        <v>23971.199999999997</v>
      </c>
      <c r="AC93" s="382">
        <v>18781.8586</v>
      </c>
      <c r="AD93" s="382"/>
      <c r="AE93" s="375"/>
      <c r="AF93" s="375"/>
      <c r="AG93" s="375"/>
      <c r="AH93" s="375"/>
      <c r="AI93" s="375"/>
      <c r="AJ93" s="375"/>
      <c r="AK93" s="375"/>
      <c r="AL93" s="375"/>
      <c r="AM93" s="375"/>
      <c r="AN93" s="375"/>
      <c r="AO93" s="375"/>
      <c r="AP93" s="375"/>
      <c r="AQ93" s="375"/>
      <c r="AR93" s="375"/>
      <c r="AS93" s="375"/>
      <c r="AT93" s="375"/>
    </row>
    <row r="94" spans="1:46" x14ac:dyDescent="0.35">
      <c r="A94" s="398"/>
      <c r="B94" s="398"/>
      <c r="C94" s="398">
        <v>1800</v>
      </c>
      <c r="Z94" s="382"/>
      <c r="AA94" s="382"/>
      <c r="AB94" s="382">
        <v>38353.919999999998</v>
      </c>
      <c r="AC94" s="382">
        <v>20304.712000000003</v>
      </c>
      <c r="AD94" s="382"/>
      <c r="AE94" s="375"/>
      <c r="AF94" s="375"/>
      <c r="AG94" s="375"/>
      <c r="AH94" s="375"/>
      <c r="AI94" s="375"/>
      <c r="AJ94" s="375"/>
      <c r="AK94" s="375"/>
      <c r="AL94" s="375"/>
      <c r="AM94" s="375"/>
      <c r="AN94" s="375"/>
      <c r="AO94" s="375"/>
      <c r="AP94" s="375"/>
      <c r="AQ94" s="375"/>
      <c r="AR94" s="375"/>
      <c r="AS94" s="375"/>
      <c r="AT94" s="375"/>
    </row>
    <row r="95" spans="1:46" x14ac:dyDescent="0.35">
      <c r="A95" s="398"/>
      <c r="B95" s="398"/>
      <c r="C95" s="398">
        <v>1900</v>
      </c>
      <c r="Z95" s="382"/>
      <c r="AA95" s="382"/>
      <c r="AB95" s="382">
        <v>39152.959999999992</v>
      </c>
      <c r="AC95" s="382">
        <v>28172.787899999999</v>
      </c>
      <c r="AD95" s="382"/>
      <c r="AE95" s="375"/>
      <c r="AF95" s="375"/>
      <c r="AG95" s="375"/>
      <c r="AH95" s="375"/>
      <c r="AI95" s="375"/>
      <c r="AJ95" s="375"/>
      <c r="AK95" s="375"/>
      <c r="AL95" s="375"/>
      <c r="AM95" s="375"/>
      <c r="AN95" s="375"/>
      <c r="AO95" s="375"/>
      <c r="AP95" s="375"/>
      <c r="AQ95" s="375"/>
      <c r="AR95" s="375"/>
      <c r="AS95" s="375"/>
      <c r="AT95" s="375"/>
    </row>
    <row r="96" spans="1:46" x14ac:dyDescent="0.35">
      <c r="A96" s="398"/>
      <c r="B96" s="398"/>
      <c r="C96" s="398">
        <v>1900</v>
      </c>
      <c r="Z96" s="382"/>
      <c r="AA96" s="382"/>
      <c r="AB96" s="382">
        <v>36276.415999999997</v>
      </c>
      <c r="AC96" s="382">
        <v>24873.272199999999</v>
      </c>
      <c r="AD96" s="382"/>
      <c r="AE96" s="375"/>
      <c r="AF96" s="375"/>
      <c r="AG96" s="375"/>
      <c r="AH96" s="375"/>
      <c r="AI96" s="375"/>
      <c r="AJ96" s="375"/>
      <c r="AK96" s="375"/>
      <c r="AL96" s="375"/>
      <c r="AM96" s="375"/>
      <c r="AN96" s="375"/>
      <c r="AO96" s="375"/>
      <c r="AP96" s="375"/>
      <c r="AQ96" s="375"/>
      <c r="AR96" s="375"/>
      <c r="AS96" s="375"/>
      <c r="AT96" s="375"/>
    </row>
    <row r="97" spans="1:46" x14ac:dyDescent="0.35">
      <c r="A97" s="398"/>
      <c r="B97" s="398"/>
      <c r="C97" s="398">
        <v>1400</v>
      </c>
      <c r="Z97" s="382"/>
      <c r="AA97" s="382"/>
      <c r="AB97" s="382">
        <v>19017.151999999998</v>
      </c>
      <c r="AC97" s="382">
        <v>10659.973800000002</v>
      </c>
      <c r="AD97" s="382"/>
      <c r="AE97" s="375"/>
      <c r="AF97" s="375"/>
      <c r="AG97" s="375"/>
      <c r="AH97" s="375"/>
      <c r="AI97" s="375"/>
      <c r="AJ97" s="375"/>
      <c r="AK97" s="375"/>
      <c r="AL97" s="375"/>
      <c r="AM97" s="375"/>
      <c r="AN97" s="375"/>
      <c r="AO97" s="375"/>
      <c r="AP97" s="375"/>
      <c r="AQ97" s="375"/>
      <c r="AR97" s="375"/>
      <c r="AS97" s="375"/>
      <c r="AT97" s="375"/>
    </row>
    <row r="98" spans="1:46" x14ac:dyDescent="0.35">
      <c r="A98" s="398"/>
      <c r="B98" s="398"/>
      <c r="C98" s="398">
        <v>1200</v>
      </c>
      <c r="Z98" s="382"/>
      <c r="AA98" s="382"/>
      <c r="AB98" s="382">
        <v>36596.031999999999</v>
      </c>
      <c r="AC98" s="382">
        <v>23604.227699999996</v>
      </c>
      <c r="AD98" s="382"/>
      <c r="AE98" s="375"/>
      <c r="AF98" s="375"/>
      <c r="AG98" s="375"/>
      <c r="AH98" s="375"/>
      <c r="AI98" s="375"/>
      <c r="AJ98" s="375"/>
      <c r="AK98" s="375"/>
      <c r="AL98" s="375"/>
      <c r="AM98" s="375"/>
      <c r="AN98" s="375"/>
      <c r="AO98" s="375"/>
      <c r="AP98" s="375"/>
      <c r="AQ98" s="375"/>
      <c r="AR98" s="375"/>
      <c r="AS98" s="375"/>
      <c r="AT98" s="375"/>
    </row>
    <row r="99" spans="1:46" x14ac:dyDescent="0.35">
      <c r="A99" s="398"/>
      <c r="B99" s="398"/>
      <c r="C99" s="398">
        <v>1500</v>
      </c>
      <c r="Z99" s="382"/>
      <c r="AA99" s="382"/>
      <c r="AB99" s="382">
        <v>25249.663999999997</v>
      </c>
      <c r="AC99" s="382">
        <v>15482.3429</v>
      </c>
      <c r="AD99" s="382"/>
      <c r="AE99" s="375"/>
      <c r="AF99" s="375"/>
      <c r="AG99" s="375"/>
      <c r="AH99" s="375"/>
      <c r="AI99" s="375"/>
      <c r="AJ99" s="375"/>
      <c r="AK99" s="375"/>
      <c r="AL99" s="375"/>
      <c r="AM99" s="375"/>
      <c r="AN99" s="375"/>
      <c r="AO99" s="375"/>
      <c r="AP99" s="375"/>
      <c r="AQ99" s="375"/>
      <c r="AR99" s="375"/>
      <c r="AS99" s="375"/>
      <c r="AT99" s="375"/>
    </row>
    <row r="100" spans="1:46" x14ac:dyDescent="0.35">
      <c r="A100" s="398">
        <v>353</v>
      </c>
      <c r="B100" s="398">
        <v>772</v>
      </c>
      <c r="C100" s="398">
        <v>1700</v>
      </c>
      <c r="Z100" s="382"/>
      <c r="AA100" s="382"/>
      <c r="AB100" s="382">
        <v>10547.328</v>
      </c>
      <c r="AC100" s="382">
        <v>7106.6491999999998</v>
      </c>
      <c r="AD100" s="382"/>
      <c r="AE100" s="375"/>
      <c r="AF100" s="375"/>
      <c r="AG100" s="375"/>
      <c r="AH100" s="375"/>
      <c r="AI100" s="375"/>
      <c r="AJ100" s="375"/>
      <c r="AK100" s="375"/>
      <c r="AL100" s="375"/>
      <c r="AM100" s="375"/>
      <c r="AN100" s="375"/>
      <c r="AO100" s="375"/>
      <c r="AP100" s="375"/>
      <c r="AQ100" s="375"/>
      <c r="AR100" s="375"/>
      <c r="AS100" s="375"/>
      <c r="AT100" s="375"/>
    </row>
    <row r="101" spans="1:46" x14ac:dyDescent="0.35">
      <c r="A101" s="398"/>
      <c r="B101" s="398"/>
      <c r="C101" s="398">
        <v>1100</v>
      </c>
      <c r="Z101" s="382"/>
      <c r="AA101" s="382"/>
      <c r="AB101" s="382">
        <v>40591.231999999996</v>
      </c>
      <c r="AC101" s="382">
        <v>24111.845499999999</v>
      </c>
      <c r="AD101" s="382"/>
      <c r="AE101" s="375"/>
      <c r="AF101" s="375"/>
      <c r="AG101" s="375"/>
      <c r="AH101" s="375"/>
      <c r="AI101" s="375"/>
      <c r="AJ101" s="375"/>
      <c r="AK101" s="375"/>
      <c r="AL101" s="375"/>
      <c r="AM101" s="375"/>
      <c r="AN101" s="375"/>
      <c r="AO101" s="375"/>
      <c r="AP101" s="375"/>
      <c r="AQ101" s="375"/>
      <c r="AR101" s="375"/>
      <c r="AS101" s="375"/>
      <c r="AT101" s="375"/>
    </row>
    <row r="102" spans="1:46" x14ac:dyDescent="0.35">
      <c r="A102" s="398"/>
      <c r="B102" s="398"/>
      <c r="C102" s="398">
        <v>1600</v>
      </c>
      <c r="Z102" s="382"/>
      <c r="AA102" s="382"/>
      <c r="AB102" s="382">
        <v>37075.455999999998</v>
      </c>
      <c r="AC102" s="382">
        <v>22081.374299999999</v>
      </c>
      <c r="AD102" s="382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</row>
    <row r="103" spans="1:46" x14ac:dyDescent="0.35">
      <c r="A103" s="398"/>
      <c r="B103" s="398"/>
      <c r="C103" s="398">
        <v>1900</v>
      </c>
      <c r="Z103" s="382"/>
      <c r="AA103" s="382"/>
      <c r="AB103" s="382">
        <v>47462.975999999995</v>
      </c>
      <c r="AC103" s="382">
        <v>35279.437100000003</v>
      </c>
      <c r="AD103" s="382"/>
      <c r="AE103" s="375"/>
      <c r="AF103" s="375"/>
      <c r="AG103" s="375"/>
      <c r="AH103" s="375"/>
      <c r="AI103" s="375"/>
      <c r="AJ103" s="375"/>
      <c r="AK103" s="375"/>
      <c r="AL103" s="375"/>
      <c r="AM103" s="375"/>
      <c r="AN103" s="375"/>
      <c r="AO103" s="375"/>
      <c r="AP103" s="375"/>
      <c r="AQ103" s="375"/>
      <c r="AR103" s="375"/>
      <c r="AS103" s="375"/>
      <c r="AT103" s="375"/>
    </row>
    <row r="104" spans="1:46" x14ac:dyDescent="0.35">
      <c r="A104" s="398"/>
      <c r="B104" s="398"/>
      <c r="C104" s="398">
        <v>2000</v>
      </c>
      <c r="Z104" s="382"/>
      <c r="AA104" s="382"/>
      <c r="AB104" s="382">
        <v>37075.455999999998</v>
      </c>
      <c r="AC104" s="382">
        <v>22081.374299999999</v>
      </c>
      <c r="AD104" s="382"/>
      <c r="AE104" s="375"/>
      <c r="AF104" s="375"/>
      <c r="AG104" s="375"/>
      <c r="AH104" s="375"/>
      <c r="AI104" s="375"/>
      <c r="AJ104" s="375"/>
      <c r="AK104" s="375"/>
      <c r="AL104" s="375"/>
      <c r="AM104" s="375"/>
      <c r="AN104" s="375"/>
      <c r="AO104" s="375"/>
      <c r="AP104" s="375"/>
      <c r="AQ104" s="375"/>
      <c r="AR104" s="375"/>
      <c r="AS104" s="375"/>
      <c r="AT104" s="375"/>
    </row>
    <row r="105" spans="1:46" x14ac:dyDescent="0.35">
      <c r="A105" s="398">
        <v>89</v>
      </c>
      <c r="B105" s="398">
        <v>584</v>
      </c>
      <c r="C105" s="398">
        <v>2000</v>
      </c>
      <c r="Z105" s="382"/>
      <c r="AA105" s="382"/>
      <c r="AB105" s="382">
        <v>51617.983999999997</v>
      </c>
      <c r="AC105" s="382">
        <v>34010.392599999999</v>
      </c>
      <c r="AD105" s="382"/>
      <c r="AE105" s="375"/>
      <c r="AF105" s="375"/>
      <c r="AG105" s="375"/>
      <c r="AH105" s="375"/>
      <c r="AI105" s="375"/>
      <c r="AJ105" s="375"/>
      <c r="AK105" s="375"/>
      <c r="AL105" s="375"/>
      <c r="AM105" s="375"/>
      <c r="AN105" s="375"/>
      <c r="AO105" s="375"/>
      <c r="AP105" s="375"/>
      <c r="AQ105" s="375"/>
      <c r="AR105" s="375"/>
      <c r="AS105" s="375"/>
      <c r="AT105" s="375"/>
    </row>
    <row r="106" spans="1:46" x14ac:dyDescent="0.35">
      <c r="A106" s="398">
        <v>242</v>
      </c>
      <c r="B106" s="398">
        <v>739</v>
      </c>
      <c r="C106" s="398">
        <v>1900</v>
      </c>
      <c r="Z106" s="382"/>
      <c r="AA106" s="382"/>
      <c r="AB106" s="382">
        <v>64402.624000000003</v>
      </c>
      <c r="AC106" s="382">
        <v>23096.609899999999</v>
      </c>
      <c r="AD106" s="382"/>
      <c r="AE106" s="375"/>
      <c r="AF106" s="375"/>
      <c r="AG106" s="375"/>
      <c r="AH106" s="375"/>
      <c r="AI106" s="375"/>
      <c r="AJ106" s="375"/>
      <c r="AK106" s="375"/>
      <c r="AL106" s="375"/>
      <c r="AM106" s="375"/>
      <c r="AN106" s="375"/>
      <c r="AO106" s="375"/>
      <c r="AP106" s="375"/>
      <c r="AQ106" s="375"/>
      <c r="AR106" s="375"/>
      <c r="AS106" s="375"/>
      <c r="AT106" s="375"/>
    </row>
    <row r="107" spans="1:46" x14ac:dyDescent="0.35">
      <c r="A107" s="398"/>
      <c r="B107" s="398"/>
      <c r="C107" s="398">
        <v>2500</v>
      </c>
      <c r="Z107" s="382"/>
      <c r="AA107" s="382"/>
      <c r="AB107" s="382">
        <v>46823.743999999992</v>
      </c>
      <c r="AC107" s="382">
        <v>31726.112499999999</v>
      </c>
      <c r="AD107" s="382"/>
      <c r="AE107" s="375"/>
      <c r="AF107" s="375"/>
      <c r="AG107" s="375"/>
      <c r="AH107" s="375"/>
      <c r="AI107" s="375"/>
      <c r="AJ107" s="375"/>
      <c r="AK107" s="375"/>
      <c r="AL107" s="375"/>
      <c r="AM107" s="375"/>
      <c r="AN107" s="375"/>
      <c r="AO107" s="375"/>
      <c r="AP107" s="375"/>
      <c r="AQ107" s="375"/>
      <c r="AR107" s="375"/>
      <c r="AS107" s="375"/>
      <c r="AT107" s="375"/>
    </row>
    <row r="108" spans="1:46" x14ac:dyDescent="0.35">
      <c r="A108" s="398"/>
      <c r="B108" s="398"/>
      <c r="C108" s="398">
        <v>2300</v>
      </c>
      <c r="Z108" s="382"/>
      <c r="AA108" s="382"/>
      <c r="AB108" s="382">
        <v>22053.504000000001</v>
      </c>
      <c r="AC108" s="382">
        <v>19289.476400000003</v>
      </c>
      <c r="AD108" s="382"/>
      <c r="AE108" s="375"/>
      <c r="AF108" s="375"/>
      <c r="AG108" s="375"/>
      <c r="AH108" s="375"/>
      <c r="AI108" s="375"/>
      <c r="AJ108" s="375"/>
      <c r="AK108" s="375"/>
      <c r="AL108" s="375"/>
      <c r="AM108" s="375"/>
      <c r="AN108" s="375"/>
      <c r="AO108" s="375"/>
      <c r="AP108" s="375"/>
      <c r="AQ108" s="375"/>
      <c r="AR108" s="375"/>
      <c r="AS108" s="375"/>
      <c r="AT108" s="375"/>
    </row>
    <row r="109" spans="1:46" x14ac:dyDescent="0.35">
      <c r="A109" s="398"/>
      <c r="B109" s="398"/>
      <c r="C109" s="398">
        <v>2000</v>
      </c>
      <c r="Z109" s="382"/>
      <c r="AA109" s="382"/>
      <c r="AB109" s="382">
        <v>24450.624</v>
      </c>
      <c r="AC109" s="382">
        <v>23858.036599999999</v>
      </c>
      <c r="AD109" s="382"/>
      <c r="AE109" s="375"/>
      <c r="AF109" s="375"/>
      <c r="AG109" s="375"/>
      <c r="AH109" s="375"/>
      <c r="AI109" s="375"/>
      <c r="AJ109" s="375"/>
      <c r="AK109" s="375"/>
      <c r="AL109" s="375"/>
      <c r="AM109" s="375"/>
      <c r="AN109" s="375"/>
      <c r="AO109" s="375"/>
      <c r="AP109" s="375"/>
      <c r="AQ109" s="375"/>
      <c r="AR109" s="375"/>
      <c r="AS109" s="375"/>
      <c r="AT109" s="375"/>
    </row>
    <row r="110" spans="1:46" x14ac:dyDescent="0.35">
      <c r="A110" s="398">
        <v>146</v>
      </c>
      <c r="B110" s="398">
        <v>917</v>
      </c>
      <c r="C110" s="398">
        <v>2600</v>
      </c>
      <c r="Z110" s="382"/>
      <c r="AA110" s="382"/>
      <c r="AB110" s="382">
        <v>20135.807999999997</v>
      </c>
      <c r="AC110" s="382">
        <v>17005.1963</v>
      </c>
      <c r="AD110" s="382"/>
      <c r="AE110" s="375"/>
      <c r="AF110" s="375"/>
      <c r="AG110" s="375"/>
      <c r="AH110" s="375"/>
      <c r="AI110" s="375"/>
      <c r="AJ110" s="375"/>
      <c r="AK110" s="375"/>
      <c r="AL110" s="375"/>
      <c r="AM110" s="375"/>
      <c r="AN110" s="375"/>
      <c r="AO110" s="375"/>
      <c r="AP110" s="375"/>
      <c r="AQ110" s="375"/>
      <c r="AR110" s="375"/>
      <c r="AS110" s="375"/>
      <c r="AT110" s="375"/>
    </row>
    <row r="111" spans="1:46" x14ac:dyDescent="0.35">
      <c r="A111" s="398">
        <v>152</v>
      </c>
      <c r="B111" s="398">
        <v>495</v>
      </c>
      <c r="C111" s="398">
        <v>1500</v>
      </c>
      <c r="Z111" s="382"/>
      <c r="AA111" s="382"/>
      <c r="AB111" s="382">
        <v>76068.607999999993</v>
      </c>
      <c r="AC111" s="382">
        <v>39340.379500000003</v>
      </c>
      <c r="AD111" s="382"/>
      <c r="AE111" s="375"/>
      <c r="AF111" s="375"/>
      <c r="AG111" s="375"/>
      <c r="AH111" s="375"/>
      <c r="AI111" s="375"/>
      <c r="AJ111" s="375"/>
      <c r="AK111" s="375"/>
      <c r="AL111" s="375"/>
      <c r="AM111" s="375"/>
      <c r="AN111" s="375"/>
      <c r="AO111" s="375"/>
      <c r="AP111" s="375"/>
      <c r="AQ111" s="375"/>
      <c r="AR111" s="375"/>
      <c r="AS111" s="375"/>
      <c r="AT111" s="375"/>
    </row>
    <row r="112" spans="1:46" x14ac:dyDescent="0.35">
      <c r="A112" s="398">
        <v>197</v>
      </c>
      <c r="B112" s="398">
        <v>544</v>
      </c>
      <c r="C112" s="398">
        <v>1200</v>
      </c>
      <c r="Z112" s="382"/>
      <c r="AA112" s="382"/>
      <c r="AB112" s="382">
        <v>3899.3152000000005</v>
      </c>
      <c r="AC112" s="382">
        <v>13451.8717</v>
      </c>
      <c r="AD112" s="382"/>
      <c r="AE112" s="375"/>
      <c r="AF112" s="375"/>
      <c r="AG112" s="375"/>
      <c r="AH112" s="375"/>
      <c r="AI112" s="375"/>
      <c r="AJ112" s="375"/>
      <c r="AK112" s="375"/>
      <c r="AL112" s="375"/>
      <c r="AM112" s="375"/>
      <c r="AN112" s="375"/>
      <c r="AO112" s="375"/>
      <c r="AP112" s="375"/>
      <c r="AQ112" s="375"/>
      <c r="AR112" s="375"/>
      <c r="AS112" s="375"/>
      <c r="AT112" s="375"/>
    </row>
    <row r="113" spans="1:46" x14ac:dyDescent="0.35">
      <c r="A113" s="398">
        <v>158</v>
      </c>
      <c r="B113" s="398">
        <v>319</v>
      </c>
      <c r="C113" s="398">
        <v>700</v>
      </c>
      <c r="Z113" s="382"/>
      <c r="AA113" s="382"/>
      <c r="AB113" s="382">
        <v>30363.52</v>
      </c>
      <c r="AC113" s="382">
        <v>9644.7382000000016</v>
      </c>
      <c r="AD113" s="382"/>
      <c r="AE113" s="375"/>
      <c r="AF113" s="375"/>
      <c r="AG113" s="375"/>
      <c r="AH113" s="375"/>
      <c r="AI113" s="375"/>
      <c r="AJ113" s="375"/>
      <c r="AK113" s="375"/>
      <c r="AL113" s="375"/>
      <c r="AM113" s="375"/>
      <c r="AN113" s="375"/>
      <c r="AO113" s="375"/>
      <c r="AP113" s="375"/>
      <c r="AQ113" s="375"/>
      <c r="AR113" s="375"/>
      <c r="AS113" s="375"/>
      <c r="AT113" s="375"/>
    </row>
    <row r="114" spans="1:46" x14ac:dyDescent="0.35">
      <c r="A114" s="398"/>
      <c r="B114" s="398"/>
      <c r="C114" s="398">
        <v>1400</v>
      </c>
      <c r="Z114" s="382"/>
      <c r="AA114" s="382"/>
      <c r="AB114" s="382">
        <v>11665.983999999999</v>
      </c>
      <c r="AC114" s="382">
        <v>2791.8978999999995</v>
      </c>
      <c r="AD114" s="382"/>
      <c r="AE114" s="375"/>
      <c r="AF114" s="375"/>
      <c r="AG114" s="375"/>
      <c r="AH114" s="375"/>
      <c r="AI114" s="375"/>
      <c r="AJ114" s="375"/>
      <c r="AK114" s="375"/>
      <c r="AL114" s="375"/>
      <c r="AM114" s="375"/>
      <c r="AN114" s="375"/>
      <c r="AO114" s="375"/>
      <c r="AP114" s="375"/>
      <c r="AQ114" s="375"/>
      <c r="AR114" s="375"/>
      <c r="AS114" s="375"/>
      <c r="AT114" s="375"/>
    </row>
    <row r="115" spans="1:46" x14ac:dyDescent="0.35">
      <c r="A115" s="398"/>
      <c r="B115" s="398"/>
      <c r="C115" s="398">
        <v>1000</v>
      </c>
      <c r="Z115" s="382"/>
      <c r="AA115" s="382"/>
      <c r="AB115" s="382">
        <v>28765.439999999995</v>
      </c>
      <c r="AC115" s="382">
        <v>15482.3429</v>
      </c>
      <c r="AD115" s="382"/>
      <c r="AE115" s="375"/>
      <c r="AF115" s="375"/>
      <c r="AG115" s="375"/>
      <c r="AH115" s="375"/>
      <c r="AI115" s="375"/>
      <c r="AJ115" s="375"/>
      <c r="AK115" s="375"/>
      <c r="AL115" s="375"/>
      <c r="AM115" s="375"/>
      <c r="AN115" s="375"/>
      <c r="AO115" s="375"/>
      <c r="AP115" s="375"/>
      <c r="AQ115" s="375"/>
      <c r="AR115" s="375"/>
      <c r="AS115" s="375"/>
      <c r="AT115" s="375"/>
    </row>
    <row r="116" spans="1:46" x14ac:dyDescent="0.35">
      <c r="A116" s="398"/>
      <c r="B116" s="398"/>
      <c r="C116" s="398">
        <v>1600</v>
      </c>
      <c r="Z116" s="382"/>
      <c r="AA116" s="382"/>
      <c r="AB116" s="382">
        <v>19017.151999999998</v>
      </c>
      <c r="AC116" s="382">
        <v>9898.5470999999998</v>
      </c>
      <c r="AD116" s="382"/>
      <c r="AE116" s="375"/>
      <c r="AF116" s="375"/>
      <c r="AG116" s="375"/>
      <c r="AH116" s="375"/>
      <c r="AI116" s="375"/>
      <c r="AJ116" s="375"/>
      <c r="AK116" s="375"/>
      <c r="AL116" s="375"/>
      <c r="AM116" s="375"/>
      <c r="AN116" s="375"/>
      <c r="AO116" s="375"/>
      <c r="AP116" s="375"/>
      <c r="AQ116" s="375"/>
      <c r="AR116" s="375"/>
      <c r="AS116" s="375"/>
      <c r="AT116" s="375"/>
    </row>
    <row r="117" spans="1:46" x14ac:dyDescent="0.35">
      <c r="A117" s="398"/>
      <c r="B117" s="398"/>
      <c r="C117" s="398">
        <v>1300</v>
      </c>
      <c r="Z117" s="382"/>
      <c r="AA117" s="382"/>
      <c r="AB117" s="382">
        <v>27806.591999999997</v>
      </c>
      <c r="AC117" s="382">
        <v>11675.2094</v>
      </c>
      <c r="AD117" s="382"/>
      <c r="AE117" s="375"/>
      <c r="AF117" s="375"/>
      <c r="AG117" s="375"/>
      <c r="AH117" s="375"/>
      <c r="AI117" s="375"/>
      <c r="AJ117" s="375"/>
      <c r="AK117" s="375"/>
      <c r="AL117" s="375"/>
      <c r="AM117" s="375"/>
      <c r="AN117" s="375"/>
      <c r="AO117" s="375"/>
      <c r="AP117" s="375"/>
      <c r="AQ117" s="375"/>
      <c r="AR117" s="375"/>
      <c r="AS117" s="375"/>
      <c r="AT117" s="375"/>
    </row>
    <row r="118" spans="1:46" x14ac:dyDescent="0.35">
      <c r="A118" s="398"/>
      <c r="B118" s="398"/>
      <c r="C118" s="398">
        <v>1600</v>
      </c>
      <c r="Z118" s="382"/>
      <c r="AA118" s="382"/>
      <c r="AB118" s="382">
        <v>17738.687999999998</v>
      </c>
      <c r="AC118" s="382">
        <v>2030.4712</v>
      </c>
      <c r="AD118" s="382"/>
      <c r="AE118" s="375"/>
      <c r="AF118" s="375"/>
      <c r="AG118" s="375"/>
      <c r="AH118" s="375"/>
      <c r="AI118" s="375"/>
      <c r="AJ118" s="375"/>
      <c r="AK118" s="375"/>
      <c r="AL118" s="375"/>
      <c r="AM118" s="375"/>
      <c r="AN118" s="375"/>
      <c r="AO118" s="375"/>
      <c r="AP118" s="375"/>
      <c r="AQ118" s="375"/>
      <c r="AR118" s="375"/>
      <c r="AS118" s="375"/>
      <c r="AT118" s="375"/>
    </row>
    <row r="119" spans="1:46" x14ac:dyDescent="0.35">
      <c r="A119" s="387">
        <v>1046</v>
      </c>
      <c r="B119" s="387">
        <v>753</v>
      </c>
      <c r="C119" s="387">
        <v>1300</v>
      </c>
      <c r="D119" s="387"/>
      <c r="E119" s="397"/>
      <c r="F119" s="397"/>
      <c r="G119" s="397"/>
      <c r="H119" s="397"/>
      <c r="Z119" s="382"/>
      <c r="AA119" s="382"/>
      <c r="AB119" s="382">
        <v>21733.888000000003</v>
      </c>
      <c r="AC119" s="382">
        <v>9137.1203999999998</v>
      </c>
      <c r="AD119" s="382"/>
      <c r="AE119" s="375"/>
      <c r="AF119" s="375"/>
      <c r="AG119" s="375"/>
      <c r="AH119" s="375"/>
      <c r="AI119" s="375"/>
      <c r="AJ119" s="375"/>
      <c r="AK119" s="375"/>
      <c r="AL119" s="375"/>
      <c r="AM119" s="375"/>
      <c r="AN119" s="375"/>
      <c r="AO119" s="375"/>
      <c r="AP119" s="375"/>
      <c r="AQ119" s="375"/>
      <c r="AR119" s="375"/>
      <c r="AS119" s="375"/>
      <c r="AT119" s="375"/>
    </row>
    <row r="120" spans="1:46" x14ac:dyDescent="0.35">
      <c r="A120" s="375">
        <v>240</v>
      </c>
      <c r="B120" s="375">
        <v>235</v>
      </c>
      <c r="C120" s="375">
        <v>624</v>
      </c>
      <c r="D120" s="375">
        <v>15</v>
      </c>
      <c r="Z120" s="382"/>
      <c r="AA120" s="382"/>
      <c r="AB120" s="382">
        <v>19017.151999999998</v>
      </c>
      <c r="AC120" s="382">
        <v>2284.2800999999999</v>
      </c>
      <c r="AD120" s="382"/>
      <c r="AE120" s="375"/>
      <c r="AF120" s="375"/>
      <c r="AG120" s="375"/>
      <c r="AH120" s="375"/>
      <c r="AI120" s="375"/>
      <c r="AJ120" s="375"/>
      <c r="AK120" s="375"/>
      <c r="AL120" s="375"/>
      <c r="AM120" s="375"/>
      <c r="AN120" s="375"/>
      <c r="AO120" s="375"/>
      <c r="AP120" s="375"/>
      <c r="AQ120" s="375"/>
      <c r="AR120" s="375"/>
      <c r="AS120" s="375"/>
      <c r="AT120" s="375"/>
    </row>
    <row r="121" spans="1:46" x14ac:dyDescent="0.35">
      <c r="A121" s="375">
        <v>194</v>
      </c>
      <c r="B121" s="375">
        <v>141</v>
      </c>
      <c r="C121" s="375">
        <v>398</v>
      </c>
      <c r="D121" s="375">
        <v>6</v>
      </c>
      <c r="Z121" s="382"/>
      <c r="AA121" s="382"/>
      <c r="AB121" s="382">
        <v>19017.151999999998</v>
      </c>
      <c r="AC121" s="382">
        <v>2284.2800999999999</v>
      </c>
      <c r="AD121" s="382"/>
      <c r="AE121" s="375"/>
      <c r="AF121" s="375"/>
      <c r="AG121" s="375"/>
      <c r="AH121" s="375"/>
      <c r="AI121" s="375"/>
      <c r="AJ121" s="375"/>
      <c r="AK121" s="375"/>
      <c r="AL121" s="375"/>
      <c r="AM121" s="375"/>
      <c r="AN121" s="375"/>
      <c r="AO121" s="375"/>
      <c r="AP121" s="375"/>
      <c r="AQ121" s="375"/>
      <c r="AR121" s="375"/>
      <c r="AS121" s="375"/>
      <c r="AT121" s="375"/>
    </row>
    <row r="122" spans="1:46" x14ac:dyDescent="0.35">
      <c r="A122" s="375">
        <v>241</v>
      </c>
      <c r="B122" s="375">
        <v>130</v>
      </c>
      <c r="C122" s="375">
        <v>346</v>
      </c>
      <c r="D122" s="375">
        <v>14</v>
      </c>
      <c r="Z122" s="382"/>
      <c r="AA122" s="382"/>
      <c r="AB122" s="384">
        <v>23331.967999999997</v>
      </c>
      <c r="AC122" s="384">
        <v>6091.4135999999999</v>
      </c>
      <c r="AD122" s="382"/>
      <c r="AE122" s="375"/>
      <c r="AF122" s="375"/>
      <c r="AG122" s="375"/>
      <c r="AH122" s="375"/>
      <c r="AI122" s="375"/>
      <c r="AJ122" s="375"/>
      <c r="AK122" s="375"/>
      <c r="AL122" s="375"/>
      <c r="AM122" s="375"/>
      <c r="AN122" s="375"/>
      <c r="AO122" s="375"/>
      <c r="AP122" s="375"/>
      <c r="AQ122" s="375"/>
      <c r="AR122" s="375"/>
      <c r="AS122" s="375"/>
      <c r="AT122" s="375"/>
    </row>
    <row r="123" spans="1:46" x14ac:dyDescent="0.35">
      <c r="A123" s="375">
        <v>251</v>
      </c>
      <c r="B123" s="375">
        <v>149</v>
      </c>
      <c r="C123" s="375">
        <v>329</v>
      </c>
      <c r="D123" s="375">
        <v>6</v>
      </c>
      <c r="Z123" s="382"/>
      <c r="AA123" s="382">
        <v>115</v>
      </c>
      <c r="AB123" s="382"/>
      <c r="AC123" s="382"/>
      <c r="AD123" s="382"/>
      <c r="AE123" s="375"/>
      <c r="AF123" s="375"/>
      <c r="AG123" s="375"/>
      <c r="AH123" s="375"/>
      <c r="AI123" s="375"/>
      <c r="AJ123" s="375"/>
      <c r="AK123" s="375"/>
      <c r="AL123" s="375"/>
      <c r="AM123" s="375"/>
      <c r="AN123" s="375"/>
      <c r="AO123" s="375"/>
      <c r="AP123" s="375"/>
      <c r="AQ123" s="375"/>
      <c r="AR123" s="375"/>
      <c r="AS123" s="375"/>
      <c r="AT123" s="375"/>
    </row>
    <row r="124" spans="1:46" x14ac:dyDescent="0.35">
      <c r="A124" s="375">
        <v>296</v>
      </c>
      <c r="B124" s="375">
        <v>616</v>
      </c>
      <c r="C124" s="375">
        <v>1840</v>
      </c>
      <c r="D124" s="375">
        <v>15</v>
      </c>
      <c r="Z124" s="380"/>
      <c r="AA124" s="380">
        <v>246</v>
      </c>
      <c r="AB124" s="380"/>
      <c r="AC124" s="380"/>
      <c r="AD124" s="380"/>
      <c r="AE124" s="398"/>
      <c r="AF124" s="375"/>
      <c r="AG124" s="375"/>
      <c r="AH124" s="375"/>
      <c r="AI124" s="375"/>
      <c r="AJ124" s="375"/>
      <c r="AK124" s="375"/>
      <c r="AL124" s="375"/>
      <c r="AM124" s="375"/>
      <c r="AN124" s="375"/>
      <c r="AO124" s="375"/>
      <c r="AP124" s="375"/>
      <c r="AQ124" s="375"/>
      <c r="AR124" s="375"/>
      <c r="AS124" s="375"/>
      <c r="AT124" s="375"/>
    </row>
    <row r="125" spans="1:46" x14ac:dyDescent="0.35">
      <c r="A125" s="375">
        <v>265</v>
      </c>
      <c r="B125" s="375">
        <v>300</v>
      </c>
      <c r="C125" s="375">
        <v>755</v>
      </c>
      <c r="D125" s="375">
        <v>8</v>
      </c>
      <c r="Z125" s="380"/>
      <c r="AA125" s="382">
        <v>529</v>
      </c>
      <c r="AB125" s="380"/>
      <c r="AC125" s="380"/>
      <c r="AD125" s="380"/>
      <c r="AE125" s="398"/>
      <c r="AF125" s="375"/>
      <c r="AG125" s="375"/>
      <c r="AH125" s="375"/>
      <c r="AI125" s="375"/>
      <c r="AJ125" s="375"/>
      <c r="AK125" s="375"/>
      <c r="AL125" s="375"/>
      <c r="AM125" s="375"/>
      <c r="AN125" s="375"/>
      <c r="AO125" s="375"/>
      <c r="AP125" s="375"/>
      <c r="AQ125" s="375"/>
      <c r="AR125" s="375"/>
      <c r="AS125" s="375"/>
      <c r="AT125" s="375"/>
    </row>
    <row r="126" spans="1:46" x14ac:dyDescent="0.35">
      <c r="A126" s="375">
        <v>225</v>
      </c>
      <c r="B126" s="375">
        <v>149</v>
      </c>
      <c r="C126" s="375">
        <v>425</v>
      </c>
      <c r="D126" s="375">
        <v>9</v>
      </c>
      <c r="Z126" s="380"/>
      <c r="AA126" s="382">
        <v>365</v>
      </c>
      <c r="AB126" s="380"/>
      <c r="AC126" s="380"/>
      <c r="AD126" s="380"/>
      <c r="AE126" s="398"/>
      <c r="AF126" s="375"/>
      <c r="AG126" s="375"/>
      <c r="AH126" s="375"/>
      <c r="AI126" s="375"/>
      <c r="AJ126" s="375"/>
      <c r="AK126" s="375"/>
      <c r="AL126" s="375"/>
      <c r="AM126" s="375"/>
      <c r="AN126" s="375"/>
      <c r="AO126" s="375"/>
      <c r="AP126" s="375"/>
      <c r="AQ126" s="375"/>
      <c r="AR126" s="375"/>
      <c r="AS126" s="375"/>
      <c r="AT126" s="375"/>
    </row>
    <row r="127" spans="1:46" x14ac:dyDescent="0.35">
      <c r="A127" s="375">
        <v>235</v>
      </c>
      <c r="B127" s="375">
        <v>330</v>
      </c>
      <c r="C127" s="375">
        <v>780</v>
      </c>
      <c r="D127" s="375">
        <v>7</v>
      </c>
      <c r="Z127" s="382"/>
      <c r="AA127" s="382">
        <v>872</v>
      </c>
      <c r="AB127" s="382"/>
      <c r="AC127" s="382"/>
      <c r="AD127" s="382"/>
      <c r="AE127" s="375"/>
      <c r="AF127" s="375"/>
      <c r="AG127" s="375"/>
      <c r="AH127" s="375"/>
      <c r="AI127" s="375"/>
      <c r="AJ127" s="375"/>
      <c r="AK127" s="375"/>
      <c r="AL127" s="375"/>
      <c r="AM127" s="375"/>
      <c r="AN127" s="375"/>
      <c r="AO127" s="375"/>
      <c r="AP127" s="375"/>
      <c r="AQ127" s="375"/>
      <c r="AR127" s="375"/>
      <c r="AS127" s="375"/>
      <c r="AT127" s="375"/>
    </row>
    <row r="128" spans="1:46" x14ac:dyDescent="0.35">
      <c r="A128" s="375">
        <v>229</v>
      </c>
      <c r="B128" s="375">
        <v>334</v>
      </c>
      <c r="C128" s="375">
        <v>990</v>
      </c>
      <c r="D128" s="375">
        <v>9</v>
      </c>
      <c r="Z128" s="382"/>
      <c r="AA128" s="382">
        <v>151</v>
      </c>
      <c r="AB128" s="382"/>
      <c r="AC128" s="382"/>
      <c r="AD128" s="382"/>
      <c r="AE128" s="375"/>
      <c r="AF128" s="375"/>
      <c r="AG128" s="375"/>
      <c r="AH128" s="375"/>
      <c r="AI128" s="375"/>
      <c r="AJ128" s="375"/>
      <c r="AK128" s="375"/>
      <c r="AL128" s="375"/>
      <c r="AM128" s="375"/>
      <c r="AN128" s="375"/>
      <c r="AO128" s="375"/>
      <c r="AP128" s="375"/>
      <c r="AQ128" s="375"/>
      <c r="AR128" s="375"/>
      <c r="AS128" s="375"/>
      <c r="AT128" s="375"/>
    </row>
    <row r="129" spans="1:46" x14ac:dyDescent="0.35">
      <c r="A129" s="375">
        <v>218</v>
      </c>
      <c r="B129" s="375">
        <v>528</v>
      </c>
      <c r="C129" s="375">
        <v>1360</v>
      </c>
      <c r="D129" s="375">
        <v>13</v>
      </c>
      <c r="Z129" s="382"/>
      <c r="AA129" s="382">
        <v>204</v>
      </c>
      <c r="AB129" s="382"/>
      <c r="AC129" s="382"/>
      <c r="AD129" s="382"/>
      <c r="AE129" s="375"/>
      <c r="AF129" s="375"/>
      <c r="AG129" s="375"/>
      <c r="AH129" s="375"/>
      <c r="AI129" s="375"/>
      <c r="AJ129" s="375"/>
      <c r="AK129" s="375"/>
      <c r="AL129" s="375"/>
      <c r="AM129" s="375"/>
      <c r="AN129" s="375"/>
      <c r="AO129" s="375"/>
      <c r="AP129" s="375"/>
      <c r="AQ129" s="375"/>
      <c r="AR129" s="375"/>
      <c r="AS129" s="375"/>
      <c r="AT129" s="375"/>
    </row>
    <row r="130" spans="1:46" x14ac:dyDescent="0.35">
      <c r="A130" s="375">
        <v>236</v>
      </c>
      <c r="B130" s="375">
        <v>203</v>
      </c>
      <c r="C130" s="375">
        <v>543</v>
      </c>
      <c r="D130" s="375">
        <v>7</v>
      </c>
      <c r="Z130" s="382"/>
      <c r="AA130" s="382">
        <v>624</v>
      </c>
      <c r="AB130" s="382"/>
      <c r="AC130" s="382"/>
      <c r="AD130" s="382"/>
      <c r="AE130" s="375"/>
      <c r="AF130" s="375"/>
      <c r="AG130" s="375"/>
      <c r="AH130" s="375"/>
      <c r="AI130" s="375"/>
      <c r="AJ130" s="375"/>
      <c r="AK130" s="375"/>
      <c r="AL130" s="375"/>
      <c r="AM130" s="375"/>
      <c r="AN130" s="375"/>
      <c r="AO130" s="375"/>
      <c r="AP130" s="375"/>
      <c r="AQ130" s="375"/>
      <c r="AR130" s="375"/>
      <c r="AS130" s="375"/>
      <c r="AT130" s="375"/>
    </row>
    <row r="131" spans="1:46" x14ac:dyDescent="0.35">
      <c r="A131" s="375">
        <v>281</v>
      </c>
      <c r="B131" s="375">
        <v>737</v>
      </c>
      <c r="C131" s="375">
        <v>2160</v>
      </c>
      <c r="D131" s="375">
        <v>14</v>
      </c>
      <c r="Z131" s="382"/>
      <c r="AA131" s="382">
        <v>1240</v>
      </c>
      <c r="AB131" s="382"/>
      <c r="AC131" s="382"/>
      <c r="AD131" s="382"/>
      <c r="AE131" s="375"/>
      <c r="AF131" s="375"/>
      <c r="AG131" s="375"/>
      <c r="AH131" s="375"/>
      <c r="AI131" s="375"/>
      <c r="AJ131" s="375"/>
      <c r="AK131" s="375"/>
      <c r="AL131" s="375"/>
      <c r="AM131" s="375"/>
      <c r="AN131" s="375"/>
      <c r="AO131" s="375"/>
      <c r="AP131" s="375"/>
      <c r="AQ131" s="375"/>
      <c r="AR131" s="375"/>
      <c r="AS131" s="375"/>
      <c r="AT131" s="375"/>
    </row>
    <row r="132" spans="1:46" x14ac:dyDescent="0.35">
      <c r="A132" s="375">
        <v>167</v>
      </c>
      <c r="B132" s="375">
        <v>210</v>
      </c>
      <c r="C132" s="375">
        <v>451</v>
      </c>
      <c r="D132" s="375">
        <v>9</v>
      </c>
      <c r="Z132" s="382"/>
      <c r="AA132" s="382">
        <v>514</v>
      </c>
      <c r="AB132" s="382"/>
      <c r="AC132" s="382"/>
      <c r="AD132" s="382"/>
      <c r="AE132" s="375"/>
      <c r="AF132" s="375"/>
      <c r="AG132" s="375"/>
      <c r="AH132" s="375"/>
      <c r="AI132" s="375"/>
      <c r="AJ132" s="375"/>
      <c r="AK132" s="375"/>
      <c r="AL132" s="375"/>
      <c r="AM132" s="375"/>
      <c r="AN132" s="375"/>
      <c r="AO132" s="375"/>
      <c r="AP132" s="375"/>
      <c r="AQ132" s="375"/>
      <c r="AR132" s="375"/>
      <c r="AS132" s="375"/>
      <c r="AT132" s="375"/>
    </row>
    <row r="133" spans="1:46" x14ac:dyDescent="0.35">
      <c r="A133" s="375">
        <v>202</v>
      </c>
      <c r="B133" s="375">
        <v>645</v>
      </c>
      <c r="C133" s="375">
        <v>1540</v>
      </c>
      <c r="D133" s="375">
        <v>25</v>
      </c>
      <c r="Z133" s="382"/>
      <c r="AA133" s="382">
        <v>36</v>
      </c>
      <c r="AB133" s="382"/>
      <c r="AC133" s="382"/>
      <c r="AD133" s="382"/>
      <c r="AE133" s="375"/>
      <c r="AF133" s="375"/>
      <c r="AG133" s="375"/>
      <c r="AH133" s="375"/>
      <c r="AI133" s="375"/>
      <c r="AJ133" s="375"/>
      <c r="AK133" s="375"/>
      <c r="AL133" s="375"/>
      <c r="AM133" s="375"/>
      <c r="AN133" s="375"/>
      <c r="AO133" s="375"/>
      <c r="AP133" s="375"/>
      <c r="AQ133" s="375"/>
      <c r="AR133" s="375"/>
      <c r="AS133" s="375"/>
      <c r="AT133" s="375"/>
    </row>
    <row r="134" spans="1:46" x14ac:dyDescent="0.35">
      <c r="A134" s="375">
        <v>245</v>
      </c>
      <c r="B134" s="375">
        <v>380</v>
      </c>
      <c r="C134" s="375">
        <v>1140</v>
      </c>
      <c r="D134" s="375">
        <v>9</v>
      </c>
      <c r="Z134" s="382"/>
      <c r="AA134" s="382">
        <v>544</v>
      </c>
      <c r="AB134" s="382"/>
      <c r="AC134" s="382"/>
      <c r="AD134" s="382"/>
      <c r="AE134" s="375"/>
      <c r="AF134" s="375"/>
      <c r="AG134" s="375"/>
      <c r="AH134" s="375"/>
      <c r="AI134" s="375"/>
      <c r="AJ134" s="375"/>
      <c r="AK134" s="375"/>
      <c r="AL134" s="375"/>
      <c r="AM134" s="375"/>
      <c r="AN134" s="375"/>
      <c r="AO134" s="375"/>
      <c r="AP134" s="375"/>
      <c r="AQ134" s="375"/>
      <c r="AR134" s="375"/>
      <c r="AS134" s="375"/>
      <c r="AT134" s="375"/>
    </row>
    <row r="135" spans="1:46" x14ac:dyDescent="0.35">
      <c r="A135" s="375">
        <v>262</v>
      </c>
      <c r="B135" s="375">
        <v>499</v>
      </c>
      <c r="C135" s="375">
        <v>541</v>
      </c>
      <c r="D135" s="375">
        <v>14</v>
      </c>
      <c r="Z135" s="382"/>
      <c r="AA135" s="382">
        <v>440</v>
      </c>
      <c r="AB135" s="382"/>
      <c r="AC135" s="382"/>
      <c r="AD135" s="382"/>
      <c r="AE135" s="375"/>
      <c r="AF135" s="375"/>
      <c r="AG135" s="375"/>
      <c r="AH135" s="375"/>
      <c r="AI135" s="375"/>
      <c r="AJ135" s="375"/>
      <c r="AK135" s="375"/>
      <c r="AL135" s="375"/>
      <c r="AM135" s="375"/>
      <c r="AN135" s="375"/>
      <c r="AO135" s="375"/>
      <c r="AP135" s="375"/>
      <c r="AQ135" s="375"/>
      <c r="AR135" s="375"/>
      <c r="AS135" s="375"/>
      <c r="AT135" s="375"/>
    </row>
    <row r="136" spans="1:46" x14ac:dyDescent="0.35">
      <c r="A136" s="375">
        <v>271</v>
      </c>
      <c r="B136" s="375">
        <v>781</v>
      </c>
      <c r="C136" s="375">
        <v>954</v>
      </c>
      <c r="D136" s="375">
        <v>8</v>
      </c>
      <c r="Z136" s="382"/>
      <c r="AA136" s="382">
        <v>500</v>
      </c>
      <c r="AB136" s="382"/>
      <c r="AC136" s="382"/>
      <c r="AD136" s="382"/>
      <c r="AE136" s="375"/>
      <c r="AF136" s="375"/>
      <c r="AG136" s="375"/>
      <c r="AH136" s="375"/>
      <c r="AI136" s="375"/>
      <c r="AJ136" s="375"/>
      <c r="AK136" s="375"/>
      <c r="AL136" s="375"/>
      <c r="AM136" s="375"/>
      <c r="AN136" s="375"/>
      <c r="AO136" s="375"/>
      <c r="AP136" s="375"/>
      <c r="AQ136" s="375"/>
      <c r="AR136" s="375"/>
      <c r="AS136" s="375"/>
      <c r="AT136" s="375"/>
    </row>
    <row r="137" spans="1:46" x14ac:dyDescent="0.35">
      <c r="A137" s="387">
        <v>126</v>
      </c>
      <c r="B137" s="387">
        <v>1620</v>
      </c>
      <c r="C137" s="387">
        <v>2720</v>
      </c>
      <c r="D137" s="387">
        <v>12</v>
      </c>
      <c r="Z137" s="382"/>
      <c r="AA137" s="382">
        <v>400</v>
      </c>
      <c r="AB137" s="382"/>
      <c r="AC137" s="382"/>
      <c r="AD137" s="382"/>
      <c r="AE137" s="375"/>
      <c r="AF137" s="375"/>
      <c r="AG137" s="375"/>
      <c r="AH137" s="375"/>
      <c r="AI137" s="375"/>
      <c r="AJ137" s="375"/>
      <c r="AK137" s="375"/>
      <c r="AL137" s="375"/>
      <c r="AM137" s="375"/>
      <c r="AN137" s="375"/>
      <c r="AO137" s="375"/>
      <c r="AP137" s="375"/>
      <c r="AQ137" s="375"/>
      <c r="AR137" s="375"/>
      <c r="AS137" s="375"/>
      <c r="AT137" s="375"/>
    </row>
    <row r="138" spans="1:46" x14ac:dyDescent="0.35">
      <c r="B138" s="403">
        <v>900</v>
      </c>
      <c r="G138" s="403"/>
      <c r="Z138" s="382"/>
      <c r="AA138" s="382">
        <v>1400</v>
      </c>
      <c r="AB138" s="382"/>
      <c r="AC138" s="382"/>
      <c r="AD138" s="382"/>
      <c r="AE138" s="375"/>
      <c r="AF138" s="375"/>
      <c r="AG138" s="375"/>
      <c r="AH138" s="375"/>
      <c r="AI138" s="375"/>
      <c r="AJ138" s="375"/>
      <c r="AK138" s="375"/>
      <c r="AL138" s="375"/>
      <c r="AM138" s="375"/>
      <c r="AN138" s="375"/>
      <c r="AO138" s="375"/>
      <c r="AP138" s="375"/>
      <c r="AQ138" s="375"/>
      <c r="AR138" s="375"/>
      <c r="AS138" s="375"/>
      <c r="AT138" s="375"/>
    </row>
    <row r="139" spans="1:46" x14ac:dyDescent="0.35">
      <c r="B139" s="403">
        <v>800</v>
      </c>
      <c r="G139" s="403"/>
      <c r="Z139" s="382"/>
      <c r="AA139" s="382">
        <v>300</v>
      </c>
      <c r="AB139" s="382"/>
      <c r="AC139" s="382"/>
      <c r="AD139" s="382"/>
      <c r="AE139" s="375"/>
      <c r="AF139" s="375"/>
      <c r="AG139" s="375"/>
      <c r="AH139" s="375"/>
      <c r="AI139" s="375"/>
      <c r="AJ139" s="375"/>
      <c r="AK139" s="375"/>
      <c r="AL139" s="375"/>
      <c r="AM139" s="375"/>
      <c r="AN139" s="375"/>
      <c r="AO139" s="375"/>
      <c r="AP139" s="375"/>
      <c r="AQ139" s="375"/>
      <c r="AR139" s="375"/>
      <c r="AS139" s="375"/>
      <c r="AT139" s="375"/>
    </row>
    <row r="140" spans="1:46" x14ac:dyDescent="0.35">
      <c r="B140" s="403">
        <v>200</v>
      </c>
      <c r="G140" s="403"/>
      <c r="Z140" s="382"/>
      <c r="AA140" s="382">
        <v>300</v>
      </c>
      <c r="AB140" s="382"/>
      <c r="AC140" s="382"/>
      <c r="AD140" s="382"/>
      <c r="AE140" s="375"/>
      <c r="AF140" s="375"/>
      <c r="AG140" s="375"/>
      <c r="AH140" s="375"/>
      <c r="AI140" s="375"/>
      <c r="AJ140" s="375"/>
      <c r="AK140" s="375"/>
      <c r="AL140" s="375"/>
      <c r="AM140" s="375"/>
      <c r="AN140" s="375"/>
      <c r="AO140" s="375"/>
      <c r="AP140" s="375"/>
      <c r="AQ140" s="375"/>
      <c r="AR140" s="375"/>
      <c r="AS140" s="375"/>
      <c r="AT140" s="375"/>
    </row>
    <row r="141" spans="1:46" x14ac:dyDescent="0.35">
      <c r="B141" s="403">
        <v>500</v>
      </c>
      <c r="G141" s="403"/>
      <c r="Z141" s="382"/>
      <c r="AA141" s="382">
        <v>100</v>
      </c>
      <c r="AB141" s="382"/>
      <c r="AC141" s="382"/>
      <c r="AD141" s="382"/>
      <c r="AE141" s="375"/>
      <c r="AF141" s="375"/>
      <c r="AG141" s="375"/>
      <c r="AH141" s="375"/>
      <c r="AI141" s="375"/>
      <c r="AJ141" s="375"/>
      <c r="AK141" s="375"/>
      <c r="AL141" s="375"/>
      <c r="AM141" s="375"/>
      <c r="AN141" s="375"/>
      <c r="AO141" s="375"/>
      <c r="AP141" s="375"/>
      <c r="AQ141" s="375"/>
      <c r="AR141" s="375"/>
      <c r="AS141" s="375"/>
      <c r="AT141" s="375"/>
    </row>
    <row r="142" spans="1:46" x14ac:dyDescent="0.35">
      <c r="B142" s="403">
        <v>20</v>
      </c>
      <c r="G142" s="403"/>
      <c r="Z142" s="382"/>
      <c r="AA142" s="382">
        <v>200</v>
      </c>
      <c r="AB142" s="382"/>
      <c r="AC142" s="382"/>
      <c r="AD142" s="382"/>
      <c r="AE142" s="375"/>
      <c r="AF142" s="375"/>
      <c r="AG142" s="375"/>
      <c r="AH142" s="375"/>
      <c r="AI142" s="375"/>
      <c r="AJ142" s="375"/>
      <c r="AK142" s="375"/>
      <c r="AL142" s="375"/>
      <c r="AM142" s="375"/>
      <c r="AN142" s="375"/>
      <c r="AO142" s="375"/>
      <c r="AP142" s="375"/>
      <c r="AQ142" s="375"/>
      <c r="AR142" s="375"/>
      <c r="AS142" s="375"/>
      <c r="AT142" s="375"/>
    </row>
    <row r="143" spans="1:46" x14ac:dyDescent="0.35">
      <c r="B143" s="403">
        <v>20</v>
      </c>
      <c r="G143" s="403"/>
      <c r="Z143" s="382"/>
      <c r="AA143" s="382">
        <v>500</v>
      </c>
      <c r="AB143" s="382"/>
      <c r="AC143" s="382"/>
      <c r="AD143" s="382"/>
      <c r="AE143" s="375"/>
      <c r="AF143" s="375"/>
      <c r="AG143" s="375"/>
      <c r="AH143" s="375"/>
      <c r="AI143" s="375"/>
      <c r="AJ143" s="375"/>
      <c r="AK143" s="375"/>
      <c r="AL143" s="375"/>
      <c r="AM143" s="375"/>
      <c r="AN143" s="375"/>
      <c r="AO143" s="375"/>
      <c r="AP143" s="375"/>
      <c r="AQ143" s="375"/>
      <c r="AR143" s="375"/>
      <c r="AS143" s="375"/>
      <c r="AT143" s="375"/>
    </row>
    <row r="144" spans="1:46" x14ac:dyDescent="0.35">
      <c r="B144" s="403">
        <v>100</v>
      </c>
      <c r="G144" s="403"/>
      <c r="Z144" s="382"/>
      <c r="AA144" s="382">
        <v>400</v>
      </c>
      <c r="AB144" s="382"/>
      <c r="AC144" s="382"/>
      <c r="AD144" s="382"/>
      <c r="AE144" s="375"/>
      <c r="AF144" s="375"/>
      <c r="AG144" s="375"/>
      <c r="AH144" s="375"/>
      <c r="AI144" s="375"/>
      <c r="AJ144" s="375"/>
      <c r="AK144" s="375"/>
      <c r="AL144" s="375"/>
      <c r="AM144" s="375"/>
      <c r="AN144" s="375"/>
      <c r="AO144" s="375"/>
      <c r="AP144" s="375"/>
      <c r="AQ144" s="375"/>
      <c r="AR144" s="375"/>
      <c r="AS144" s="375"/>
      <c r="AT144" s="375"/>
    </row>
    <row r="145" spans="2:46" x14ac:dyDescent="0.35">
      <c r="B145" s="403">
        <v>20</v>
      </c>
      <c r="G145" s="403"/>
      <c r="Z145" s="382"/>
      <c r="AA145" s="382">
        <v>600</v>
      </c>
      <c r="AB145" s="382"/>
      <c r="AC145" s="382"/>
      <c r="AD145" s="382"/>
      <c r="AE145" s="375"/>
      <c r="AF145" s="375"/>
      <c r="AG145" s="375"/>
      <c r="AH145" s="375"/>
      <c r="AI145" s="375"/>
      <c r="AJ145" s="375"/>
      <c r="AK145" s="375"/>
      <c r="AL145" s="375"/>
      <c r="AM145" s="375"/>
      <c r="AN145" s="375"/>
      <c r="AO145" s="375"/>
      <c r="AP145" s="375"/>
      <c r="AQ145" s="375"/>
      <c r="AR145" s="375"/>
      <c r="AS145" s="375"/>
      <c r="AT145" s="375"/>
    </row>
    <row r="146" spans="2:46" x14ac:dyDescent="0.35">
      <c r="B146" s="403">
        <v>20</v>
      </c>
      <c r="G146" s="403"/>
      <c r="Z146" s="382"/>
      <c r="AA146" s="382">
        <v>1100</v>
      </c>
      <c r="AB146" s="382"/>
      <c r="AC146" s="382"/>
      <c r="AD146" s="382"/>
      <c r="AE146" s="375"/>
      <c r="AF146" s="375"/>
      <c r="AG146" s="375"/>
      <c r="AH146" s="375"/>
      <c r="AI146" s="375"/>
      <c r="AJ146" s="375"/>
      <c r="AK146" s="375"/>
      <c r="AL146" s="375"/>
      <c r="AM146" s="375"/>
      <c r="AN146" s="375"/>
      <c r="AO146" s="375"/>
      <c r="AP146" s="375"/>
      <c r="AQ146" s="375"/>
      <c r="AR146" s="375"/>
      <c r="AS146" s="375"/>
      <c r="AT146" s="375"/>
    </row>
    <row r="147" spans="2:46" x14ac:dyDescent="0.35">
      <c r="B147" s="403">
        <v>20</v>
      </c>
      <c r="G147" s="403"/>
      <c r="Z147" s="382"/>
      <c r="AA147" s="382"/>
      <c r="AB147" s="382"/>
      <c r="AC147" s="382"/>
      <c r="AD147" s="382"/>
      <c r="AE147" s="375"/>
      <c r="AF147" s="375"/>
      <c r="AG147" s="375"/>
      <c r="AH147" s="375"/>
      <c r="AI147" s="375"/>
      <c r="AJ147" s="375"/>
      <c r="AK147" s="375"/>
      <c r="AL147" s="375"/>
      <c r="AM147" s="375"/>
      <c r="AN147" s="375"/>
      <c r="AO147" s="375"/>
      <c r="AP147" s="375"/>
      <c r="AQ147" s="375"/>
      <c r="AR147" s="375"/>
      <c r="AS147" s="375"/>
      <c r="AT147" s="375"/>
    </row>
    <row r="148" spans="2:46" x14ac:dyDescent="0.35">
      <c r="B148" s="403">
        <v>20</v>
      </c>
      <c r="G148" s="403"/>
      <c r="Z148" s="382"/>
      <c r="AA148" s="382"/>
      <c r="AB148" s="382"/>
      <c r="AC148" s="382"/>
      <c r="AD148" s="382"/>
      <c r="AE148" s="375"/>
      <c r="AF148" s="375"/>
      <c r="AG148" s="375"/>
      <c r="AH148" s="375"/>
      <c r="AI148" s="375"/>
      <c r="AJ148" s="375"/>
      <c r="AK148" s="375"/>
      <c r="AL148" s="375"/>
      <c r="AM148" s="375"/>
      <c r="AN148" s="375"/>
      <c r="AO148" s="375"/>
      <c r="AP148" s="375"/>
      <c r="AQ148" s="375"/>
      <c r="AR148" s="375"/>
      <c r="AS148" s="375"/>
      <c r="AT148" s="375"/>
    </row>
    <row r="149" spans="2:46" x14ac:dyDescent="0.35">
      <c r="B149" s="403">
        <v>100</v>
      </c>
      <c r="G149" s="403"/>
      <c r="Z149" s="382"/>
      <c r="AA149" s="382"/>
      <c r="AB149" s="382"/>
      <c r="AC149" s="382"/>
      <c r="AD149" s="382"/>
      <c r="AE149" s="375"/>
      <c r="AF149" s="375"/>
      <c r="AG149" s="375"/>
      <c r="AH149" s="375"/>
      <c r="AI149" s="375"/>
      <c r="AJ149" s="375"/>
      <c r="AK149" s="375"/>
      <c r="AL149" s="375"/>
      <c r="AM149" s="375"/>
      <c r="AN149" s="375"/>
      <c r="AO149" s="375"/>
      <c r="AP149" s="375"/>
      <c r="AQ149" s="375"/>
      <c r="AR149" s="375"/>
      <c r="AS149" s="375"/>
      <c r="AT149" s="375"/>
    </row>
    <row r="150" spans="2:46" x14ac:dyDescent="0.35">
      <c r="B150" s="404">
        <v>20</v>
      </c>
      <c r="G150" s="404"/>
      <c r="Z150" s="382"/>
      <c r="AA150" s="382"/>
      <c r="AB150" s="382"/>
      <c r="AC150" s="382"/>
      <c r="AD150" s="382"/>
      <c r="AE150" s="375"/>
      <c r="AF150" s="375"/>
      <c r="AG150" s="375"/>
      <c r="AH150" s="375"/>
      <c r="AI150" s="375"/>
      <c r="AJ150" s="375"/>
      <c r="AK150" s="375"/>
      <c r="AL150" s="375"/>
      <c r="AM150" s="375"/>
      <c r="AN150" s="375"/>
      <c r="AO150" s="375"/>
      <c r="AP150" s="375"/>
      <c r="AQ150" s="375"/>
      <c r="AR150" s="375"/>
      <c r="AS150" s="375"/>
      <c r="AT150" s="375"/>
    </row>
    <row r="151" spans="2:46" x14ac:dyDescent="0.35">
      <c r="B151" s="403">
        <v>200</v>
      </c>
      <c r="G151" s="403"/>
      <c r="Z151" s="375"/>
      <c r="AA151" s="375"/>
      <c r="AB151" s="375"/>
      <c r="AC151" s="375"/>
      <c r="AD151" s="375"/>
      <c r="AE151" s="375"/>
      <c r="AF151" s="375"/>
      <c r="AG151" s="375"/>
      <c r="AH151" s="375"/>
      <c r="AI151" s="375"/>
      <c r="AJ151" s="375"/>
      <c r="AK151" s="375"/>
      <c r="AL151" s="375"/>
      <c r="AM151" s="375"/>
      <c r="AN151" s="375"/>
      <c r="AO151" s="375"/>
      <c r="AP151" s="375"/>
      <c r="AQ151" s="375"/>
      <c r="AR151" s="375"/>
      <c r="AS151" s="375"/>
      <c r="AT151" s="375"/>
    </row>
    <row r="152" spans="2:46" x14ac:dyDescent="0.35">
      <c r="B152" s="404">
        <v>20</v>
      </c>
      <c r="G152" s="404"/>
      <c r="Z152" s="375"/>
      <c r="AA152" s="375"/>
      <c r="AB152" s="375"/>
      <c r="AC152" s="375"/>
      <c r="AD152" s="375"/>
      <c r="AE152" s="375"/>
      <c r="AF152" s="375"/>
      <c r="AG152" s="375"/>
      <c r="AH152" s="375"/>
      <c r="AI152" s="375"/>
      <c r="AJ152" s="375"/>
      <c r="AK152" s="375"/>
      <c r="AL152" s="375"/>
      <c r="AM152" s="375"/>
      <c r="AN152" s="375"/>
      <c r="AO152" s="375"/>
      <c r="AP152" s="375"/>
      <c r="AQ152" s="375"/>
      <c r="AR152" s="375"/>
      <c r="AS152" s="375"/>
      <c r="AT152" s="375"/>
    </row>
    <row r="153" spans="2:46" x14ac:dyDescent="0.35">
      <c r="B153" s="403">
        <v>20</v>
      </c>
      <c r="G153" s="403"/>
      <c r="Z153" s="375"/>
      <c r="AA153" s="375"/>
      <c r="AB153" s="375"/>
      <c r="AC153" s="375"/>
      <c r="AD153" s="375"/>
      <c r="AE153" s="375"/>
      <c r="AF153" s="375"/>
      <c r="AG153" s="375"/>
      <c r="AH153" s="375"/>
      <c r="AI153" s="375"/>
      <c r="AJ153" s="375"/>
      <c r="AK153" s="375"/>
      <c r="AL153" s="375"/>
      <c r="AM153" s="375"/>
      <c r="AN153" s="375"/>
      <c r="AO153" s="375"/>
      <c r="AP153" s="375"/>
      <c r="AQ153" s="375"/>
      <c r="AR153" s="375"/>
      <c r="AS153" s="375"/>
      <c r="AT153" s="375"/>
    </row>
    <row r="154" spans="2:46" x14ac:dyDescent="0.35">
      <c r="B154" s="403">
        <v>20</v>
      </c>
      <c r="G154" s="403"/>
      <c r="Z154" s="375"/>
      <c r="AA154" s="375"/>
      <c r="AB154" s="375"/>
      <c r="AC154" s="375"/>
      <c r="AD154" s="375"/>
      <c r="AE154" s="375"/>
      <c r="AF154" s="375"/>
      <c r="AG154" s="375"/>
      <c r="AH154" s="375"/>
      <c r="AI154" s="375"/>
      <c r="AJ154" s="375"/>
      <c r="AK154" s="375"/>
      <c r="AL154" s="375"/>
      <c r="AM154" s="375"/>
      <c r="AN154" s="375"/>
      <c r="AO154" s="375"/>
      <c r="AP154" s="375"/>
      <c r="AQ154" s="375"/>
      <c r="AR154" s="375"/>
      <c r="AS154" s="375"/>
      <c r="AT154" s="375"/>
    </row>
    <row r="155" spans="2:46" x14ac:dyDescent="0.35">
      <c r="B155" s="403">
        <v>20</v>
      </c>
      <c r="G155" s="403"/>
      <c r="Z155" s="375"/>
      <c r="AA155" s="375"/>
      <c r="AB155" s="375"/>
      <c r="AC155" s="375"/>
      <c r="AD155" s="375"/>
      <c r="AE155" s="375"/>
      <c r="AF155" s="375"/>
      <c r="AG155" s="375"/>
      <c r="AH155" s="375"/>
      <c r="AI155" s="375"/>
      <c r="AJ155" s="375"/>
      <c r="AK155" s="375"/>
      <c r="AL155" s="375"/>
      <c r="AM155" s="375"/>
      <c r="AN155" s="375"/>
      <c r="AO155" s="375"/>
      <c r="AP155" s="375"/>
      <c r="AQ155" s="375"/>
      <c r="AR155" s="375"/>
      <c r="AS155" s="375"/>
      <c r="AT155" s="375"/>
    </row>
    <row r="156" spans="2:46" x14ac:dyDescent="0.35">
      <c r="B156" s="404">
        <v>20</v>
      </c>
      <c r="G156" s="404"/>
      <c r="Z156" s="375"/>
      <c r="AA156" s="375"/>
      <c r="AB156" s="375"/>
      <c r="AC156" s="375"/>
      <c r="AD156" s="375"/>
      <c r="AE156" s="375"/>
      <c r="AF156" s="375"/>
      <c r="AG156" s="375"/>
      <c r="AH156" s="375"/>
      <c r="AI156" s="375"/>
      <c r="AJ156" s="375"/>
      <c r="AK156" s="375"/>
      <c r="AL156" s="375"/>
      <c r="AM156" s="375"/>
      <c r="AN156" s="375"/>
      <c r="AO156" s="375"/>
      <c r="AP156" s="375"/>
      <c r="AQ156" s="375"/>
      <c r="AR156" s="375"/>
      <c r="AS156" s="375"/>
      <c r="AT156" s="375"/>
    </row>
    <row r="157" spans="2:46" x14ac:dyDescent="0.35">
      <c r="B157" s="403">
        <v>100</v>
      </c>
      <c r="G157" s="403"/>
      <c r="Z157" s="375"/>
      <c r="AA157" s="375"/>
      <c r="AB157" s="375"/>
      <c r="AC157" s="375"/>
      <c r="AD157" s="375"/>
      <c r="AE157" s="375"/>
      <c r="AF157" s="375"/>
      <c r="AG157" s="375"/>
      <c r="AH157" s="375"/>
      <c r="AI157" s="375"/>
      <c r="AJ157" s="375"/>
      <c r="AK157" s="375"/>
      <c r="AL157" s="375"/>
      <c r="AM157" s="375"/>
      <c r="AN157" s="375"/>
      <c r="AO157" s="375"/>
      <c r="AP157" s="375"/>
      <c r="AQ157" s="375"/>
      <c r="AR157" s="375"/>
      <c r="AS157" s="375"/>
      <c r="AT157" s="375"/>
    </row>
    <row r="158" spans="2:46" x14ac:dyDescent="0.35">
      <c r="B158" s="404">
        <v>300</v>
      </c>
      <c r="G158" s="404"/>
      <c r="Z158" s="375"/>
      <c r="AA158" s="375"/>
      <c r="AB158" s="375"/>
      <c r="AC158" s="375"/>
      <c r="AD158" s="375"/>
      <c r="AE158" s="375"/>
      <c r="AF158" s="375"/>
      <c r="AG158" s="375"/>
      <c r="AH158" s="375"/>
      <c r="AI158" s="375"/>
      <c r="AJ158" s="375"/>
      <c r="AK158" s="375"/>
      <c r="AL158" s="375"/>
      <c r="AM158" s="375"/>
      <c r="AN158" s="375"/>
      <c r="AO158" s="375"/>
      <c r="AP158" s="375"/>
      <c r="AQ158" s="375"/>
      <c r="AR158" s="375"/>
      <c r="AS158" s="375"/>
      <c r="AT158" s="375"/>
    </row>
    <row r="159" spans="2:46" x14ac:dyDescent="0.35">
      <c r="B159" s="404">
        <v>20</v>
      </c>
      <c r="G159" s="403"/>
      <c r="Z159" s="375"/>
      <c r="AA159" s="375"/>
      <c r="AB159" s="375"/>
      <c r="AC159" s="375"/>
      <c r="AD159" s="375"/>
      <c r="AE159" s="375"/>
      <c r="AF159" s="375"/>
      <c r="AG159" s="375"/>
      <c r="AH159" s="375"/>
      <c r="AI159" s="375"/>
      <c r="AJ159" s="375"/>
      <c r="AK159" s="375"/>
      <c r="AL159" s="375"/>
      <c r="AM159" s="375"/>
      <c r="AN159" s="375"/>
      <c r="AO159" s="375"/>
      <c r="AP159" s="375"/>
      <c r="AQ159" s="375"/>
      <c r="AR159" s="375"/>
      <c r="AS159" s="375"/>
      <c r="AT159" s="375"/>
    </row>
    <row r="160" spans="2:46" x14ac:dyDescent="0.35">
      <c r="B160" s="403">
        <v>20</v>
      </c>
      <c r="G160" s="403"/>
      <c r="Z160" s="375"/>
      <c r="AA160" s="375"/>
      <c r="AB160" s="375"/>
      <c r="AC160" s="375"/>
      <c r="AD160" s="375"/>
      <c r="AE160" s="375"/>
      <c r="AF160" s="375"/>
      <c r="AG160" s="375"/>
      <c r="AH160" s="375"/>
      <c r="AI160" s="375"/>
      <c r="AJ160" s="375"/>
      <c r="AK160" s="375"/>
      <c r="AL160" s="375"/>
      <c r="AM160" s="375"/>
      <c r="AN160" s="375"/>
      <c r="AO160" s="375"/>
      <c r="AP160" s="375"/>
      <c r="AQ160" s="375"/>
      <c r="AR160" s="375"/>
      <c r="AS160" s="375"/>
      <c r="AT160" s="375"/>
    </row>
    <row r="161" spans="2:46" x14ac:dyDescent="0.35">
      <c r="B161" s="403">
        <v>20</v>
      </c>
      <c r="G161" s="403"/>
      <c r="Z161" s="375"/>
      <c r="AA161" s="375"/>
      <c r="AB161" s="375"/>
      <c r="AC161" s="375"/>
      <c r="AD161" s="375"/>
      <c r="AE161" s="375"/>
      <c r="AF161" s="375"/>
      <c r="AG161" s="375"/>
      <c r="AH161" s="375"/>
      <c r="AI161" s="375"/>
      <c r="AJ161" s="375"/>
      <c r="AK161" s="375"/>
      <c r="AL161" s="375"/>
      <c r="AM161" s="375"/>
      <c r="AN161" s="375"/>
      <c r="AO161" s="375"/>
      <c r="AP161" s="375"/>
      <c r="AQ161" s="375"/>
      <c r="AR161" s="375"/>
      <c r="AS161" s="375"/>
      <c r="AT161" s="375"/>
    </row>
    <row r="162" spans="2:46" x14ac:dyDescent="0.35">
      <c r="B162" s="404">
        <v>300</v>
      </c>
      <c r="G162" s="404"/>
      <c r="Z162" s="375"/>
      <c r="AA162" s="375"/>
      <c r="AB162" s="375"/>
      <c r="AC162" s="375"/>
      <c r="AD162" s="375"/>
      <c r="AE162" s="375"/>
      <c r="AF162" s="375"/>
      <c r="AG162" s="375"/>
      <c r="AH162" s="375"/>
      <c r="AI162" s="375"/>
      <c r="AJ162" s="375"/>
      <c r="AK162" s="375"/>
      <c r="AL162" s="375"/>
      <c r="AM162" s="375"/>
      <c r="AN162" s="375"/>
      <c r="AO162" s="375"/>
      <c r="AP162" s="375"/>
      <c r="AQ162" s="375"/>
      <c r="AR162" s="375"/>
      <c r="AS162" s="375"/>
      <c r="AT162" s="375"/>
    </row>
    <row r="163" spans="2:46" x14ac:dyDescent="0.35">
      <c r="B163" s="404">
        <v>400</v>
      </c>
      <c r="G163" s="404"/>
      <c r="Z163" s="375"/>
      <c r="AA163" s="375"/>
      <c r="AB163" s="375"/>
      <c r="AC163" s="375"/>
      <c r="AD163" s="375"/>
      <c r="AE163" s="375"/>
      <c r="AF163" s="375"/>
      <c r="AG163" s="375"/>
      <c r="AH163" s="375"/>
      <c r="AI163" s="375"/>
      <c r="AJ163" s="375"/>
      <c r="AK163" s="375"/>
      <c r="AL163" s="375"/>
      <c r="AM163" s="375"/>
      <c r="AN163" s="375"/>
      <c r="AO163" s="375"/>
      <c r="AP163" s="375"/>
      <c r="AQ163" s="375"/>
      <c r="AR163" s="375"/>
      <c r="AS163" s="375"/>
      <c r="AT163" s="375"/>
    </row>
    <row r="164" spans="2:46" x14ac:dyDescent="0.35">
      <c r="B164" s="403">
        <v>500</v>
      </c>
      <c r="G164" s="403"/>
      <c r="Z164" s="375"/>
      <c r="AA164" s="375"/>
      <c r="AB164" s="375"/>
      <c r="AC164" s="375"/>
      <c r="AD164" s="375"/>
      <c r="AE164" s="375"/>
      <c r="AF164" s="375"/>
      <c r="AG164" s="375"/>
      <c r="AH164" s="375"/>
      <c r="AI164" s="375"/>
      <c r="AJ164" s="375"/>
      <c r="AK164" s="375"/>
      <c r="AL164" s="375"/>
      <c r="AM164" s="375"/>
      <c r="AN164" s="375"/>
      <c r="AO164" s="375"/>
      <c r="AP164" s="375"/>
      <c r="AQ164" s="375"/>
      <c r="AR164" s="375"/>
      <c r="AS164" s="375"/>
      <c r="AT164" s="375"/>
    </row>
    <row r="165" spans="2:46" x14ac:dyDescent="0.35">
      <c r="B165" s="404">
        <v>200</v>
      </c>
      <c r="G165" s="404"/>
      <c r="Z165" s="375"/>
      <c r="AA165" s="375"/>
      <c r="AB165" s="375"/>
      <c r="AC165" s="375"/>
      <c r="AD165" s="375"/>
      <c r="AE165" s="375"/>
      <c r="AF165" s="375"/>
      <c r="AG165" s="375"/>
      <c r="AH165" s="375"/>
      <c r="AI165" s="375"/>
      <c r="AJ165" s="375"/>
      <c r="AK165" s="375"/>
      <c r="AL165" s="375"/>
      <c r="AM165" s="375"/>
      <c r="AN165" s="375"/>
      <c r="AO165" s="375"/>
      <c r="AP165" s="375"/>
      <c r="AQ165" s="375"/>
      <c r="AR165" s="375"/>
      <c r="AS165" s="375"/>
      <c r="AT165" s="375"/>
    </row>
    <row r="166" spans="2:46" x14ac:dyDescent="0.35">
      <c r="B166" s="403">
        <v>20</v>
      </c>
      <c r="G166" s="403"/>
    </row>
    <row r="167" spans="2:46" x14ac:dyDescent="0.35">
      <c r="B167" s="404">
        <v>200</v>
      </c>
      <c r="G167" s="404"/>
    </row>
    <row r="168" spans="2:46" x14ac:dyDescent="0.35">
      <c r="B168" s="403">
        <v>100</v>
      </c>
      <c r="G168" s="403"/>
    </row>
    <row r="169" spans="2:46" x14ac:dyDescent="0.35">
      <c r="B169" s="375">
        <v>200</v>
      </c>
      <c r="G169" s="403"/>
      <c r="H169" s="403"/>
    </row>
    <row r="170" spans="2:46" x14ac:dyDescent="0.35">
      <c r="B170" s="375">
        <v>20</v>
      </c>
      <c r="G170" s="404"/>
      <c r="H170" s="404"/>
    </row>
    <row r="171" spans="2:46" x14ac:dyDescent="0.35">
      <c r="B171" s="375">
        <v>20</v>
      </c>
      <c r="G171" s="403"/>
      <c r="H171" s="403"/>
    </row>
    <row r="172" spans="2:46" x14ac:dyDescent="0.35">
      <c r="B172" s="375">
        <v>100</v>
      </c>
      <c r="G172" s="403"/>
      <c r="H172" s="403"/>
    </row>
    <row r="173" spans="2:46" x14ac:dyDescent="0.35">
      <c r="B173" s="375">
        <v>200</v>
      </c>
      <c r="G173" s="403"/>
      <c r="H173" s="403"/>
    </row>
    <row r="174" spans="2:46" x14ac:dyDescent="0.35">
      <c r="B174" s="375">
        <v>20</v>
      </c>
      <c r="G174" s="403"/>
      <c r="H174" s="403"/>
    </row>
    <row r="175" spans="2:46" x14ac:dyDescent="0.35">
      <c r="B175" s="375">
        <v>20</v>
      </c>
      <c r="G175" s="404"/>
      <c r="H175" s="404"/>
    </row>
    <row r="176" spans="2:46" x14ac:dyDescent="0.35">
      <c r="B176" s="375">
        <v>300</v>
      </c>
      <c r="G176" s="403"/>
      <c r="H176" s="403"/>
    </row>
    <row r="177" spans="2:8" x14ac:dyDescent="0.35">
      <c r="B177" s="375">
        <v>200</v>
      </c>
      <c r="G177" s="404"/>
      <c r="H177" s="404"/>
    </row>
    <row r="178" spans="2:8" x14ac:dyDescent="0.35">
      <c r="B178" s="375">
        <v>200</v>
      </c>
      <c r="G178" s="404"/>
      <c r="H178" s="404"/>
    </row>
    <row r="179" spans="2:8" x14ac:dyDescent="0.35">
      <c r="B179" s="375">
        <v>300</v>
      </c>
      <c r="G179" s="403"/>
      <c r="H179" s="403"/>
    </row>
    <row r="180" spans="2:8" x14ac:dyDescent="0.35">
      <c r="B180" s="375">
        <v>100</v>
      </c>
      <c r="G180" s="404"/>
      <c r="H180" s="404"/>
    </row>
    <row r="181" spans="2:8" x14ac:dyDescent="0.35">
      <c r="B181" s="375">
        <v>200</v>
      </c>
      <c r="G181" s="403"/>
      <c r="H181" s="403"/>
    </row>
    <row r="182" spans="2:8" x14ac:dyDescent="0.35">
      <c r="B182" s="375">
        <v>20</v>
      </c>
      <c r="G182" s="404"/>
      <c r="H182" s="404"/>
    </row>
    <row r="183" spans="2:8" x14ac:dyDescent="0.35">
      <c r="B183" s="375">
        <v>20</v>
      </c>
      <c r="G183" s="404"/>
      <c r="H183" s="404"/>
    </row>
    <row r="184" spans="2:8" x14ac:dyDescent="0.35">
      <c r="B184" s="375">
        <v>100</v>
      </c>
      <c r="G184" s="404"/>
      <c r="H184" s="404"/>
    </row>
    <row r="185" spans="2:8" x14ac:dyDescent="0.35">
      <c r="B185" s="375">
        <v>200</v>
      </c>
      <c r="G185" s="403"/>
      <c r="H185" s="403"/>
    </row>
    <row r="186" spans="2:8" x14ac:dyDescent="0.35">
      <c r="B186" s="375">
        <v>500</v>
      </c>
      <c r="G186" s="404"/>
      <c r="H186" s="404"/>
    </row>
    <row r="187" spans="2:8" x14ac:dyDescent="0.35">
      <c r="B187" s="375">
        <v>400</v>
      </c>
      <c r="G187" s="404"/>
      <c r="H187" s="404"/>
    </row>
    <row r="188" spans="2:8" x14ac:dyDescent="0.35">
      <c r="B188" s="375">
        <v>114</v>
      </c>
      <c r="G188" s="403"/>
      <c r="H188" s="403"/>
    </row>
    <row r="189" spans="2:8" x14ac:dyDescent="0.35">
      <c r="B189" s="375">
        <v>575</v>
      </c>
      <c r="G189" s="405"/>
      <c r="H189" s="405"/>
    </row>
    <row r="190" spans="2:8" x14ac:dyDescent="0.35">
      <c r="B190" s="375">
        <v>310</v>
      </c>
      <c r="G190" s="405"/>
      <c r="H190" s="405"/>
    </row>
    <row r="191" spans="2:8" x14ac:dyDescent="0.35">
      <c r="B191" s="375">
        <v>461</v>
      </c>
    </row>
    <row r="192" spans="2:8" x14ac:dyDescent="0.35">
      <c r="B192" s="375">
        <v>186</v>
      </c>
    </row>
    <row r="193" spans="2:2" x14ac:dyDescent="0.35">
      <c r="B193" s="375">
        <v>271</v>
      </c>
    </row>
    <row r="194" spans="2:2" x14ac:dyDescent="0.35">
      <c r="B194" s="375">
        <v>276</v>
      </c>
    </row>
    <row r="195" spans="2:2" x14ac:dyDescent="0.35">
      <c r="B195" s="375">
        <v>79</v>
      </c>
    </row>
    <row r="196" spans="2:2" x14ac:dyDescent="0.35">
      <c r="B196" s="375">
        <v>142</v>
      </c>
    </row>
    <row r="197" spans="2:2" x14ac:dyDescent="0.35">
      <c r="B197" s="375">
        <v>106</v>
      </c>
    </row>
    <row r="198" spans="2:2" x14ac:dyDescent="0.35">
      <c r="B198" s="375">
        <v>295</v>
      </c>
    </row>
    <row r="199" spans="2:2" x14ac:dyDescent="0.35">
      <c r="B199" s="375">
        <v>84</v>
      </c>
    </row>
    <row r="200" spans="2:2" x14ac:dyDescent="0.35">
      <c r="B200" s="375">
        <v>106</v>
      </c>
    </row>
    <row r="201" spans="2:2" x14ac:dyDescent="0.35">
      <c r="B201" s="375">
        <v>107</v>
      </c>
    </row>
    <row r="202" spans="2:2" x14ac:dyDescent="0.35">
      <c r="B202" s="375">
        <v>172</v>
      </c>
    </row>
    <row r="203" spans="2:2" x14ac:dyDescent="0.35">
      <c r="B203" s="375">
        <v>95</v>
      </c>
    </row>
    <row r="204" spans="2:2" x14ac:dyDescent="0.35">
      <c r="B204" s="375">
        <v>116</v>
      </c>
    </row>
    <row r="205" spans="2:2" x14ac:dyDescent="0.35">
      <c r="B205" s="375">
        <v>97</v>
      </c>
    </row>
    <row r="206" spans="2:2" x14ac:dyDescent="0.35">
      <c r="B206" s="375">
        <v>255</v>
      </c>
    </row>
    <row r="207" spans="2:2" x14ac:dyDescent="0.35">
      <c r="B207" s="375">
        <v>78</v>
      </c>
    </row>
    <row r="208" spans="2:2" x14ac:dyDescent="0.35">
      <c r="B208" s="375">
        <v>102</v>
      </c>
    </row>
    <row r="209" spans="2:2" x14ac:dyDescent="0.35">
      <c r="B209" s="375">
        <v>148</v>
      </c>
    </row>
    <row r="210" spans="2:2" x14ac:dyDescent="0.35">
      <c r="B210" s="375">
        <v>102</v>
      </c>
    </row>
    <row r="211" spans="2:2" x14ac:dyDescent="0.35">
      <c r="B211" s="375">
        <v>513</v>
      </c>
    </row>
    <row r="212" spans="2:2" x14ac:dyDescent="0.35">
      <c r="B212" s="375">
        <v>416</v>
      </c>
    </row>
    <row r="213" spans="2:2" x14ac:dyDescent="0.35">
      <c r="B213" s="375">
        <v>400</v>
      </c>
    </row>
    <row r="214" spans="2:2" x14ac:dyDescent="0.35">
      <c r="B214" s="375">
        <v>240</v>
      </c>
    </row>
    <row r="215" spans="2:2" x14ac:dyDescent="0.35">
      <c r="B215" s="375">
        <v>421</v>
      </c>
    </row>
    <row r="216" spans="2:2" x14ac:dyDescent="0.35">
      <c r="B216" s="375">
        <v>272</v>
      </c>
    </row>
    <row r="217" spans="2:2" x14ac:dyDescent="0.35">
      <c r="B217" s="375">
        <v>217</v>
      </c>
    </row>
    <row r="218" spans="2:2" x14ac:dyDescent="0.35">
      <c r="B218" s="375">
        <v>299</v>
      </c>
    </row>
    <row r="219" spans="2:2" x14ac:dyDescent="0.35">
      <c r="B219" s="375">
        <v>126</v>
      </c>
    </row>
    <row r="220" spans="2:2" x14ac:dyDescent="0.35">
      <c r="B220" s="375">
        <v>279</v>
      </c>
    </row>
    <row r="221" spans="2:2" x14ac:dyDescent="0.35">
      <c r="B221" s="375">
        <v>592</v>
      </c>
    </row>
    <row r="222" spans="2:2" x14ac:dyDescent="0.35">
      <c r="B222" s="375">
        <v>255</v>
      </c>
    </row>
    <row r="223" spans="2:2" x14ac:dyDescent="0.35">
      <c r="B223" s="375">
        <v>338</v>
      </c>
    </row>
    <row r="224" spans="2:2" x14ac:dyDescent="0.35">
      <c r="B224" s="375">
        <v>299</v>
      </c>
    </row>
    <row r="225" spans="2:2" x14ac:dyDescent="0.35">
      <c r="B225" s="375">
        <v>242</v>
      </c>
    </row>
    <row r="226" spans="2:2" x14ac:dyDescent="0.35">
      <c r="B226" s="375">
        <v>183</v>
      </c>
    </row>
    <row r="227" spans="2:2" x14ac:dyDescent="0.35">
      <c r="B227" s="375">
        <v>336</v>
      </c>
    </row>
    <row r="228" spans="2:2" x14ac:dyDescent="0.35">
      <c r="B228" s="375">
        <v>306</v>
      </c>
    </row>
    <row r="229" spans="2:2" x14ac:dyDescent="0.35">
      <c r="B229" s="375">
        <v>173</v>
      </c>
    </row>
    <row r="230" spans="2:2" x14ac:dyDescent="0.35">
      <c r="B230" s="375">
        <v>196</v>
      </c>
    </row>
    <row r="231" spans="2:2" x14ac:dyDescent="0.35">
      <c r="B231" s="375">
        <v>601</v>
      </c>
    </row>
    <row r="232" spans="2:2" x14ac:dyDescent="0.35">
      <c r="B232" s="375">
        <v>198</v>
      </c>
    </row>
    <row r="233" spans="2:2" x14ac:dyDescent="0.35">
      <c r="B233" s="375">
        <v>254</v>
      </c>
    </row>
    <row r="234" spans="2:2" x14ac:dyDescent="0.35">
      <c r="B234" s="375">
        <v>181</v>
      </c>
    </row>
    <row r="235" spans="2:2" x14ac:dyDescent="0.35">
      <c r="B235" s="375">
        <v>185</v>
      </c>
    </row>
    <row r="236" spans="2:2" x14ac:dyDescent="0.35">
      <c r="B236" s="375">
        <v>576</v>
      </c>
    </row>
    <row r="237" spans="2:2" x14ac:dyDescent="0.35">
      <c r="B237" s="375">
        <v>417</v>
      </c>
    </row>
    <row r="238" spans="2:2" x14ac:dyDescent="0.35">
      <c r="B238" s="375">
        <v>535</v>
      </c>
    </row>
    <row r="239" spans="2:2" x14ac:dyDescent="0.35">
      <c r="B239" s="375">
        <v>382</v>
      </c>
    </row>
    <row r="240" spans="2:2" x14ac:dyDescent="0.35">
      <c r="B240" s="375">
        <v>323</v>
      </c>
    </row>
    <row r="241" spans="2:2" x14ac:dyDescent="0.35">
      <c r="B241" s="375">
        <v>705</v>
      </c>
    </row>
    <row r="242" spans="2:2" x14ac:dyDescent="0.35">
      <c r="B242" s="375">
        <v>899</v>
      </c>
    </row>
    <row r="243" spans="2:2" x14ac:dyDescent="0.35">
      <c r="B243" s="375">
        <v>596</v>
      </c>
    </row>
    <row r="244" spans="2:2" x14ac:dyDescent="0.35">
      <c r="B244" s="375">
        <v>1036</v>
      </c>
    </row>
    <row r="245" spans="2:2" x14ac:dyDescent="0.35">
      <c r="B245" s="375">
        <v>439</v>
      </c>
    </row>
    <row r="246" spans="2:2" x14ac:dyDescent="0.35">
      <c r="B246" s="375">
        <v>687</v>
      </c>
    </row>
    <row r="247" spans="2:2" x14ac:dyDescent="0.35">
      <c r="B247" s="375">
        <v>483</v>
      </c>
    </row>
    <row r="248" spans="2:2" x14ac:dyDescent="0.35">
      <c r="B248" s="375">
        <v>1376</v>
      </c>
    </row>
    <row r="249" spans="2:2" x14ac:dyDescent="0.35">
      <c r="B249" s="375">
        <v>1432</v>
      </c>
    </row>
    <row r="250" spans="2:2" x14ac:dyDescent="0.35">
      <c r="B250" s="375">
        <v>1048</v>
      </c>
    </row>
    <row r="251" spans="2:2" x14ac:dyDescent="0.35">
      <c r="B251" s="375">
        <v>621</v>
      </c>
    </row>
    <row r="252" spans="2:2" x14ac:dyDescent="0.35">
      <c r="B252" s="375">
        <v>1168</v>
      </c>
    </row>
    <row r="253" spans="2:2" x14ac:dyDescent="0.35">
      <c r="B253" s="375">
        <v>644</v>
      </c>
    </row>
    <row r="254" spans="2:2" x14ac:dyDescent="0.35">
      <c r="B254" s="375">
        <v>246</v>
      </c>
    </row>
    <row r="255" spans="2:2" x14ac:dyDescent="0.35">
      <c r="B255" s="375">
        <v>313</v>
      </c>
    </row>
  </sheetData>
  <mergeCells count="6">
    <mergeCell ref="AO2:AY2"/>
    <mergeCell ref="A2:K2"/>
    <mergeCell ref="M2:W2"/>
    <mergeCell ref="O4:P4"/>
    <mergeCell ref="O5:P5"/>
    <mergeCell ref="Z2:A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Global mass balance</vt:lpstr>
      <vt:lpstr>Subduction</vt:lpstr>
      <vt:lpstr>Best estimates slab</vt:lpstr>
      <vt:lpstr>Fig. 2</vt:lpstr>
      <vt:lpstr> Fig3b </vt:lpstr>
      <vt:lpstr>Calculations</vt:lpstr>
      <vt:lpstr>halogen 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Barry</dc:creator>
  <cp:lastModifiedBy>Erin Lee</cp:lastModifiedBy>
  <dcterms:created xsi:type="dcterms:W3CDTF">2020-06-19T17:20:30Z</dcterms:created>
  <dcterms:modified xsi:type="dcterms:W3CDTF">2020-10-21T18:06:59Z</dcterms:modified>
</cp:coreProperties>
</file>