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1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ink/ink1.xml" ContentType="application/inkml+xml"/>
  <Override PartName="/xl/ink/ink2.xml" ContentType="application/inkml+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ink/ink3.xml" ContentType="application/inkml+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nityaarya/Downloads/"/>
    </mc:Choice>
  </mc:AlternateContent>
  <xr:revisionPtr revIDLastSave="0" documentId="13_ncr:1_{45566E9A-3B97-A242-A6F9-645FE0526D46}" xr6:coauthVersionLast="47" xr6:coauthVersionMax="47" xr10:uidLastSave="{00000000-0000-0000-0000-000000000000}"/>
  <bookViews>
    <workbookView xWindow="0" yWindow="620" windowWidth="28800" windowHeight="16260" xr2:uid="{60002CFE-20A2-5846-BBA2-650F764BFB57}"/>
  </bookViews>
  <sheets>
    <sheet name="About" sheetId="1" r:id="rId1"/>
    <sheet name="Raw Financial Data" sheetId="9" r:id="rId2"/>
    <sheet name="Common Size Financial Statement" sheetId="14" r:id="rId3"/>
    <sheet name="Brand Contribution Analysis" sheetId="4" r:id="rId4"/>
    <sheet name="Financial Trend Analysis" sheetId="19" r:id="rId5"/>
    <sheet name="Returns &amp; Efficiency Analysis" sheetId="6" r:id="rId6"/>
    <sheet name="Forecast &amp; Scenario Analysis" sheetId="23" r:id="rId7"/>
    <sheet name="Core Findings" sheetId="12" r:id="rId8"/>
    <sheet name="Strategic Conclusions" sheetId="24" r:id="rId9"/>
  </sheets>
  <definedNames>
    <definedName name="solver_eng" localSheetId="3" hidden="1">1</definedName>
    <definedName name="solver_lin" localSheetId="3" hidden="1">2</definedName>
    <definedName name="solver_neg" localSheetId="3" hidden="1">1</definedName>
    <definedName name="solver_num" localSheetId="3" hidden="1">0</definedName>
    <definedName name="solver_opt" localSheetId="3" hidden="1">'Brand Contribution Analysis'!$A$2</definedName>
    <definedName name="solver_typ" localSheetId="3" hidden="1">1</definedName>
    <definedName name="solver_val" localSheetId="3" hidden="1">0</definedName>
    <definedName name="solver_ver" localSheetId="3"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0" i="23" l="1"/>
  <c r="G6" i="14"/>
  <c r="G7" i="14"/>
  <c r="G8" i="14"/>
  <c r="G9" i="14"/>
  <c r="G10" i="14"/>
  <c r="G11" i="14"/>
  <c r="G12" i="14"/>
  <c r="G13" i="14"/>
  <c r="G14" i="14"/>
  <c r="G15" i="14"/>
  <c r="G16" i="14"/>
  <c r="G17" i="14"/>
  <c r="G18" i="14"/>
  <c r="G19" i="14"/>
  <c r="G20" i="14"/>
  <c r="G22" i="14"/>
  <c r="G23" i="14"/>
  <c r="G24" i="14"/>
  <c r="G26" i="14"/>
  <c r="G27" i="14"/>
  <c r="G28" i="14"/>
  <c r="G31" i="14"/>
  <c r="G32" i="14"/>
  <c r="G33" i="14"/>
  <c r="G34" i="14"/>
  <c r="G35" i="14"/>
  <c r="G36" i="14"/>
  <c r="G37" i="14"/>
  <c r="G38" i="14"/>
  <c r="G39" i="14"/>
  <c r="G40" i="14"/>
  <c r="G41" i="14"/>
  <c r="G42" i="14"/>
  <c r="G50" i="14"/>
  <c r="G51" i="14"/>
  <c r="G52" i="14"/>
  <c r="G53" i="14"/>
  <c r="G54" i="14"/>
  <c r="G55" i="14"/>
  <c r="G56" i="14"/>
  <c r="G57" i="14"/>
  <c r="G58" i="14"/>
  <c r="G61" i="14"/>
  <c r="G62" i="14"/>
  <c r="G63" i="14"/>
  <c r="G64" i="14"/>
  <c r="G65" i="14"/>
  <c r="G66" i="14"/>
  <c r="G67" i="14"/>
  <c r="G68" i="14"/>
  <c r="G70" i="14"/>
  <c r="G75" i="14"/>
  <c r="G76" i="14"/>
  <c r="G77" i="14"/>
  <c r="G80" i="14"/>
  <c r="G81" i="14"/>
  <c r="G82" i="14"/>
  <c r="G83" i="14"/>
  <c r="G84" i="14"/>
  <c r="G85" i="14"/>
  <c r="G86" i="14"/>
  <c r="G87" i="14"/>
  <c r="G90" i="14"/>
  <c r="G91" i="14"/>
  <c r="G92" i="14"/>
  <c r="G93" i="14"/>
  <c r="G94" i="14"/>
  <c r="G95" i="14"/>
  <c r="G96" i="14"/>
  <c r="G97" i="14"/>
  <c r="G98" i="14"/>
  <c r="G99" i="14"/>
  <c r="G101" i="14"/>
  <c r="F52" i="23"/>
  <c r="D99" i="23"/>
  <c r="C99" i="23"/>
  <c r="B99" i="23"/>
  <c r="C23" i="4"/>
  <c r="B23" i="4"/>
  <c r="C21" i="4"/>
  <c r="B21" i="4"/>
  <c r="B52" i="23"/>
  <c r="H20" i="23"/>
  <c r="J20" i="23" s="1"/>
  <c r="L20" i="23" s="1"/>
  <c r="H21" i="23"/>
  <c r="J21" i="23" s="1"/>
  <c r="L21" i="23" s="1"/>
  <c r="H22" i="23"/>
  <c r="J22" i="23" s="1"/>
  <c r="L22" i="23" s="1"/>
  <c r="H23" i="23"/>
  <c r="J23" i="23" s="1"/>
  <c r="L23" i="23" s="1"/>
  <c r="H19" i="23"/>
  <c r="J19" i="23" s="1"/>
  <c r="B22" i="6"/>
  <c r="C26" i="6"/>
  <c r="D26" i="6"/>
  <c r="E26" i="6"/>
  <c r="F26" i="6"/>
  <c r="B26" i="6"/>
  <c r="B18" i="6"/>
  <c r="B21" i="6" s="1"/>
  <c r="B23" i="6" s="1"/>
  <c r="J3" i="19"/>
  <c r="K3" i="19"/>
  <c r="L3" i="19"/>
  <c r="M3" i="19"/>
  <c r="I3" i="19"/>
  <c r="D21" i="4" l="1"/>
  <c r="C22" i="4"/>
  <c r="D23" i="4"/>
  <c r="E21" i="4" s="1"/>
  <c r="B22" i="4"/>
  <c r="D22" i="4" s="1"/>
  <c r="B91" i="23"/>
  <c r="B93" i="23" s="1"/>
  <c r="C90" i="23"/>
  <c r="D90" i="23" s="1"/>
  <c r="D91" i="23" s="1"/>
  <c r="J24" i="23"/>
  <c r="L19" i="23"/>
  <c r="L24" i="23" s="1"/>
  <c r="H24" i="23"/>
  <c r="G48" i="23" s="1"/>
  <c r="B69" i="23"/>
  <c r="C65" i="23"/>
  <c r="D65" i="23"/>
  <c r="E65" i="23"/>
  <c r="F65" i="23"/>
  <c r="B65" i="23"/>
  <c r="B64" i="23"/>
  <c r="C64" i="23"/>
  <c r="D64" i="23"/>
  <c r="E64" i="23"/>
  <c r="F64" i="23"/>
  <c r="C5" i="6"/>
  <c r="B5" i="6"/>
  <c r="C67" i="23"/>
  <c r="D67" i="23"/>
  <c r="E67" i="23"/>
  <c r="F67" i="23"/>
  <c r="B67" i="23"/>
  <c r="C66" i="23"/>
  <c r="D66" i="23"/>
  <c r="E66" i="23"/>
  <c r="F66" i="23"/>
  <c r="B66" i="23"/>
  <c r="D22" i="6"/>
  <c r="E22" i="6"/>
  <c r="F22" i="6"/>
  <c r="C22" i="6"/>
  <c r="C62" i="23"/>
  <c r="D62" i="23"/>
  <c r="E62" i="23"/>
  <c r="F62" i="23"/>
  <c r="B62" i="23"/>
  <c r="C63" i="23"/>
  <c r="D63" i="23"/>
  <c r="E63" i="23"/>
  <c r="F63" i="23"/>
  <c r="B63" i="23"/>
  <c r="C52" i="23"/>
  <c r="D52" i="23"/>
  <c r="E52" i="23"/>
  <c r="C58" i="23"/>
  <c r="D58" i="23"/>
  <c r="E58" i="23"/>
  <c r="F58" i="23"/>
  <c r="B58" i="23"/>
  <c r="C59" i="23"/>
  <c r="D59" i="23"/>
  <c r="E59" i="23"/>
  <c r="F59" i="23"/>
  <c r="B59" i="23"/>
  <c r="C53" i="23"/>
  <c r="D53" i="23"/>
  <c r="E53" i="23"/>
  <c r="F53" i="23"/>
  <c r="B53" i="23"/>
  <c r="C51" i="23"/>
  <c r="D51" i="23"/>
  <c r="E51" i="23"/>
  <c r="F51" i="23"/>
  <c r="B51" i="23"/>
  <c r="C49" i="23"/>
  <c r="D49" i="23"/>
  <c r="E49" i="23"/>
  <c r="F49" i="23"/>
  <c r="B49" i="23"/>
  <c r="C48" i="23"/>
  <c r="D48" i="23"/>
  <c r="E48" i="23"/>
  <c r="F48" i="23"/>
  <c r="B48" i="23"/>
  <c r="G63" i="23" l="1"/>
  <c r="G62" i="23" s="1"/>
  <c r="G49" i="23"/>
  <c r="G52" i="23"/>
  <c r="E22" i="4"/>
  <c r="C91" i="23"/>
  <c r="G24" i="23"/>
  <c r="G42" i="23" s="1"/>
  <c r="I48" i="23"/>
  <c r="K24" i="23"/>
  <c r="I42" i="23" s="1"/>
  <c r="I24" i="23"/>
  <c r="H42" i="23" s="1"/>
  <c r="H48" i="23"/>
  <c r="F68" i="23"/>
  <c r="B68" i="23"/>
  <c r="C68" i="23"/>
  <c r="D60" i="23"/>
  <c r="D61" i="23" s="1"/>
  <c r="E69" i="23"/>
  <c r="D69" i="23"/>
  <c r="F60" i="23"/>
  <c r="F61" i="23" s="1"/>
  <c r="E60" i="23"/>
  <c r="E68" i="23"/>
  <c r="D68" i="23"/>
  <c r="F69" i="23"/>
  <c r="C69" i="23"/>
  <c r="C60" i="23"/>
  <c r="C61" i="23" s="1"/>
  <c r="B60" i="23"/>
  <c r="B61" i="23" s="1"/>
  <c r="C50" i="23"/>
  <c r="E61" i="23"/>
  <c r="D50" i="23"/>
  <c r="E50" i="23"/>
  <c r="F50" i="23"/>
  <c r="B50" i="23"/>
  <c r="C70" i="23" l="1"/>
  <c r="B70" i="23"/>
  <c r="E70" i="23"/>
  <c r="D70" i="23"/>
  <c r="F70" i="23"/>
  <c r="J23" i="19"/>
  <c r="K23" i="19"/>
  <c r="L23" i="19"/>
  <c r="M23" i="19"/>
  <c r="I23" i="19"/>
  <c r="J22" i="19"/>
  <c r="K22" i="19"/>
  <c r="L22" i="19"/>
  <c r="M22" i="19"/>
  <c r="I22" i="19"/>
  <c r="C29" i="6"/>
  <c r="D29" i="6"/>
  <c r="E29" i="6"/>
  <c r="F29" i="6"/>
  <c r="B29" i="6"/>
  <c r="B28" i="6"/>
  <c r="C28" i="6"/>
  <c r="D28" i="6"/>
  <c r="E28" i="6"/>
  <c r="F28" i="6"/>
  <c r="D27" i="6"/>
  <c r="C27" i="6"/>
  <c r="E27" i="6"/>
  <c r="E30" i="6" s="1"/>
  <c r="F27" i="6"/>
  <c r="B27" i="6"/>
  <c r="J4" i="19"/>
  <c r="K4" i="19"/>
  <c r="L4" i="19"/>
  <c r="M4" i="19"/>
  <c r="I4" i="19"/>
  <c r="B28" i="4"/>
  <c r="C28" i="4"/>
  <c r="F4" i="19"/>
  <c r="E4" i="19"/>
  <c r="D4" i="19"/>
  <c r="C4" i="19"/>
  <c r="B4" i="19"/>
  <c r="F3" i="19"/>
  <c r="E3" i="19"/>
  <c r="D3" i="19"/>
  <c r="C3" i="19"/>
  <c r="B3" i="19"/>
  <c r="C30" i="6" l="1"/>
  <c r="E22" i="19"/>
  <c r="D22" i="19"/>
  <c r="B30" i="6"/>
  <c r="F30" i="6"/>
  <c r="D30" i="6"/>
  <c r="C23" i="19"/>
  <c r="B23" i="19"/>
  <c r="D23" i="19"/>
  <c r="B22" i="19"/>
  <c r="F22" i="19"/>
  <c r="F23" i="19"/>
  <c r="C22" i="19"/>
  <c r="E23" i="19"/>
  <c r="F4" i="4" l="1"/>
  <c r="F5" i="4"/>
  <c r="F6" i="4"/>
  <c r="F7" i="4"/>
  <c r="E4" i="4"/>
  <c r="E5" i="4"/>
  <c r="E6" i="4"/>
  <c r="E7" i="4"/>
  <c r="D4" i="4"/>
  <c r="D5" i="4"/>
  <c r="D6" i="4"/>
  <c r="D7" i="4"/>
  <c r="C4" i="4"/>
  <c r="C5" i="4"/>
  <c r="C6" i="4"/>
  <c r="C7" i="4"/>
  <c r="B4" i="4"/>
  <c r="B5" i="4"/>
  <c r="B6" i="4"/>
  <c r="B7" i="4"/>
  <c r="F3" i="4"/>
  <c r="F5" i="19" s="1"/>
  <c r="E3" i="4"/>
  <c r="E5" i="19" s="1"/>
  <c r="D3" i="4"/>
  <c r="D5" i="19" s="1"/>
  <c r="C3" i="4"/>
  <c r="C5" i="19" s="1"/>
  <c r="B3" i="4"/>
  <c r="B5" i="19" s="1"/>
  <c r="C32" i="4"/>
  <c r="D32" i="4"/>
  <c r="E32" i="4"/>
  <c r="F32" i="4"/>
  <c r="B32" i="4"/>
  <c r="F8" i="6"/>
  <c r="C8" i="6"/>
  <c r="D8" i="6"/>
  <c r="E8" i="6"/>
  <c r="C18" i="6"/>
  <c r="C21" i="6" s="1"/>
  <c r="D18" i="6"/>
  <c r="D21" i="6" s="1"/>
  <c r="E18" i="6"/>
  <c r="E21" i="6" s="1"/>
  <c r="F18" i="6"/>
  <c r="F21" i="6" s="1"/>
  <c r="C17" i="6"/>
  <c r="D17" i="6"/>
  <c r="E17" i="6"/>
  <c r="F17" i="6"/>
  <c r="B17" i="6"/>
  <c r="C15" i="6"/>
  <c r="D15" i="6"/>
  <c r="E15" i="6"/>
  <c r="F15" i="6"/>
  <c r="B15" i="6"/>
  <c r="C14" i="6"/>
  <c r="D14" i="6"/>
  <c r="E14" i="6"/>
  <c r="F14" i="6"/>
  <c r="B14" i="6"/>
  <c r="C16" i="6"/>
  <c r="D16" i="6"/>
  <c r="E16" i="6"/>
  <c r="F16" i="6"/>
  <c r="B16" i="6"/>
  <c r="C10" i="6"/>
  <c r="D10" i="6"/>
  <c r="E10" i="6"/>
  <c r="F10" i="6"/>
  <c r="B10" i="6"/>
  <c r="C9" i="6"/>
  <c r="D9" i="6"/>
  <c r="E9" i="6"/>
  <c r="F9" i="6"/>
  <c r="B9" i="6"/>
  <c r="C23" i="6" l="1"/>
  <c r="F23" i="6"/>
  <c r="E23" i="6"/>
  <c r="D23" i="6"/>
  <c r="C11" i="6" l="1"/>
  <c r="D11" i="6"/>
  <c r="E11" i="6"/>
  <c r="F11" i="6"/>
  <c r="B8" i="6"/>
  <c r="B11" i="6" s="1"/>
  <c r="D5" i="6"/>
  <c r="E5" i="6"/>
  <c r="F5" i="6"/>
  <c r="B29" i="4"/>
  <c r="C29" i="4"/>
  <c r="D29" i="4"/>
  <c r="E29" i="4"/>
  <c r="F29" i="4"/>
  <c r="B30" i="4"/>
  <c r="C30" i="4"/>
  <c r="D30" i="4"/>
  <c r="E30" i="4"/>
  <c r="F30" i="4"/>
  <c r="B31" i="4"/>
  <c r="C31" i="4"/>
  <c r="D31" i="4"/>
  <c r="E31" i="4"/>
  <c r="F31" i="4"/>
  <c r="D28" i="4"/>
  <c r="E28" i="4"/>
  <c r="F28" i="4"/>
  <c r="B13" i="4"/>
  <c r="C13" i="4"/>
  <c r="D13" i="4"/>
  <c r="E13" i="4"/>
  <c r="F13" i="4"/>
  <c r="B14" i="4"/>
  <c r="C14" i="4"/>
  <c r="D14" i="4"/>
  <c r="E14" i="4"/>
  <c r="F14" i="4"/>
  <c r="B15" i="4"/>
  <c r="C15" i="4"/>
  <c r="D15" i="4"/>
  <c r="E15" i="4"/>
  <c r="F15" i="4"/>
  <c r="B16" i="4"/>
  <c r="C16" i="4"/>
  <c r="D16" i="4"/>
  <c r="E16" i="4"/>
  <c r="F16" i="4"/>
  <c r="C12" i="4"/>
  <c r="J5" i="19" s="1"/>
  <c r="D12" i="4"/>
  <c r="K5" i="19" s="1"/>
  <c r="E12" i="4"/>
  <c r="L5" i="19" s="1"/>
  <c r="F12" i="4"/>
  <c r="M5" i="19" s="1"/>
  <c r="B12" i="4"/>
  <c r="I5" i="19" s="1"/>
  <c r="B51" i="14"/>
  <c r="C51" i="14"/>
  <c r="D51" i="14"/>
  <c r="E51" i="14"/>
  <c r="F51" i="14"/>
  <c r="B52" i="14"/>
  <c r="C52" i="14"/>
  <c r="D52" i="14"/>
  <c r="E52" i="14"/>
  <c r="F52" i="14"/>
  <c r="B53" i="14"/>
  <c r="C53" i="14"/>
  <c r="D53" i="14"/>
  <c r="E53" i="14"/>
  <c r="F53" i="14"/>
  <c r="B54" i="14"/>
  <c r="C54" i="14"/>
  <c r="D54" i="14"/>
  <c r="E54" i="14"/>
  <c r="F54" i="14"/>
  <c r="B55" i="14"/>
  <c r="C55" i="14"/>
  <c r="D55" i="14"/>
  <c r="E55" i="14"/>
  <c r="F55" i="14"/>
  <c r="B56" i="14"/>
  <c r="C56" i="14"/>
  <c r="D56" i="14"/>
  <c r="E56" i="14"/>
  <c r="F56" i="14"/>
  <c r="B57" i="14"/>
  <c r="C57" i="14"/>
  <c r="D57" i="14"/>
  <c r="E57" i="14"/>
  <c r="F57" i="14"/>
  <c r="B58" i="14"/>
  <c r="C58" i="14"/>
  <c r="D58" i="14"/>
  <c r="E58" i="14"/>
  <c r="F58" i="14"/>
  <c r="B61" i="14"/>
  <c r="C61" i="14"/>
  <c r="D61" i="14"/>
  <c r="E61" i="14"/>
  <c r="F61" i="14"/>
  <c r="B62" i="14"/>
  <c r="C62" i="14"/>
  <c r="D62" i="14"/>
  <c r="E62" i="14"/>
  <c r="F62" i="14"/>
  <c r="B63" i="14"/>
  <c r="C63" i="14"/>
  <c r="D63" i="14"/>
  <c r="E63" i="14"/>
  <c r="F63" i="14"/>
  <c r="B64" i="14"/>
  <c r="C64" i="14"/>
  <c r="D64" i="14"/>
  <c r="E64" i="14"/>
  <c r="F64" i="14"/>
  <c r="B65" i="14"/>
  <c r="C65" i="14"/>
  <c r="D65" i="14"/>
  <c r="E65" i="14"/>
  <c r="F65" i="14"/>
  <c r="B66" i="14"/>
  <c r="C66" i="14"/>
  <c r="D66" i="14"/>
  <c r="E66" i="14"/>
  <c r="F66" i="14"/>
  <c r="B67" i="14"/>
  <c r="C67" i="14"/>
  <c r="D67" i="14"/>
  <c r="E67" i="14"/>
  <c r="F67" i="14"/>
  <c r="B68" i="14"/>
  <c r="E68" i="14"/>
  <c r="F68" i="14"/>
  <c r="B70" i="14"/>
  <c r="C70" i="14"/>
  <c r="D70" i="14"/>
  <c r="E70" i="14"/>
  <c r="F70" i="14"/>
  <c r="B75" i="14"/>
  <c r="C75" i="14"/>
  <c r="D75" i="14"/>
  <c r="E75" i="14"/>
  <c r="F75" i="14"/>
  <c r="B76" i="14"/>
  <c r="C76" i="14"/>
  <c r="D76" i="14"/>
  <c r="E76" i="14"/>
  <c r="F76" i="14"/>
  <c r="B77" i="14"/>
  <c r="C77" i="14"/>
  <c r="D77" i="14"/>
  <c r="E77" i="14"/>
  <c r="F77" i="14"/>
  <c r="B80" i="14"/>
  <c r="C80" i="14"/>
  <c r="D80" i="14"/>
  <c r="E80" i="14"/>
  <c r="F80" i="14"/>
  <c r="B81" i="14"/>
  <c r="C81" i="14"/>
  <c r="D81" i="14"/>
  <c r="E81" i="14"/>
  <c r="F81" i="14"/>
  <c r="D82" i="14"/>
  <c r="E82" i="14"/>
  <c r="F82" i="14"/>
  <c r="B83" i="14"/>
  <c r="C83" i="14"/>
  <c r="D83" i="14"/>
  <c r="E83" i="14"/>
  <c r="F83" i="14"/>
  <c r="B84" i="14"/>
  <c r="C84" i="14"/>
  <c r="D84" i="14"/>
  <c r="E84" i="14"/>
  <c r="F84" i="14"/>
  <c r="B85" i="14"/>
  <c r="C85" i="14"/>
  <c r="D85" i="14"/>
  <c r="E85" i="14"/>
  <c r="F85" i="14"/>
  <c r="B86" i="14"/>
  <c r="C86" i="14"/>
  <c r="D86" i="14"/>
  <c r="E86" i="14"/>
  <c r="F86" i="14"/>
  <c r="B87" i="14"/>
  <c r="C87" i="14"/>
  <c r="D87" i="14"/>
  <c r="E87" i="14"/>
  <c r="F87" i="14"/>
  <c r="B90" i="14"/>
  <c r="C90" i="14"/>
  <c r="D90" i="14"/>
  <c r="E90" i="14"/>
  <c r="F90" i="14"/>
  <c r="B91" i="14"/>
  <c r="C91" i="14"/>
  <c r="D91" i="14"/>
  <c r="E91" i="14"/>
  <c r="F91" i="14"/>
  <c r="B92" i="14"/>
  <c r="C92" i="14"/>
  <c r="D92" i="14"/>
  <c r="E92" i="14"/>
  <c r="F92" i="14"/>
  <c r="B93" i="14"/>
  <c r="C93" i="14"/>
  <c r="D93" i="14"/>
  <c r="E93" i="14"/>
  <c r="F93" i="14"/>
  <c r="B94" i="14"/>
  <c r="C94" i="14"/>
  <c r="D94" i="14"/>
  <c r="E94" i="14"/>
  <c r="F94" i="14"/>
  <c r="B95" i="14"/>
  <c r="C95" i="14"/>
  <c r="D95" i="14"/>
  <c r="E95" i="14"/>
  <c r="F95" i="14"/>
  <c r="B96" i="14"/>
  <c r="C96" i="14"/>
  <c r="D96" i="14"/>
  <c r="E96" i="14"/>
  <c r="F96" i="14"/>
  <c r="B97" i="14"/>
  <c r="C97" i="14"/>
  <c r="D97" i="14"/>
  <c r="E97" i="14"/>
  <c r="F97" i="14"/>
  <c r="B98" i="14"/>
  <c r="C98" i="14"/>
  <c r="D98" i="14"/>
  <c r="E98" i="14"/>
  <c r="F98" i="14"/>
  <c r="B99" i="14"/>
  <c r="F99" i="14"/>
  <c r="B101" i="14"/>
  <c r="C101" i="14"/>
  <c r="D101" i="14"/>
  <c r="E101" i="14"/>
  <c r="F101" i="14"/>
  <c r="C50" i="14"/>
  <c r="D50" i="14"/>
  <c r="E50" i="14"/>
  <c r="F50" i="14"/>
  <c r="B50" i="14"/>
  <c r="B7" i="14"/>
  <c r="C7" i="14"/>
  <c r="D7" i="14"/>
  <c r="E7" i="14"/>
  <c r="F7" i="14"/>
  <c r="B8" i="14"/>
  <c r="C8" i="14"/>
  <c r="D8" i="14"/>
  <c r="E8" i="14"/>
  <c r="F8" i="14"/>
  <c r="B9" i="14"/>
  <c r="C9" i="14"/>
  <c r="D9" i="14"/>
  <c r="E9" i="14"/>
  <c r="F9" i="14"/>
  <c r="B10" i="14"/>
  <c r="C10" i="14"/>
  <c r="D10" i="14"/>
  <c r="E10" i="14"/>
  <c r="F10" i="14"/>
  <c r="B11" i="14"/>
  <c r="C11" i="14"/>
  <c r="D11" i="14"/>
  <c r="E11" i="14"/>
  <c r="F11" i="14"/>
  <c r="B12" i="14"/>
  <c r="C12" i="14"/>
  <c r="D12" i="14"/>
  <c r="E12" i="14"/>
  <c r="F12" i="14"/>
  <c r="B13" i="14"/>
  <c r="C13" i="14"/>
  <c r="D13" i="14"/>
  <c r="E13" i="14"/>
  <c r="F13" i="14"/>
  <c r="B14" i="14"/>
  <c r="C14" i="14"/>
  <c r="D14" i="14"/>
  <c r="E14" i="14"/>
  <c r="F14" i="14"/>
  <c r="B15" i="14"/>
  <c r="C15" i="14"/>
  <c r="D15" i="14"/>
  <c r="E15" i="14"/>
  <c r="F15" i="14"/>
  <c r="B16" i="14"/>
  <c r="C16" i="14"/>
  <c r="D16" i="14"/>
  <c r="E16" i="14"/>
  <c r="F16" i="14"/>
  <c r="B17" i="14"/>
  <c r="C17" i="14"/>
  <c r="D17" i="14"/>
  <c r="E17" i="14"/>
  <c r="F17" i="14"/>
  <c r="B18" i="14"/>
  <c r="C18" i="14"/>
  <c r="D18" i="14"/>
  <c r="E18" i="14"/>
  <c r="F18" i="14"/>
  <c r="B19" i="14"/>
  <c r="C19" i="14"/>
  <c r="D19" i="14"/>
  <c r="E19" i="14"/>
  <c r="F19" i="14"/>
  <c r="B20" i="14"/>
  <c r="C20" i="14"/>
  <c r="D20" i="14"/>
  <c r="E20" i="14"/>
  <c r="F20" i="14"/>
  <c r="B22" i="14"/>
  <c r="C22" i="14"/>
  <c r="E22" i="14"/>
  <c r="F22" i="14"/>
  <c r="B23" i="14"/>
  <c r="C23" i="14"/>
  <c r="E23" i="14"/>
  <c r="F23" i="14"/>
  <c r="B26" i="14"/>
  <c r="C26" i="14"/>
  <c r="D26" i="14"/>
  <c r="E26" i="14"/>
  <c r="F26" i="14"/>
  <c r="B27" i="14"/>
  <c r="C27" i="14"/>
  <c r="D27" i="14"/>
  <c r="E27" i="14"/>
  <c r="F27" i="14"/>
  <c r="B28" i="14"/>
  <c r="C28" i="14"/>
  <c r="D28" i="14"/>
  <c r="E28" i="14"/>
  <c r="F28" i="14"/>
  <c r="B31" i="14"/>
  <c r="C31" i="14"/>
  <c r="D31" i="14"/>
  <c r="E31" i="14"/>
  <c r="F31" i="14"/>
  <c r="B32" i="14"/>
  <c r="C32" i="14"/>
  <c r="D32" i="14"/>
  <c r="E32" i="14"/>
  <c r="F32" i="14"/>
  <c r="B33" i="14"/>
  <c r="C33" i="14"/>
  <c r="D33" i="14"/>
  <c r="E33" i="14"/>
  <c r="F33" i="14"/>
  <c r="B34" i="14"/>
  <c r="C34" i="14"/>
  <c r="D34" i="14"/>
  <c r="E34" i="14"/>
  <c r="F34" i="14"/>
  <c r="B35" i="14"/>
  <c r="C35" i="14"/>
  <c r="D35" i="14"/>
  <c r="E35" i="14"/>
  <c r="F35" i="14"/>
  <c r="B36" i="14"/>
  <c r="C36" i="14"/>
  <c r="D36" i="14"/>
  <c r="E36" i="14"/>
  <c r="F36" i="14"/>
  <c r="B37" i="14"/>
  <c r="C37" i="14"/>
  <c r="D37" i="14"/>
  <c r="E37" i="14"/>
  <c r="F37" i="14"/>
  <c r="B38" i="14"/>
  <c r="C38" i="14"/>
  <c r="D38" i="14"/>
  <c r="E38" i="14"/>
  <c r="F38" i="14"/>
  <c r="B39" i="14"/>
  <c r="C39" i="14"/>
  <c r="D39" i="14"/>
  <c r="E39" i="14"/>
  <c r="F39" i="14"/>
  <c r="B40" i="14"/>
  <c r="C40" i="14"/>
  <c r="E40" i="14"/>
  <c r="F40" i="14"/>
  <c r="B41" i="14"/>
  <c r="C41" i="14"/>
  <c r="E41" i="14"/>
  <c r="F41" i="14"/>
  <c r="B42" i="14"/>
  <c r="C42" i="14"/>
  <c r="E42" i="14"/>
  <c r="F42" i="14"/>
  <c r="C6" i="14"/>
  <c r="D6" i="14"/>
  <c r="E6" i="14"/>
  <c r="F6" i="14"/>
  <c r="B6" i="14"/>
  <c r="C93" i="23" l="1"/>
  <c r="D93" i="23"/>
  <c r="G53" i="23"/>
  <c r="B92" i="23"/>
  <c r="D92" i="23"/>
  <c r="C92" i="23"/>
  <c r="H63" i="23"/>
  <c r="H65" i="23" s="1"/>
  <c r="G59" i="23"/>
  <c r="G58" i="23"/>
  <c r="H58" i="23"/>
  <c r="H59" i="23"/>
  <c r="H52" i="23"/>
  <c r="I58" i="23"/>
  <c r="I59" i="23"/>
  <c r="I52" i="23"/>
  <c r="G51" i="23"/>
  <c r="G50" i="23"/>
  <c r="H49" i="23"/>
  <c r="H50" i="23" s="1"/>
  <c r="H53" i="23"/>
  <c r="H51" i="23"/>
  <c r="I49" i="23"/>
  <c r="I50" i="23" s="1"/>
  <c r="I53" i="23"/>
  <c r="I51" i="23"/>
  <c r="G65" i="23" l="1"/>
  <c r="G64" i="23"/>
  <c r="H64" i="23"/>
  <c r="H67" i="23"/>
  <c r="H66" i="23"/>
  <c r="G67" i="23"/>
  <c r="G66" i="23"/>
  <c r="H62" i="23"/>
  <c r="I63" i="23" s="1"/>
  <c r="I65" i="23" s="1"/>
  <c r="G60" i="23"/>
  <c r="G61" i="23" s="1"/>
  <c r="I60" i="23"/>
  <c r="I61" i="23" s="1"/>
  <c r="H60" i="23"/>
  <c r="H61" i="23" s="1"/>
  <c r="H69" i="23" l="1"/>
  <c r="G68" i="23"/>
  <c r="G70" i="23" s="1"/>
  <c r="I62" i="23"/>
  <c r="H68" i="23"/>
  <c r="H70" i="23" s="1"/>
  <c r="G69" i="23"/>
  <c r="I64" i="23"/>
  <c r="I69" i="23" s="1"/>
  <c r="I67" i="23"/>
  <c r="I66" i="23"/>
  <c r="I68" i="23" l="1"/>
  <c r="I70"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tc={45A7A253-AEE1-5F43-839E-C0F09AA1C679}</author>
  </authors>
  <commentList>
    <comment ref="A2" authorId="0" shapeId="0" xr:uid="{45A7A253-AEE1-5F43-839E-C0F09AA1C679}">
      <text>
        <t>[Threaded comment]
Your version of Excel allows you to read this threaded comment; however, any edits to it will get removed if the file is opened in a newer version of Excel. Learn more: https://go.microsoft.com/fwlink/?linkid=870924
Comment:
    Return on Equity
ROE_x000B_Net Income ÷ Average Equity
Reply:
    DuPont Decomposition
Net Margin_x000B_Net Income ÷ Revenue
Asset Turnover_x000B_Revenue ÷ Average Total Assets
Equity Multiplier_x000B_Average Total Assets ÷ Average Equity
ROE Check_x000B_Net Margin × Asset Turnover × Equity Multiplier
Reply:
    Profitability Drivers
Gross Margin_x000B_(Revenue − Cost of Sales) ÷ Revenue
Operating Expenses %_x000B_Operating Expenses ÷ Revenue
Operating Margin_x000B_Operating Income ÷ Revenue
Interest Expense %_x000B_Financial Result ÷ Revenue
Effective Tax Rate_x000B_Income Tax ÷ Income Before Tax
Reply:
    Return on Invested Capital
NOPAT_x000B_Operating Income × (1 − Tax Rate)
Invested Capital_x000B_Equity + Borrowings − Cash
Average Invested Capital_x000B_(Current IC + Previous IC) ÷ 2
ROIC_x000B_NOPAT ÷ Average Invested Capital
Reply:
    Working Capital Efficiency
Inventory Turnover
= Cost of Goods Sold (COGS) ÷ Average Inventory
DIO
= (Average Inventory ÷ Cost of Sales) × 365
Receivable Days
= (Average Trade Receivables ÷ Revenue) × 365
Payable Days
= (Average Trade Payables ÷ Cost of Sales) × 365
Cash Conversion Cycle
= DIO + Receivable Days − Payable Days</t>
      </text>
    </comment>
  </commentList>
</comments>
</file>

<file path=xl/sharedStrings.xml><?xml version="1.0" encoding="utf-8"?>
<sst xmlns="http://schemas.openxmlformats.org/spreadsheetml/2006/main" count="580" uniqueCount="408">
  <si>
    <t>Revenue</t>
  </si>
  <si>
    <t>Recurring operating income</t>
  </si>
  <si>
    <t>Other non-recurring operating income and expenses</t>
  </si>
  <si>
    <t>Financial result</t>
  </si>
  <si>
    <t>Income tax expense</t>
  </si>
  <si>
    <t>Share in earnings (losses) of equity-accounted companies</t>
  </si>
  <si>
    <t>Net income from continuing operations</t>
  </si>
  <si>
    <t>Basic earnings per share</t>
  </si>
  <si>
    <t xml:space="preserve">(in € millions) </t>
  </si>
  <si>
    <t>(584)</t>
  </si>
  <si>
    <t>(242)</t>
  </si>
  <si>
    <t>(594)</t>
  </si>
  <si>
    <t>(614)</t>
  </si>
  <si>
    <t>(354)</t>
  </si>
  <si>
    <t>(455)</t>
  </si>
  <si>
    <t>(60)</t>
  </si>
  <si>
    <t>(10)</t>
  </si>
  <si>
    <t>(29)</t>
  </si>
  <si>
    <t>CONTINUING OPERATIONS</t>
  </si>
  <si>
    <t>DISCONTINUED OPERATIONS</t>
  </si>
  <si>
    <t>GROUP TOTAL</t>
  </si>
  <si>
    <t>Cost of sales</t>
  </si>
  <si>
    <t>Gross margin</t>
  </si>
  <si>
    <t>Other personnel expenses</t>
  </si>
  <si>
    <t>Other recurring operating income and expenses</t>
  </si>
  <si>
    <t>Operating income</t>
  </si>
  <si>
    <t>Income before tax</t>
  </si>
  <si>
    <t>o/w attributable to the Group</t>
  </si>
  <si>
    <t>o/w attributable to minority interests</t>
  </si>
  <si>
    <t>Net income from discontinued operations</t>
  </si>
  <si>
    <t>–</t>
  </si>
  <si>
    <t>Net income of consolidated companies</t>
  </si>
  <si>
    <t>Diluted earnings per share</t>
  </si>
  <si>
    <t>Basic EPS from continuing operations</t>
  </si>
  <si>
    <t>Diluted EPS from continuing operations</t>
  </si>
  <si>
    <t>Basic EPS from discontinued operations</t>
  </si>
  <si>
    <t>Diluted EPS from discontinued operations</t>
  </si>
  <si>
    <t>(0.23)</t>
  </si>
  <si>
    <t>(273)</t>
  </si>
  <si>
    <t>(260)</t>
  </si>
  <si>
    <t>(410)</t>
  </si>
  <si>
    <t>(220)</t>
  </si>
  <si>
    <t>(194)</t>
  </si>
  <si>
    <t>(103)</t>
  </si>
  <si>
    <t>(1,163)</t>
  </si>
  <si>
    <t>(1,420)</t>
  </si>
  <si>
    <t>(1,280)</t>
  </si>
  <si>
    <t>(6,252)</t>
  </si>
  <si>
    <t>(7,000)</t>
  </si>
  <si>
    <t>(7,199)</t>
  </si>
  <si>
    <t>(6,779)</t>
  </si>
  <si>
    <t>(5,607)</t>
  </si>
  <si>
    <t>(2,777)</t>
  </si>
  <si>
    <t>(2,954)</t>
  </si>
  <si>
    <t>(2,982)</t>
  </si>
  <si>
    <t>(2,830)</t>
  </si>
  <si>
    <t>(2,444)</t>
  </si>
  <si>
    <t>(4,015)</t>
  </si>
  <si>
    <t>(4,480)</t>
  </si>
  <si>
    <t>(4,639)</t>
  </si>
  <si>
    <t>(5,153)</t>
  </si>
  <si>
    <t>(4,577)</t>
  </si>
  <si>
    <t>Net income attributable to the Group (€m)</t>
  </si>
  <si>
    <t>Net income from continuing operations attributable to the Group (€m)</t>
  </si>
  <si>
    <t>Net income from continuing operations (excluding non recurring items) attributable to the Group (€m)</t>
  </si>
  <si>
    <t>Basic EPS excluding non recurring items</t>
  </si>
  <si>
    <t>Diluted EPS excluding non recurring items</t>
  </si>
  <si>
    <t>Net income from discontinued operations attributable to the Group (€m)</t>
  </si>
  <si>
    <t xml:space="preserve">Consolidated Income Statement </t>
  </si>
  <si>
    <t>Assets</t>
  </si>
  <si>
    <t>Non current assets</t>
  </si>
  <si>
    <t>Goodwill</t>
  </si>
  <si>
    <t>Brands and other intangible assets</t>
  </si>
  <si>
    <t>Lease right of use assets</t>
  </si>
  <si>
    <t>Property plant and equipment</t>
  </si>
  <si>
    <t>Investments in equity accounted companies</t>
  </si>
  <si>
    <t>Non current financial assets</t>
  </si>
  <si>
    <t>Deferred tax assets</t>
  </si>
  <si>
    <t>Other non current assets</t>
  </si>
  <si>
    <t>Total non current assets</t>
  </si>
  <si>
    <t>Current assets</t>
  </si>
  <si>
    <t>Inventories</t>
  </si>
  <si>
    <t>Trade receivables and accrued income</t>
  </si>
  <si>
    <t>Current tax receivables</t>
  </si>
  <si>
    <t>Current financial assets</t>
  </si>
  <si>
    <t>Other current assets</t>
  </si>
  <si>
    <t>Cash and cash equivalents</t>
  </si>
  <si>
    <t>Total current assets</t>
  </si>
  <si>
    <t>Assets held for sale</t>
  </si>
  <si>
    <t>TOTAL ASSETS</t>
  </si>
  <si>
    <t>Equity and Liabilities</t>
  </si>
  <si>
    <t>Equity</t>
  </si>
  <si>
    <t>Equity attributable to the Group</t>
  </si>
  <si>
    <t>Equity attributable to minority interests</t>
  </si>
  <si>
    <t>Total Equity</t>
  </si>
  <si>
    <t>Non current liabilities</t>
  </si>
  <si>
    <t>Non current borrowings</t>
  </si>
  <si>
    <t>Non current lease liabilities</t>
  </si>
  <si>
    <t>Other non current financial liabilities</t>
  </si>
  <si>
    <t>Non current provisions for pensions</t>
  </si>
  <si>
    <t>Non current provisions</t>
  </si>
  <si>
    <t>Deferred tax liabilities</t>
  </si>
  <si>
    <t>Other non current liabilities</t>
  </si>
  <si>
    <t>Total non current liabilities</t>
  </si>
  <si>
    <t>Current liabilities</t>
  </si>
  <si>
    <t>Current borrowings</t>
  </si>
  <si>
    <t>Current lease liabilities</t>
  </si>
  <si>
    <t>Current financial liabilities</t>
  </si>
  <si>
    <t>Trade payables and accrued expenses</t>
  </si>
  <si>
    <t>Current provisions for pensions</t>
  </si>
  <si>
    <t>Current provisions</t>
  </si>
  <si>
    <t>Current tax liabilities</t>
  </si>
  <si>
    <t>Other current liabilities</t>
  </si>
  <si>
    <t>Total current liabilities</t>
  </si>
  <si>
    <t>Liabilities associated with assets held for sale</t>
  </si>
  <si>
    <t>TOTAL EQUITY AND LIABILITIES</t>
  </si>
  <si>
    <t>Dividends received</t>
  </si>
  <si>
    <t>Current tax expense</t>
  </si>
  <si>
    <t>Change in working capital requirement</t>
  </si>
  <si>
    <t>Income tax paid</t>
  </si>
  <si>
    <t>Consolidated Statement of Cash Flow</t>
  </si>
  <si>
    <t>Acquisitions of other financial assets</t>
  </si>
  <si>
    <t>Disposals of other financial assets</t>
  </si>
  <si>
    <t>Interest and dividends received</t>
  </si>
  <si>
    <t>Transactions with minority interests</t>
  </si>
  <si>
    <t>Issuance of bonds and bank debt</t>
  </si>
  <si>
    <t>Redemption of bonds and bank debt</t>
  </si>
  <si>
    <t>Repayment of lease liabilities</t>
  </si>
  <si>
    <t>(341)</t>
  </si>
  <si>
    <t>(444)</t>
  </si>
  <si>
    <t>(422)</t>
  </si>
  <si>
    <t>(8)</t>
  </si>
  <si>
    <t>(2)</t>
  </si>
  <si>
    <t>(667)</t>
  </si>
  <si>
    <t>(610)</t>
  </si>
  <si>
    <t>(377)</t>
  </si>
  <si>
    <t>(298)</t>
  </si>
  <si>
    <t>(222)</t>
  </si>
  <si>
    <t>(2,927)</t>
  </si>
  <si>
    <t>(2,144)</t>
  </si>
  <si>
    <t>(2,377)</t>
  </si>
  <si>
    <t>(1,896)</t>
  </si>
  <si>
    <t>(3,450)</t>
  </si>
  <si>
    <t>(776)</t>
  </si>
  <si>
    <t>(824)</t>
  </si>
  <si>
    <t>(880)</t>
  </si>
  <si>
    <t>(1,049)</t>
  </si>
  <si>
    <t>(1,076)</t>
  </si>
  <si>
    <t>(394)</t>
  </si>
  <si>
    <t>(159)</t>
  </si>
  <si>
    <t>(583)</t>
  </si>
  <si>
    <t>(904)</t>
  </si>
  <si>
    <t>(957)</t>
  </si>
  <si>
    <t>(525)</t>
  </si>
  <si>
    <t>(538)</t>
  </si>
  <si>
    <t>(1030)</t>
  </si>
  <si>
    <t>(24)</t>
  </si>
  <si>
    <t>(73)</t>
  </si>
  <si>
    <t>(1,542)</t>
  </si>
  <si>
    <t>(27)</t>
  </si>
  <si>
    <t>(45)</t>
  </si>
  <si>
    <t>(42)</t>
  </si>
  <si>
    <t>(31)</t>
  </si>
  <si>
    <t>(998)</t>
  </si>
  <si>
    <t>(1,483)</t>
  </si>
  <si>
    <t>(1,712)</t>
  </si>
  <si>
    <t>(1,716)</t>
  </si>
  <si>
    <t>(736)</t>
  </si>
  <si>
    <t>(452)</t>
  </si>
  <si>
    <t>(2,770)</t>
  </si>
  <si>
    <t>(7,298)</t>
  </si>
  <si>
    <t>(3,185)</t>
  </si>
  <si>
    <t>(122)</t>
  </si>
  <si>
    <t>(235)</t>
  </si>
  <si>
    <t>(56)</t>
  </si>
  <si>
    <t>(83)</t>
  </si>
  <si>
    <t>(76)</t>
  </si>
  <si>
    <t>(32)</t>
  </si>
  <si>
    <t>(466)</t>
  </si>
  <si>
    <t>(1,565)</t>
  </si>
  <si>
    <t>(5,093)</t>
  </si>
  <si>
    <t>(35)</t>
  </si>
  <si>
    <t>(478)</t>
  </si>
  <si>
    <t>(934)</t>
  </si>
  <si>
    <t>(830)</t>
  </si>
  <si>
    <t>(1,071)</t>
  </si>
  <si>
    <t>(2,611)</t>
  </si>
  <si>
    <t>(3,309)</t>
  </si>
  <si>
    <t>(1,473)</t>
  </si>
  <si>
    <t>(1,746)</t>
  </si>
  <si>
    <t>(1,434)</t>
  </si>
  <si>
    <t>(438)</t>
  </si>
  <si>
    <t>(334)</t>
  </si>
  <si>
    <t>(38)</t>
  </si>
  <si>
    <t>(902)</t>
  </si>
  <si>
    <t>(396)</t>
  </si>
  <si>
    <t>(7)</t>
  </si>
  <si>
    <t>(9)</t>
  </si>
  <si>
    <t>Gucci</t>
  </si>
  <si>
    <t>Bottega Veneta</t>
  </si>
  <si>
    <t>Other Houses</t>
  </si>
  <si>
    <t>Revenue by Brand</t>
  </si>
  <si>
    <t>Recurring Operating Income by Brand</t>
  </si>
  <si>
    <t>(128)</t>
  </si>
  <si>
    <t>(164)</t>
  </si>
  <si>
    <t>Consolidated Balance Sheet (Dec, 31st)</t>
  </si>
  <si>
    <t>Group Total</t>
  </si>
  <si>
    <t>Yves Saint Laurent</t>
  </si>
  <si>
    <t>Kering Eyewear &amp; Corporate</t>
  </si>
  <si>
    <t>Eliminations</t>
  </si>
  <si>
    <t>(189)</t>
  </si>
  <si>
    <t>(213)</t>
  </si>
  <si>
    <t>(209)</t>
  </si>
  <si>
    <t>(€ millions)</t>
  </si>
  <si>
    <t>(197)</t>
  </si>
  <si>
    <t>(88)</t>
  </si>
  <si>
    <t>(4)</t>
  </si>
  <si>
    <t>(112)</t>
  </si>
  <si>
    <t>(17)</t>
  </si>
  <si>
    <t xml:space="preserve">Common Sized Consolidated Income Statement </t>
  </si>
  <si>
    <t>Common Sized Consolidated Balance Sheet (Dec, 31st)</t>
  </si>
  <si>
    <t>Revenue Share by Brand</t>
  </si>
  <si>
    <t>Operating Income Share by Brand</t>
  </si>
  <si>
    <t>Operating Margin by Brand</t>
  </si>
  <si>
    <t>Other houses share</t>
  </si>
  <si>
    <t>Gucci margin</t>
  </si>
  <si>
    <t>Bottega Veneta margin</t>
  </si>
  <si>
    <t>Other houses margin</t>
  </si>
  <si>
    <t>(% of Revenue)</t>
  </si>
  <si>
    <t xml:space="preserve">(% of Total Assets) </t>
  </si>
  <si>
    <t>(% of Total Assets)</t>
  </si>
  <si>
    <t>(% of Group Revenue)</t>
  </si>
  <si>
    <t>(% of Group Operating Income)</t>
  </si>
  <si>
    <t>(Operating Margin %)</t>
  </si>
  <si>
    <t>Gucci share</t>
  </si>
  <si>
    <t>Yves Saint Laurent share</t>
  </si>
  <si>
    <t>Bottega Veneta share</t>
  </si>
  <si>
    <t>Kering Eyewear &amp; Corporate share</t>
  </si>
  <si>
    <t>Gucci operating share</t>
  </si>
  <si>
    <t>Bottega Veneta operating share</t>
  </si>
  <si>
    <t>Other houses operating share</t>
  </si>
  <si>
    <t>Yves Saint Laurent operating share</t>
  </si>
  <si>
    <t>Yves Saint Laurent margin</t>
  </si>
  <si>
    <t>Return on Equity</t>
  </si>
  <si>
    <t>ROE</t>
  </si>
  <si>
    <t>DuPont Decomposition</t>
  </si>
  <si>
    <t>Net margin</t>
  </si>
  <si>
    <t>Asset turnover</t>
  </si>
  <si>
    <t>Equity multiplier</t>
  </si>
  <si>
    <t>ROE check</t>
  </si>
  <si>
    <t>Profitability Drivers</t>
  </si>
  <si>
    <t>Operating margin</t>
  </si>
  <si>
    <t>Interest expense as percent of sales</t>
  </si>
  <si>
    <t>Effective tax rate</t>
  </si>
  <si>
    <t>Return on Invested Capital</t>
  </si>
  <si>
    <t>NOPAT</t>
  </si>
  <si>
    <t>ROIC</t>
  </si>
  <si>
    <t>Avg. Invested Capital</t>
  </si>
  <si>
    <t>Operating expenses as % of sales</t>
  </si>
  <si>
    <t>Kering operating margin</t>
  </si>
  <si>
    <t>Gucci revenue</t>
  </si>
  <si>
    <t>Kering revenue growth</t>
  </si>
  <si>
    <t>Personnel expenses</t>
  </si>
  <si>
    <t>Basic earnings per share (€)</t>
  </si>
  <si>
    <t>Diluted earnings per share (€)</t>
  </si>
  <si>
    <t>Interest paid (received)</t>
  </si>
  <si>
    <t>Net recurring charges to depreciation, amortization and provisions</t>
  </si>
  <si>
    <t>Other non-cash (income) expenses</t>
  </si>
  <si>
    <t>Cash flow received from operating activities</t>
  </si>
  <si>
    <t>Cash flow received from operating activities before tax, dividends and interest</t>
  </si>
  <si>
    <t>Net cash received from operating activities</t>
  </si>
  <si>
    <t>Acquisitions of property, plant and equipment and intangible assets</t>
  </si>
  <si>
    <t>Disposals of property, plant and equipment and intangible assets</t>
  </si>
  <si>
    <t>Acquisitions of subsidiaries and associates, net of cash acquired</t>
  </si>
  <si>
    <t>Disposals of subsidiaries and associates, net of cash transferred</t>
  </si>
  <si>
    <t>Net cash received from (used in) investing activities</t>
  </si>
  <si>
    <t>Dividends paid to shareholders of Kering SA</t>
  </si>
  <si>
    <t>Dividends paid to minority interests in consolidated subsidiaries</t>
  </si>
  <si>
    <t>Acquisitions (disposals) of Kering treasury shares</t>
  </si>
  <si>
    <t>Issuance (redemption) of other borrowings</t>
  </si>
  <si>
    <t>Interest paid and equivalent</t>
  </si>
  <si>
    <t>Net cash received from (used in) financing activities</t>
  </si>
  <si>
    <t>Net cash received from (used in) discontinued operations</t>
  </si>
  <si>
    <t>Impact of exchange rates on cash and cash equivalents</t>
  </si>
  <si>
    <t>Net increase (decrease) in cash and cash equivalents</t>
  </si>
  <si>
    <t>Cash and cash equivalents at opening</t>
  </si>
  <si>
    <t>Cash and cash equivalents at closing</t>
  </si>
  <si>
    <t>Non current financial liabilities</t>
  </si>
  <si>
    <t>Non current provisions for pensions and other post employment benefits</t>
  </si>
  <si>
    <t>Current provisions for pensions and other post employment benefits</t>
  </si>
  <si>
    <t>Net income (loss) from discontinued operations</t>
  </si>
  <si>
    <t>Net income from continuing operations (excluding non-recurring items) attributable to the Group (€m)</t>
  </si>
  <si>
    <t>Basic EPS excluding non-recurring items</t>
  </si>
  <si>
    <t>Diluted EPS excluding non-recurring items</t>
  </si>
  <si>
    <t>Revenue Trend Comparison</t>
  </si>
  <si>
    <t>Gucci revenue share of Kering</t>
  </si>
  <si>
    <t>Operating Income Trend Comparison</t>
  </si>
  <si>
    <t>Gucci operating income</t>
  </si>
  <si>
    <t>Gucci operating income share</t>
  </si>
  <si>
    <t>Gucci operating margin</t>
  </si>
  <si>
    <t>Operating Margin Trend Comparison</t>
  </si>
  <si>
    <t>2026F</t>
  </si>
  <si>
    <t>2027F</t>
  </si>
  <si>
    <t>2028F</t>
  </si>
  <si>
    <t>2026 Growth Assumption</t>
  </si>
  <si>
    <t>2027 Growth Assumption</t>
  </si>
  <si>
    <t>2028 Growth Assumption</t>
  </si>
  <si>
    <t>Kering Eyewear</t>
  </si>
  <si>
    <t>Total Kering Revenue</t>
  </si>
  <si>
    <t>Forecast Driver</t>
  </si>
  <si>
    <t>Factual Evidence Considered</t>
  </si>
  <si>
    <t>Forecast Assumption Used</t>
  </si>
  <si>
    <t>Forecast Assumption</t>
  </si>
  <si>
    <t>Forecasting by brand</t>
  </si>
  <si>
    <t>SALES FORCAST</t>
  </si>
  <si>
    <t>Cost of Sales</t>
  </si>
  <si>
    <t>Operating Expenses</t>
  </si>
  <si>
    <t>Gross Profit</t>
  </si>
  <si>
    <t>Operating Income</t>
  </si>
  <si>
    <t>Net Income</t>
  </si>
  <si>
    <t>Working Capital Efficiency</t>
  </si>
  <si>
    <t>Inventory turnover</t>
  </si>
  <si>
    <t>Days inventory outstanding</t>
  </si>
  <si>
    <t>Receivable days</t>
  </si>
  <si>
    <t>Payable days</t>
  </si>
  <si>
    <t>Cash conversion cycle</t>
  </si>
  <si>
    <t>Returns &amp; Efficiency Analysis</t>
  </si>
  <si>
    <t>Cost Structure (% of Revenue)</t>
  </si>
  <si>
    <t>COGS as % of revenue</t>
  </si>
  <si>
    <t>Operating expenses as % of revenue</t>
  </si>
  <si>
    <t>Kering revenue</t>
  </si>
  <si>
    <t xml:space="preserve">Kering operating income </t>
  </si>
  <si>
    <t>Income Statement Forecast</t>
  </si>
  <si>
    <t>AVG.</t>
  </si>
  <si>
    <t>Returns calculation</t>
  </si>
  <si>
    <t>Tax rate</t>
  </si>
  <si>
    <t>Income Tax Expense</t>
  </si>
  <si>
    <t>Income Before Tax</t>
  </si>
  <si>
    <t>TATR</t>
  </si>
  <si>
    <t>Total Assets</t>
  </si>
  <si>
    <t>Borrowings</t>
  </si>
  <si>
    <t>Cash</t>
  </si>
  <si>
    <t>Equity attributed to the group</t>
  </si>
  <si>
    <t>Gucci creative reset</t>
  </si>
  <si>
    <t>Luxury market outlook</t>
  </si>
  <si>
    <t>Shrinking customer base</t>
  </si>
  <si>
    <t>Management guidance</t>
  </si>
  <si>
    <t>Store rationalisation</t>
  </si>
  <si>
    <t>Closures will suppress 2026 reported revenue even if consumer demand improves. Comparable growth will outpace reported growth.</t>
  </si>
  <si>
    <t>Gucci decline trajectory</t>
  </si>
  <si>
    <t>China and Asia risk</t>
  </si>
  <si>
    <r>
      <t xml:space="preserve">Market expected to grow 3% to 5% in 2026 after ending 2025 flat. Long term growth of 4% to 6% annually through 2035 </t>
    </r>
    <r>
      <rPr>
        <i/>
        <sz val="12"/>
        <color theme="4"/>
        <rFont val="Aptos Narrow (Body)"/>
      </rPr>
      <t>(D'Arpizio et al., 2025, Bain and Altagamma)</t>
    </r>
    <r>
      <rPr>
        <sz val="12"/>
        <color theme="1"/>
        <rFont val="Aptos Narrow"/>
        <family val="2"/>
        <scheme val="minor"/>
      </rPr>
      <t>.</t>
    </r>
  </si>
  <si>
    <r>
      <t xml:space="preserve">Active luxury customers fell from 400 million in 2022 to 330 million in 2025, returning to 2013 levels. New client acquisition dropped 5% in 2025 </t>
    </r>
    <r>
      <rPr>
        <i/>
        <sz val="12"/>
        <color theme="4"/>
        <rFont val="Aptos Narrow (Body)"/>
      </rPr>
      <t>(D'Arpizio et al., 2025, Bain and Altagamma).</t>
    </r>
  </si>
  <si>
    <r>
      <t>CEO De Meo: "We have seen signs of rebound for nearly all our brands." Return to growth and margin improvement confirmed as 2026 objectives. Full strategy to be presented April 16, 2026</t>
    </r>
    <r>
      <rPr>
        <i/>
        <sz val="12"/>
        <color theme="4"/>
        <rFont val="Aptos Narrow (Body)"/>
      </rPr>
      <t xml:space="preserve"> (Abnett, 2026, Business of Fashion)</t>
    </r>
    <r>
      <rPr>
        <sz val="12"/>
        <color theme="1"/>
        <rFont val="Aptos Narrow"/>
        <family val="2"/>
        <scheme val="minor"/>
      </rPr>
      <t>.</t>
    </r>
  </si>
  <si>
    <r>
      <t xml:space="preserve">Kering plans to close 100 stores in 2026, mostly Gucci locations in Asia. 75 net closures already completed in 2025 </t>
    </r>
    <r>
      <rPr>
        <i/>
        <sz val="12"/>
        <color theme="4"/>
        <rFont val="Aptos Narrow (Body)"/>
      </rPr>
      <t>(Abnett, 2026, Business of Fashion; Kering, 2025, Annual Results).</t>
    </r>
  </si>
  <si>
    <r>
      <t xml:space="preserve">Quarterly comparable decline improved from minus 25% in Q1 to minus 10% in Q4 2025. Wholesale cut intentionally by 34%. Full year minus 19% comparable </t>
    </r>
    <r>
      <rPr>
        <i/>
        <sz val="12"/>
        <color theme="4"/>
        <rFont val="Aptos Narrow (Body)"/>
      </rPr>
      <t>(Kering, 2025, Annual Results)</t>
    </r>
    <r>
      <rPr>
        <sz val="12"/>
        <color theme="1"/>
        <rFont val="Aptos Narrow"/>
        <family val="2"/>
        <scheme val="minor"/>
      </rPr>
      <t>.</t>
    </r>
  </si>
  <si>
    <r>
      <t xml:space="preserve">Demna's full commercial collection launches July 2026. A limited drop in February 2026 was described by the CEO as a signal of "speed and dynamism" </t>
    </r>
    <r>
      <rPr>
        <i/>
        <sz val="12"/>
        <color theme="4"/>
        <rFont val="Aptos Narrow (Body)"/>
      </rPr>
      <t>(Kering, 2026, press release)</t>
    </r>
    <r>
      <rPr>
        <sz val="12"/>
        <color theme="1"/>
        <rFont val="Aptos Narrow"/>
        <family val="2"/>
        <scheme val="minor"/>
      </rPr>
      <t>.</t>
    </r>
  </si>
  <si>
    <r>
      <t xml:space="preserve">Minus 6% comparable in 2025. North America returned to positive in Q3 and Q4. Operating margin held at 20.0%. New CEO Charbit in seat since January 2025 </t>
    </r>
    <r>
      <rPr>
        <i/>
        <sz val="12"/>
        <color theme="4"/>
        <rFont val="Aptos Narrow (Body)"/>
      </rPr>
      <t>(Kering, 2025, Annual Results)</t>
    </r>
    <r>
      <rPr>
        <sz val="12"/>
        <color theme="1"/>
        <rFont val="Aptos Narrow"/>
        <family val="2"/>
        <scheme val="minor"/>
      </rPr>
      <t>.</t>
    </r>
  </si>
  <si>
    <r>
      <t>Plus 3% comparable in 2025. North America plus 18%. EBITDA margin expanded to 29.0%. Louise Trotter's debut collections drove strong leather goods and online performance</t>
    </r>
    <r>
      <rPr>
        <i/>
        <sz val="12"/>
        <color theme="4"/>
        <rFont val="Aptos Narrow (Body)"/>
      </rPr>
      <t xml:space="preserve"> (Kering, 2025, Annual Results)</t>
    </r>
    <r>
      <rPr>
        <sz val="12"/>
        <color theme="1"/>
        <rFont val="Aptos Narrow"/>
        <family val="2"/>
        <scheme val="minor"/>
      </rPr>
      <t>.</t>
    </r>
  </si>
  <si>
    <r>
      <t xml:space="preserve">Recurring operating loss of €112 million in 2025. Balenciaga and McQueen in active restructuring. Jewellery houses including Boucheron and Qeelin growing. Net 27 store closures in 2025 </t>
    </r>
    <r>
      <rPr>
        <i/>
        <sz val="12"/>
        <color theme="4"/>
        <rFont val="Aptos Narrow (Body)"/>
      </rPr>
      <t>(Kering, 2025, Annual Results</t>
    </r>
    <r>
      <rPr>
        <i/>
        <sz val="12"/>
        <color theme="4"/>
        <rFont val="Aptos Narrow"/>
        <family val="2"/>
        <scheme val="minor"/>
      </rPr>
      <t>)</t>
    </r>
    <r>
      <rPr>
        <sz val="12"/>
        <color theme="1"/>
        <rFont val="Aptos Narrow"/>
        <family val="2"/>
        <scheme val="minor"/>
      </rPr>
      <t>.</t>
    </r>
  </si>
  <si>
    <r>
      <t xml:space="preserve">Plus 3% comparable in 2025 driven by Cartier, Bottega Veneta and Saint Laurent frames. Tariff headwinds and Maui Jim investment flagged as near term constraints </t>
    </r>
    <r>
      <rPr>
        <i/>
        <sz val="12"/>
        <color theme="4"/>
        <rFont val="Aptos Narrow (Body)"/>
      </rPr>
      <t>(Kering, 2025, Annual Results</t>
    </r>
    <r>
      <rPr>
        <i/>
        <sz val="12"/>
        <color theme="4"/>
        <rFont val="Aptos Narrow"/>
        <family val="2"/>
        <scheme val="minor"/>
      </rPr>
      <t>)</t>
    </r>
    <r>
      <rPr>
        <sz val="12"/>
        <color theme="1"/>
        <rFont val="Aptos Narrow"/>
        <family val="2"/>
        <scheme val="minor"/>
      </rPr>
      <t>.</t>
    </r>
  </si>
  <si>
    <r>
      <t xml:space="preserve">Asia Pacific fell 15% comparable in 2025. China luxury spending contracted 3% to 5% in 2025 as consumers shifted toward local brands. Asia represents 29% of Kering revenue </t>
    </r>
    <r>
      <rPr>
        <i/>
        <sz val="12"/>
        <color theme="4"/>
        <rFont val="Aptos Narrow (Body)"/>
      </rPr>
      <t>(D'Arpizio et al., 2025, Bain and Altagamma; Kering, 2025, Annual Results).</t>
    </r>
  </si>
  <si>
    <t>Kering is still recovering in 2026, so it will grow slower than the overall market. By 2027 and 2028, as the turnaround takes hold, growth rates are expected to catch up.</t>
  </si>
  <si>
    <t>Kering cannot rely on attracting new customers to drive growth right now. Every brand needs to win back its existing high spending clients first, which naturally slows down the recovery.</t>
  </si>
  <si>
    <t>Gucci hit its low point in 2025. A small further decline is expected in 2026 while the transition completes, followed by a meaningful recovery in 2027 once the new creative direction is fully in market.</t>
  </si>
  <si>
    <t>Asia fell 15% in 2025 as Chinese consumers moved away from Western luxury toward local brands. This is not a temporary slowdown, so no meaningful recovery is assumed before 2027.</t>
  </si>
  <si>
    <t>Eyewear is a strong long term growth business for Kering. Near term growth is capped at 4% to 5% annually due to tariff pressures and ongoing investment in Maui Jim.</t>
  </si>
  <si>
    <t>Balenciaga and McQueen are still cutting costs and closing stores while losing money. Jewellery brands are growing but not enough to cover the losses. A return to positive growth is only realistic from 2027.</t>
  </si>
  <si>
    <t>Management has publicly committed to returning to growth in 2026. No specific number has been given, so this confirms the direction but sets no hard target.</t>
  </si>
  <si>
    <t>Demna's full collection only reaches stores in July 2026, giving it roughly half a year to generate sales. The full financial impact will only show up in 2027.</t>
  </si>
  <si>
    <t>YSL has no brand or creative problems. The slowdown was purely driven by weak consumer confidence. As conditions improve, low single digit growth from 2026 is a realistic expectation.</t>
  </si>
  <si>
    <t>Bottega is the strongest performing brand in the portfolio right now. New creative direction, strong sales and expanding margins. Steady growth assumed with no major risks in sight.</t>
  </si>
  <si>
    <t>Avg. Invested capital</t>
  </si>
  <si>
    <t>Returns Forecast</t>
  </si>
  <si>
    <t>2. Base Case</t>
  </si>
  <si>
    <t>1. Best Case</t>
  </si>
  <si>
    <t>3.Worst Case</t>
  </si>
  <si>
    <t>Gucci's Revenue Growth</t>
  </si>
  <si>
    <t>Gucci's Revenue</t>
  </si>
  <si>
    <t>Choose Senario -&gt;</t>
  </si>
  <si>
    <t xml:space="preserve">SCENARIO ANALYSIS </t>
  </si>
  <si>
    <t>Gucci's Impact</t>
  </si>
  <si>
    <t>FINANCIAL FORECAST</t>
  </si>
  <si>
    <t>€ millions</t>
  </si>
  <si>
    <t>Change</t>
  </si>
  <si>
    <t>Kering operating income</t>
  </si>
  <si>
    <t>Operating Income Decline Attribution</t>
  </si>
  <si>
    <t>Non-Gucci</t>
  </si>
  <si>
    <t>% of total</t>
  </si>
  <si>
    <t>Research question: To what extent does Gucci's performance influence Kering's overall financial performance and profitability?</t>
  </si>
  <si>
    <t>Kering S.A. - Financial Analysis Conclusion</t>
  </si>
  <si>
    <t>1. Decline in Group Financial Performance</t>
  </si>
  <si>
    <t>2. High Dependence on Gucci</t>
  </si>
  <si>
    <t>Decline in Returns Driven by Margin Compression</t>
  </si>
  <si>
    <t>4. Deterioration in Profitability and Returns</t>
  </si>
  <si>
    <t>5. Outlook Driven by Gucci’s Recovery</t>
  </si>
  <si>
    <t>2025A</t>
  </si>
  <si>
    <t>Best Case</t>
  </si>
  <si>
    <t>Base Case</t>
  </si>
  <si>
    <t>Worst Case</t>
  </si>
  <si>
    <t xml:space="preserve">Operating Income (in € millions) </t>
  </si>
  <si>
    <t>Gap</t>
  </si>
  <si>
    <t>Gucci risk</t>
  </si>
  <si>
    <t>FINAL INTERPRETATION</t>
  </si>
  <si>
    <t>✓</t>
  </si>
  <si>
    <t>WHAT SHOULD MANAGEMENT DO?</t>
  </si>
  <si>
    <t>Gucci Drove 73% of the €3,7500M Profit Collapse of Kering</t>
  </si>
  <si>
    <t>3. Gucci Driving Group Margin 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</si>
</sst>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0;\(#,##0\)"/>
    <numFmt numFmtId="166" formatCode="\€#,##0&quot;M&quot;"/>
  </numFmts>
  <fonts count="50" x14ac:knownFonts="1">
    <font>
      <sz val="12"/>
      <color theme="1"/>
      <name val="Aptos Narrow"/>
      <family val="2"/>
      <scheme val="minor"/>
    </font>
    <font>
      <b/>
      <sz val="12"/>
      <color theme="1"/>
      <name val="Aptos Narrow"/>
      <family val="2"/>
      <scheme val="minor"/>
    </font>
    <font>
      <i/>
      <sz val="12"/>
      <color theme="1"/>
      <name val="Aptos Narrow"/>
      <scheme val="minor"/>
    </font>
    <font>
      <b/>
      <sz val="12"/>
      <color theme="1"/>
      <name val="Aptos Narrow"/>
      <scheme val="minor"/>
    </font>
    <font>
      <sz val="12"/>
      <color theme="1"/>
      <name val="Aptos Narrow"/>
      <scheme val="minor"/>
    </font>
    <font>
      <b/>
      <sz val="14"/>
      <color theme="1"/>
      <name val="Arial"/>
      <family val="2"/>
    </font>
    <font>
      <b/>
      <sz val="16"/>
      <color theme="1"/>
      <name val="Arial"/>
      <family val="2"/>
    </font>
    <font>
      <b/>
      <sz val="14"/>
      <color theme="1"/>
      <name val="Aptos Narrow"/>
      <family val="2"/>
      <scheme val="minor"/>
    </font>
    <font>
      <b/>
      <sz val="14"/>
      <color rgb="FF000000"/>
      <name val="Arial"/>
      <family val="2"/>
    </font>
    <font>
      <sz val="14"/>
      <color theme="1"/>
      <name val="Aptos Narrow"/>
      <family val="2"/>
      <scheme val="minor"/>
    </font>
    <font>
      <b/>
      <sz val="14"/>
      <color theme="1"/>
      <name val="Aptos Narrow"/>
      <scheme val="minor"/>
    </font>
    <font>
      <b/>
      <sz val="16"/>
      <color theme="1"/>
      <name val="Aptos Narrow"/>
      <family val="2"/>
      <scheme val="minor"/>
    </font>
    <font>
      <sz val="16"/>
      <color theme="1"/>
      <name val="Aptos Narrow"/>
      <family val="2"/>
      <scheme val="minor"/>
    </font>
    <font>
      <b/>
      <sz val="18"/>
      <color theme="1"/>
      <name val="Aptos Narrow"/>
      <scheme val="minor"/>
    </font>
    <font>
      <b/>
      <sz val="16"/>
      <color theme="1"/>
      <name val="Aptos Narrow"/>
      <scheme val="minor"/>
    </font>
    <font>
      <sz val="16"/>
      <color theme="1"/>
      <name val="Aptos Narrow"/>
      <scheme val="minor"/>
    </font>
    <font>
      <sz val="14"/>
      <color theme="1"/>
      <name val="Aptos Narrow"/>
      <scheme val="minor"/>
    </font>
    <font>
      <sz val="7"/>
      <color rgb="FF000000"/>
      <name val="Helvetica"/>
      <family val="2"/>
    </font>
    <font>
      <b/>
      <sz val="12"/>
      <color rgb="FF000000"/>
      <name val="Aptos Narrow"/>
      <family val="2"/>
      <scheme val="minor"/>
    </font>
    <font>
      <b/>
      <sz val="16"/>
      <color theme="0"/>
      <name val="Aptos Narrow"/>
      <scheme val="minor"/>
    </font>
    <font>
      <b/>
      <sz val="14"/>
      <color theme="0"/>
      <name val="Aptos Narrow"/>
      <scheme val="minor"/>
    </font>
    <font>
      <i/>
      <sz val="10.5"/>
      <color theme="1"/>
      <name val="Aptos Narrow (Body)"/>
    </font>
    <font>
      <i/>
      <sz val="10.3"/>
      <color theme="1"/>
      <name val="Aptos Narrow"/>
      <scheme val="minor"/>
    </font>
    <font>
      <i/>
      <sz val="12"/>
      <color theme="4"/>
      <name val="Aptos Narrow (Body)"/>
    </font>
    <font>
      <sz val="12"/>
      <color theme="4"/>
      <name val="Aptos Narrow"/>
      <family val="2"/>
      <scheme val="minor"/>
    </font>
    <font>
      <sz val="12"/>
      <color rgb="FFC00000"/>
      <name val="Aptos Narrow"/>
      <family val="2"/>
      <scheme val="minor"/>
    </font>
    <font>
      <b/>
      <sz val="16"/>
      <color theme="0"/>
      <name val="Aptos Narrow"/>
      <family val="2"/>
      <scheme val="minor"/>
    </font>
    <font>
      <b/>
      <sz val="16"/>
      <color rgb="FFF6F5F8"/>
      <name val="Aptos Narrow"/>
      <family val="2"/>
      <scheme val="minor"/>
    </font>
    <font>
      <sz val="12"/>
      <color theme="2"/>
      <name val="Aptos Narrow"/>
      <family val="2"/>
      <scheme val="minor"/>
    </font>
    <font>
      <b/>
      <sz val="12"/>
      <color rgb="FFC00000"/>
      <name val="Aptos Narrow"/>
      <scheme val="minor"/>
    </font>
    <font>
      <i/>
      <sz val="12"/>
      <color theme="4"/>
      <name val="Aptos Narrow"/>
      <family val="2"/>
      <scheme val="minor"/>
    </font>
    <font>
      <sz val="14"/>
      <color rgb="FFC00000"/>
      <name val="Aptos Narrow"/>
      <scheme val="minor"/>
    </font>
    <font>
      <sz val="14"/>
      <color rgb="FFDDDEE6"/>
      <name val="Aptos Narrow"/>
      <scheme val="minor"/>
    </font>
    <font>
      <b/>
      <sz val="14"/>
      <color rgb="FFC00000"/>
      <name val="Aptos Narrow"/>
      <scheme val="minor"/>
    </font>
    <font>
      <b/>
      <sz val="13.5"/>
      <color theme="1"/>
      <name val="Aptos Narrow"/>
      <family val="2"/>
      <scheme val="minor"/>
    </font>
    <font>
      <sz val="16"/>
      <color theme="1"/>
      <name val="Arial"/>
      <family val="2"/>
    </font>
    <font>
      <b/>
      <sz val="20"/>
      <color theme="1"/>
      <name val="Arial"/>
      <family val="2"/>
    </font>
    <font>
      <b/>
      <i/>
      <sz val="14"/>
      <color rgb="FFC00000"/>
      <name val="Aptos Narrow"/>
      <scheme val="minor"/>
    </font>
    <font>
      <b/>
      <sz val="14"/>
      <color theme="1" tint="0.34998626667073579"/>
      <name val="Aptos Narrow"/>
      <scheme val="minor"/>
    </font>
    <font>
      <sz val="12"/>
      <color rgb="FFDDDEE6"/>
      <name val="Aptos Narrow"/>
      <family val="2"/>
      <scheme val="minor"/>
    </font>
    <font>
      <sz val="12"/>
      <color rgb="FFEBEBF2"/>
      <name val="Aptos Narrow"/>
      <family val="2"/>
      <scheme val="minor"/>
    </font>
    <font>
      <b/>
      <sz val="20"/>
      <color theme="1" tint="0.34998626667073579"/>
      <name val="Aptos Narrow"/>
      <scheme val="minor"/>
    </font>
    <font>
      <sz val="20"/>
      <color theme="1"/>
      <name val="Aptos Narrow"/>
      <scheme val="minor"/>
    </font>
    <font>
      <sz val="14"/>
      <color theme="9" tint="-0.249977111117893"/>
      <name val="Aptos Narrow"/>
      <scheme val="minor"/>
    </font>
    <font>
      <b/>
      <sz val="14"/>
      <color theme="1" tint="0.249977111117893"/>
      <name val="Aptos Narrow"/>
      <scheme val="minor"/>
    </font>
    <font>
      <b/>
      <sz val="14"/>
      <color rgb="FFB28C58"/>
      <name val="Aptos Narrow"/>
      <scheme val="minor"/>
    </font>
    <font>
      <sz val="14"/>
      <color rgb="FFC00000"/>
      <name val="Arial"/>
      <family val="2"/>
    </font>
    <font>
      <b/>
      <sz val="18"/>
      <color theme="0"/>
      <name val="Aptos Narrow"/>
      <scheme val="minor"/>
    </font>
    <font>
      <i/>
      <sz val="14"/>
      <color rgb="FFC00000"/>
      <name val="Aptos Narrow"/>
      <scheme val="minor"/>
    </font>
    <font>
      <i/>
      <sz val="12"/>
      <color rgb="FFC00000"/>
      <name val="Aptos Narrow"/>
      <scheme val="minor"/>
    </font>
  </fonts>
  <fills count="10">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C55A11"/>
        <bgColor indexed="64"/>
      </patternFill>
    </fill>
    <fill>
      <patternFill patternType="solid">
        <fgColor rgb="FFF6F5F8"/>
        <bgColor indexed="64"/>
      </patternFill>
    </fill>
    <fill>
      <patternFill patternType="solid">
        <fgColor rgb="FFEBEBF1"/>
        <bgColor indexed="64"/>
      </patternFill>
    </fill>
    <fill>
      <patternFill patternType="solid">
        <fgColor rgb="FFDDDEE6"/>
        <bgColor indexed="64"/>
      </patternFill>
    </fill>
    <fill>
      <patternFill patternType="solid">
        <fgColor rgb="FFEBEBF2"/>
        <bgColor indexed="64"/>
      </patternFill>
    </fill>
    <fill>
      <patternFill patternType="solid">
        <fgColor theme="1" tint="0.14999847407452621"/>
        <bgColor indexed="64"/>
      </patternFill>
    </fill>
  </fills>
  <borders count="32">
    <border>
      <left/>
      <right/>
      <top/>
      <bottom/>
      <diagonal/>
    </border>
    <border>
      <left style="thin">
        <color rgb="FFC1C1C1"/>
      </left>
      <right style="thin">
        <color rgb="FFC1C1C1"/>
      </right>
      <top style="thin">
        <color rgb="FFC1C1C1"/>
      </top>
      <bottom style="thin">
        <color rgb="FFC1C1C1"/>
      </bottom>
      <diagonal/>
    </border>
    <border>
      <left style="thin">
        <color rgb="FFC1C1C1"/>
      </left>
      <right/>
      <top style="thin">
        <color rgb="FFC1C1C1"/>
      </top>
      <bottom style="thin">
        <color rgb="FFC1C1C1"/>
      </bottom>
      <diagonal/>
    </border>
    <border>
      <left style="thin">
        <color rgb="FFC1C1C1"/>
      </left>
      <right style="thin">
        <color rgb="FFC1C1C1"/>
      </right>
      <top style="thin">
        <color rgb="FFC1C1C1"/>
      </top>
      <bottom/>
      <diagonal/>
    </border>
    <border>
      <left style="thin">
        <color rgb="FFC1C1C1"/>
      </left>
      <right/>
      <top style="thin">
        <color rgb="FFC1C1C1"/>
      </top>
      <bottom/>
      <diagonal/>
    </border>
    <border>
      <left/>
      <right/>
      <top/>
      <bottom style="thin">
        <color rgb="FFC1C1C1"/>
      </bottom>
      <diagonal/>
    </border>
    <border>
      <left style="thin">
        <color indexed="64"/>
      </left>
      <right style="thin">
        <color indexed="64"/>
      </right>
      <top style="thin">
        <color indexed="64"/>
      </top>
      <bottom style="thin">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top/>
      <bottom style="thin">
        <color theme="2" tint="-9.9978637043366805E-2"/>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right/>
      <top/>
      <bottom style="thin">
        <color theme="2" tint="-9.9978637043366805E-2"/>
      </bottom>
      <diagonal/>
    </border>
    <border>
      <left style="medium">
        <color theme="2" tint="-0.249977111117893"/>
      </left>
      <right style="medium">
        <color theme="2" tint="-0.249977111117893"/>
      </right>
      <top style="medium">
        <color theme="2" tint="-0.249977111117893"/>
      </top>
      <bottom style="medium">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top style="thin">
        <color theme="1"/>
      </top>
      <bottom/>
      <diagonal/>
    </border>
    <border>
      <left style="thin">
        <color theme="1"/>
      </left>
      <right style="thin">
        <color theme="2" tint="-0.249977111117893"/>
      </right>
      <top style="thin">
        <color theme="1"/>
      </top>
      <bottom/>
      <diagonal/>
    </border>
    <border>
      <left style="thin">
        <color theme="2" tint="-0.249977111117893"/>
      </left>
      <right style="thin">
        <color theme="2" tint="-0.249977111117893"/>
      </right>
      <top style="thin">
        <color theme="1"/>
      </top>
      <bottom/>
      <diagonal/>
    </border>
    <border>
      <left style="thin">
        <color theme="2" tint="-0.249977111117893"/>
      </left>
      <right style="thin">
        <color theme="1"/>
      </right>
      <top style="thin">
        <color theme="1"/>
      </top>
      <bottom/>
      <diagonal/>
    </border>
  </borders>
  <cellStyleXfs count="1">
    <xf numFmtId="0" fontId="0" fillId="0" borderId="0"/>
  </cellStyleXfs>
  <cellXfs count="252">
    <xf numFmtId="0" fontId="0" fillId="0" borderId="0" xfId="0"/>
    <xf numFmtId="0" fontId="1" fillId="0" borderId="0" xfId="0" applyFont="1"/>
    <xf numFmtId="3" fontId="0" fillId="0" borderId="0" xfId="0" applyNumberFormat="1"/>
    <xf numFmtId="49" fontId="0" fillId="0" borderId="0" xfId="0" applyNumberFormat="1"/>
    <xf numFmtId="0" fontId="3" fillId="0" borderId="0" xfId="0" applyFont="1"/>
    <xf numFmtId="0" fontId="4" fillId="0" borderId="0" xfId="0" applyFont="1"/>
    <xf numFmtId="0" fontId="5" fillId="0" borderId="0" xfId="0" applyFont="1"/>
    <xf numFmtId="0" fontId="0" fillId="2" borderId="0" xfId="0" applyFill="1"/>
    <xf numFmtId="0" fontId="6" fillId="0" borderId="0" xfId="0" applyFont="1"/>
    <xf numFmtId="0" fontId="7" fillId="0" borderId="0" xfId="0" applyFont="1"/>
    <xf numFmtId="0" fontId="8" fillId="0" borderId="0" xfId="0" applyFont="1"/>
    <xf numFmtId="0" fontId="9" fillId="0" borderId="0" xfId="0" applyFont="1"/>
    <xf numFmtId="49" fontId="4" fillId="0" borderId="0" xfId="0" applyNumberFormat="1" applyFont="1"/>
    <xf numFmtId="164" fontId="3" fillId="0" borderId="0" xfId="0" applyNumberFormat="1" applyFont="1"/>
    <xf numFmtId="164" fontId="4" fillId="0" borderId="0" xfId="0" applyNumberFormat="1" applyFont="1"/>
    <xf numFmtId="164" fontId="2" fillId="0" borderId="0" xfId="0" applyNumberFormat="1" applyFont="1" applyAlignment="1">
      <alignment horizontal="left" indent="1"/>
    </xf>
    <xf numFmtId="164" fontId="1" fillId="0" borderId="0" xfId="0" applyNumberFormat="1" applyFont="1"/>
    <xf numFmtId="164" fontId="0" fillId="0" borderId="0" xfId="0" applyNumberFormat="1"/>
    <xf numFmtId="164" fontId="7" fillId="0" borderId="0" xfId="0" applyNumberFormat="1" applyFont="1"/>
    <xf numFmtId="0" fontId="10" fillId="0" borderId="0" xfId="0" applyFont="1"/>
    <xf numFmtId="0" fontId="12" fillId="0" borderId="0" xfId="0" applyFont="1"/>
    <xf numFmtId="0" fontId="13" fillId="0" borderId="0" xfId="0" applyFont="1" applyAlignment="1">
      <alignment horizontal="left"/>
    </xf>
    <xf numFmtId="0" fontId="0" fillId="0" borderId="0" xfId="0" applyAlignment="1">
      <alignment horizontal="left" indent="1"/>
    </xf>
    <xf numFmtId="0" fontId="13" fillId="0" borderId="0" xfId="0" applyFont="1" applyAlignment="1">
      <alignment horizontal="center"/>
    </xf>
    <xf numFmtId="0" fontId="0" fillId="0" borderId="6" xfId="0" applyBorder="1"/>
    <xf numFmtId="164" fontId="0" fillId="0" borderId="6" xfId="0" applyNumberFormat="1" applyBorder="1"/>
    <xf numFmtId="10" fontId="0" fillId="0" borderId="6" xfId="0" applyNumberFormat="1" applyBorder="1"/>
    <xf numFmtId="0" fontId="0" fillId="0" borderId="6" xfId="0" applyBorder="1" applyAlignment="1">
      <alignment horizontal="right"/>
    </xf>
    <xf numFmtId="2" fontId="0" fillId="0" borderId="0" xfId="0" applyNumberFormat="1"/>
    <xf numFmtId="0" fontId="10" fillId="3" borderId="10" xfId="0" applyFont="1" applyFill="1" applyBorder="1"/>
    <xf numFmtId="0" fontId="10" fillId="3" borderId="7" xfId="0" applyFont="1" applyFill="1" applyBorder="1"/>
    <xf numFmtId="0" fontId="10" fillId="3" borderId="8" xfId="0" applyFont="1" applyFill="1" applyBorder="1"/>
    <xf numFmtId="0" fontId="16" fillId="3" borderId="7" xfId="0" applyFont="1" applyFill="1" applyBorder="1"/>
    <xf numFmtId="0" fontId="16" fillId="3" borderId="8" xfId="0" applyFont="1" applyFill="1" applyBorder="1"/>
    <xf numFmtId="0" fontId="16" fillId="3" borderId="10" xfId="0" applyFont="1" applyFill="1" applyBorder="1"/>
    <xf numFmtId="10" fontId="16" fillId="3" borderId="7" xfId="0" applyNumberFormat="1" applyFont="1" applyFill="1" applyBorder="1"/>
    <xf numFmtId="10" fontId="16" fillId="3" borderId="8" xfId="0" applyNumberFormat="1" applyFont="1" applyFill="1" applyBorder="1"/>
    <xf numFmtId="2" fontId="16" fillId="3" borderId="7" xfId="0" applyNumberFormat="1" applyFont="1" applyFill="1" applyBorder="1"/>
    <xf numFmtId="2" fontId="16" fillId="3" borderId="8" xfId="0" applyNumberFormat="1" applyFont="1" applyFill="1" applyBorder="1"/>
    <xf numFmtId="164" fontId="16" fillId="3" borderId="7" xfId="0" applyNumberFormat="1" applyFont="1" applyFill="1" applyBorder="1"/>
    <xf numFmtId="164" fontId="16" fillId="3" borderId="8" xfId="0" applyNumberFormat="1" applyFont="1" applyFill="1" applyBorder="1"/>
    <xf numFmtId="0" fontId="16" fillId="0" borderId="10" xfId="0" applyFont="1" applyBorder="1"/>
    <xf numFmtId="10" fontId="16" fillId="0" borderId="7" xfId="0" applyNumberFormat="1" applyFont="1" applyBorder="1"/>
    <xf numFmtId="10" fontId="16" fillId="0" borderId="8" xfId="0" applyNumberFormat="1" applyFont="1" applyBorder="1"/>
    <xf numFmtId="0" fontId="10" fillId="0" borderId="10" xfId="0" applyFont="1" applyBorder="1"/>
    <xf numFmtId="0" fontId="16" fillId="0" borderId="7" xfId="0" applyFont="1" applyBorder="1"/>
    <xf numFmtId="0" fontId="16" fillId="0" borderId="8" xfId="0" applyFont="1" applyBorder="1"/>
    <xf numFmtId="2" fontId="16" fillId="0" borderId="7" xfId="0" applyNumberFormat="1" applyFont="1" applyBorder="1"/>
    <xf numFmtId="2" fontId="16" fillId="0" borderId="8" xfId="0" applyNumberFormat="1" applyFont="1" applyBorder="1"/>
    <xf numFmtId="1" fontId="16" fillId="0" borderId="7" xfId="0" applyNumberFormat="1" applyFont="1" applyBorder="1"/>
    <xf numFmtId="1" fontId="16" fillId="0" borderId="8" xfId="0" applyNumberFormat="1" applyFont="1" applyBorder="1"/>
    <xf numFmtId="0" fontId="16" fillId="0" borderId="14" xfId="0" applyFont="1" applyBorder="1"/>
    <xf numFmtId="0" fontId="0" fillId="5" borderId="7" xfId="0" applyFill="1" applyBorder="1"/>
    <xf numFmtId="0" fontId="1" fillId="7" borderId="7" xfId="0" applyFont="1" applyFill="1" applyBorder="1"/>
    <xf numFmtId="0" fontId="3" fillId="7" borderId="7" xfId="0" applyFont="1" applyFill="1" applyBorder="1"/>
    <xf numFmtId="0" fontId="14" fillId="7" borderId="11" xfId="0" applyFont="1" applyFill="1" applyBorder="1"/>
    <xf numFmtId="0" fontId="14" fillId="7" borderId="12" xfId="0" applyFont="1" applyFill="1" applyBorder="1"/>
    <xf numFmtId="0" fontId="14" fillId="7" borderId="13" xfId="0" applyFont="1" applyFill="1" applyBorder="1"/>
    <xf numFmtId="166" fontId="0" fillId="5" borderId="7" xfId="0" applyNumberFormat="1" applyFill="1" applyBorder="1"/>
    <xf numFmtId="0" fontId="1" fillId="7" borderId="7" xfId="0" applyFont="1" applyFill="1" applyBorder="1" applyAlignment="1">
      <alignment horizontal="right"/>
    </xf>
    <xf numFmtId="166" fontId="9" fillId="5" borderId="7" xfId="0" applyNumberFormat="1" applyFont="1" applyFill="1" applyBorder="1"/>
    <xf numFmtId="166" fontId="0" fillId="6" borderId="7" xfId="0" applyNumberFormat="1" applyFill="1" applyBorder="1"/>
    <xf numFmtId="0" fontId="26" fillId="4" borderId="17" xfId="0" applyFont="1" applyFill="1" applyBorder="1" applyAlignment="1">
      <alignment horizontal="left"/>
    </xf>
    <xf numFmtId="0" fontId="19" fillId="4" borderId="0" xfId="0" applyFont="1" applyFill="1" applyAlignment="1">
      <alignment horizontal="left"/>
    </xf>
    <xf numFmtId="0" fontId="28" fillId="2" borderId="0" xfId="0" applyFont="1" applyFill="1"/>
    <xf numFmtId="2" fontId="28" fillId="2" borderId="0" xfId="0" applyNumberFormat="1" applyFont="1" applyFill="1"/>
    <xf numFmtId="2" fontId="3" fillId="0" borderId="0" xfId="0" applyNumberFormat="1" applyFont="1" applyAlignment="1">
      <alignment horizontal="right"/>
    </xf>
    <xf numFmtId="2" fontId="0" fillId="2" borderId="0" xfId="0" applyNumberFormat="1" applyFill="1"/>
    <xf numFmtId="10" fontId="0" fillId="5" borderId="7" xfId="0" applyNumberFormat="1" applyFill="1" applyBorder="1" applyAlignment="1">
      <alignment horizontal="right"/>
    </xf>
    <xf numFmtId="10" fontId="0" fillId="6" borderId="7" xfId="0" applyNumberFormat="1" applyFill="1" applyBorder="1" applyAlignment="1">
      <alignment horizontal="right"/>
    </xf>
    <xf numFmtId="164" fontId="0" fillId="2" borderId="0" xfId="0" applyNumberFormat="1" applyFill="1"/>
    <xf numFmtId="165" fontId="0" fillId="5" borderId="7" xfId="0" applyNumberFormat="1" applyFill="1" applyBorder="1" applyAlignment="1">
      <alignment horizontal="right"/>
    </xf>
    <xf numFmtId="165" fontId="0" fillId="6" borderId="7" xfId="0" applyNumberFormat="1" applyFill="1" applyBorder="1" applyAlignment="1">
      <alignment horizontal="right"/>
    </xf>
    <xf numFmtId="0" fontId="4" fillId="5" borderId="7" xfId="0" applyFont="1" applyFill="1" applyBorder="1"/>
    <xf numFmtId="2" fontId="10" fillId="0" borderId="0" xfId="0" applyNumberFormat="1" applyFont="1" applyAlignment="1">
      <alignment horizontal="right"/>
    </xf>
    <xf numFmtId="3" fontId="3" fillId="0" borderId="0" xfId="0" applyNumberFormat="1" applyFont="1"/>
    <xf numFmtId="10" fontId="3" fillId="7" borderId="7" xfId="0" applyNumberFormat="1" applyFont="1" applyFill="1" applyBorder="1"/>
    <xf numFmtId="10" fontId="29" fillId="7" borderId="7" xfId="0" applyNumberFormat="1" applyFont="1" applyFill="1" applyBorder="1"/>
    <xf numFmtId="37" fontId="3" fillId="0" borderId="0" xfId="0" applyNumberFormat="1" applyFont="1"/>
    <xf numFmtId="165" fontId="3" fillId="0" borderId="0" xfId="0" applyNumberFormat="1" applyFont="1"/>
    <xf numFmtId="37" fontId="0" fillId="0" borderId="0" xfId="0" applyNumberFormat="1"/>
    <xf numFmtId="165" fontId="0" fillId="0" borderId="0" xfId="0" applyNumberFormat="1" applyAlignment="1">
      <alignment horizontal="right"/>
    </xf>
    <xf numFmtId="165" fontId="0" fillId="0" borderId="0" xfId="0" applyNumberFormat="1"/>
    <xf numFmtId="0" fontId="2" fillId="0" borderId="0" xfId="0" applyFont="1" applyAlignment="1">
      <alignment horizontal="left" indent="1"/>
    </xf>
    <xf numFmtId="165" fontId="2" fillId="0" borderId="0" xfId="0" applyNumberFormat="1" applyFont="1"/>
    <xf numFmtId="165" fontId="2" fillId="0" borderId="0" xfId="0" applyNumberFormat="1" applyFont="1" applyAlignment="1">
      <alignment horizontal="right"/>
    </xf>
    <xf numFmtId="37" fontId="2" fillId="0" borderId="0" xfId="0" applyNumberFormat="1" applyFont="1"/>
    <xf numFmtId="37" fontId="1" fillId="0" borderId="0" xfId="0" applyNumberFormat="1" applyFont="1"/>
    <xf numFmtId="37" fontId="18" fillId="0" borderId="1" xfId="0" applyNumberFormat="1" applyFont="1" applyBorder="1"/>
    <xf numFmtId="165" fontId="3" fillId="0" borderId="0" xfId="0" applyNumberFormat="1" applyFont="1" applyAlignment="1">
      <alignment horizontal="right"/>
    </xf>
    <xf numFmtId="4" fontId="17" fillId="0" borderId="0" xfId="0" applyNumberFormat="1" applyFont="1"/>
    <xf numFmtId="0" fontId="17" fillId="0" borderId="0" xfId="0" applyFont="1"/>
    <xf numFmtId="165" fontId="4" fillId="0" borderId="0" xfId="0" applyNumberFormat="1" applyFont="1"/>
    <xf numFmtId="165" fontId="1" fillId="0" borderId="0" xfId="0" applyNumberFormat="1" applyFont="1" applyAlignment="1">
      <alignment horizontal="right"/>
    </xf>
    <xf numFmtId="0" fontId="13" fillId="0" borderId="0" xfId="0" applyFont="1"/>
    <xf numFmtId="0" fontId="14" fillId="0" borderId="0" xfId="0" applyFont="1"/>
    <xf numFmtId="0" fontId="15" fillId="0" borderId="0" xfId="0" applyFont="1"/>
    <xf numFmtId="165" fontId="12" fillId="0" borderId="0" xfId="0" applyNumberFormat="1" applyFont="1"/>
    <xf numFmtId="165" fontId="15" fillId="0" borderId="0" xfId="0" applyNumberFormat="1" applyFont="1"/>
    <xf numFmtId="165" fontId="15" fillId="0" borderId="0" xfId="0" applyNumberFormat="1" applyFont="1" applyAlignment="1">
      <alignment horizontal="right"/>
    </xf>
    <xf numFmtId="165" fontId="11" fillId="0" borderId="0" xfId="0" applyNumberFormat="1" applyFont="1"/>
    <xf numFmtId="165" fontId="14" fillId="0" borderId="0" xfId="0" applyNumberFormat="1" applyFont="1"/>
    <xf numFmtId="49" fontId="14" fillId="0" borderId="0" xfId="0" applyNumberFormat="1" applyFont="1" applyAlignment="1">
      <alignment horizontal="right"/>
    </xf>
    <xf numFmtId="165" fontId="14" fillId="0" borderId="0" xfId="0" applyNumberFormat="1" applyFont="1" applyAlignment="1">
      <alignment horizontal="right"/>
    </xf>
    <xf numFmtId="0" fontId="1" fillId="2" borderId="0" xfId="0" applyFont="1" applyFill="1"/>
    <xf numFmtId="37" fontId="0" fillId="2" borderId="0" xfId="0" applyNumberFormat="1" applyFill="1"/>
    <xf numFmtId="3" fontId="0" fillId="2" borderId="0" xfId="0" applyNumberFormat="1" applyFill="1"/>
    <xf numFmtId="166" fontId="4" fillId="5" borderId="7" xfId="0" applyNumberFormat="1" applyFont="1" applyFill="1" applyBorder="1"/>
    <xf numFmtId="165" fontId="4" fillId="5" borderId="7" xfId="0" applyNumberFormat="1" applyFont="1" applyFill="1" applyBorder="1" applyAlignment="1">
      <alignment horizontal="right"/>
    </xf>
    <xf numFmtId="166" fontId="4" fillId="6" borderId="7" xfId="0" applyNumberFormat="1" applyFont="1" applyFill="1" applyBorder="1"/>
    <xf numFmtId="165" fontId="4" fillId="6" borderId="7" xfId="0" applyNumberFormat="1" applyFont="1" applyFill="1" applyBorder="1" applyAlignment="1">
      <alignment horizontal="right"/>
    </xf>
    <xf numFmtId="0" fontId="0" fillId="0" borderId="0" xfId="0" applyAlignment="1">
      <alignment wrapText="1"/>
    </xf>
    <xf numFmtId="0" fontId="1" fillId="5" borderId="7" xfId="0" applyFont="1" applyFill="1" applyBorder="1" applyAlignment="1">
      <alignment vertical="center"/>
    </xf>
    <xf numFmtId="0" fontId="1" fillId="7" borderId="7" xfId="0" applyFont="1" applyFill="1" applyBorder="1" applyAlignment="1">
      <alignment vertical="center" wrapText="1"/>
    </xf>
    <xf numFmtId="0" fontId="0" fillId="0" borderId="0" xfId="0" applyAlignment="1">
      <alignment vertical="center"/>
    </xf>
    <xf numFmtId="166" fontId="0" fillId="0" borderId="0" xfId="0" applyNumberFormat="1" applyAlignment="1">
      <alignment vertical="center"/>
    </xf>
    <xf numFmtId="10" fontId="0" fillId="0" borderId="0" xfId="0" applyNumberFormat="1" applyAlignment="1">
      <alignment vertical="center"/>
    </xf>
    <xf numFmtId="0" fontId="0" fillId="5" borderId="10" xfId="0" applyFill="1" applyBorder="1" applyAlignment="1">
      <alignment vertical="center"/>
    </xf>
    <xf numFmtId="166" fontId="0" fillId="5" borderId="7" xfId="0" applyNumberFormat="1" applyFill="1" applyBorder="1" applyAlignment="1">
      <alignment vertical="center"/>
    </xf>
    <xf numFmtId="166" fontId="0" fillId="6" borderId="7" xfId="0" applyNumberFormat="1" applyFill="1" applyBorder="1" applyAlignment="1">
      <alignment vertical="center"/>
    </xf>
    <xf numFmtId="166" fontId="0" fillId="6" borderId="8" xfId="0" applyNumberFormat="1" applyFill="1" applyBorder="1" applyAlignment="1">
      <alignment vertical="center"/>
    </xf>
    <xf numFmtId="0" fontId="1" fillId="7" borderId="11" xfId="0" applyFont="1" applyFill="1" applyBorder="1"/>
    <xf numFmtId="0" fontId="1" fillId="7" borderId="12" xfId="0" applyFont="1" applyFill="1" applyBorder="1"/>
    <xf numFmtId="164" fontId="1" fillId="7" borderId="12" xfId="0" applyNumberFormat="1" applyFont="1" applyFill="1" applyBorder="1" applyAlignment="1">
      <alignment horizontal="right"/>
    </xf>
    <xf numFmtId="0" fontId="1" fillId="7" borderId="12" xfId="0" applyFont="1" applyFill="1" applyBorder="1" applyAlignment="1">
      <alignment horizontal="right"/>
    </xf>
    <xf numFmtId="0" fontId="1" fillId="7" borderId="13" xfId="0" applyFont="1" applyFill="1" applyBorder="1" applyAlignment="1">
      <alignment horizontal="right"/>
    </xf>
    <xf numFmtId="0" fontId="20" fillId="4" borderId="0" xfId="0" applyFont="1" applyFill="1"/>
    <xf numFmtId="164" fontId="25" fillId="7" borderId="15" xfId="0" applyNumberFormat="1" applyFont="1" applyFill="1" applyBorder="1" applyAlignment="1">
      <alignment vertical="center"/>
    </xf>
    <xf numFmtId="10" fontId="25" fillId="7" borderId="15" xfId="0" applyNumberFormat="1" applyFont="1" applyFill="1" applyBorder="1" applyAlignment="1">
      <alignment vertical="center"/>
    </xf>
    <xf numFmtId="166" fontId="29" fillId="7" borderId="15" xfId="0" applyNumberFormat="1" applyFont="1" applyFill="1" applyBorder="1" applyAlignment="1">
      <alignment vertical="center"/>
    </xf>
    <xf numFmtId="166" fontId="29" fillId="7" borderId="16" xfId="0" applyNumberFormat="1" applyFont="1" applyFill="1" applyBorder="1" applyAlignment="1">
      <alignment vertical="center"/>
    </xf>
    <xf numFmtId="0" fontId="3" fillId="7" borderId="14" xfId="0" applyFont="1" applyFill="1" applyBorder="1" applyAlignment="1">
      <alignment vertical="center"/>
    </xf>
    <xf numFmtId="166" fontId="3" fillId="7" borderId="15" xfId="0" applyNumberFormat="1" applyFont="1" applyFill="1" applyBorder="1" applyAlignment="1">
      <alignment vertical="center"/>
    </xf>
    <xf numFmtId="164" fontId="24" fillId="6" borderId="7" xfId="0" applyNumberFormat="1" applyFont="1" applyFill="1" applyBorder="1" applyAlignment="1">
      <alignment vertical="center"/>
    </xf>
    <xf numFmtId="10" fontId="24" fillId="6" borderId="7" xfId="0" applyNumberFormat="1" applyFont="1" applyFill="1" applyBorder="1" applyAlignment="1">
      <alignment vertical="center"/>
    </xf>
    <xf numFmtId="0" fontId="3" fillId="7" borderId="15" xfId="0" applyFont="1" applyFill="1" applyBorder="1"/>
    <xf numFmtId="165" fontId="3" fillId="7" borderId="15" xfId="0" applyNumberFormat="1" applyFont="1" applyFill="1" applyBorder="1" applyAlignment="1">
      <alignment horizontal="right"/>
    </xf>
    <xf numFmtId="165" fontId="29" fillId="7" borderId="15" xfId="0" applyNumberFormat="1" applyFont="1" applyFill="1" applyBorder="1" applyAlignment="1">
      <alignment horizontal="right"/>
    </xf>
    <xf numFmtId="10" fontId="3" fillId="7" borderId="15" xfId="0" applyNumberFormat="1" applyFont="1" applyFill="1" applyBorder="1"/>
    <xf numFmtId="10" fontId="29" fillId="7" borderId="15" xfId="0" applyNumberFormat="1" applyFont="1" applyFill="1" applyBorder="1"/>
    <xf numFmtId="0" fontId="26" fillId="4" borderId="0" xfId="0" applyFont="1" applyFill="1" applyAlignment="1">
      <alignment horizontal="left"/>
    </xf>
    <xf numFmtId="0" fontId="19" fillId="4" borderId="0" xfId="0" applyFont="1" applyFill="1"/>
    <xf numFmtId="3" fontId="0" fillId="5" borderId="7" xfId="0" applyNumberFormat="1" applyFill="1" applyBorder="1"/>
    <xf numFmtId="164" fontId="0" fillId="5" borderId="7" xfId="0" applyNumberFormat="1" applyFill="1" applyBorder="1"/>
    <xf numFmtId="164" fontId="0" fillId="5" borderId="7" xfId="0" applyNumberFormat="1" applyFill="1" applyBorder="1" applyAlignment="1">
      <alignment vertical="center"/>
    </xf>
    <xf numFmtId="3" fontId="4" fillId="5" borderId="7" xfId="0" applyNumberFormat="1" applyFont="1" applyFill="1" applyBorder="1"/>
    <xf numFmtId="10" fontId="0" fillId="0" borderId="0" xfId="0" applyNumberFormat="1"/>
    <xf numFmtId="0" fontId="3" fillId="5" borderId="7" xfId="0" applyFont="1" applyFill="1" applyBorder="1"/>
    <xf numFmtId="0" fontId="29" fillId="0" borderId="0" xfId="0" applyFont="1" applyAlignment="1">
      <alignment horizontal="left" indent="12"/>
    </xf>
    <xf numFmtId="0" fontId="9" fillId="7" borderId="11" xfId="0" applyFont="1" applyFill="1" applyBorder="1"/>
    <xf numFmtId="0" fontId="10" fillId="7" borderId="12" xfId="0" applyFont="1" applyFill="1" applyBorder="1"/>
    <xf numFmtId="0" fontId="10" fillId="7" borderId="13" xfId="0" applyFont="1" applyFill="1" applyBorder="1"/>
    <xf numFmtId="0" fontId="7" fillId="5" borderId="10" xfId="0" applyFont="1" applyFill="1" applyBorder="1"/>
    <xf numFmtId="0" fontId="10" fillId="5" borderId="14" xfId="0" applyFont="1" applyFill="1" applyBorder="1"/>
    <xf numFmtId="10" fontId="9" fillId="5" borderId="15" xfId="0" applyNumberFormat="1" applyFont="1" applyFill="1" applyBorder="1"/>
    <xf numFmtId="10" fontId="9" fillId="5" borderId="16" xfId="0" applyNumberFormat="1" applyFont="1" applyFill="1" applyBorder="1"/>
    <xf numFmtId="0" fontId="10" fillId="5" borderId="10" xfId="0" applyFont="1" applyFill="1" applyBorder="1"/>
    <xf numFmtId="10" fontId="9" fillId="5" borderId="7" xfId="0" applyNumberFormat="1" applyFont="1" applyFill="1" applyBorder="1"/>
    <xf numFmtId="10" fontId="9" fillId="5" borderId="8" xfId="0" applyNumberFormat="1" applyFont="1" applyFill="1" applyBorder="1"/>
    <xf numFmtId="0" fontId="9" fillId="7" borderId="7" xfId="0" applyFont="1" applyFill="1" applyBorder="1"/>
    <xf numFmtId="0" fontId="7" fillId="7" borderId="7" xfId="0" applyFont="1" applyFill="1" applyBorder="1"/>
    <xf numFmtId="0" fontId="7" fillId="5" borderId="7" xfId="0" applyFont="1" applyFill="1" applyBorder="1"/>
    <xf numFmtId="0" fontId="10" fillId="7" borderId="0" xfId="0" applyFont="1" applyFill="1"/>
    <xf numFmtId="0" fontId="16" fillId="5" borderId="0" xfId="0" applyFont="1" applyFill="1"/>
    <xf numFmtId="10" fontId="10" fillId="5" borderId="0" xfId="0" applyNumberFormat="1" applyFont="1" applyFill="1"/>
    <xf numFmtId="10" fontId="16" fillId="5" borderId="0" xfId="0" applyNumberFormat="1" applyFont="1" applyFill="1"/>
    <xf numFmtId="0" fontId="16" fillId="0" borderId="0" xfId="0" applyFont="1"/>
    <xf numFmtId="0" fontId="10" fillId="7" borderId="1" xfId="0" applyFont="1" applyFill="1" applyBorder="1"/>
    <xf numFmtId="0" fontId="10" fillId="7" borderId="2" xfId="0" applyFont="1" applyFill="1" applyBorder="1"/>
    <xf numFmtId="164" fontId="16" fillId="5" borderId="1" xfId="0" applyNumberFormat="1" applyFont="1" applyFill="1" applyBorder="1"/>
    <xf numFmtId="164" fontId="10" fillId="5" borderId="2" xfId="0" applyNumberFormat="1" applyFont="1" applyFill="1" applyBorder="1"/>
    <xf numFmtId="164" fontId="16" fillId="5" borderId="2" xfId="0" applyNumberFormat="1" applyFont="1" applyFill="1" applyBorder="1"/>
    <xf numFmtId="0" fontId="16" fillId="5" borderId="3" xfId="0" applyFont="1" applyFill="1" applyBorder="1"/>
    <xf numFmtId="164" fontId="16" fillId="5" borderId="3" xfId="0" applyNumberFormat="1" applyFont="1" applyFill="1" applyBorder="1"/>
    <xf numFmtId="164" fontId="16" fillId="5" borderId="4" xfId="0" applyNumberFormat="1" applyFont="1" applyFill="1" applyBorder="1"/>
    <xf numFmtId="0" fontId="10" fillId="7" borderId="21" xfId="0" applyFont="1" applyFill="1" applyBorder="1"/>
    <xf numFmtId="0" fontId="10" fillId="7" borderId="22" xfId="0" applyFont="1" applyFill="1" applyBorder="1"/>
    <xf numFmtId="0" fontId="10" fillId="7" borderId="22" xfId="0" applyFont="1" applyFill="1" applyBorder="1" applyAlignment="1">
      <alignment horizontal="right"/>
    </xf>
    <xf numFmtId="164" fontId="10" fillId="7" borderId="23" xfId="0" applyNumberFormat="1" applyFont="1" applyFill="1" applyBorder="1" applyAlignment="1">
      <alignment horizontal="right"/>
    </xf>
    <xf numFmtId="0" fontId="16" fillId="5" borderId="24" xfId="0" applyFont="1" applyFill="1" applyBorder="1"/>
    <xf numFmtId="3" fontId="16" fillId="5" borderId="19" xfId="0" applyNumberFormat="1" applyFont="1" applyFill="1" applyBorder="1"/>
    <xf numFmtId="0" fontId="16" fillId="5" borderId="19" xfId="0" applyFont="1" applyFill="1" applyBorder="1"/>
    <xf numFmtId="3" fontId="31" fillId="5" borderId="19" xfId="0" applyNumberFormat="1" applyFont="1" applyFill="1" applyBorder="1"/>
    <xf numFmtId="164" fontId="10" fillId="5" borderId="25" xfId="0" applyNumberFormat="1" applyFont="1" applyFill="1" applyBorder="1"/>
    <xf numFmtId="0" fontId="16" fillId="5" borderId="26" xfId="0" applyFont="1" applyFill="1" applyBorder="1"/>
    <xf numFmtId="3" fontId="16" fillId="5" borderId="20" xfId="0" applyNumberFormat="1" applyFont="1" applyFill="1" applyBorder="1"/>
    <xf numFmtId="3" fontId="31" fillId="5" borderId="20" xfId="0" applyNumberFormat="1" applyFont="1" applyFill="1" applyBorder="1"/>
    <xf numFmtId="164" fontId="16" fillId="5" borderId="27" xfId="0" applyNumberFormat="1" applyFont="1" applyFill="1" applyBorder="1"/>
    <xf numFmtId="164" fontId="10" fillId="5" borderId="1" xfId="0" applyNumberFormat="1" applyFont="1" applyFill="1" applyBorder="1"/>
    <xf numFmtId="0" fontId="16" fillId="5" borderId="28" xfId="0" applyFont="1" applyFill="1" applyBorder="1"/>
    <xf numFmtId="164" fontId="10" fillId="5" borderId="28" xfId="0" applyNumberFormat="1" applyFont="1" applyFill="1" applyBorder="1"/>
    <xf numFmtId="0" fontId="16" fillId="5" borderId="29" xfId="0" applyFont="1" applyFill="1" applyBorder="1"/>
    <xf numFmtId="3" fontId="10" fillId="5" borderId="30" xfId="0" applyNumberFormat="1" applyFont="1" applyFill="1" applyBorder="1"/>
    <xf numFmtId="3" fontId="31" fillId="5" borderId="30" xfId="0" applyNumberFormat="1" applyFont="1" applyFill="1" applyBorder="1"/>
    <xf numFmtId="164" fontId="32" fillId="5" borderId="31" xfId="0" applyNumberFormat="1" applyFont="1" applyFill="1" applyBorder="1"/>
    <xf numFmtId="3" fontId="10" fillId="0" borderId="0" xfId="0" applyNumberFormat="1" applyFont="1"/>
    <xf numFmtId="3" fontId="33" fillId="0" borderId="0" xfId="0" applyNumberFormat="1" applyFont="1"/>
    <xf numFmtId="164" fontId="16" fillId="0" borderId="0" xfId="0" applyNumberFormat="1" applyFont="1"/>
    <xf numFmtId="10" fontId="16" fillId="0" borderId="0" xfId="0" applyNumberFormat="1" applyFont="1"/>
    <xf numFmtId="0" fontId="34" fillId="0" borderId="0" xfId="0" applyFont="1"/>
    <xf numFmtId="0" fontId="0" fillId="5" borderId="0" xfId="0" applyFill="1"/>
    <xf numFmtId="0" fontId="35" fillId="5" borderId="0" xfId="0" applyFont="1" applyFill="1"/>
    <xf numFmtId="0" fontId="14" fillId="5" borderId="0" xfId="0" applyFont="1" applyFill="1"/>
    <xf numFmtId="0" fontId="36" fillId="5" borderId="0" xfId="0" applyFont="1" applyFill="1"/>
    <xf numFmtId="0" fontId="1" fillId="5" borderId="0" xfId="0" applyFont="1" applyFill="1"/>
    <xf numFmtId="0" fontId="7" fillId="7" borderId="1" xfId="0" applyFont="1" applyFill="1" applyBorder="1"/>
    <xf numFmtId="0" fontId="37" fillId="5" borderId="0" xfId="0" applyFont="1" applyFill="1"/>
    <xf numFmtId="0" fontId="39" fillId="0" borderId="0" xfId="0" applyFont="1"/>
    <xf numFmtId="0" fontId="40" fillId="0" borderId="0" xfId="0" applyFont="1"/>
    <xf numFmtId="0" fontId="41" fillId="5" borderId="0" xfId="0" applyFont="1" applyFill="1"/>
    <xf numFmtId="0" fontId="42" fillId="5" borderId="0" xfId="0" applyFont="1" applyFill="1"/>
    <xf numFmtId="10" fontId="43" fillId="8" borderId="19" xfId="0" applyNumberFormat="1" applyFont="1" applyFill="1" applyBorder="1"/>
    <xf numFmtId="10" fontId="31" fillId="8" borderId="19" xfId="0" applyNumberFormat="1" applyFont="1" applyFill="1" applyBorder="1"/>
    <xf numFmtId="2" fontId="43" fillId="8" borderId="19" xfId="0" applyNumberFormat="1" applyFont="1" applyFill="1" applyBorder="1"/>
    <xf numFmtId="2" fontId="31" fillId="8" borderId="19" xfId="0" applyNumberFormat="1" applyFont="1" applyFill="1" applyBorder="1"/>
    <xf numFmtId="2" fontId="16" fillId="8" borderId="19" xfId="0" applyNumberFormat="1" applyFont="1" applyFill="1" applyBorder="1"/>
    <xf numFmtId="0" fontId="1" fillId="0" borderId="0" xfId="0" applyFont="1" applyAlignment="1">
      <alignment horizontal="right"/>
    </xf>
    <xf numFmtId="3" fontId="0" fillId="0" borderId="0" xfId="0" applyNumberFormat="1" applyAlignment="1">
      <alignment horizontal="right"/>
    </xf>
    <xf numFmtId="0" fontId="1" fillId="0" borderId="0" xfId="0" applyFont="1" applyAlignment="1">
      <alignment horizontal="left"/>
    </xf>
    <xf numFmtId="0" fontId="44" fillId="7" borderId="19" xfId="0" applyFont="1" applyFill="1" applyBorder="1"/>
    <xf numFmtId="0" fontId="45" fillId="5" borderId="0" xfId="0" applyFont="1" applyFill="1" applyAlignment="1">
      <alignment vertical="top"/>
    </xf>
    <xf numFmtId="0" fontId="9" fillId="9" borderId="0" xfId="0" applyFont="1" applyFill="1"/>
    <xf numFmtId="0" fontId="46" fillId="9" borderId="0" xfId="0" applyFont="1" applyFill="1" applyAlignment="1">
      <alignment horizontal="right"/>
    </xf>
    <xf numFmtId="0" fontId="47" fillId="9" borderId="0" xfId="0" applyFont="1" applyFill="1"/>
    <xf numFmtId="0" fontId="47" fillId="9" borderId="0" xfId="0" applyFont="1" applyFill="1" applyAlignment="1">
      <alignment horizontal="left" indent="4"/>
    </xf>
    <xf numFmtId="0" fontId="20" fillId="9" borderId="0" xfId="0" applyFont="1" applyFill="1"/>
    <xf numFmtId="0" fontId="49" fillId="5" borderId="0" xfId="0" applyFont="1" applyFill="1" applyAlignment="1">
      <alignment horizontal="left" indent="2"/>
    </xf>
    <xf numFmtId="3" fontId="0" fillId="0" borderId="18" xfId="0" applyNumberFormat="1" applyBorder="1" applyProtection="1">
      <protection locked="0"/>
    </xf>
    <xf numFmtId="0" fontId="19" fillId="4" borderId="0" xfId="0" applyFont="1" applyFill="1" applyAlignment="1">
      <alignment horizontal="center"/>
    </xf>
    <xf numFmtId="0" fontId="27" fillId="4" borderId="0" xfId="0" applyFont="1" applyFill="1" applyAlignment="1">
      <alignment horizontal="center"/>
    </xf>
    <xf numFmtId="0" fontId="20" fillId="4" borderId="5" xfId="0" applyFont="1" applyFill="1" applyBorder="1" applyAlignment="1">
      <alignment horizontal="center"/>
    </xf>
    <xf numFmtId="0" fontId="20" fillId="4" borderId="0" xfId="0" applyFont="1" applyFill="1" applyAlignment="1">
      <alignment horizontal="center"/>
    </xf>
    <xf numFmtId="0" fontId="20" fillId="4" borderId="8" xfId="0" applyFont="1" applyFill="1" applyBorder="1" applyAlignment="1">
      <alignment horizontal="left"/>
    </xf>
    <xf numFmtId="0" fontId="20" fillId="4" borderId="9" xfId="0" applyFont="1" applyFill="1" applyBorder="1" applyAlignment="1">
      <alignment horizontal="left"/>
    </xf>
    <xf numFmtId="0" fontId="20" fillId="4" borderId="10" xfId="0" applyFont="1" applyFill="1" applyBorder="1" applyAlignment="1">
      <alignment horizontal="left"/>
    </xf>
    <xf numFmtId="0" fontId="0" fillId="6" borderId="8" xfId="0" applyFill="1" applyBorder="1" applyAlignment="1">
      <alignment horizontal="left" vertical="center" wrapText="1"/>
    </xf>
    <xf numFmtId="0" fontId="0" fillId="6" borderId="9" xfId="0" applyFill="1" applyBorder="1" applyAlignment="1">
      <alignment horizontal="left" vertical="center" wrapText="1"/>
    </xf>
    <xf numFmtId="0" fontId="0" fillId="6" borderId="10" xfId="0" applyFill="1" applyBorder="1" applyAlignment="1">
      <alignment horizontal="left" vertical="center" wrapText="1"/>
    </xf>
    <xf numFmtId="0" fontId="3" fillId="7" borderId="8" xfId="0" applyFont="1" applyFill="1" applyBorder="1" applyAlignment="1">
      <alignment horizontal="left" vertical="center" wrapText="1"/>
    </xf>
    <xf numFmtId="0" fontId="3" fillId="7" borderId="9" xfId="0" applyFont="1" applyFill="1" applyBorder="1" applyAlignment="1">
      <alignment horizontal="left" vertical="center" wrapText="1"/>
    </xf>
    <xf numFmtId="0" fontId="3" fillId="7" borderId="10" xfId="0" applyFont="1" applyFill="1" applyBorder="1" applyAlignment="1">
      <alignment horizontal="left" vertical="center" wrapText="1"/>
    </xf>
    <xf numFmtId="0" fontId="0" fillId="5" borderId="8" xfId="0" applyFill="1" applyBorder="1" applyAlignment="1">
      <alignment horizontal="left" vertical="center" wrapText="1"/>
    </xf>
    <xf numFmtId="0" fontId="0" fillId="5" borderId="9" xfId="0" applyFill="1" applyBorder="1" applyAlignment="1">
      <alignment horizontal="left" vertical="center" wrapText="1"/>
    </xf>
    <xf numFmtId="0" fontId="0" fillId="5" borderId="10" xfId="0" applyFill="1" applyBorder="1" applyAlignment="1">
      <alignment horizontal="left" vertical="center" wrapText="1"/>
    </xf>
    <xf numFmtId="0" fontId="48" fillId="0" borderId="0" xfId="0" applyFont="1" applyAlignment="1">
      <alignment horizontal="left"/>
    </xf>
    <xf numFmtId="0" fontId="21" fillId="0" borderId="0" xfId="0" applyFont="1" applyAlignment="1">
      <alignment horizontal="left" wrapText="1" indent="1"/>
    </xf>
    <xf numFmtId="0" fontId="22" fillId="0" borderId="0" xfId="0" applyFont="1" applyAlignment="1">
      <alignment horizontal="left" wrapText="1" indent="1"/>
    </xf>
    <xf numFmtId="0" fontId="16" fillId="7" borderId="25" xfId="0" applyFont="1" applyFill="1" applyBorder="1" applyAlignment="1">
      <alignment horizontal="center"/>
    </xf>
    <xf numFmtId="0" fontId="16" fillId="7" borderId="24" xfId="0" applyFont="1" applyFill="1" applyBorder="1" applyAlignment="1">
      <alignment horizontal="center"/>
    </xf>
    <xf numFmtId="0" fontId="44" fillId="8" borderId="25" xfId="0" applyFont="1" applyFill="1" applyBorder="1" applyAlignment="1">
      <alignment horizontal="left"/>
    </xf>
    <xf numFmtId="0" fontId="44" fillId="8" borderId="24" xfId="0" applyFont="1" applyFill="1" applyBorder="1" applyAlignment="1">
      <alignment horizontal="left"/>
    </xf>
    <xf numFmtId="0" fontId="38" fillId="5" borderId="0" xfId="0" applyFont="1" applyFill="1" applyAlignment="1">
      <alignment horizontal="center" vertical="center"/>
    </xf>
  </cellXfs>
  <cellStyles count="1">
    <cellStyle name="Normal" xfId="0" builtinId="0"/>
  </cellStyles>
  <dxfs count="243">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numFmt numFmtId="166" formatCode="\€#,##0&quot;M&quot;"/>
      <fill>
        <patternFill patternType="solid">
          <fgColor indexed="64"/>
          <bgColor rgb="FFF6F5F8"/>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numFmt numFmtId="166" formatCode="\€#,##0&quot;M&quot;"/>
      <fill>
        <patternFill patternType="solid">
          <fgColor indexed="64"/>
          <bgColor rgb="FFF6F5F8"/>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numFmt numFmtId="166" formatCode="\€#,##0&quot;M&quot;"/>
      <fill>
        <patternFill patternType="solid">
          <fgColor indexed="64"/>
          <bgColor rgb="FFF6F5F8"/>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numFmt numFmtId="166" formatCode="\€#,##0&quot;M&quot;"/>
      <fill>
        <patternFill patternType="solid">
          <fgColor indexed="64"/>
          <bgColor rgb="FFF6F5F8"/>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numFmt numFmtId="166" formatCode="\€#,##0&quot;M&quot;"/>
      <fill>
        <patternFill patternType="solid">
          <fgColor indexed="64"/>
          <bgColor rgb="FFF6F5F8"/>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6"/>
        <color theme="0"/>
        <name val="Aptos Narrow"/>
        <scheme val="minor"/>
      </font>
      <fill>
        <patternFill patternType="solid">
          <fgColor indexed="64"/>
          <bgColor rgb="FFC55A11"/>
        </patternFill>
      </fill>
      <alignment horizontal="left" vertical="bottom" textRotation="0" wrapText="0" indent="0" justifyLastLine="0" shrinkToFit="0" readingOrder="0"/>
    </dxf>
    <dxf>
      <numFmt numFmtId="165" formatCode="#,##0;\(#,##0\)"/>
      <fill>
        <patternFill patternType="solid">
          <fgColor indexed="64"/>
          <bgColor rgb="FFEBEBF1"/>
        </patternFill>
      </fill>
      <alignment horizontal="righ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border diagonalUp="0" diagonalDown="0" outline="0">
        <left/>
        <right/>
        <top/>
        <bottom style="thin">
          <color theme="2" tint="-9.9978637043366805E-2"/>
        </bottom>
      </border>
    </dxf>
    <dxf>
      <numFmt numFmtId="165" formatCode="#,##0;\(#,##0\)"/>
      <fill>
        <patternFill patternType="solid">
          <fgColor indexed="64"/>
          <bgColor rgb="FFEBEBF1"/>
        </patternFill>
      </fill>
      <alignment horizontal="righ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border diagonalUp="0" diagonalDown="0" outline="0">
        <left/>
        <right/>
        <top/>
        <bottom style="thin">
          <color theme="2" tint="-9.9978637043366805E-2"/>
        </bottom>
      </border>
    </dxf>
    <dxf>
      <numFmt numFmtId="165" formatCode="#,##0;\(#,##0\)"/>
      <fill>
        <patternFill patternType="solid">
          <fgColor indexed="64"/>
          <bgColor rgb="FFEBEBF1"/>
        </patternFill>
      </fill>
      <alignment horizontal="righ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border diagonalUp="0" diagonalDown="0" outline="0">
        <left/>
        <right/>
        <top/>
        <bottom style="thin">
          <color theme="2" tint="-9.9978637043366805E-2"/>
        </bottom>
      </border>
    </dxf>
    <dxf>
      <numFmt numFmtId="165" formatCode="#,##0;\(#,##0\)"/>
      <fill>
        <patternFill patternType="solid">
          <fgColor indexed="64"/>
          <bgColor rgb="FFF6F5F8"/>
        </patternFill>
      </fill>
      <alignment horizontal="righ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border diagonalUp="0" diagonalDown="0" outline="0">
        <left/>
        <right/>
        <top/>
        <bottom style="thin">
          <color theme="2" tint="-9.9978637043366805E-2"/>
        </bottom>
      </border>
    </dxf>
    <dxf>
      <numFmt numFmtId="165" formatCode="#,##0;\(#,##0\)"/>
      <fill>
        <patternFill patternType="solid">
          <fgColor indexed="64"/>
          <bgColor rgb="FFF6F5F8"/>
        </patternFill>
      </fill>
      <alignment horizontal="righ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border diagonalUp="0" diagonalDown="0" outline="0">
        <left/>
        <right/>
        <top/>
        <bottom style="thin">
          <color theme="2" tint="-9.9978637043366805E-2"/>
        </bottom>
      </border>
    </dxf>
    <dxf>
      <numFmt numFmtId="165" formatCode="#,##0;\(#,##0\)"/>
      <fill>
        <patternFill patternType="solid">
          <fgColor indexed="64"/>
          <bgColor rgb="FFF6F5F8"/>
        </patternFill>
      </fill>
      <alignment horizontal="righ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border diagonalUp="0" diagonalDown="0" outline="0">
        <left/>
        <right/>
        <top/>
        <bottom style="thin">
          <color theme="2" tint="-9.9978637043366805E-2"/>
        </bottom>
      </border>
    </dxf>
    <dxf>
      <numFmt numFmtId="165" formatCode="#,##0;\(#,##0\)"/>
      <fill>
        <patternFill patternType="solid">
          <fgColor indexed="64"/>
          <bgColor rgb="FFF6F5F8"/>
        </patternFill>
      </fill>
      <alignment horizontal="righ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border diagonalUp="0" diagonalDown="0" outline="0">
        <left/>
        <right/>
        <top/>
        <bottom style="thin">
          <color theme="2" tint="-9.9978637043366805E-2"/>
        </bottom>
      </border>
    </dxf>
    <dxf>
      <numFmt numFmtId="165" formatCode="#,##0;\(#,##0\)"/>
      <fill>
        <patternFill patternType="solid">
          <fgColor indexed="64"/>
          <bgColor rgb="FFF6F5F8"/>
        </patternFill>
      </fill>
      <alignment horizontal="righ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border diagonalUp="0" diagonalDown="0" outline="0">
        <left/>
        <right/>
        <top/>
        <bottom style="thin">
          <color theme="2" tint="-9.9978637043366805E-2"/>
        </bottom>
      </border>
    </dxf>
    <dxf>
      <fill>
        <patternFill patternType="solid">
          <fgColor indexed="64"/>
          <bgColor rgb="FFF6F5F8"/>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border diagonalUp="0" diagonalDown="0" outline="0">
        <left/>
        <right/>
        <top/>
        <bottom style="thin">
          <color theme="2" tint="-9.9978637043366805E-2"/>
        </bottom>
      </border>
    </dxf>
    <dxf>
      <border outline="0">
        <bottom style="thin">
          <color theme="2" tint="-9.9978637043366805E-2"/>
        </bottom>
      </border>
    </dxf>
    <dxf>
      <fill>
        <patternFill patternType="solid">
          <fgColor indexed="64"/>
          <bgColor rgb="FFEBEBF1"/>
        </patternFill>
      </fill>
      <alignment horizontal="righ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6"/>
        <color theme="0"/>
        <name val="Aptos Narrow"/>
        <family val="2"/>
        <scheme val="minor"/>
      </font>
      <fill>
        <patternFill patternType="solid">
          <fgColor indexed="64"/>
          <bgColor rgb="FFC55A11"/>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6" formatCode="\€#,##0&quot;M&quot;"/>
      <fill>
        <patternFill patternType="solid">
          <fgColor indexed="64"/>
          <bgColor rgb="FFEBEBF1"/>
        </patternFill>
      </fill>
      <alignment horizontal="general" vertical="center"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4" formatCode="0.00%"/>
      <fill>
        <patternFill patternType="solid">
          <fgColor indexed="64"/>
          <bgColor rgb="FFEBEBF1"/>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66" formatCode="\€#,##0&quot;M&quot;"/>
      <fill>
        <patternFill patternType="solid">
          <fgColor indexed="64"/>
          <bgColor rgb="FFEBEBF1"/>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4" formatCode="0.00%"/>
      <fill>
        <patternFill patternType="solid">
          <fgColor indexed="64"/>
          <bgColor rgb="FFEBEBF1"/>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66" formatCode="\€#,##0&quot;M&quot;"/>
      <fill>
        <patternFill patternType="solid">
          <fgColor indexed="64"/>
          <bgColor rgb="FFEBEBF1"/>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4" formatCode="0.00%"/>
      <fill>
        <patternFill patternType="solid">
          <fgColor indexed="64"/>
          <bgColor rgb="FFEBEBF1"/>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66" formatCode="\€#,##0&quot;M&quot;"/>
      <fill>
        <patternFill patternType="solid">
          <fgColor indexed="64"/>
          <bgColor rgb="FFF6F5F8"/>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66" formatCode="\€#,##0&quot;M&quot;"/>
      <fill>
        <patternFill patternType="solid">
          <fgColor indexed="64"/>
          <bgColor rgb="FFF6F5F8"/>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66" formatCode="\€#,##0&quot;M&quot;"/>
      <fill>
        <patternFill patternType="solid">
          <fgColor indexed="64"/>
          <bgColor rgb="FFF6F5F8"/>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66" formatCode="\€#,##0&quot;M&quot;"/>
      <fill>
        <patternFill patternType="solid">
          <fgColor indexed="64"/>
          <bgColor rgb="FFF6F5F8"/>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numFmt numFmtId="166" formatCode="\€#,##0&quot;M&quot;"/>
      <fill>
        <patternFill patternType="solid">
          <fgColor indexed="64"/>
          <bgColor rgb="FFF6F5F8"/>
        </patternFill>
      </fill>
      <alignment horizontal="general" vertical="center"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right/>
        <top/>
        <bottom style="thin">
          <color theme="2" tint="-9.9978637043366805E-2"/>
        </bottom>
      </border>
    </dxf>
    <dxf>
      <font>
        <b val="0"/>
        <i val="0"/>
        <strike val="0"/>
        <condense val="0"/>
        <extend val="0"/>
        <outline val="0"/>
        <shadow val="0"/>
        <u val="none"/>
        <vertAlign val="baseline"/>
        <sz val="12"/>
        <color theme="1"/>
        <name val="Aptos Narrow"/>
        <family val="2"/>
        <scheme val="minor"/>
      </font>
      <fill>
        <patternFill patternType="solid">
          <fgColor indexed="64"/>
          <bgColor rgb="FFF6F5F8"/>
        </patternFill>
      </fill>
      <alignment horizontal="general" vertical="center"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outline="0">
        <left style="thin">
          <color theme="2" tint="-9.9978637043366805E-2"/>
        </left>
        <right/>
        <top/>
        <bottom style="thin">
          <color theme="2" tint="-9.9978637043366805E-2"/>
        </bottom>
      </border>
    </dxf>
    <dxf>
      <border>
        <top style="thin">
          <color theme="2" tint="-9.9978637043366805E-2"/>
        </top>
      </border>
    </dxf>
    <dxf>
      <border diagonalUp="0" diagonalDown="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2"/>
        <color theme="1"/>
        <name val="Aptos Narrow"/>
        <family val="2"/>
        <scheme val="minor"/>
      </font>
      <fill>
        <patternFill patternType="solid">
          <fgColor indexed="64"/>
          <bgColor rgb="FFEBEBF1"/>
        </patternFill>
      </fill>
      <alignment horizontal="general" vertical="center"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4"/>
        <color theme="0"/>
        <name val="Aptos Narrow"/>
        <scheme val="minor"/>
      </font>
      <fill>
        <patternFill patternType="solid">
          <fgColor indexed="64"/>
          <bgColor rgb="FFC55A11"/>
        </patternFill>
      </fill>
      <alignment horizontal="general" vertical="bottom" textRotation="0" wrapText="0" indent="0" justifyLastLine="0" shrinkToFit="0" readingOrder="0"/>
      <border diagonalUp="0" diagonalDown="0">
        <left style="thin">
          <color theme="2" tint="-9.9978637043366805E-2"/>
        </left>
        <right style="thin">
          <color theme="2" tint="-9.9978637043366805E-2"/>
        </right>
        <top/>
        <bottom/>
        <vertical style="thin">
          <color theme="2" tint="-9.9978637043366805E-2"/>
        </vertical>
        <horizontal style="thin">
          <color theme="2" tint="-9.9978637043366805E-2"/>
        </horizontal>
      </border>
    </dxf>
    <dxf>
      <font>
        <strike val="0"/>
        <outline val="0"/>
        <shadow val="0"/>
        <u val="none"/>
        <vertAlign val="baseline"/>
        <sz val="14"/>
        <color theme="1"/>
        <name val="Aptos Narrow"/>
        <scheme val="minor"/>
      </font>
      <fill>
        <patternFill patternType="none">
          <fgColor indexed="64"/>
          <bgColor auto="1"/>
        </patternFill>
      </fill>
      <border diagonalUp="0" diagonalDown="0">
        <left style="thin">
          <color theme="2" tint="-9.9978637043366805E-2"/>
        </left>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2"/>
        <color theme="1"/>
        <name val="Aptos Narrow"/>
        <family val="2"/>
        <scheme val="minor"/>
      </font>
    </dxf>
    <dxf>
      <font>
        <strike val="0"/>
        <outline val="0"/>
        <shadow val="0"/>
        <u val="none"/>
        <vertAlign val="baseline"/>
        <sz val="14"/>
        <color theme="1"/>
        <name val="Aptos Narrow"/>
        <scheme val="minor"/>
      </font>
      <fill>
        <patternFill patternType="none">
          <fgColor indexed="64"/>
          <bgColor auto="1"/>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2"/>
        <color theme="1"/>
        <name val="Aptos Narrow"/>
        <family val="2"/>
        <scheme val="minor"/>
      </font>
    </dxf>
    <dxf>
      <font>
        <strike val="0"/>
        <outline val="0"/>
        <shadow val="0"/>
        <u val="none"/>
        <vertAlign val="baseline"/>
        <sz val="14"/>
        <color theme="1"/>
        <name val="Aptos Narrow"/>
        <scheme val="minor"/>
      </font>
      <fill>
        <patternFill patternType="none">
          <fgColor indexed="64"/>
          <bgColor auto="1"/>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2"/>
        <color theme="1"/>
        <name val="Aptos Narrow"/>
        <family val="2"/>
        <scheme val="minor"/>
      </font>
    </dxf>
    <dxf>
      <font>
        <strike val="0"/>
        <outline val="0"/>
        <shadow val="0"/>
        <u val="none"/>
        <vertAlign val="baseline"/>
        <sz val="14"/>
        <color theme="1"/>
        <name val="Aptos Narrow"/>
        <scheme val="minor"/>
      </font>
      <fill>
        <patternFill patternType="none">
          <fgColor indexed="64"/>
          <bgColor auto="1"/>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2"/>
        <color theme="1"/>
        <name val="Aptos Narrow"/>
        <family val="2"/>
        <scheme val="minor"/>
      </font>
    </dxf>
    <dxf>
      <font>
        <strike val="0"/>
        <outline val="0"/>
        <shadow val="0"/>
        <u val="none"/>
        <vertAlign val="baseline"/>
        <sz val="14"/>
        <color theme="1"/>
        <name val="Aptos Narrow"/>
        <scheme val="minor"/>
      </font>
      <fill>
        <patternFill patternType="none">
          <fgColor indexed="64"/>
          <bgColor auto="1"/>
        </patternFill>
      </fill>
      <border diagonalUp="0" diagonalDown="0">
        <left style="thin">
          <color theme="2" tint="-9.9978637043366805E-2"/>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2"/>
        <color theme="1"/>
        <name val="Aptos Narrow"/>
        <family val="2"/>
        <scheme val="minor"/>
      </font>
    </dxf>
    <dxf>
      <font>
        <strike val="0"/>
        <outline val="0"/>
        <shadow val="0"/>
        <u val="none"/>
        <vertAlign val="baseline"/>
        <sz val="14"/>
        <color theme="1"/>
        <name val="Aptos Narrow"/>
        <scheme val="minor"/>
      </font>
      <fill>
        <patternFill patternType="none">
          <fgColor indexed="64"/>
          <bgColor auto="1"/>
        </patternFill>
      </fill>
      <border diagonalUp="0" diagonalDown="0">
        <left/>
        <right style="thin">
          <color theme="2" tint="-9.9978637043366805E-2"/>
        </right>
        <top style="thin">
          <color theme="2" tint="-9.9978637043366805E-2"/>
        </top>
        <bottom style="thin">
          <color theme="2" tint="-9.9978637043366805E-2"/>
        </bottom>
        <vertical style="thin">
          <color theme="2" tint="-9.9978637043366805E-2"/>
        </vertical>
        <horizontal style="thin">
          <color theme="2" tint="-9.9978637043366805E-2"/>
        </horizontal>
      </border>
    </dxf>
    <dxf>
      <font>
        <b/>
        <i val="0"/>
        <strike val="0"/>
        <condense val="0"/>
        <extend val="0"/>
        <outline val="0"/>
        <shadow val="0"/>
        <u val="none"/>
        <vertAlign val="baseline"/>
        <sz val="12"/>
        <color theme="1"/>
        <name val="Aptos Narrow"/>
        <family val="2"/>
        <scheme val="minor"/>
      </font>
    </dxf>
    <dxf>
      <border>
        <top style="thin">
          <color theme="2" tint="-9.9978637043366805E-2"/>
        </top>
      </border>
    </dxf>
    <dxf>
      <border diagonalUp="0" diagonalDown="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scheme val="minor"/>
      </font>
      <fill>
        <patternFill patternType="none">
          <fgColor indexed="64"/>
          <bgColor auto="1"/>
        </patternFill>
      </fill>
    </dxf>
    <dxf>
      <font>
        <b/>
        <i val="0"/>
        <strike val="0"/>
        <condense val="0"/>
        <extend val="0"/>
        <outline val="0"/>
        <shadow val="0"/>
        <u val="none"/>
        <vertAlign val="baseline"/>
        <sz val="14"/>
        <color theme="1"/>
        <name val="Aptos Narrow"/>
        <scheme val="minor"/>
      </font>
      <fill>
        <patternFill patternType="none">
          <fgColor indexed="64"/>
          <bgColor auto="1"/>
        </patternFill>
      </fill>
      <border diagonalUp="0" diagonalDown="0">
        <left style="thin">
          <color theme="2" tint="-9.9978637043366805E-2"/>
        </left>
        <right style="thin">
          <color theme="2" tint="-9.9978637043366805E-2"/>
        </right>
        <top/>
        <bottom/>
        <vertical style="thin">
          <color theme="2" tint="-9.9978637043366805E-2"/>
        </vertical>
        <horizontal style="thin">
          <color theme="2" tint="-9.9978637043366805E-2"/>
        </horizontal>
      </border>
    </dxf>
    <dxf>
      <font>
        <strike val="0"/>
        <outline val="0"/>
        <shadow val="0"/>
        <u val="none"/>
        <vertAlign val="baseline"/>
        <sz val="14"/>
        <name val="Aptos Narrow"/>
        <scheme val="minor"/>
      </font>
      <fill>
        <patternFill>
          <fgColor indexed="64"/>
          <bgColor rgb="FFF6F5F8"/>
        </patternFill>
      </fill>
      <border diagonalUp="0" diagonalDown="0" outline="0">
        <left style="thin">
          <color theme="2" tint="-0.249977111117893"/>
        </left>
        <right/>
        <top style="thin">
          <color theme="2" tint="-0.249977111117893"/>
        </top>
        <bottom style="thin">
          <color theme="2" tint="-0.249977111117893"/>
        </bottom>
      </border>
    </dxf>
    <dxf>
      <font>
        <b/>
        <i val="0"/>
        <strike val="0"/>
        <condense val="0"/>
        <extend val="0"/>
        <outline val="0"/>
        <shadow val="0"/>
        <u val="none"/>
        <vertAlign val="baseline"/>
        <sz val="16"/>
        <color theme="1"/>
        <name val="Aptos Narrow"/>
        <family val="2"/>
        <scheme val="minor"/>
      </font>
      <numFmt numFmtId="164" formatCode="0.00%;\(0.00%\)"/>
      <alignment horizontal="right" vertical="bottom" textRotation="0" wrapText="0" indent="0" justifyLastLine="0" shrinkToFit="0" readingOrder="0"/>
      <border diagonalUp="0" diagonalDown="0" outline="0">
        <left style="thin">
          <color theme="2" tint="-0.249977111117893"/>
        </left>
        <right/>
        <top/>
        <bottom/>
      </border>
    </dxf>
    <dxf>
      <font>
        <strike val="0"/>
        <outline val="0"/>
        <shadow val="0"/>
        <u val="none"/>
        <vertAlign val="baseline"/>
        <sz val="14"/>
        <name val="Aptos Narrow"/>
        <scheme val="minor"/>
      </font>
      <fill>
        <patternFill>
          <fgColor indexed="64"/>
          <bgColor rgb="FFF6F5F8"/>
        </patternFill>
      </fill>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i val="0"/>
        <strike val="0"/>
        <condense val="0"/>
        <extend val="0"/>
        <outline val="0"/>
        <shadow val="0"/>
        <u val="none"/>
        <vertAlign val="baseline"/>
        <sz val="16"/>
        <color theme="1"/>
        <name val="Aptos Narrow"/>
        <family val="2"/>
        <scheme val="minor"/>
      </font>
      <alignment horizontal="right" vertical="bottom" textRotation="0" wrapText="0" indent="0" justifyLastLine="0" shrinkToFit="0" readingOrder="0"/>
      <border diagonalUp="0" diagonalDown="0" outline="0">
        <left style="thin">
          <color theme="2" tint="-0.249977111117893"/>
        </left>
        <right/>
        <top/>
        <bottom/>
      </border>
    </dxf>
    <dxf>
      <font>
        <strike val="0"/>
        <outline val="0"/>
        <shadow val="0"/>
        <u val="none"/>
        <vertAlign val="baseline"/>
        <sz val="14"/>
        <name val="Aptos Narrow"/>
        <scheme val="minor"/>
      </font>
      <fill>
        <patternFill>
          <fgColor indexed="64"/>
          <bgColor rgb="FFF6F5F8"/>
        </patternFill>
      </fill>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i val="0"/>
        <strike val="0"/>
        <condense val="0"/>
        <extend val="0"/>
        <outline val="0"/>
        <shadow val="0"/>
        <u val="none"/>
        <vertAlign val="baseline"/>
        <sz val="16"/>
        <color theme="1"/>
        <name val="Aptos Narrow"/>
        <family val="2"/>
        <scheme val="minor"/>
      </font>
      <border diagonalUp="0" diagonalDown="0" outline="0">
        <left style="thin">
          <color theme="2" tint="-0.249977111117893"/>
        </left>
        <right/>
        <top/>
        <bottom/>
      </border>
    </dxf>
    <dxf>
      <font>
        <strike val="0"/>
        <outline val="0"/>
        <shadow val="0"/>
        <u val="none"/>
        <vertAlign val="baseline"/>
        <sz val="14"/>
        <name val="Aptos Narrow"/>
        <scheme val="minor"/>
      </font>
      <fill>
        <patternFill>
          <fgColor indexed="64"/>
          <bgColor rgb="FFF6F5F8"/>
        </patternFill>
      </fill>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i val="0"/>
        <strike val="0"/>
        <condense val="0"/>
        <extend val="0"/>
        <outline val="0"/>
        <shadow val="0"/>
        <u val="none"/>
        <vertAlign val="baseline"/>
        <sz val="16"/>
        <color theme="1"/>
        <name val="Aptos Narrow"/>
        <family val="2"/>
        <scheme val="minor"/>
      </font>
      <border diagonalUp="0" diagonalDown="0" outline="0">
        <left style="thin">
          <color theme="2" tint="-0.249977111117893"/>
        </left>
        <right/>
        <top/>
        <bottom/>
      </border>
    </dxf>
    <dxf>
      <font>
        <strike val="0"/>
        <outline val="0"/>
        <shadow val="0"/>
        <u val="none"/>
        <vertAlign val="baseline"/>
        <sz val="14"/>
        <name val="Aptos Narrow"/>
        <scheme val="minor"/>
      </font>
      <fill>
        <patternFill>
          <fgColor indexed="64"/>
          <bgColor rgb="FFF6F5F8"/>
        </patternFill>
      </fill>
      <border diagonalUp="0" diagonalDown="0" outline="0">
        <left/>
        <right style="thin">
          <color theme="2" tint="-0.249977111117893"/>
        </right>
        <top style="thin">
          <color theme="2" tint="-0.249977111117893"/>
        </top>
        <bottom style="thin">
          <color theme="2" tint="-0.249977111117893"/>
        </bottom>
      </border>
    </dxf>
    <dxf>
      <font>
        <b/>
        <i val="0"/>
        <strike val="0"/>
        <condense val="0"/>
        <extend val="0"/>
        <outline val="0"/>
        <shadow val="0"/>
        <u val="none"/>
        <vertAlign val="baseline"/>
        <sz val="16"/>
        <color theme="1"/>
        <name val="Aptos Narrow"/>
        <family val="2"/>
        <scheme val="minor"/>
      </font>
      <border diagonalUp="0" diagonalDown="0" outline="0">
        <left/>
        <right/>
        <top/>
        <bottom/>
      </border>
    </dxf>
    <dxf>
      <border>
        <top style="thin">
          <color theme="2" tint="-0.249977111117893"/>
        </top>
      </border>
    </dxf>
    <dxf>
      <border diagonalUp="0" diagonalDown="0">
        <left style="thin">
          <color theme="2" tint="-0.249977111117893"/>
        </left>
        <right style="thin">
          <color theme="2" tint="-0.249977111117893"/>
        </right>
        <top style="thin">
          <color theme="2" tint="-0.249977111117893"/>
        </top>
        <bottom style="thin">
          <color theme="2" tint="-0.249977111117893"/>
        </bottom>
      </border>
    </dxf>
    <dxf>
      <font>
        <strike val="0"/>
        <outline val="0"/>
        <shadow val="0"/>
        <u val="none"/>
        <vertAlign val="baseline"/>
        <sz val="14"/>
        <name val="Aptos Narrow"/>
        <scheme val="minor"/>
      </font>
      <fill>
        <patternFill>
          <fgColor indexed="64"/>
          <bgColor rgb="FFF6F5F8"/>
        </patternFill>
      </fill>
    </dxf>
    <dxf>
      <font>
        <b/>
        <i val="0"/>
        <strike val="0"/>
        <condense val="0"/>
        <extend val="0"/>
        <outline val="0"/>
        <shadow val="0"/>
        <u val="none"/>
        <vertAlign val="baseline"/>
        <sz val="14"/>
        <color theme="1"/>
        <name val="Aptos Narrow"/>
        <scheme val="minor"/>
      </font>
      <fill>
        <patternFill>
          <fgColor indexed="64"/>
          <bgColor rgb="FFF6F5F8"/>
        </patternFill>
      </fill>
      <border diagonalUp="0" diagonalDown="0" outline="0">
        <left style="thin">
          <color theme="2" tint="-0.249977111117893"/>
        </left>
        <right style="thin">
          <color theme="2" tint="-0.249977111117893"/>
        </right>
        <top/>
        <bottom/>
      </border>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numFmt numFmtId="164" formatCode="0.00%;\(0.00%\)"/>
      <fill>
        <patternFill patternType="solid">
          <fgColor indexed="64"/>
          <bgColor rgb="FFF6F5F8"/>
        </patternFill>
      </fill>
      <border diagonalUp="0" diagonalDown="0" outline="0">
        <left style="thin">
          <color rgb="FFC1C1C1"/>
        </left>
        <right/>
        <top style="thin">
          <color rgb="FFC1C1C1"/>
        </top>
        <bottom style="thin">
          <color rgb="FFC1C1C1"/>
        </bottom>
      </border>
    </dxf>
    <dxf>
      <font>
        <b/>
        <i val="0"/>
        <strike val="0"/>
        <condense val="0"/>
        <extend val="0"/>
        <outline val="0"/>
        <shadow val="0"/>
        <u val="none"/>
        <vertAlign val="baseline"/>
        <sz val="12"/>
        <color theme="1"/>
        <name val="Aptos Narrow"/>
        <family val="2"/>
        <scheme val="minor"/>
      </font>
      <border diagonalUp="0" diagonalDown="0" outline="0">
        <left style="thin">
          <color rgb="FFC1C1C1"/>
        </left>
        <right/>
        <top/>
        <bottom style="thin">
          <color rgb="FFC1C1C1"/>
        </bottom>
      </border>
    </dxf>
    <dxf>
      <font>
        <strike val="0"/>
        <outline val="0"/>
        <shadow val="0"/>
        <u val="none"/>
        <vertAlign val="baseline"/>
        <sz val="14"/>
        <color theme="1"/>
        <name val="Aptos Narrow"/>
        <scheme val="minor"/>
      </font>
      <numFmt numFmtId="164" formatCode="0.00%;\(0.00%\)"/>
      <fill>
        <patternFill patternType="solid">
          <fgColor indexed="64"/>
          <bgColor rgb="FFF6F5F8"/>
        </patternFill>
      </fill>
      <border diagonalUp="0" diagonalDown="0" outline="0">
        <left style="thin">
          <color rgb="FFC1C1C1"/>
        </left>
        <right style="thin">
          <color rgb="FFC1C1C1"/>
        </right>
        <top style="thin">
          <color rgb="FFC1C1C1"/>
        </top>
        <bottom style="thin">
          <color rgb="FFC1C1C1"/>
        </bottom>
      </border>
    </dxf>
    <dxf>
      <font>
        <b/>
        <i val="0"/>
        <strike val="0"/>
        <condense val="0"/>
        <extend val="0"/>
        <outline val="0"/>
        <shadow val="0"/>
        <u val="none"/>
        <vertAlign val="baseline"/>
        <sz val="12"/>
        <color theme="1"/>
        <name val="Aptos Narrow"/>
        <family val="2"/>
        <scheme val="minor"/>
      </font>
      <border diagonalUp="0" diagonalDown="0" outline="0">
        <left style="thin">
          <color rgb="FFC1C1C1"/>
        </left>
        <right style="thin">
          <color rgb="FFC1C1C1"/>
        </right>
        <top/>
        <bottom style="thin">
          <color rgb="FFC1C1C1"/>
        </bottom>
      </border>
    </dxf>
    <dxf>
      <font>
        <strike val="0"/>
        <outline val="0"/>
        <shadow val="0"/>
        <u val="none"/>
        <vertAlign val="baseline"/>
        <sz val="14"/>
        <color theme="1"/>
        <name val="Aptos Narrow"/>
        <scheme val="minor"/>
      </font>
      <numFmt numFmtId="164" formatCode="0.00%;\(0.00%\)"/>
      <fill>
        <patternFill patternType="solid">
          <fgColor indexed="64"/>
          <bgColor rgb="FFF6F5F8"/>
        </patternFill>
      </fill>
      <border diagonalUp="0" diagonalDown="0" outline="0">
        <left style="thin">
          <color rgb="FFC1C1C1"/>
        </left>
        <right style="thin">
          <color rgb="FFC1C1C1"/>
        </right>
        <top style="thin">
          <color rgb="FFC1C1C1"/>
        </top>
        <bottom style="thin">
          <color rgb="FFC1C1C1"/>
        </bottom>
      </border>
    </dxf>
    <dxf>
      <font>
        <b/>
        <i val="0"/>
        <strike val="0"/>
        <condense val="0"/>
        <extend val="0"/>
        <outline val="0"/>
        <shadow val="0"/>
        <u val="none"/>
        <vertAlign val="baseline"/>
        <sz val="12"/>
        <color theme="1"/>
        <name val="Aptos Narrow"/>
        <family val="2"/>
        <scheme val="minor"/>
      </font>
      <border diagonalUp="0" diagonalDown="0" outline="0">
        <left style="thin">
          <color rgb="FFC1C1C1"/>
        </left>
        <right style="thin">
          <color rgb="FFC1C1C1"/>
        </right>
        <top/>
        <bottom style="thin">
          <color rgb="FFC1C1C1"/>
        </bottom>
      </border>
    </dxf>
    <dxf>
      <font>
        <strike val="0"/>
        <outline val="0"/>
        <shadow val="0"/>
        <u val="none"/>
        <vertAlign val="baseline"/>
        <sz val="14"/>
        <color theme="1"/>
        <name val="Aptos Narrow"/>
        <scheme val="minor"/>
      </font>
      <numFmt numFmtId="164" formatCode="0.00%;\(0.00%\)"/>
      <fill>
        <patternFill patternType="solid">
          <fgColor indexed="64"/>
          <bgColor rgb="FFF6F5F8"/>
        </patternFill>
      </fill>
      <border diagonalUp="0" diagonalDown="0" outline="0">
        <left style="thin">
          <color rgb="FFC1C1C1"/>
        </left>
        <right style="thin">
          <color rgb="FFC1C1C1"/>
        </right>
        <top style="thin">
          <color rgb="FFC1C1C1"/>
        </top>
        <bottom style="thin">
          <color rgb="FFC1C1C1"/>
        </bottom>
      </border>
    </dxf>
    <dxf>
      <font>
        <b/>
        <i val="0"/>
        <strike val="0"/>
        <condense val="0"/>
        <extend val="0"/>
        <outline val="0"/>
        <shadow val="0"/>
        <u val="none"/>
        <vertAlign val="baseline"/>
        <sz val="12"/>
        <color theme="1"/>
        <name val="Aptos Narrow"/>
        <family val="2"/>
        <scheme val="minor"/>
      </font>
      <border diagonalUp="0" diagonalDown="0" outline="0">
        <left style="thin">
          <color rgb="FFC1C1C1"/>
        </left>
        <right style="thin">
          <color rgb="FFC1C1C1"/>
        </right>
        <top/>
        <bottom style="thin">
          <color rgb="FFC1C1C1"/>
        </bottom>
      </border>
    </dxf>
    <dxf>
      <font>
        <strike val="0"/>
        <outline val="0"/>
        <shadow val="0"/>
        <u val="none"/>
        <vertAlign val="baseline"/>
        <sz val="14"/>
        <color theme="1"/>
        <name val="Aptos Narrow"/>
        <scheme val="minor"/>
      </font>
      <numFmt numFmtId="164" formatCode="0.00%;\(0.00%\)"/>
      <fill>
        <patternFill patternType="solid">
          <fgColor indexed="64"/>
          <bgColor rgb="FFF6F5F8"/>
        </patternFill>
      </fill>
      <border diagonalUp="0" diagonalDown="0" outline="0">
        <left style="thin">
          <color rgb="FFC1C1C1"/>
        </left>
        <right style="thin">
          <color rgb="FFC1C1C1"/>
        </right>
        <top style="thin">
          <color rgb="FFC1C1C1"/>
        </top>
        <bottom style="thin">
          <color rgb="FFC1C1C1"/>
        </bottom>
      </border>
    </dxf>
    <dxf>
      <font>
        <b/>
        <i val="0"/>
        <strike val="0"/>
        <condense val="0"/>
        <extend val="0"/>
        <outline val="0"/>
        <shadow val="0"/>
        <u val="none"/>
        <vertAlign val="baseline"/>
        <sz val="12"/>
        <color theme="1"/>
        <name val="Aptos Narrow"/>
        <family val="2"/>
        <scheme val="minor"/>
      </font>
      <border diagonalUp="0" diagonalDown="0" outline="0">
        <left style="thin">
          <color rgb="FFC1C1C1"/>
        </left>
        <right style="thin">
          <color rgb="FFC1C1C1"/>
        </right>
        <top/>
        <bottom style="thin">
          <color rgb="FFC1C1C1"/>
        </bottom>
      </border>
    </dxf>
    <dxf>
      <font>
        <strike val="0"/>
        <outline val="0"/>
        <shadow val="0"/>
        <u val="none"/>
        <vertAlign val="baseline"/>
        <sz val="14"/>
        <color theme="1"/>
        <name val="Aptos Narrow"/>
        <scheme val="minor"/>
      </font>
      <fill>
        <patternFill patternType="solid">
          <fgColor indexed="64"/>
          <bgColor rgb="FFF6F5F8"/>
        </patternFill>
      </fill>
    </dxf>
    <dxf>
      <font>
        <b/>
        <i val="0"/>
        <strike val="0"/>
        <condense val="0"/>
        <extend val="0"/>
        <outline val="0"/>
        <shadow val="0"/>
        <u val="none"/>
        <vertAlign val="baseline"/>
        <sz val="12"/>
        <color theme="1"/>
        <name val="Aptos Narrow"/>
        <family val="2"/>
        <scheme val="minor"/>
      </font>
      <border diagonalUp="0" diagonalDown="0" outline="0">
        <left style="thin">
          <color rgb="FFC1C1C1"/>
        </left>
        <right style="thin">
          <color rgb="FFC1C1C1"/>
        </right>
        <top/>
        <bottom style="thin">
          <color rgb="FFC1C1C1"/>
        </bottom>
      </border>
    </dxf>
    <dxf>
      <border outline="0">
        <right style="thin">
          <color rgb="FFC1C1C1"/>
        </right>
        <top style="thin">
          <color rgb="FFC1C1C1"/>
        </top>
        <bottom style="thin">
          <color rgb="FFC1C1C1"/>
        </bottom>
      </border>
    </dxf>
    <dxf>
      <font>
        <strike val="0"/>
        <outline val="0"/>
        <shadow val="0"/>
        <u val="none"/>
        <vertAlign val="baseline"/>
        <sz val="14"/>
        <color theme="1"/>
        <name val="Aptos Narrow"/>
        <scheme val="minor"/>
      </font>
      <fill>
        <patternFill patternType="solid">
          <fgColor indexed="64"/>
          <bgColor rgb="FFF6F5F8"/>
        </patternFill>
      </fill>
    </dxf>
    <dxf>
      <border outline="0">
        <bottom style="thin">
          <color rgb="FFC1C1C1"/>
        </bottom>
      </border>
    </dxf>
    <dxf>
      <font>
        <b/>
        <i val="0"/>
        <strike val="0"/>
        <condense val="0"/>
        <extend val="0"/>
        <outline val="0"/>
        <shadow val="0"/>
        <u val="none"/>
        <vertAlign val="baseline"/>
        <sz val="14"/>
        <color theme="1"/>
        <name val="Aptos Narrow"/>
        <scheme val="minor"/>
      </font>
      <fill>
        <patternFill patternType="solid">
          <fgColor indexed="64"/>
          <bgColor rgb="FFF6F5F8"/>
        </patternFill>
      </fill>
      <border diagonalUp="0" diagonalDown="0" outline="0">
        <left style="thin">
          <color rgb="FFC1C1C1"/>
        </left>
        <right style="thin">
          <color rgb="FFC1C1C1"/>
        </right>
        <top/>
        <bottom/>
      </border>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font>
        <strike val="0"/>
        <outline val="0"/>
        <shadow val="0"/>
        <u val="none"/>
        <vertAlign val="baseline"/>
        <sz val="14"/>
        <color theme="1"/>
        <name val="Aptos Narrow"/>
        <scheme val="minor"/>
      </font>
      <fill>
        <patternFill patternType="solid">
          <fgColor indexed="64"/>
          <bgColor rgb="FFF6F5F8"/>
        </patternFill>
      </fill>
    </dxf>
    <dxf>
      <numFmt numFmtId="2" formatCode="0.00"/>
    </dxf>
    <dxf>
      <numFmt numFmtId="30" formatCode="@"/>
    </dxf>
    <dxf>
      <numFmt numFmtId="30" formatCode="@"/>
    </dxf>
    <dxf>
      <numFmt numFmtId="30" formatCode="@"/>
    </dxf>
    <dxf>
      <numFmt numFmtId="30" formatCode="@"/>
    </dxf>
    <dxf>
      <numFmt numFmtId="30" formatCode="@"/>
    </dxf>
    <dxf>
      <font>
        <b/>
        <i val="0"/>
        <strike val="0"/>
        <condense val="0"/>
        <extend val="0"/>
        <outline val="0"/>
        <shadow val="0"/>
        <u val="none"/>
        <vertAlign val="baseline"/>
        <sz val="12"/>
        <color theme="1"/>
        <name val="Aptos Narrow"/>
        <scheme val="minor"/>
      </font>
    </dxf>
    <dxf>
      <font>
        <b/>
        <i val="0"/>
        <strike val="0"/>
        <condense val="0"/>
        <extend val="0"/>
        <outline val="0"/>
        <shadow val="0"/>
        <u val="none"/>
        <vertAlign val="baseline"/>
        <sz val="12"/>
        <color theme="1"/>
        <name val="Aptos Narrow"/>
        <scheme val="minor"/>
      </font>
      <numFmt numFmtId="3" formatCode="#,##0"/>
    </dxf>
    <dxf>
      <numFmt numFmtId="30" formatCode="@"/>
    </dxf>
    <dxf>
      <font>
        <b/>
        <i val="0"/>
        <strike val="0"/>
        <condense val="0"/>
        <extend val="0"/>
        <outline val="0"/>
        <shadow val="0"/>
        <u val="none"/>
        <vertAlign val="baseline"/>
        <sz val="12"/>
        <color theme="1"/>
        <name val="Aptos Narrow"/>
        <scheme val="minor"/>
      </font>
    </dxf>
    <dxf>
      <font>
        <b/>
        <i val="0"/>
        <strike val="0"/>
        <condense val="0"/>
        <extend val="0"/>
        <outline val="0"/>
        <shadow val="0"/>
        <u val="none"/>
        <vertAlign val="baseline"/>
        <sz val="12"/>
        <color theme="1"/>
        <name val="Aptos Narrow"/>
        <scheme val="minor"/>
      </font>
    </dxf>
    <dxf>
      <font>
        <b/>
        <i val="0"/>
        <strike val="0"/>
        <condense val="0"/>
        <extend val="0"/>
        <outline val="0"/>
        <shadow val="0"/>
        <u val="none"/>
        <vertAlign val="baseline"/>
        <sz val="16"/>
        <color theme="1"/>
        <name val="Arial"/>
        <family val="2"/>
        <scheme val="none"/>
      </font>
    </dxf>
    <dxf>
      <numFmt numFmtId="30" formatCode="@"/>
    </dxf>
    <dxf>
      <font>
        <strike val="0"/>
        <outline val="0"/>
        <shadow val="0"/>
        <u val="none"/>
        <vertAlign val="baseline"/>
        <sz val="16"/>
        <color theme="1"/>
        <name val="Aptos Narrow"/>
        <scheme val="minor"/>
      </font>
      <fill>
        <patternFill patternType="none">
          <fgColor indexed="64"/>
          <bgColor auto="1"/>
        </patternFill>
      </fill>
    </dxf>
    <dxf>
      <font>
        <b/>
        <i val="0"/>
        <strike val="0"/>
        <condense val="0"/>
        <extend val="0"/>
        <outline val="0"/>
        <shadow val="0"/>
        <u val="none"/>
        <vertAlign val="baseline"/>
        <sz val="16"/>
        <color theme="1"/>
        <name val="Aptos Narrow"/>
        <scheme val="minor"/>
      </font>
    </dxf>
    <dxf>
      <numFmt numFmtId="30" formatCode="@"/>
    </dxf>
    <dxf>
      <font>
        <strike val="0"/>
        <outline val="0"/>
        <shadow val="0"/>
        <u val="none"/>
        <vertAlign val="baseline"/>
        <sz val="16"/>
        <color theme="1"/>
        <name val="Aptos Narrow"/>
        <scheme val="minor"/>
      </font>
      <numFmt numFmtId="30" formatCode="@"/>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dxf>
    <dxf>
      <numFmt numFmtId="30" formatCode="@"/>
    </dxf>
    <dxf>
      <font>
        <strike val="0"/>
        <outline val="0"/>
        <shadow val="0"/>
        <u val="none"/>
        <vertAlign val="baseline"/>
        <sz val="16"/>
        <color theme="1"/>
        <name val="Aptos Narrow"/>
        <scheme val="minor"/>
      </font>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numFmt numFmtId="30" formatCode="@"/>
    </dxf>
    <dxf>
      <font>
        <strike val="0"/>
        <outline val="0"/>
        <shadow val="0"/>
        <u val="none"/>
        <vertAlign val="baseline"/>
        <sz val="16"/>
        <color theme="1"/>
        <name val="Aptos Narrow"/>
        <scheme val="minor"/>
      </font>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numFmt numFmtId="30" formatCode="@"/>
    </dxf>
    <dxf>
      <font>
        <strike val="0"/>
        <outline val="0"/>
        <shadow val="0"/>
        <u val="none"/>
        <vertAlign val="baseline"/>
        <sz val="16"/>
        <color theme="1"/>
        <name val="Aptos Narrow"/>
        <scheme val="minor"/>
      </font>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numFmt numFmtId="30" formatCode="@"/>
    </dxf>
    <dxf>
      <font>
        <strike val="0"/>
        <outline val="0"/>
        <shadow val="0"/>
        <u val="none"/>
        <vertAlign val="baseline"/>
        <sz val="16"/>
        <color theme="1"/>
        <name val="Aptos Narrow"/>
        <scheme val="minor"/>
      </font>
      <numFmt numFmtId="5" formatCode="#,##0_);\(#,##0\)"/>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font>
        <strike val="0"/>
        <outline val="0"/>
        <shadow val="0"/>
        <u val="none"/>
        <vertAlign val="baseline"/>
        <sz val="16"/>
        <color theme="1"/>
        <name val="Aptos Narrow"/>
        <scheme val="minor"/>
      </font>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font>
        <strike val="0"/>
        <outline val="0"/>
        <shadow val="0"/>
        <u val="none"/>
        <vertAlign val="baseline"/>
        <sz val="16"/>
        <color theme="1"/>
        <name val="Aptos Narrow"/>
        <scheme val="minor"/>
      </font>
      <fill>
        <patternFill patternType="none">
          <fgColor indexed="64"/>
          <bgColor auto="1"/>
        </patternFill>
      </fill>
    </dxf>
    <dxf>
      <font>
        <strike val="0"/>
        <outline val="0"/>
        <shadow val="0"/>
        <u val="none"/>
        <vertAlign val="baseline"/>
        <sz val="16"/>
        <color theme="1"/>
        <name val="Aptos Narrow"/>
        <scheme val="minor"/>
      </font>
      <fill>
        <patternFill patternType="none">
          <fgColor indexed="64"/>
          <bgColor auto="1"/>
        </patternFill>
      </fill>
    </dxf>
    <dxf>
      <font>
        <strike val="0"/>
        <outline val="0"/>
        <shadow val="0"/>
        <u val="none"/>
        <vertAlign val="baseline"/>
        <sz val="16"/>
        <color theme="1"/>
        <name val="Aptos Narrow"/>
        <scheme val="minor"/>
      </font>
      <numFmt numFmtId="3" formatCode="#,##0"/>
      <fill>
        <patternFill patternType="none">
          <fgColor indexed="64"/>
          <bgColor auto="1"/>
        </patternFill>
      </fill>
    </dxf>
    <dxf>
      <font>
        <b/>
        <i val="0"/>
        <strike val="0"/>
        <condense val="0"/>
        <extend val="0"/>
        <outline val="0"/>
        <shadow val="0"/>
        <u val="none"/>
        <vertAlign val="baseline"/>
        <sz val="16"/>
        <color theme="1"/>
        <name val="Aptos Narrow"/>
        <scheme val="minor"/>
      </font>
    </dxf>
    <dxf>
      <numFmt numFmtId="3" formatCode="#,##0"/>
    </dxf>
    <dxf>
      <font>
        <strike val="0"/>
        <outline val="0"/>
        <shadow val="0"/>
        <u val="none"/>
        <vertAlign val="baseline"/>
        <sz val="16"/>
        <color theme="1"/>
        <name val="Aptos Narrow"/>
        <scheme val="minor"/>
      </font>
      <numFmt numFmtId="3" formatCode="#,##0"/>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numFmt numFmtId="3" formatCode="#,##0"/>
    </dxf>
    <dxf>
      <font>
        <strike val="0"/>
        <outline val="0"/>
        <shadow val="0"/>
        <u val="none"/>
        <vertAlign val="baseline"/>
        <sz val="16"/>
        <color theme="1"/>
        <name val="Aptos Narrow"/>
        <scheme val="minor"/>
      </font>
      <numFmt numFmtId="3" formatCode="#,##0"/>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numFmt numFmtId="3" formatCode="#,##0"/>
    </dxf>
    <dxf>
      <font>
        <strike val="0"/>
        <outline val="0"/>
        <shadow val="0"/>
        <u val="none"/>
        <vertAlign val="baseline"/>
        <sz val="16"/>
        <color theme="1"/>
        <name val="Aptos Narrow"/>
        <scheme val="minor"/>
      </font>
      <numFmt numFmtId="3" formatCode="#,##0"/>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numFmt numFmtId="3" formatCode="#,##0"/>
    </dxf>
    <dxf>
      <font>
        <strike val="0"/>
        <outline val="0"/>
        <shadow val="0"/>
        <u val="none"/>
        <vertAlign val="baseline"/>
        <sz val="16"/>
        <color theme="1"/>
        <name val="Aptos Narrow"/>
        <scheme val="minor"/>
      </font>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numFmt numFmtId="3" formatCode="#,##0"/>
    </dxf>
    <dxf>
      <font>
        <strike val="0"/>
        <outline val="0"/>
        <shadow val="0"/>
        <u val="none"/>
        <vertAlign val="baseline"/>
        <sz val="16"/>
        <color theme="1"/>
        <name val="Aptos Narrow"/>
        <scheme val="minor"/>
      </font>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strike val="0"/>
        <outline val="0"/>
        <shadow val="0"/>
        <u val="none"/>
        <vertAlign val="baseline"/>
        <sz val="16"/>
        <color theme="1"/>
        <name val="Aptos Narrow"/>
        <scheme val="minor"/>
      </font>
      <fill>
        <patternFill patternType="none">
          <fgColor indexed="64"/>
          <bgColor auto="1"/>
        </patternFill>
      </fill>
    </dxf>
    <dxf>
      <font>
        <b/>
        <i val="0"/>
        <strike val="0"/>
        <condense val="0"/>
        <extend val="0"/>
        <outline val="0"/>
        <shadow val="0"/>
        <u val="none"/>
        <vertAlign val="baseline"/>
        <sz val="12"/>
        <color theme="1"/>
        <name val="Aptos Narrow"/>
        <family val="2"/>
        <scheme val="minor"/>
      </font>
    </dxf>
    <dxf>
      <font>
        <strike val="0"/>
        <outline val="0"/>
        <shadow val="0"/>
        <u val="none"/>
        <vertAlign val="baseline"/>
        <sz val="16"/>
        <color theme="1"/>
        <name val="Aptos Narrow"/>
        <scheme val="minor"/>
      </font>
      <fill>
        <patternFill patternType="none">
          <fgColor indexed="64"/>
          <bgColor auto="1"/>
        </patternFill>
      </fill>
    </dxf>
    <dxf>
      <font>
        <strike val="0"/>
        <outline val="0"/>
        <shadow val="0"/>
        <u val="none"/>
        <vertAlign val="baseline"/>
        <sz val="16"/>
        <color theme="1"/>
        <name val="Aptos Narrow"/>
        <scheme val="minor"/>
      </font>
      <fill>
        <patternFill patternType="none">
          <fgColor indexed="64"/>
          <bgColor auto="1"/>
        </patternFill>
      </fill>
    </dxf>
    <dxf>
      <fill>
        <patternFill patternType="none">
          <fgColor indexed="64"/>
          <bgColor auto="1"/>
        </patternFill>
      </fill>
    </dxf>
    <dxf>
      <numFmt numFmtId="30" formatCode="@"/>
    </dxf>
    <dxf>
      <fill>
        <patternFill patternType="none">
          <fgColor indexed="64"/>
          <bgColor auto="1"/>
        </patternFill>
      </fill>
    </dxf>
    <dxf>
      <numFmt numFmtId="30" formatCode="@"/>
    </dxf>
    <dxf>
      <fill>
        <patternFill patternType="none">
          <fgColor indexed="64"/>
          <bgColor auto="1"/>
        </patternFill>
      </fill>
    </dxf>
    <dxf>
      <numFmt numFmtId="30" formatCode="@"/>
    </dxf>
    <dxf>
      <fill>
        <patternFill patternType="none">
          <fgColor indexed="64"/>
          <bgColor auto="1"/>
        </patternFill>
      </fill>
    </dxf>
    <dxf>
      <numFmt numFmtId="30" formatCode="@"/>
    </dxf>
    <dxf>
      <font>
        <b/>
        <i val="0"/>
        <strike val="0"/>
        <condense val="0"/>
        <extend val="0"/>
        <outline val="0"/>
        <shadow val="0"/>
        <u val="none"/>
        <vertAlign val="baseline"/>
        <sz val="12"/>
        <color theme="1"/>
        <name val="Aptos Narrow"/>
        <scheme val="minor"/>
      </font>
    </dxf>
    <dxf>
      <font>
        <b/>
        <i val="0"/>
        <strike val="0"/>
        <condense val="0"/>
        <extend val="0"/>
        <outline val="0"/>
        <shadow val="0"/>
        <u val="none"/>
        <vertAlign val="baseline"/>
        <sz val="12"/>
        <color theme="1"/>
        <name val="Aptos Narrow"/>
        <scheme val="minor"/>
      </font>
      <numFmt numFmtId="3" formatCode="#,##0"/>
      <fill>
        <patternFill patternType="none">
          <fgColor indexed="64"/>
          <bgColor auto="1"/>
        </patternFill>
      </fill>
    </dxf>
    <dxf>
      <numFmt numFmtId="30" formatCode="@"/>
    </dxf>
    <dxf>
      <font>
        <b/>
        <i val="0"/>
        <strike val="0"/>
        <condense val="0"/>
        <extend val="0"/>
        <outline val="0"/>
        <shadow val="0"/>
        <u val="none"/>
        <vertAlign val="baseline"/>
        <sz val="12"/>
        <color theme="1"/>
        <name val="Aptos Narrow"/>
        <scheme val="minor"/>
      </font>
    </dxf>
    <dxf>
      <font>
        <b/>
        <i val="0"/>
        <strike val="0"/>
        <condense val="0"/>
        <extend val="0"/>
        <outline val="0"/>
        <shadow val="0"/>
        <u val="none"/>
        <vertAlign val="baseline"/>
        <sz val="12"/>
        <color theme="1"/>
        <name val="Aptos Narrow"/>
        <scheme val="minor"/>
      </font>
      <fill>
        <patternFill patternType="none">
          <fgColor indexed="64"/>
          <bgColor auto="1"/>
        </patternFill>
      </fill>
    </dxf>
    <dxf>
      <font>
        <b/>
        <i val="0"/>
        <strike val="0"/>
        <condense val="0"/>
        <extend val="0"/>
        <outline val="0"/>
        <shadow val="0"/>
        <u val="none"/>
        <vertAlign val="baseline"/>
        <sz val="16"/>
        <color theme="1"/>
        <name val="Arial"/>
        <family val="2"/>
        <scheme val="none"/>
      </font>
    </dxf>
    <dxf>
      <font>
        <b/>
        <i val="0"/>
        <strike val="0"/>
        <condense val="0"/>
        <extend val="0"/>
        <outline val="0"/>
        <shadow val="0"/>
        <u val="none"/>
        <vertAlign val="baseline"/>
        <sz val="12"/>
        <color theme="1"/>
        <name val="Aptos Narrow"/>
        <scheme val="minor"/>
      </font>
    </dxf>
    <dxf>
      <font>
        <b/>
        <i val="0"/>
        <strike val="0"/>
        <condense val="0"/>
        <extend val="0"/>
        <outline val="0"/>
        <shadow val="0"/>
        <u val="none"/>
        <vertAlign val="baseline"/>
        <sz val="12"/>
        <color theme="1"/>
        <name val="Aptos Narrow"/>
        <scheme val="minor"/>
      </font>
      <fill>
        <patternFill patternType="none">
          <fgColor indexed="64"/>
          <bgColor auto="1"/>
        </patternFill>
      </fill>
    </dxf>
    <dxf>
      <font>
        <b/>
        <i val="0"/>
        <strike val="0"/>
        <condense val="0"/>
        <extend val="0"/>
        <outline val="0"/>
        <shadow val="0"/>
        <u val="none"/>
        <vertAlign val="baseline"/>
        <sz val="16"/>
        <color theme="1"/>
        <name val="Arial"/>
        <family val="2"/>
        <scheme val="none"/>
      </font>
    </dxf>
    <dxf>
      <numFmt numFmtId="30" formatCode="@"/>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right style="thin">
          <color theme="2" tint="-9.9978637043366805E-2"/>
        </right>
        <top style="thin">
          <color theme="2" tint="-9.9978637043366805E-2"/>
        </top>
        <bottom style="thin">
          <color theme="2" tint="-9.9978637043366805E-2"/>
        </bottom>
      </border>
    </dxf>
    <dxf>
      <border>
        <top style="thin">
          <color theme="2" tint="-9.9978637043366805E-2"/>
        </top>
      </border>
    </dxf>
    <dxf>
      <border diagonalUp="0" diagonalDown="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right style="thin">
          <color theme="2" tint="-9.9978637043366805E-2"/>
        </right>
        <top style="thin">
          <color theme="2" tint="-9.9978637043366805E-2"/>
        </top>
        <bottom style="thin">
          <color theme="2" tint="-9.9978637043366805E-2"/>
        </bottom>
      </border>
    </dxf>
    <dxf>
      <border>
        <top style="thin">
          <color theme="2" tint="-9.9978637043366805E-2"/>
        </top>
      </border>
    </dxf>
    <dxf>
      <border diagonalUp="0" diagonalDown="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right style="thin">
          <color theme="2" tint="-9.9978637043366805E-2"/>
        </right>
        <top style="thin">
          <color theme="2" tint="-9.9978637043366805E-2"/>
        </top>
        <bottom style="thin">
          <color theme="2" tint="-9.9978637043366805E-2"/>
        </bottom>
      </border>
    </dxf>
    <dxf>
      <border>
        <top style="thin">
          <color theme="2" tint="-9.9978637043366805E-2"/>
        </top>
      </border>
    </dxf>
    <dxf>
      <border diagonalUp="0" diagonalDown="0">
        <left style="thin">
          <color theme="2" tint="-9.9978637043366805E-2"/>
        </left>
        <right style="thin">
          <color theme="2" tint="-9.9978637043366805E-2"/>
        </right>
        <top style="thin">
          <color theme="2" tint="-9.9978637043366805E-2"/>
        </top>
        <bottom style="thin">
          <color theme="2" tint="-9.9978637043366805E-2"/>
        </bottom>
      </border>
    </dxf>
    <dxf>
      <font>
        <strike val="0"/>
        <outline val="0"/>
        <shadow val="0"/>
        <u val="none"/>
        <vertAlign val="baseline"/>
        <sz val="14"/>
        <color theme="1"/>
        <name val="Aptos Narrow"/>
        <family val="2"/>
        <scheme val="minor"/>
      </font>
      <fill>
        <patternFill patternType="none">
          <fgColor indexed="64"/>
          <bgColor auto="1"/>
        </patternFill>
      </fill>
    </dxf>
    <dxf>
      <font>
        <strike val="0"/>
        <outline val="0"/>
        <shadow val="0"/>
        <u val="none"/>
        <vertAlign val="baseline"/>
        <sz val="14"/>
        <color theme="1"/>
        <name val="Aptos Narrow"/>
        <family val="2"/>
        <scheme val="minor"/>
      </font>
      <fill>
        <patternFill patternType="none">
          <fgColor indexed="64"/>
          <bgColor auto="1"/>
        </patternFill>
      </fill>
      <border diagonalUp="0" diagonalDown="0" outline="0">
        <left style="thin">
          <color theme="2" tint="-9.9978637043366805E-2"/>
        </left>
        <right style="thin">
          <color theme="2" tint="-9.9978637043366805E-2"/>
        </right>
        <top/>
        <bottom/>
      </border>
    </dxf>
    <dxf>
      <border>
        <left style="thin">
          <color rgb="FFC1C1C1"/>
        </left>
        <right style="thin">
          <color rgb="FFC1C1C1"/>
        </right>
        <top style="thin">
          <color rgb="FFC1C1C1"/>
        </top>
        <bottom style="thin">
          <color rgb="FFC1C1C1"/>
        </bottom>
        <vertical style="thin">
          <color rgb="FFC1C1C1"/>
        </vertical>
        <horizontal style="thin">
          <color rgb="FFC1C1C1"/>
        </horizontal>
      </border>
    </dxf>
    <dxf>
      <font>
        <color theme="1"/>
      </font>
      <border>
        <left style="thin">
          <color rgb="FF929292"/>
        </left>
        <right style="thin">
          <color rgb="FF929292"/>
        </right>
        <top style="thin">
          <color rgb="FF929292"/>
        </top>
        <bottom style="thin">
          <color rgb="FF929292"/>
        </bottom>
        <vertical style="thin">
          <color rgb="FF929292"/>
        </vertical>
        <horizontal style="thin">
          <color rgb="FF929292"/>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1"/>
      </font>
      <border>
        <left style="thin">
          <color auto="1"/>
        </left>
        <right style="thin">
          <color auto="1"/>
        </right>
        <top style="thin">
          <color auto="1"/>
        </top>
        <bottom style="thin">
          <color auto="1"/>
        </bottom>
        <vertical style="thin">
          <color auto="1"/>
        </vertical>
        <horizontal style="thin">
          <color auto="1"/>
        </horizontal>
      </border>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color theme="2" tint="-0.499984740745262"/>
      </font>
      <border>
        <left style="thin">
          <color auto="1"/>
        </left>
        <right style="thin">
          <color auto="1"/>
        </right>
        <top style="thin">
          <color auto="1"/>
        </top>
        <bottom style="thin">
          <color auto="1"/>
        </bottom>
        <vertical style="thin">
          <color auto="1"/>
        </vertical>
        <horizontal style="thin">
          <color auto="1"/>
        </horizontal>
      </border>
    </dxf>
  </dxfs>
  <tableStyles count="9" defaultTableStyle="TableStyleMedium2" defaultPivotStyle="PivotStyleLight16">
    <tableStyle name="Table Style 1" pivot="0" count="0" xr9:uid="{1FF102CE-B7DC-EA47-ABED-DC4B7589AF4E}"/>
    <tableStyle name="Table Style 2" pivot="0" count="1" xr9:uid="{47995B64-69D2-024F-8BAD-239C2582B1A7}">
      <tableStyleElement type="wholeTable" dxfId="242"/>
    </tableStyle>
    <tableStyle name="Table Style 3" pivot="0" count="1" xr9:uid="{906F529D-F3F7-084D-B977-2C48F0451CBB}">
      <tableStyleElement type="wholeTable" dxfId="241"/>
    </tableStyle>
    <tableStyle name="Table Style 4" pivot="0" count="1" xr9:uid="{13BECEF9-1C7A-B84D-8B03-43368F49EB9F}">
      <tableStyleElement type="wholeTable" dxfId="240"/>
    </tableStyle>
    <tableStyle name="Table Style 5" pivot="0" count="1" xr9:uid="{3D2E3FB0-F352-444A-A53E-5D27289FDE4A}">
      <tableStyleElement type="wholeTable" dxfId="239"/>
    </tableStyle>
    <tableStyle name="Table Style 6" pivot="0" count="1" xr9:uid="{C23E322A-5886-4248-9E48-823066AC54BD}">
      <tableStyleElement type="wholeTable" dxfId="238"/>
    </tableStyle>
    <tableStyle name="Table Style 7" pivot="0" count="1" xr9:uid="{63BD9228-1FFB-9F43-87F4-823DEE42C8E4}">
      <tableStyleElement type="wholeTable" dxfId="237"/>
    </tableStyle>
    <tableStyle name="Table Style 8" pivot="0" count="1" xr9:uid="{1FE62F98-149A-6448-BC62-34779A597BE0}">
      <tableStyleElement type="wholeTable" dxfId="236"/>
    </tableStyle>
    <tableStyle name="Table Style 9" pivot="0" count="1" xr9:uid="{23DD062E-14B9-224A-B052-143CCC47E438}">
      <tableStyleElement type="wholeTable" dxfId="235"/>
    </tableStyle>
  </tableStyles>
  <colors>
    <mruColors>
      <color rgb="FFDDDEE6"/>
      <color rgb="FFD9D9D9"/>
      <color rgb="FFEBEBF2"/>
      <color rgb="FFFFD579"/>
      <color rgb="FFF7F5F9"/>
      <color rgb="FFFF7B0B"/>
      <color rgb="FF8F9191"/>
      <color rgb="FFB28C58"/>
      <color rgb="FFC6A661"/>
      <color rgb="FFC65A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'Financial Trend Analysis'!$A$3</c:f>
              <c:strCache>
                <c:ptCount val="1"/>
                <c:pt idx="0">
                  <c:v>Kering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'Financial Trend Analysis'!$B$2:$F$2</c:f>
              <c:numCache>
                <c:formatCode>General</c:formatCode>
                <c:ptCount val="5"/>
                <c:pt idx="0">
                  <c:v>2021</c:v>
                </c:pt>
                <c:pt idx="1">
                  <c:v>2022</c:v>
                </c:pt>
                <c:pt idx="2">
                  <c:v>2023</c:v>
                </c:pt>
                <c:pt idx="3">
                  <c:v>2024</c:v>
                </c:pt>
                <c:pt idx="4">
                  <c:v>2025</c:v>
                </c:pt>
              </c:numCache>
            </c:numRef>
          </c:cat>
          <c:val>
            <c:numRef>
              <c:f>'Financial Trend Analysis'!$B$3:$F$3</c:f>
              <c:numCache>
                <c:formatCode>\€#,##0"M"</c:formatCode>
                <c:ptCount val="5"/>
                <c:pt idx="0">
                  <c:v>17645</c:v>
                </c:pt>
                <c:pt idx="1">
                  <c:v>20351</c:v>
                </c:pt>
                <c:pt idx="2">
                  <c:v>19566</c:v>
                </c:pt>
                <c:pt idx="3">
                  <c:v>16874</c:v>
                </c:pt>
                <c:pt idx="4">
                  <c:v>14675</c:v>
                </c:pt>
              </c:numCache>
            </c:numRef>
          </c:val>
          <c:smooth val="0"/>
          <c:extLst>
            <c:ext xmlns:c16="http://schemas.microsoft.com/office/drawing/2014/chart" uri="{C3380CC4-5D6E-409C-BE32-E72D297353CC}">
              <c16:uniqueId val="{00000000-13AD-D74E-8981-01DF31A9F1ED}"/>
            </c:ext>
          </c:extLst>
        </c:ser>
        <c:ser>
          <c:idx val="1"/>
          <c:order val="1"/>
          <c:tx>
            <c:strRef>
              <c:f>'Financial Trend Analysis'!$A$4</c:f>
              <c:strCache>
                <c:ptCount val="1"/>
                <c:pt idx="0">
                  <c:v>Gucci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'Financial Trend Analysis'!$B$2:$F$2</c:f>
              <c:numCache>
                <c:formatCode>General</c:formatCode>
                <c:ptCount val="5"/>
                <c:pt idx="0">
                  <c:v>2021</c:v>
                </c:pt>
                <c:pt idx="1">
                  <c:v>2022</c:v>
                </c:pt>
                <c:pt idx="2">
                  <c:v>2023</c:v>
                </c:pt>
                <c:pt idx="3">
                  <c:v>2024</c:v>
                </c:pt>
                <c:pt idx="4">
                  <c:v>2025</c:v>
                </c:pt>
              </c:numCache>
            </c:numRef>
          </c:cat>
          <c:val>
            <c:numRef>
              <c:f>'Financial Trend Analysis'!$B$4:$F$4</c:f>
              <c:numCache>
                <c:formatCode>\€#,##0"M"</c:formatCode>
                <c:ptCount val="5"/>
                <c:pt idx="0">
                  <c:v>9731</c:v>
                </c:pt>
                <c:pt idx="1">
                  <c:v>10487</c:v>
                </c:pt>
                <c:pt idx="2">
                  <c:v>9873</c:v>
                </c:pt>
                <c:pt idx="3">
                  <c:v>7650</c:v>
                </c:pt>
                <c:pt idx="4">
                  <c:v>5992</c:v>
                </c:pt>
              </c:numCache>
            </c:numRef>
          </c:val>
          <c:smooth val="0"/>
          <c:extLst>
            <c:ext xmlns:c16="http://schemas.microsoft.com/office/drawing/2014/chart" uri="{C3380CC4-5D6E-409C-BE32-E72D297353CC}">
              <c16:uniqueId val="{00000001-13AD-D74E-8981-01DF31A9F1ED}"/>
            </c:ext>
          </c:extLst>
        </c:ser>
        <c:dLbls>
          <c:showLegendKey val="0"/>
          <c:showVal val="0"/>
          <c:showCatName val="0"/>
          <c:showSerName val="0"/>
          <c:showPercent val="0"/>
          <c:showBubbleSize val="0"/>
        </c:dLbls>
        <c:marker val="1"/>
        <c:smooth val="0"/>
        <c:axId val="239023680"/>
        <c:axId val="239024576"/>
      </c:lineChart>
      <c:catAx>
        <c:axId val="23902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24576"/>
        <c:crosses val="autoZero"/>
        <c:auto val="1"/>
        <c:lblAlgn val="ctr"/>
        <c:lblOffset val="100"/>
        <c:noMultiLvlLbl val="0"/>
      </c:catAx>
      <c:valAx>
        <c:axId val="239024576"/>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23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'Financial Trend Analysis'!$H$3</c:f>
              <c:strCache>
                <c:ptCount val="1"/>
                <c:pt idx="0">
                  <c:v>Kering operating income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'Financial Trend Analysis'!$I$2:$M$2</c:f>
              <c:numCache>
                <c:formatCode>General</c:formatCode>
                <c:ptCount val="5"/>
                <c:pt idx="0">
                  <c:v>2021</c:v>
                </c:pt>
                <c:pt idx="1">
                  <c:v>2022</c:v>
                </c:pt>
                <c:pt idx="2">
                  <c:v>2023</c:v>
                </c:pt>
                <c:pt idx="3">
                  <c:v>2024</c:v>
                </c:pt>
                <c:pt idx="4">
                  <c:v>2025</c:v>
                </c:pt>
              </c:numCache>
            </c:numRef>
          </c:cat>
          <c:val>
            <c:numRef>
              <c:f>'Financial Trend Analysis'!$I$3:$M$3</c:f>
              <c:numCache>
                <c:formatCode>\€#,##0"M"</c:formatCode>
                <c:ptCount val="5"/>
                <c:pt idx="0">
                  <c:v>4797</c:v>
                </c:pt>
                <c:pt idx="1">
                  <c:v>5395</c:v>
                </c:pt>
                <c:pt idx="2">
                  <c:v>4643</c:v>
                </c:pt>
                <c:pt idx="3">
                  <c:v>2198</c:v>
                </c:pt>
                <c:pt idx="4">
                  <c:v>1047</c:v>
                </c:pt>
              </c:numCache>
            </c:numRef>
          </c:val>
          <c:smooth val="0"/>
          <c:extLst>
            <c:ext xmlns:c16="http://schemas.microsoft.com/office/drawing/2014/chart" uri="{C3380CC4-5D6E-409C-BE32-E72D297353CC}">
              <c16:uniqueId val="{00000000-4E39-E249-AF1F-57AD9997A53B}"/>
            </c:ext>
          </c:extLst>
        </c:ser>
        <c:ser>
          <c:idx val="1"/>
          <c:order val="1"/>
          <c:tx>
            <c:strRef>
              <c:f>'Financial Trend Analysis'!$H$4</c:f>
              <c:strCache>
                <c:ptCount val="1"/>
                <c:pt idx="0">
                  <c:v>Gucci operating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'Financial Trend Analysis'!$I$2:$M$2</c:f>
              <c:numCache>
                <c:formatCode>General</c:formatCode>
                <c:ptCount val="5"/>
                <c:pt idx="0">
                  <c:v>2021</c:v>
                </c:pt>
                <c:pt idx="1">
                  <c:v>2022</c:v>
                </c:pt>
                <c:pt idx="2">
                  <c:v>2023</c:v>
                </c:pt>
                <c:pt idx="3">
                  <c:v>2024</c:v>
                </c:pt>
                <c:pt idx="4">
                  <c:v>2025</c:v>
                </c:pt>
              </c:numCache>
            </c:numRef>
          </c:cat>
          <c:val>
            <c:numRef>
              <c:f>'Financial Trend Analysis'!$I$4:$M$4</c:f>
              <c:numCache>
                <c:formatCode>\€#,##0"M"</c:formatCode>
                <c:ptCount val="5"/>
                <c:pt idx="0">
                  <c:v>3715</c:v>
                </c:pt>
                <c:pt idx="1">
                  <c:v>3732</c:v>
                </c:pt>
                <c:pt idx="2">
                  <c:v>3264</c:v>
                </c:pt>
                <c:pt idx="3">
                  <c:v>1605</c:v>
                </c:pt>
                <c:pt idx="4">
                  <c:v>966</c:v>
                </c:pt>
              </c:numCache>
            </c:numRef>
          </c:val>
          <c:smooth val="0"/>
          <c:extLst>
            <c:ext xmlns:c16="http://schemas.microsoft.com/office/drawing/2014/chart" uri="{C3380CC4-5D6E-409C-BE32-E72D297353CC}">
              <c16:uniqueId val="{00000001-4E39-E249-AF1F-57AD9997A53B}"/>
            </c:ext>
          </c:extLst>
        </c:ser>
        <c:dLbls>
          <c:showLegendKey val="0"/>
          <c:showVal val="0"/>
          <c:showCatName val="0"/>
          <c:showSerName val="0"/>
          <c:showPercent val="0"/>
          <c:showBubbleSize val="0"/>
        </c:dLbls>
        <c:marker val="1"/>
        <c:smooth val="0"/>
        <c:axId val="191404160"/>
        <c:axId val="34571136"/>
      </c:lineChart>
      <c:catAx>
        <c:axId val="19140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71136"/>
        <c:crosses val="autoZero"/>
        <c:auto val="1"/>
        <c:lblAlgn val="ctr"/>
        <c:lblOffset val="100"/>
        <c:noMultiLvlLbl val="0"/>
      </c:catAx>
      <c:valAx>
        <c:axId val="34571136"/>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0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'Financial Trend Analysis'!$A$22</c:f>
              <c:strCache>
                <c:ptCount val="1"/>
                <c:pt idx="0">
                  <c:v>Kering operating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('Financial Trend Analysis'!$B$21,'Financial Trend Analysis'!$C$21,'Financial Trend Analysis'!$D$21,'Financial Trend Analysis'!$E$21,'Financial Trend Analysis'!$F$21)</c:f>
              <c:numCache>
                <c:formatCode>General</c:formatCode>
                <c:ptCount val="5"/>
                <c:pt idx="0">
                  <c:v>2021</c:v>
                </c:pt>
                <c:pt idx="1">
                  <c:v>2022</c:v>
                </c:pt>
                <c:pt idx="2">
                  <c:v>2023</c:v>
                </c:pt>
                <c:pt idx="3">
                  <c:v>2024</c:v>
                </c:pt>
                <c:pt idx="4">
                  <c:v>2025</c:v>
                </c:pt>
              </c:numCache>
            </c:numRef>
          </c:cat>
          <c:val>
            <c:numRef>
              <c:f>'Financial Trend Analysis'!$B$22:$F$22</c:f>
              <c:numCache>
                <c:formatCode>0.00%</c:formatCode>
                <c:ptCount val="5"/>
                <c:pt idx="0">
                  <c:v>0.27186171720034003</c:v>
                </c:pt>
                <c:pt idx="1">
                  <c:v>0.26509753820451082</c:v>
                </c:pt>
                <c:pt idx="2">
                  <c:v>0.23729939691301236</c:v>
                </c:pt>
                <c:pt idx="3">
                  <c:v>0.13025957093753704</c:v>
                </c:pt>
                <c:pt idx="4">
                  <c:v>7.1345826235093696E-2</c:v>
                </c:pt>
              </c:numCache>
            </c:numRef>
          </c:val>
          <c:smooth val="0"/>
          <c:extLst>
            <c:ext xmlns:c16="http://schemas.microsoft.com/office/drawing/2014/chart" uri="{C3380CC4-5D6E-409C-BE32-E72D297353CC}">
              <c16:uniqueId val="{0000000E-F9CC-6D47-A9F8-3D959712571F}"/>
            </c:ext>
          </c:extLst>
        </c:ser>
        <c:ser>
          <c:idx val="1"/>
          <c:order val="1"/>
          <c:tx>
            <c:strRef>
              <c:f>'Financial Trend Analysis'!$A$23</c:f>
              <c:strCache>
                <c:ptCount val="1"/>
                <c:pt idx="0">
                  <c:v>Gucci operating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('Financial Trend Analysis'!$B$21,'Financial Trend Analysis'!$C$21,'Financial Trend Analysis'!$D$21,'Financial Trend Analysis'!$E$21,'Financial Trend Analysis'!$F$21)</c:f>
              <c:numCache>
                <c:formatCode>General</c:formatCode>
                <c:ptCount val="5"/>
                <c:pt idx="0">
                  <c:v>2021</c:v>
                </c:pt>
                <c:pt idx="1">
                  <c:v>2022</c:v>
                </c:pt>
                <c:pt idx="2">
                  <c:v>2023</c:v>
                </c:pt>
                <c:pt idx="3">
                  <c:v>2024</c:v>
                </c:pt>
                <c:pt idx="4">
                  <c:v>2025</c:v>
                </c:pt>
              </c:numCache>
            </c:numRef>
          </c:cat>
          <c:val>
            <c:numRef>
              <c:f>'Financial Trend Analysis'!$B$23:$F$23</c:f>
              <c:numCache>
                <c:formatCode>0.00%</c:formatCode>
                <c:ptCount val="5"/>
                <c:pt idx="0">
                  <c:v>0.3817696023019217</c:v>
                </c:pt>
                <c:pt idx="1">
                  <c:v>0.35586917135501095</c:v>
                </c:pt>
                <c:pt idx="2">
                  <c:v>0.33059860224855669</c:v>
                </c:pt>
                <c:pt idx="3">
                  <c:v>0.20980392156862746</c:v>
                </c:pt>
                <c:pt idx="4">
                  <c:v>0.16121495327102803</c:v>
                </c:pt>
              </c:numCache>
            </c:numRef>
          </c:val>
          <c:smooth val="0"/>
          <c:extLst>
            <c:ext xmlns:c16="http://schemas.microsoft.com/office/drawing/2014/chart" uri="{C3380CC4-5D6E-409C-BE32-E72D297353CC}">
              <c16:uniqueId val="{0000000F-F9CC-6D47-A9F8-3D959712571F}"/>
            </c:ext>
          </c:extLst>
        </c:ser>
        <c:dLbls>
          <c:showLegendKey val="0"/>
          <c:showVal val="0"/>
          <c:showCatName val="0"/>
          <c:showSerName val="0"/>
          <c:showPercent val="0"/>
          <c:showBubbleSize val="0"/>
        </c:dLbls>
        <c:marker val="1"/>
        <c:smooth val="0"/>
        <c:axId val="230588416"/>
        <c:axId val="230602752"/>
      </c:lineChart>
      <c:catAx>
        <c:axId val="23058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02752"/>
        <c:crosses val="autoZero"/>
        <c:auto val="1"/>
        <c:lblAlgn val="ctr"/>
        <c:lblOffset val="100"/>
        <c:noMultiLvlLbl val="0"/>
      </c:catAx>
      <c:valAx>
        <c:axId val="230602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588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'Financial Trend Analysis'!$H$22</c:f>
              <c:strCache>
                <c:ptCount val="1"/>
                <c:pt idx="0">
                  <c:v>COGS as %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'Financial Trend Analysis'!$I$21:$M$21</c:f>
              <c:numCache>
                <c:formatCode>General</c:formatCode>
                <c:ptCount val="5"/>
                <c:pt idx="0">
                  <c:v>2021</c:v>
                </c:pt>
                <c:pt idx="1">
                  <c:v>2022</c:v>
                </c:pt>
                <c:pt idx="2">
                  <c:v>2023</c:v>
                </c:pt>
                <c:pt idx="3">
                  <c:v>2024</c:v>
                </c:pt>
                <c:pt idx="4">
                  <c:v>2025</c:v>
                </c:pt>
              </c:numCache>
            </c:numRef>
          </c:cat>
          <c:val>
            <c:numRef>
              <c:f>'Financial Trend Analysis'!$I$22:$M$22</c:f>
              <c:numCache>
                <c:formatCode>0.00%</c:formatCode>
                <c:ptCount val="5"/>
                <c:pt idx="0">
                  <c:v>0.25939359591952393</c:v>
                </c:pt>
                <c:pt idx="1">
                  <c:v>0.25320623065205639</c:v>
                </c:pt>
                <c:pt idx="2">
                  <c:v>0.23709496064601859</c:v>
                </c:pt>
                <c:pt idx="3">
                  <c:v>0.26549721464975701</c:v>
                </c:pt>
                <c:pt idx="4">
                  <c:v>0.27359454855195914</c:v>
                </c:pt>
              </c:numCache>
            </c:numRef>
          </c:val>
          <c:smooth val="0"/>
          <c:extLst>
            <c:ext xmlns:c16="http://schemas.microsoft.com/office/drawing/2014/chart" uri="{C3380CC4-5D6E-409C-BE32-E72D297353CC}">
              <c16:uniqueId val="{00000000-5177-2143-B804-DEFB0EEE7D96}"/>
            </c:ext>
          </c:extLst>
        </c:ser>
        <c:ser>
          <c:idx val="1"/>
          <c:order val="1"/>
          <c:tx>
            <c:strRef>
              <c:f>'Financial Trend Analysis'!$H$23</c:f>
              <c:strCache>
                <c:ptCount val="1"/>
                <c:pt idx="0">
                  <c:v>Operating expenses as % of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'Financial Trend Analysis'!$I$21:$M$21</c:f>
              <c:numCache>
                <c:formatCode>General</c:formatCode>
                <c:ptCount val="5"/>
                <c:pt idx="0">
                  <c:v>2021</c:v>
                </c:pt>
                <c:pt idx="1">
                  <c:v>2022</c:v>
                </c:pt>
                <c:pt idx="2">
                  <c:v>2023</c:v>
                </c:pt>
                <c:pt idx="3">
                  <c:v>2024</c:v>
                </c:pt>
                <c:pt idx="4">
                  <c:v>2025</c:v>
                </c:pt>
              </c:numCache>
            </c:numRef>
          </c:cat>
          <c:val>
            <c:numRef>
              <c:f>'Financial Trend Analysis'!$I$23:$M$23</c:f>
              <c:numCache>
                <c:formatCode>0.00%</c:formatCode>
                <c:ptCount val="5"/>
                <c:pt idx="0">
                  <c:v>0.45627656559931989</c:v>
                </c:pt>
                <c:pt idx="1">
                  <c:v>0.47216353004766348</c:v>
                </c:pt>
                <c:pt idx="2">
                  <c:v>0.52034140856587963</c:v>
                </c:pt>
                <c:pt idx="3">
                  <c:v>0.58990162379992883</c:v>
                </c:pt>
                <c:pt idx="4">
                  <c:v>0.61526405451448041</c:v>
                </c:pt>
              </c:numCache>
            </c:numRef>
          </c:val>
          <c:smooth val="0"/>
          <c:extLst>
            <c:ext xmlns:c16="http://schemas.microsoft.com/office/drawing/2014/chart" uri="{C3380CC4-5D6E-409C-BE32-E72D297353CC}">
              <c16:uniqueId val="{00000001-5177-2143-B804-DEFB0EEE7D96}"/>
            </c:ext>
          </c:extLst>
        </c:ser>
        <c:dLbls>
          <c:showLegendKey val="0"/>
          <c:showVal val="0"/>
          <c:showCatName val="0"/>
          <c:showSerName val="0"/>
          <c:showPercent val="0"/>
          <c:showBubbleSize val="0"/>
        </c:dLbls>
        <c:marker val="1"/>
        <c:smooth val="0"/>
        <c:axId val="1913025664"/>
        <c:axId val="1913012224"/>
      </c:lineChart>
      <c:catAx>
        <c:axId val="19130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012224"/>
        <c:crosses val="autoZero"/>
        <c:auto val="1"/>
        <c:lblAlgn val="ctr"/>
        <c:lblOffset val="100"/>
        <c:noMultiLvlLbl val="0"/>
      </c:catAx>
      <c:valAx>
        <c:axId val="191301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02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Kering Revenue Forecast</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5C70-1548-A2FE-36E5157BF4E3}"/>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5C70-1548-A2FE-36E5157BF4E3}"/>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5C70-1548-A2FE-36E5157BF4E3}"/>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5C70-1548-A2FE-36E5157BF4E3}"/>
              </c:ext>
            </c:extLst>
          </c:dPt>
          <c:dPt>
            <c:idx val="5"/>
            <c:marker>
              <c:symbol val="circle"/>
              <c:size val="5"/>
              <c:spPr>
                <a:solidFill>
                  <a:srgbClr val="C55A11"/>
                </a:solidFill>
                <a:ln w="9525">
                  <a:solidFill>
                    <a:srgbClr val="C55A11"/>
                  </a:solidFill>
                </a:ln>
                <a:effectLst/>
              </c:spPr>
            </c:marker>
            <c:bubble3D val="0"/>
            <c:spPr>
              <a:ln w="28575" cap="rnd">
                <a:solidFill>
                  <a:srgbClr val="C55A11"/>
                </a:solidFill>
                <a:round/>
              </a:ln>
              <a:effectLst/>
            </c:spPr>
            <c:extLst>
              <c:ext xmlns:c16="http://schemas.microsoft.com/office/drawing/2014/chart" uri="{C3380CC4-5D6E-409C-BE32-E72D297353CC}">
                <c16:uniqueId val="{00000010-2674-2D43-BF4A-6C8DCBB9E409}"/>
              </c:ext>
            </c:extLst>
          </c:dPt>
          <c:dPt>
            <c:idx val="6"/>
            <c:marker>
              <c:symbol val="circle"/>
              <c:size val="5"/>
              <c:spPr>
                <a:solidFill>
                  <a:srgbClr val="C55A11"/>
                </a:solidFill>
                <a:ln w="9525">
                  <a:solidFill>
                    <a:srgbClr val="C55A11"/>
                  </a:solidFill>
                </a:ln>
                <a:effectLst/>
              </c:spPr>
            </c:marker>
            <c:bubble3D val="0"/>
            <c:spPr>
              <a:ln w="28575" cap="rnd">
                <a:solidFill>
                  <a:srgbClr val="C55A11"/>
                </a:solidFill>
                <a:round/>
              </a:ln>
              <a:effectLst/>
            </c:spPr>
            <c:extLst>
              <c:ext xmlns:c16="http://schemas.microsoft.com/office/drawing/2014/chart" uri="{C3380CC4-5D6E-409C-BE32-E72D297353CC}">
                <c16:uniqueId val="{0000000F-2674-2D43-BF4A-6C8DCBB9E409}"/>
              </c:ext>
            </c:extLst>
          </c:dPt>
          <c:dPt>
            <c:idx val="7"/>
            <c:marker>
              <c:symbol val="circle"/>
              <c:size val="5"/>
              <c:spPr>
                <a:solidFill>
                  <a:srgbClr val="C55A11"/>
                </a:solidFill>
                <a:ln w="9525">
                  <a:solidFill>
                    <a:srgbClr val="C55A11"/>
                  </a:solidFill>
                </a:ln>
                <a:effectLst/>
              </c:spPr>
            </c:marker>
            <c:bubble3D val="0"/>
            <c:spPr>
              <a:ln w="28575" cap="rnd">
                <a:solidFill>
                  <a:srgbClr val="C55A11"/>
                </a:solidFill>
                <a:round/>
              </a:ln>
              <a:effectLst/>
            </c:spPr>
            <c:extLst>
              <c:ext xmlns:c16="http://schemas.microsoft.com/office/drawing/2014/chart" uri="{C3380CC4-5D6E-409C-BE32-E72D297353CC}">
                <c16:uniqueId val="{0000000E-2674-2D43-BF4A-6C8DCBB9E409}"/>
              </c:ext>
            </c:extLst>
          </c:dPt>
          <c:cat>
            <c:strRef>
              <c:f>('Forecast &amp; Scenario Analysis'!$B$18,'Forecast &amp; Scenario Analysis'!$C$18,'Forecast &amp; Scenario Analysis'!$D$18,'Forecast &amp; Scenario Analysis'!$E$18,'Forecast &amp; Scenario Analysis'!$F$18,'Forecast &amp; Scenario Analysis'!$H$18,'Forecast &amp; Scenario Analysis'!$J$18,'Forecast &amp; Scenario Analysis'!$L$18)</c:f>
              <c:strCache>
                <c:ptCount val="8"/>
                <c:pt idx="0">
                  <c:v>2021</c:v>
                </c:pt>
                <c:pt idx="1">
                  <c:v>2022</c:v>
                </c:pt>
                <c:pt idx="2">
                  <c:v>2023</c:v>
                </c:pt>
                <c:pt idx="3">
                  <c:v>2024</c:v>
                </c:pt>
                <c:pt idx="4">
                  <c:v>2025</c:v>
                </c:pt>
                <c:pt idx="5">
                  <c:v>2026F</c:v>
                </c:pt>
                <c:pt idx="6">
                  <c:v>2027F</c:v>
                </c:pt>
                <c:pt idx="7">
                  <c:v>2028F</c:v>
                </c:pt>
              </c:strCache>
            </c:strRef>
          </c:cat>
          <c:val>
            <c:numRef>
              <c:f>('Forecast &amp; Scenario Analysis'!$B$24,'Forecast &amp; Scenario Analysis'!$C$24,'Forecast &amp; Scenario Analysis'!$D$24,'Forecast &amp; Scenario Analysis'!$E$24,'Forecast &amp; Scenario Analysis'!$F$24,'Forecast &amp; Scenario Analysis'!$H$24,'Forecast &amp; Scenario Analysis'!$J$24,'Forecast &amp; Scenario Analysis'!$L$24)</c:f>
              <c:numCache>
                <c:formatCode>\€#,##0"M"</c:formatCode>
                <c:ptCount val="8"/>
                <c:pt idx="0">
                  <c:v>17645</c:v>
                </c:pt>
                <c:pt idx="1">
                  <c:v>20351</c:v>
                </c:pt>
                <c:pt idx="2">
                  <c:v>19566</c:v>
                </c:pt>
                <c:pt idx="3">
                  <c:v>16874</c:v>
                </c:pt>
                <c:pt idx="4">
                  <c:v>14675</c:v>
                </c:pt>
                <c:pt idx="5">
                  <c:v>14760.78</c:v>
                </c:pt>
                <c:pt idx="6">
                  <c:v>15167.787350000002</c:v>
                </c:pt>
                <c:pt idx="7">
                  <c:v>15781.550359250001</c:v>
                </c:pt>
              </c:numCache>
            </c:numRef>
          </c:val>
          <c:smooth val="0"/>
          <c:extLst>
            <c:ext xmlns:c16="http://schemas.microsoft.com/office/drawing/2014/chart" uri="{C3380CC4-5D6E-409C-BE32-E72D297353CC}">
              <c16:uniqueId val="{00000000-2674-2D43-BF4A-6C8DCBB9E409}"/>
            </c:ext>
          </c:extLst>
        </c:ser>
        <c:dLbls>
          <c:showLegendKey val="0"/>
          <c:showVal val="0"/>
          <c:showCatName val="0"/>
          <c:showSerName val="0"/>
          <c:showPercent val="0"/>
          <c:showBubbleSize val="0"/>
        </c:dLbls>
        <c:marker val="1"/>
        <c:smooth val="0"/>
        <c:axId val="295220352"/>
        <c:axId val="295218560"/>
      </c:lineChart>
      <c:catAx>
        <c:axId val="29522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18560"/>
        <c:crosses val="autoZero"/>
        <c:auto val="1"/>
        <c:lblAlgn val="ctr"/>
        <c:lblOffset val="100"/>
        <c:noMultiLvlLbl val="0"/>
      </c:catAx>
      <c:valAx>
        <c:axId val="295218560"/>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2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Kering Revenue Growth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5"/>
          <c:order val="0"/>
          <c:tx>
            <c:v>Kering Revenue Growth Forecast</c:v>
          </c:tx>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Pt>
            <c:idx val="5"/>
            <c:marker>
              <c:symbol val="circle"/>
              <c:size val="5"/>
              <c:spPr>
                <a:solidFill>
                  <a:srgbClr val="C55A11"/>
                </a:solidFill>
                <a:ln w="9525">
                  <a:solidFill>
                    <a:srgbClr val="C55A11"/>
                  </a:solidFill>
                </a:ln>
                <a:effectLst/>
              </c:spPr>
            </c:marker>
            <c:bubble3D val="0"/>
            <c:spPr>
              <a:ln w="28575" cap="rnd">
                <a:solidFill>
                  <a:srgbClr val="C55A11"/>
                </a:solidFill>
                <a:round/>
              </a:ln>
              <a:effectLst/>
            </c:spPr>
            <c:extLst>
              <c:ext xmlns:c16="http://schemas.microsoft.com/office/drawing/2014/chart" uri="{C3380CC4-5D6E-409C-BE32-E72D297353CC}">
                <c16:uniqueId val="{00000012-20D1-B143-A5B4-ED63F0C1F8D5}"/>
              </c:ext>
            </c:extLst>
          </c:dPt>
          <c:dPt>
            <c:idx val="6"/>
            <c:marker>
              <c:symbol val="circle"/>
              <c:size val="5"/>
              <c:spPr>
                <a:solidFill>
                  <a:srgbClr val="C55A11"/>
                </a:solidFill>
                <a:ln w="9525">
                  <a:solidFill>
                    <a:srgbClr val="C55A11"/>
                  </a:solidFill>
                </a:ln>
                <a:effectLst/>
              </c:spPr>
            </c:marker>
            <c:bubble3D val="0"/>
            <c:spPr>
              <a:ln w="28575" cap="rnd">
                <a:solidFill>
                  <a:srgbClr val="C55A11"/>
                </a:solidFill>
                <a:round/>
              </a:ln>
              <a:effectLst/>
            </c:spPr>
            <c:extLst>
              <c:ext xmlns:c16="http://schemas.microsoft.com/office/drawing/2014/chart" uri="{C3380CC4-5D6E-409C-BE32-E72D297353CC}">
                <c16:uniqueId val="{00000010-20D1-B143-A5B4-ED63F0C1F8D5}"/>
              </c:ext>
            </c:extLst>
          </c:dPt>
          <c:dPt>
            <c:idx val="7"/>
            <c:marker>
              <c:symbol val="circle"/>
              <c:size val="5"/>
              <c:spPr>
                <a:solidFill>
                  <a:srgbClr val="C55A11"/>
                </a:solidFill>
                <a:ln w="9525">
                  <a:solidFill>
                    <a:srgbClr val="C55A11"/>
                  </a:solidFill>
                </a:ln>
                <a:effectLst/>
              </c:spPr>
            </c:marker>
            <c:bubble3D val="0"/>
            <c:spPr>
              <a:ln w="28575" cap="rnd">
                <a:solidFill>
                  <a:srgbClr val="C55A11"/>
                </a:solidFill>
                <a:round/>
              </a:ln>
              <a:effectLst/>
            </c:spPr>
            <c:extLst>
              <c:ext xmlns:c16="http://schemas.microsoft.com/office/drawing/2014/chart" uri="{C3380CC4-5D6E-409C-BE32-E72D297353CC}">
                <c16:uniqueId val="{00000011-20D1-B143-A5B4-ED63F0C1F8D5}"/>
              </c:ext>
            </c:extLst>
          </c:dPt>
          <c:cat>
            <c:strRef>
              <c:f>'Forecast &amp; Scenario Analysis'!$B$41:$I$41</c:f>
              <c:strCache>
                <c:ptCount val="8"/>
                <c:pt idx="0">
                  <c:v>2021</c:v>
                </c:pt>
                <c:pt idx="1">
                  <c:v>2022</c:v>
                </c:pt>
                <c:pt idx="2">
                  <c:v>2023</c:v>
                </c:pt>
                <c:pt idx="3">
                  <c:v>2024</c:v>
                </c:pt>
                <c:pt idx="4">
                  <c:v>2025</c:v>
                </c:pt>
                <c:pt idx="5">
                  <c:v>2026F</c:v>
                </c:pt>
                <c:pt idx="6">
                  <c:v>2027F</c:v>
                </c:pt>
                <c:pt idx="7">
                  <c:v>2028F</c:v>
                </c:pt>
              </c:strCache>
            </c:strRef>
          </c:cat>
          <c:val>
            <c:numRef>
              <c:f>'Forecast &amp; Scenario Analysis'!$B$42:$I$42</c:f>
              <c:numCache>
                <c:formatCode>0.00%;\(0.00%\)</c:formatCode>
                <c:ptCount val="8"/>
                <c:pt idx="0">
                  <c:v>0.34692600112975369</c:v>
                </c:pt>
                <c:pt idx="1">
                  <c:v>0.15335789175403797</c:v>
                </c:pt>
                <c:pt idx="2">
                  <c:v>-3.8573043093705468E-2</c:v>
                </c:pt>
                <c:pt idx="3">
                  <c:v>-0.13758560768680364</c:v>
                </c:pt>
                <c:pt idx="4">
                  <c:v>-0.13031883370866421</c:v>
                </c:pt>
                <c:pt idx="5" formatCode="0.00%">
                  <c:v>5.845315161839908E-3</c:v>
                </c:pt>
                <c:pt idx="6" formatCode="0.00%">
                  <c:v>2.757356657304029E-2</c:v>
                </c:pt>
                <c:pt idx="7" formatCode="0.00%">
                  <c:v>4.0464900719352347E-2</c:v>
                </c:pt>
              </c:numCache>
            </c:numRef>
          </c:val>
          <c:smooth val="0"/>
          <c:extLst>
            <c:ext xmlns:c16="http://schemas.microsoft.com/office/drawing/2014/chart" uri="{C3380CC4-5D6E-409C-BE32-E72D297353CC}">
              <c16:uniqueId val="{0000000F-20D1-B143-A5B4-ED63F0C1F8D5}"/>
            </c:ext>
          </c:extLst>
        </c:ser>
        <c:dLbls>
          <c:showLegendKey val="0"/>
          <c:showVal val="0"/>
          <c:showCatName val="0"/>
          <c:showSerName val="0"/>
          <c:showPercent val="0"/>
          <c:showBubbleSize val="0"/>
        </c:dLbls>
        <c:marker val="1"/>
        <c:smooth val="0"/>
        <c:axId val="482057663"/>
        <c:axId val="524323007"/>
      </c:lineChart>
      <c:catAx>
        <c:axId val="48205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23007"/>
        <c:crosses val="autoZero"/>
        <c:auto val="1"/>
        <c:lblAlgn val="ctr"/>
        <c:lblOffset val="100"/>
        <c:noMultiLvlLbl val="0"/>
      </c:catAx>
      <c:valAx>
        <c:axId val="524323007"/>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5766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Group operating income -  best case vs worst case (the gap is the Gucci risk)</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'Forecast &amp; Scenario Analysis'!$A$104</c:f>
              <c:strCache>
                <c:ptCount val="1"/>
                <c:pt idx="0">
                  <c:v>Best Case</c:v>
                </c:pt>
              </c:strCache>
            </c:strRef>
          </c:tx>
          <c:spPr>
            <a:ln w="28575" cap="rnd">
              <a:solidFill>
                <a:schemeClr val="accent1"/>
              </a:solidFill>
              <a:round/>
            </a:ln>
            <a:effectLst/>
          </c:spPr>
          <c:marker>
            <c:symbol val="circle"/>
            <c:size val="8"/>
            <c:spPr>
              <a:solidFill>
                <a:schemeClr val="accent1"/>
              </a:solidFill>
              <a:ln w="9525">
                <a:solidFill>
                  <a:schemeClr val="accent1"/>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DD26-DF4D-9373-6F12124125A5}"/>
                </c:ext>
              </c:extLst>
            </c:dLbl>
            <c:dLbl>
              <c:idx val="1"/>
              <c:delete val="1"/>
              <c:extLst>
                <c:ext xmlns:c15="http://schemas.microsoft.com/office/drawing/2012/chart" uri="{CE6537A1-D6FC-4f65-9D91-7224C49458BB}"/>
                <c:ext xmlns:c16="http://schemas.microsoft.com/office/drawing/2014/chart" uri="{C3380CC4-5D6E-409C-BE32-E72D297353CC}">
                  <c16:uniqueId val="{00000003-DD26-DF4D-9373-6F12124125A5}"/>
                </c:ext>
              </c:extLst>
            </c:dLbl>
            <c:dLbl>
              <c:idx val="2"/>
              <c:delete val="1"/>
              <c:extLst>
                <c:ext xmlns:c15="http://schemas.microsoft.com/office/drawing/2012/chart" uri="{CE6537A1-D6FC-4f65-9D91-7224C49458BB}"/>
                <c:ext xmlns:c16="http://schemas.microsoft.com/office/drawing/2014/chart" uri="{C3380CC4-5D6E-409C-BE32-E72D297353CC}">
                  <c16:uniqueId val="{00000004-DD26-DF4D-9373-6F12124125A5}"/>
                </c:ext>
              </c:extLst>
            </c:dLbl>
            <c:dLbl>
              <c:idx val="3"/>
              <c:layout>
                <c:manualLayout>
                  <c:x val="-9.7943192948090111E-4"/>
                  <c:y val="-2.4054982817869417E-2"/>
                </c:manualLayout>
              </c:layout>
              <c:spPr>
                <a:solidFill>
                  <a:srgbClr val="F7F5F9"/>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D26-DF4D-9373-6F12124125A5}"/>
                </c:ext>
              </c:extLst>
            </c:dLbl>
            <c:spPr>
              <a:solidFill>
                <a:srgbClr val="F7F5F9"/>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 &amp; Scenario Analysis'!$B$103:$E$103</c:f>
              <c:strCache>
                <c:ptCount val="4"/>
                <c:pt idx="0">
                  <c:v>2025A</c:v>
                </c:pt>
                <c:pt idx="1">
                  <c:v>2026F</c:v>
                </c:pt>
                <c:pt idx="2">
                  <c:v>2027F</c:v>
                </c:pt>
                <c:pt idx="3">
                  <c:v>2028F</c:v>
                </c:pt>
              </c:strCache>
            </c:strRef>
          </c:cat>
          <c:val>
            <c:numRef>
              <c:f>'Forecast &amp; Scenario Analysis'!$B$104:$E$104</c:f>
              <c:numCache>
                <c:formatCode>#,##0</c:formatCode>
                <c:ptCount val="4"/>
                <c:pt idx="0">
                  <c:v>1047</c:v>
                </c:pt>
                <c:pt idx="1">
                  <c:v>2203</c:v>
                </c:pt>
                <c:pt idx="2">
                  <c:v>2309</c:v>
                </c:pt>
                <c:pt idx="3">
                  <c:v>2451</c:v>
                </c:pt>
              </c:numCache>
            </c:numRef>
          </c:val>
          <c:smooth val="0"/>
          <c:extLst>
            <c:ext xmlns:c16="http://schemas.microsoft.com/office/drawing/2014/chart" uri="{C3380CC4-5D6E-409C-BE32-E72D297353CC}">
              <c16:uniqueId val="{00000000-DD26-DF4D-9373-6F12124125A5}"/>
            </c:ext>
          </c:extLst>
        </c:ser>
        <c:ser>
          <c:idx val="1"/>
          <c:order val="1"/>
          <c:tx>
            <c:strRef>
              <c:f>'Forecast &amp; Scenario Analysis'!$A$106</c:f>
              <c:strCache>
                <c:ptCount val="1"/>
                <c:pt idx="0">
                  <c:v>Worst Case</c:v>
                </c:pt>
              </c:strCache>
            </c:strRef>
          </c:tx>
          <c:spPr>
            <a:ln w="28575" cap="rnd">
              <a:solidFill>
                <a:schemeClr val="accent2"/>
              </a:solidFill>
              <a:round/>
            </a:ln>
            <a:effectLst/>
          </c:spPr>
          <c:marker>
            <c:symbol val="circle"/>
            <c:size val="8"/>
            <c:spPr>
              <a:solidFill>
                <a:schemeClr val="accent2"/>
              </a:solidFill>
              <a:ln w="9525">
                <a:solidFill>
                  <a:schemeClr val="accent2"/>
                </a:solidFill>
              </a:ln>
              <a:effectLst/>
            </c:spPr>
          </c:marker>
          <c:dLbls>
            <c:dLbl>
              <c:idx val="0"/>
              <c:layout>
                <c:manualLayout>
                  <c:x val="-6.805578905966822E-2"/>
                  <c:y val="-2.0618556701030927E-2"/>
                </c:manualLayout>
              </c:layout>
              <c:numFmt formatCode="\€#,##0&quot;M&quot;" sourceLinked="0"/>
              <c:spPr>
                <a:solidFill>
                  <a:srgbClr val="F7F5F9"/>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26-DF4D-9373-6F12124125A5}"/>
                </c:ext>
              </c:extLst>
            </c:dLbl>
            <c:dLbl>
              <c:idx val="1"/>
              <c:delete val="1"/>
              <c:extLst>
                <c:ext xmlns:c15="http://schemas.microsoft.com/office/drawing/2012/chart" uri="{CE6537A1-D6FC-4f65-9D91-7224C49458BB}"/>
                <c:ext xmlns:c16="http://schemas.microsoft.com/office/drawing/2014/chart" uri="{C3380CC4-5D6E-409C-BE32-E72D297353CC}">
                  <c16:uniqueId val="{00000007-DD26-DF4D-9373-6F12124125A5}"/>
                </c:ext>
              </c:extLst>
            </c:dLbl>
            <c:dLbl>
              <c:idx val="2"/>
              <c:delete val="1"/>
              <c:extLst>
                <c:ext xmlns:c15="http://schemas.microsoft.com/office/drawing/2012/chart" uri="{CE6537A1-D6FC-4f65-9D91-7224C49458BB}"/>
                <c:ext xmlns:c16="http://schemas.microsoft.com/office/drawing/2014/chart" uri="{C3380CC4-5D6E-409C-BE32-E72D297353CC}">
                  <c16:uniqueId val="{00000008-DD26-DF4D-9373-6F12124125A5}"/>
                </c:ext>
              </c:extLst>
            </c:dLbl>
            <c:dLbl>
              <c:idx val="3"/>
              <c:layout>
                <c:manualLayout>
                  <c:x val="9.7943192948090111E-4"/>
                  <c:y val="2.7491408934707903E-2"/>
                </c:manualLayout>
              </c:layout>
              <c:numFmt formatCode="\€#,##0&quot;M&quot;" sourceLinked="0"/>
              <c:spPr>
                <a:solidFill>
                  <a:srgbClr val="F7F5F9"/>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DD26-DF4D-9373-6F12124125A5}"/>
                </c:ext>
              </c:extLst>
            </c:dLbl>
            <c:numFmt formatCode="\€#,##0&quot;M&quot;" sourceLinked="0"/>
            <c:spPr>
              <a:solidFill>
                <a:srgbClr val="F7F5F9"/>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 &amp; Scenario Analysis'!$B$103:$E$103</c:f>
              <c:strCache>
                <c:ptCount val="4"/>
                <c:pt idx="0">
                  <c:v>2025A</c:v>
                </c:pt>
                <c:pt idx="1">
                  <c:v>2026F</c:v>
                </c:pt>
                <c:pt idx="2">
                  <c:v>2027F</c:v>
                </c:pt>
                <c:pt idx="3">
                  <c:v>2028F</c:v>
                </c:pt>
              </c:strCache>
            </c:strRef>
          </c:cat>
          <c:val>
            <c:numRef>
              <c:f>'Forecast &amp; Scenario Analysis'!$B$106:$E$106</c:f>
              <c:numCache>
                <c:formatCode>#,##0</c:formatCode>
                <c:ptCount val="4"/>
                <c:pt idx="0">
                  <c:v>1047</c:v>
                </c:pt>
                <c:pt idx="1">
                  <c:v>2080.6281763629909</c:v>
                </c:pt>
                <c:pt idx="2">
                  <c:v>2091.5205278433737</c:v>
                </c:pt>
                <c:pt idx="3">
                  <c:v>2145.0055189021027</c:v>
                </c:pt>
              </c:numCache>
            </c:numRef>
          </c:val>
          <c:smooth val="0"/>
          <c:extLst>
            <c:ext xmlns:c16="http://schemas.microsoft.com/office/drawing/2014/chart" uri="{C3380CC4-5D6E-409C-BE32-E72D297353CC}">
              <c16:uniqueId val="{00000001-DD26-DF4D-9373-6F12124125A5}"/>
            </c:ext>
          </c:extLst>
        </c:ser>
        <c:ser>
          <c:idx val="2"/>
          <c:order val="2"/>
          <c:tx>
            <c:strRef>
              <c:f>'Forecast &amp; Scenario Analysis'!$A$105</c:f>
              <c:strCache>
                <c:ptCount val="1"/>
                <c:pt idx="0">
                  <c:v>Base Case</c:v>
                </c:pt>
              </c:strCache>
            </c:strRef>
          </c:tx>
          <c:spPr>
            <a:ln w="28575" cap="rnd">
              <a:solidFill>
                <a:schemeClr val="bg2">
                  <a:lumMod val="50000"/>
                  <a:alpha val="55000"/>
                </a:schemeClr>
              </a:solidFill>
              <a:prstDash val="dash"/>
              <a:round/>
            </a:ln>
            <a:effectLst/>
          </c:spPr>
          <c:marker>
            <c:symbol val="none"/>
          </c:marker>
          <c:val>
            <c:numRef>
              <c:f>'Forecast &amp; Scenario Analysis'!$B$105:$E$105</c:f>
              <c:numCache>
                <c:formatCode>#,##0;\(#,##0\)</c:formatCode>
                <c:ptCount val="4"/>
                <c:pt idx="0" formatCode="#,##0">
                  <c:v>1047</c:v>
                </c:pt>
                <c:pt idx="1">
                  <c:v>2159.5257021478265</c:v>
                </c:pt>
                <c:pt idx="2">
                  <c:v>2219.071527862191</c:v>
                </c:pt>
                <c:pt idx="3">
                  <c:v>2308.8660369262761</c:v>
                </c:pt>
              </c:numCache>
            </c:numRef>
          </c:val>
          <c:smooth val="0"/>
          <c:extLst>
            <c:ext xmlns:c16="http://schemas.microsoft.com/office/drawing/2014/chart" uri="{C3380CC4-5D6E-409C-BE32-E72D297353CC}">
              <c16:uniqueId val="{0000000C-DD26-DF4D-9373-6F12124125A5}"/>
            </c:ext>
          </c:extLst>
        </c:ser>
        <c:dLbls>
          <c:showLegendKey val="0"/>
          <c:showVal val="0"/>
          <c:showCatName val="0"/>
          <c:showSerName val="0"/>
          <c:showPercent val="0"/>
          <c:showBubbleSize val="0"/>
        </c:dLbls>
        <c:marker val="1"/>
        <c:smooth val="0"/>
        <c:axId val="1571657407"/>
        <c:axId val="1571666367"/>
      </c:lineChart>
      <c:catAx>
        <c:axId val="157165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71666367"/>
        <c:crosses val="autoZero"/>
        <c:auto val="1"/>
        <c:lblAlgn val="ctr"/>
        <c:lblOffset val="100"/>
        <c:noMultiLvlLbl val="0"/>
      </c:catAx>
      <c:valAx>
        <c:axId val="1571666367"/>
        <c:scaling>
          <c:orientation val="minMax"/>
          <c:min val="100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71657407"/>
        <c:crosses val="autoZero"/>
        <c:crossBetween val="between"/>
      </c:valAx>
      <c:spPr>
        <a:noFill/>
        <a:ln w="25400">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'Financial Trend Analysis'!$A$3</c:f>
              <c:strCache>
                <c:ptCount val="1"/>
                <c:pt idx="0">
                  <c:v>Kering revenue</c:v>
                </c:pt>
              </c:strCache>
            </c:strRef>
          </c:tx>
          <c:spPr>
            <a:solidFill>
              <a:schemeClr val="accent1"/>
            </a:solidFill>
            <a:ln>
              <a:noFill/>
            </a:ln>
            <a:effectLst/>
          </c:spPr>
          <c:invertIfNegative val="0"/>
          <c:cat>
            <c:numRef>
              <c:f>'Financial Trend Analysis'!$B$2:$F$2</c:f>
              <c:numCache>
                <c:formatCode>General</c:formatCode>
                <c:ptCount val="5"/>
                <c:pt idx="0">
                  <c:v>2021</c:v>
                </c:pt>
                <c:pt idx="1">
                  <c:v>2022</c:v>
                </c:pt>
                <c:pt idx="2">
                  <c:v>2023</c:v>
                </c:pt>
                <c:pt idx="3">
                  <c:v>2024</c:v>
                </c:pt>
                <c:pt idx="4">
                  <c:v>2025</c:v>
                </c:pt>
              </c:numCache>
            </c:numRef>
          </c:cat>
          <c:val>
            <c:numRef>
              <c:f>'Financial Trend Analysis'!$B$3:$F$3</c:f>
              <c:numCache>
                <c:formatCode>\€#,##0"M"</c:formatCode>
                <c:ptCount val="5"/>
                <c:pt idx="0">
                  <c:v>17645</c:v>
                </c:pt>
                <c:pt idx="1">
                  <c:v>20351</c:v>
                </c:pt>
                <c:pt idx="2">
                  <c:v>19566</c:v>
                </c:pt>
                <c:pt idx="3">
                  <c:v>16874</c:v>
                </c:pt>
                <c:pt idx="4">
                  <c:v>14675</c:v>
                </c:pt>
              </c:numCache>
            </c:numRef>
          </c:val>
          <c:extLst>
            <c:ext xmlns:c16="http://schemas.microsoft.com/office/drawing/2014/chart" uri="{C3380CC4-5D6E-409C-BE32-E72D297353CC}">
              <c16:uniqueId val="{00000000-77CC-B943-9EF6-2F77205995F8}"/>
            </c:ext>
          </c:extLst>
        </c:ser>
        <c:dLbls>
          <c:showLegendKey val="0"/>
          <c:showVal val="0"/>
          <c:showCatName val="0"/>
          <c:showSerName val="0"/>
          <c:showPercent val="0"/>
          <c:showBubbleSize val="0"/>
        </c:dLbls>
        <c:gapWidth val="150"/>
        <c:axId val="1985037632"/>
        <c:axId val="1985043008"/>
      </c:barChart>
      <c:lineChart>
        <c:grouping val="standard"/>
        <c:varyColors val="0"/>
        <c:ser>
          <c:idx val="1"/>
          <c:order val="1"/>
          <c:tx>
            <c:strRef>
              <c:f>'Financial Trend Analysis'!$H$3</c:f>
              <c:strCache>
                <c:ptCount val="1"/>
                <c:pt idx="0">
                  <c:v>Kering operating income </c:v>
                </c:pt>
              </c:strCache>
            </c:strRef>
          </c:tx>
          <c:spPr>
            <a:ln w="28575" cap="rnd">
              <a:solidFill>
                <a:srgbClr val="FF7B0B"/>
              </a:solidFill>
              <a:round/>
            </a:ln>
            <a:effectLst/>
          </c:spPr>
          <c:marker>
            <c:symbol val="circle"/>
            <c:size val="8"/>
            <c:spPr>
              <a:solidFill>
                <a:srgbClr val="C55A11"/>
              </a:solidFill>
              <a:ln w="9525">
                <a:solidFill>
                  <a:srgbClr val="C55A11"/>
                </a:solidFill>
              </a:ln>
              <a:effectLst/>
            </c:spPr>
          </c:marker>
          <c:cat>
            <c:numRef>
              <c:f>'Financial Trend Analysis'!$B$2:$F$2</c:f>
              <c:numCache>
                <c:formatCode>General</c:formatCode>
                <c:ptCount val="5"/>
                <c:pt idx="0">
                  <c:v>2021</c:v>
                </c:pt>
                <c:pt idx="1">
                  <c:v>2022</c:v>
                </c:pt>
                <c:pt idx="2">
                  <c:v>2023</c:v>
                </c:pt>
                <c:pt idx="3">
                  <c:v>2024</c:v>
                </c:pt>
                <c:pt idx="4">
                  <c:v>2025</c:v>
                </c:pt>
              </c:numCache>
            </c:numRef>
          </c:cat>
          <c:val>
            <c:numRef>
              <c:f>'Financial Trend Analysis'!$I$3:$M$3</c:f>
              <c:numCache>
                <c:formatCode>\€#,##0"M"</c:formatCode>
                <c:ptCount val="5"/>
                <c:pt idx="0">
                  <c:v>4797</c:v>
                </c:pt>
                <c:pt idx="1">
                  <c:v>5395</c:v>
                </c:pt>
                <c:pt idx="2">
                  <c:v>4643</c:v>
                </c:pt>
                <c:pt idx="3">
                  <c:v>2198</c:v>
                </c:pt>
                <c:pt idx="4">
                  <c:v>1047</c:v>
                </c:pt>
              </c:numCache>
            </c:numRef>
          </c:val>
          <c:smooth val="0"/>
          <c:extLst>
            <c:ext xmlns:c16="http://schemas.microsoft.com/office/drawing/2014/chart" uri="{C3380CC4-5D6E-409C-BE32-E72D297353CC}">
              <c16:uniqueId val="{00000001-77CC-B943-9EF6-2F77205995F8}"/>
            </c:ext>
          </c:extLst>
        </c:ser>
        <c:dLbls>
          <c:showLegendKey val="0"/>
          <c:showVal val="0"/>
          <c:showCatName val="0"/>
          <c:showSerName val="0"/>
          <c:showPercent val="0"/>
          <c:showBubbleSize val="0"/>
        </c:dLbls>
        <c:marker val="1"/>
        <c:smooth val="0"/>
        <c:axId val="1985037632"/>
        <c:axId val="1985043008"/>
      </c:lineChart>
      <c:catAx>
        <c:axId val="198503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85043008"/>
        <c:crosses val="autoZero"/>
        <c:auto val="1"/>
        <c:lblAlgn val="ctr"/>
        <c:lblOffset val="100"/>
        <c:noMultiLvlLbl val="0"/>
      </c:catAx>
      <c:valAx>
        <c:axId val="1985043008"/>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85037632"/>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75000"/>
                    <a:lumOff val="25000"/>
                  </a:schemeClr>
                </a:solidFill>
                <a:latin typeface="+mn-lt"/>
                <a:ea typeface="+mn-ea"/>
                <a:cs typeface="+mn-cs"/>
              </a:defRPr>
            </a:pPr>
            <a:r>
              <a:rPr lang="en-IN" sz="1200" b="1" i="0" u="none" strike="noStrike">
                <a:solidFill>
                  <a:schemeClr val="tx1">
                    <a:lumMod val="75000"/>
                    <a:lumOff val="25000"/>
                  </a:schemeClr>
                </a:solidFill>
                <a:effectLst/>
              </a:rPr>
              <a:t>Gross margins stayed stable, so the decline in operating income is due to higher operating costs, not pricing or cost of goods.</a:t>
            </a:r>
            <a:r>
              <a:rPr lang="en-IN" sz="1200" b="1" i="0">
                <a:solidFill>
                  <a:schemeClr val="tx1">
                    <a:lumMod val="75000"/>
                    <a:lumOff val="25000"/>
                  </a:schemeClr>
                </a:solidFill>
                <a:effectLst/>
              </a:rPr>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v>Gross Margin</c:v>
          </c:tx>
          <c:spPr>
            <a:ln w="28575" cap="rnd">
              <a:solidFill>
                <a:srgbClr val="1982AF"/>
              </a:solidFill>
              <a:round/>
            </a:ln>
            <a:effectLst/>
          </c:spPr>
          <c:marker>
            <c:symbol val="circle"/>
            <c:size val="8"/>
            <c:spPr>
              <a:solidFill>
                <a:schemeClr val="accent1"/>
              </a:solidFill>
              <a:ln w="9525">
                <a:solidFill>
                  <a:schemeClr val="accent1"/>
                </a:solidFill>
              </a:ln>
              <a:effectLst/>
            </c:spPr>
          </c:marker>
          <c:cat>
            <c:numRef>
              <c:f>'Common Size Financial Statement'!$B$4:$F$4</c:f>
              <c:numCache>
                <c:formatCode>General</c:formatCode>
                <c:ptCount val="5"/>
                <c:pt idx="0">
                  <c:v>2021</c:v>
                </c:pt>
                <c:pt idx="1">
                  <c:v>2022</c:v>
                </c:pt>
                <c:pt idx="2">
                  <c:v>2023</c:v>
                </c:pt>
                <c:pt idx="3">
                  <c:v>2024</c:v>
                </c:pt>
                <c:pt idx="4">
                  <c:v>2025</c:v>
                </c:pt>
              </c:numCache>
            </c:numRef>
          </c:cat>
          <c:val>
            <c:numRef>
              <c:f>'Common Size Financial Statement'!$B$8:$F$8</c:f>
              <c:numCache>
                <c:formatCode>0.00%;\(0.00%\)</c:formatCode>
                <c:ptCount val="5"/>
                <c:pt idx="0">
                  <c:v>0.74060640408047607</c:v>
                </c:pt>
                <c:pt idx="1">
                  <c:v>0.74679376934794361</c:v>
                </c:pt>
                <c:pt idx="2">
                  <c:v>0.76290503935398135</c:v>
                </c:pt>
                <c:pt idx="3">
                  <c:v>0.73450278535024294</c:v>
                </c:pt>
                <c:pt idx="4">
                  <c:v>0.72640545144804092</c:v>
                </c:pt>
              </c:numCache>
            </c:numRef>
          </c:val>
          <c:smooth val="0"/>
          <c:extLst>
            <c:ext xmlns:c16="http://schemas.microsoft.com/office/drawing/2014/chart" uri="{C3380CC4-5D6E-409C-BE32-E72D297353CC}">
              <c16:uniqueId val="{00000000-DE06-4745-9DE4-BAC66F7CE6A0}"/>
            </c:ext>
          </c:extLst>
        </c:ser>
        <c:ser>
          <c:idx val="1"/>
          <c:order val="1"/>
          <c:tx>
            <c:v>Operating Expense</c:v>
          </c:tx>
          <c:spPr>
            <a:ln w="28575" cap="rnd">
              <a:solidFill>
                <a:srgbClr val="FF7B0B"/>
              </a:solidFill>
              <a:round/>
            </a:ln>
            <a:effectLst/>
          </c:spPr>
          <c:marker>
            <c:symbol val="circle"/>
            <c:size val="8"/>
            <c:spPr>
              <a:solidFill>
                <a:srgbClr val="C55A11"/>
              </a:solidFill>
              <a:ln w="9525">
                <a:solidFill>
                  <a:schemeClr val="accent2"/>
                </a:solidFill>
              </a:ln>
              <a:effectLst/>
            </c:spPr>
          </c:marker>
          <c:cat>
            <c:numRef>
              <c:f>'Common Size Financial Statement'!$B$4:$F$4</c:f>
              <c:numCache>
                <c:formatCode>General</c:formatCode>
                <c:ptCount val="5"/>
                <c:pt idx="0">
                  <c:v>2021</c:v>
                </c:pt>
                <c:pt idx="1">
                  <c:v>2022</c:v>
                </c:pt>
                <c:pt idx="2">
                  <c:v>2023</c:v>
                </c:pt>
                <c:pt idx="3">
                  <c:v>2024</c:v>
                </c:pt>
                <c:pt idx="4">
                  <c:v>2025</c:v>
                </c:pt>
              </c:numCache>
            </c:numRef>
          </c:cat>
          <c:val>
            <c:numRef>
              <c:f>'Financial Trend Analysis'!$I$23:$M$23</c:f>
              <c:numCache>
                <c:formatCode>0.00%</c:formatCode>
                <c:ptCount val="5"/>
                <c:pt idx="0">
                  <c:v>0.45627656559931989</c:v>
                </c:pt>
                <c:pt idx="1">
                  <c:v>0.47216353004766348</c:v>
                </c:pt>
                <c:pt idx="2">
                  <c:v>0.52034140856587963</c:v>
                </c:pt>
                <c:pt idx="3">
                  <c:v>0.58990162379992883</c:v>
                </c:pt>
                <c:pt idx="4">
                  <c:v>0.61526405451448041</c:v>
                </c:pt>
              </c:numCache>
            </c:numRef>
          </c:val>
          <c:smooth val="0"/>
          <c:extLst>
            <c:ext xmlns:c16="http://schemas.microsoft.com/office/drawing/2014/chart" uri="{C3380CC4-5D6E-409C-BE32-E72D297353CC}">
              <c16:uniqueId val="{00000001-DE06-4745-9DE4-BAC66F7CE6A0}"/>
            </c:ext>
          </c:extLst>
        </c:ser>
        <c:dLbls>
          <c:showLegendKey val="0"/>
          <c:showVal val="0"/>
          <c:showCatName val="0"/>
          <c:showSerName val="0"/>
          <c:showPercent val="0"/>
          <c:showBubbleSize val="0"/>
        </c:dLbls>
        <c:marker val="1"/>
        <c:smooth val="0"/>
        <c:axId val="1899034175"/>
        <c:axId val="1899030591"/>
      </c:lineChart>
      <c:catAx>
        <c:axId val="18990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99030591"/>
        <c:crosses val="autoZero"/>
        <c:auto val="1"/>
        <c:lblAlgn val="ctr"/>
        <c:lblOffset val="100"/>
        <c:noMultiLvlLbl val="0"/>
      </c:catAx>
      <c:valAx>
        <c:axId val="1899030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99034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Operating Income Share by Brand - Year</a:t>
            </a:r>
            <a:r>
              <a:rPr lang="en-GB" b="1" baseline="0"/>
              <a:t> 2025</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0746230904440028"/>
          <c:y val="0.16003472222222223"/>
          <c:w val="0.43540834845735027"/>
          <c:h val="0.83302083333333332"/>
        </c:manualLayout>
      </c:layout>
      <c:doughnutChart>
        <c:varyColors val="1"/>
        <c:ser>
          <c:idx val="0"/>
          <c:order val="0"/>
          <c:dPt>
            <c:idx val="0"/>
            <c:bubble3D val="0"/>
            <c:spPr>
              <a:solidFill>
                <a:srgbClr val="C9960C"/>
              </a:solidFill>
              <a:ln w="0" cap="sq" cmpd="tri">
                <a:solidFill>
                  <a:schemeClr val="lt1"/>
                </a:solidFill>
                <a:round/>
              </a:ln>
              <a:effectLst/>
            </c:spPr>
            <c:extLst>
              <c:ext xmlns:c16="http://schemas.microsoft.com/office/drawing/2014/chart" uri="{C3380CC4-5D6E-409C-BE32-E72D297353CC}">
                <c16:uniqueId val="{00000001-EF8D-2541-AB9F-56AF5EE3E80D}"/>
              </c:ext>
            </c:extLst>
          </c:dPt>
          <c:dPt>
            <c:idx val="1"/>
            <c:bubble3D val="0"/>
            <c:spPr>
              <a:solidFill>
                <a:srgbClr val="A52020"/>
              </a:solidFill>
              <a:ln w="0" cmpd="tri">
                <a:solidFill>
                  <a:schemeClr val="lt1"/>
                </a:solidFill>
              </a:ln>
              <a:effectLst/>
            </c:spPr>
            <c:extLst>
              <c:ext xmlns:c16="http://schemas.microsoft.com/office/drawing/2014/chart" uri="{C3380CC4-5D6E-409C-BE32-E72D297353CC}">
                <c16:uniqueId val="{00000003-EF8D-2541-AB9F-56AF5EE3E80D}"/>
              </c:ext>
            </c:extLst>
          </c:dPt>
          <c:dPt>
            <c:idx val="2"/>
            <c:bubble3D val="0"/>
            <c:spPr>
              <a:solidFill>
                <a:srgbClr val="1B6B3A"/>
              </a:solidFill>
              <a:ln w="0" cmpd="tri">
                <a:solidFill>
                  <a:schemeClr val="lt1"/>
                </a:solidFill>
              </a:ln>
              <a:effectLst/>
            </c:spPr>
            <c:extLst>
              <c:ext xmlns:c16="http://schemas.microsoft.com/office/drawing/2014/chart" uri="{C3380CC4-5D6E-409C-BE32-E72D297353CC}">
                <c16:uniqueId val="{00000005-EF8D-2541-AB9F-56AF5EE3E80D}"/>
              </c:ext>
            </c:extLst>
          </c:dPt>
          <c:dPt>
            <c:idx val="3"/>
            <c:bubble3D val="0"/>
            <c:spPr>
              <a:solidFill>
                <a:srgbClr val="C45C1A"/>
              </a:solidFill>
              <a:ln w="0" cmpd="tri">
                <a:solidFill>
                  <a:schemeClr val="lt1"/>
                </a:solidFill>
              </a:ln>
              <a:effectLst/>
            </c:spPr>
            <c:extLst>
              <c:ext xmlns:c16="http://schemas.microsoft.com/office/drawing/2014/chart" uri="{C3380CC4-5D6E-409C-BE32-E72D297353CC}">
                <c16:uniqueId val="{00000007-EF8D-2541-AB9F-56AF5EE3E80D}"/>
              </c:ext>
            </c:extLst>
          </c:dPt>
          <c:dPt>
            <c:idx val="4"/>
            <c:bubble3D val="0"/>
            <c:spPr>
              <a:solidFill>
                <a:srgbClr val="2A5F8F"/>
              </a:solidFill>
              <a:ln w="0" cmpd="tri">
                <a:solidFill>
                  <a:schemeClr val="lt1"/>
                </a:solidFill>
              </a:ln>
              <a:effectLst/>
            </c:spPr>
            <c:extLst>
              <c:ext xmlns:c16="http://schemas.microsoft.com/office/drawing/2014/chart" uri="{C3380CC4-5D6E-409C-BE32-E72D297353CC}">
                <c16:uniqueId val="{00000009-EF8D-2541-AB9F-56AF5EE3E80D}"/>
              </c:ext>
            </c:extLst>
          </c:dPt>
          <c:cat>
            <c:strRef>
              <c:f>'Brand Contribution Analysis'!$A$12:$A$16</c:f>
              <c:strCache>
                <c:ptCount val="5"/>
                <c:pt idx="0">
                  <c:v>Gucci operating share</c:v>
                </c:pt>
                <c:pt idx="1">
                  <c:v>Yves Saint Laurent operating share</c:v>
                </c:pt>
                <c:pt idx="2">
                  <c:v>Bottega Veneta operating share</c:v>
                </c:pt>
                <c:pt idx="3">
                  <c:v>Other houses operating share</c:v>
                </c:pt>
                <c:pt idx="4">
                  <c:v>Kering Eyewear &amp; Corporate share</c:v>
                </c:pt>
              </c:strCache>
            </c:strRef>
          </c:cat>
          <c:val>
            <c:numRef>
              <c:f>'Brand Contribution Analysis'!$F$12:$F$16</c:f>
              <c:numCache>
                <c:formatCode>0.00%;\(0.00%\)</c:formatCode>
                <c:ptCount val="5"/>
                <c:pt idx="0">
                  <c:v>0.59227467811158796</c:v>
                </c:pt>
                <c:pt idx="1">
                  <c:v>0.32434089515634579</c:v>
                </c:pt>
                <c:pt idx="2">
                  <c:v>0.16370324954015941</c:v>
                </c:pt>
                <c:pt idx="3">
                  <c:v>-6.8669527896995708E-2</c:v>
                </c:pt>
                <c:pt idx="4">
                  <c:v>-1.0423053341508276E-2</c:v>
                </c:pt>
              </c:numCache>
            </c:numRef>
          </c:val>
          <c:extLst>
            <c:ext xmlns:c16="http://schemas.microsoft.com/office/drawing/2014/chart" uri="{C3380CC4-5D6E-409C-BE32-E72D297353CC}">
              <c16:uniqueId val="{0000000A-EF8D-2541-AB9F-56AF5EE3E8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6321848607399572"/>
          <c:y val="0.13377788713910763"/>
          <c:w val="0.42589222172999702"/>
          <c:h val="0.8369231189851268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Operating Income Change - 2021-2025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'Brand Contribution Analysis'!$A$23</c:f>
              <c:strCache>
                <c:ptCount val="1"/>
                <c:pt idx="0">
                  <c:v>Kering operating income</c:v>
                </c:pt>
              </c:strCache>
            </c:strRef>
          </c:tx>
          <c:spPr>
            <a:solidFill>
              <a:schemeClr val="accent1">
                <a:shade val="65000"/>
              </a:schemeClr>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9-7EF1-C947-A07C-9527563437FF}"/>
              </c:ext>
            </c:extLst>
          </c:dPt>
          <c:dLbls>
            <c:dLbl>
              <c:idx val="0"/>
              <c:layout>
                <c:manualLayout>
                  <c:x val="5.9760618880582632E-6"/>
                  <c:y val="1.39268102434656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F1-C947-A07C-9527563437FF}"/>
                </c:ext>
              </c:extLst>
            </c:dLbl>
            <c:numFmt formatCode="\€#,##0&quot;M&quot;;\(\€#,##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Contribution Analysis'!$A$20:$A$23</c:f>
              <c:strCache>
                <c:ptCount val="4"/>
                <c:pt idx="0">
                  <c:v>€ millions</c:v>
                </c:pt>
                <c:pt idx="1">
                  <c:v>Gucci operating income</c:v>
                </c:pt>
                <c:pt idx="2">
                  <c:v>Non-Gucci</c:v>
                </c:pt>
                <c:pt idx="3">
                  <c:v>Kering operating income</c:v>
                </c:pt>
              </c:strCache>
            </c:strRef>
          </c:cat>
          <c:val>
            <c:numRef>
              <c:f>'Brand Contribution Analysis'!$D$23</c:f>
              <c:numCache>
                <c:formatCode>#,##0</c:formatCode>
                <c:ptCount val="1"/>
                <c:pt idx="0">
                  <c:v>-3750</c:v>
                </c:pt>
              </c:numCache>
            </c:numRef>
          </c:val>
          <c:extLst>
            <c:ext xmlns:c16="http://schemas.microsoft.com/office/drawing/2014/chart" uri="{C3380CC4-5D6E-409C-BE32-E72D297353CC}">
              <c16:uniqueId val="{00000003-7EF1-C947-A07C-9527563437FF}"/>
            </c:ext>
          </c:extLst>
        </c:ser>
        <c:ser>
          <c:idx val="1"/>
          <c:order val="1"/>
          <c:tx>
            <c:strRef>
              <c:f>'Brand Contribution Analysis'!$A$21</c:f>
              <c:strCache>
                <c:ptCount val="1"/>
                <c:pt idx="0">
                  <c:v>Gucci operating income</c:v>
                </c:pt>
              </c:strCache>
            </c:strRef>
          </c:tx>
          <c:spPr>
            <a:solidFill>
              <a:srgbClr val="C00000"/>
            </a:solidFill>
            <a:ln>
              <a:noFill/>
            </a:ln>
            <a:effectLst/>
          </c:spPr>
          <c:invertIfNegative val="0"/>
          <c:cat>
            <c:strRef>
              <c:f>'Brand Contribution Analysis'!$A$20:$A$23</c:f>
              <c:strCache>
                <c:ptCount val="4"/>
                <c:pt idx="0">
                  <c:v>€ millions</c:v>
                </c:pt>
                <c:pt idx="1">
                  <c:v>Gucci operating income</c:v>
                </c:pt>
                <c:pt idx="2">
                  <c:v>Non-Gucci</c:v>
                </c:pt>
                <c:pt idx="3">
                  <c:v>Kering operating income</c:v>
                </c:pt>
              </c:strCache>
            </c:strRef>
          </c:cat>
          <c:val>
            <c:numRef>
              <c:f>'Brand Contribution Analysis'!$D$21</c:f>
              <c:numCache>
                <c:formatCode>#,##0</c:formatCode>
                <c:ptCount val="1"/>
                <c:pt idx="0">
                  <c:v>-2749</c:v>
                </c:pt>
              </c:numCache>
            </c:numRef>
          </c:val>
          <c:extLst>
            <c:ext xmlns:c16="http://schemas.microsoft.com/office/drawing/2014/chart" uri="{C3380CC4-5D6E-409C-BE32-E72D297353CC}">
              <c16:uniqueId val="{00000004-7EF1-C947-A07C-9527563437FF}"/>
            </c:ext>
          </c:extLst>
        </c:ser>
        <c:ser>
          <c:idx val="2"/>
          <c:order val="2"/>
          <c:tx>
            <c:strRef>
              <c:f>'Brand Contribution Analysis'!$A$22</c:f>
              <c:strCache>
                <c:ptCount val="1"/>
                <c:pt idx="0">
                  <c:v>Non-Gucci</c:v>
                </c:pt>
              </c:strCache>
            </c:strRef>
          </c:tx>
          <c:spPr>
            <a:solidFill>
              <a:schemeClr val="accent1">
                <a:tint val="65000"/>
              </a:schemeClr>
            </a:solidFill>
            <a:ln>
              <a:noFill/>
            </a:ln>
            <a:effectLst/>
          </c:spPr>
          <c:invertIfNegative val="0"/>
          <c:dPt>
            <c:idx val="0"/>
            <c:invertIfNegative val="0"/>
            <c:bubble3D val="0"/>
            <c:extLst>
              <c:ext xmlns:c16="http://schemas.microsoft.com/office/drawing/2014/chart" uri="{C3380CC4-5D6E-409C-BE32-E72D297353CC}">
                <c16:uniqueId val="{00000002-040F-E040-9F24-CEF53F813FE1}"/>
              </c:ext>
            </c:extLst>
          </c:dPt>
          <c:cat>
            <c:strRef>
              <c:f>'Brand Contribution Analysis'!$A$20:$A$23</c:f>
              <c:strCache>
                <c:ptCount val="4"/>
                <c:pt idx="0">
                  <c:v>€ millions</c:v>
                </c:pt>
                <c:pt idx="1">
                  <c:v>Gucci operating income</c:v>
                </c:pt>
                <c:pt idx="2">
                  <c:v>Non-Gucci</c:v>
                </c:pt>
                <c:pt idx="3">
                  <c:v>Kering operating income</c:v>
                </c:pt>
              </c:strCache>
            </c:strRef>
          </c:cat>
          <c:val>
            <c:numRef>
              <c:f>'Brand Contribution Analysis'!$D$22</c:f>
              <c:numCache>
                <c:formatCode>#,##0</c:formatCode>
                <c:ptCount val="1"/>
                <c:pt idx="0">
                  <c:v>-1001</c:v>
                </c:pt>
              </c:numCache>
            </c:numRef>
          </c:val>
          <c:extLst>
            <c:ext xmlns:c16="http://schemas.microsoft.com/office/drawing/2014/chart" uri="{C3380CC4-5D6E-409C-BE32-E72D297353CC}">
              <c16:uniqueId val="{00000005-7EF1-C947-A07C-9527563437FF}"/>
            </c:ext>
          </c:extLst>
        </c:ser>
        <c:dLbls>
          <c:showLegendKey val="0"/>
          <c:showVal val="0"/>
          <c:showCatName val="0"/>
          <c:showSerName val="0"/>
          <c:showPercent val="0"/>
          <c:showBubbleSize val="0"/>
        </c:dLbls>
        <c:gapWidth val="219"/>
        <c:overlap val="-27"/>
        <c:axId val="1809686399"/>
        <c:axId val="1775379199"/>
      </c:barChart>
      <c:catAx>
        <c:axId val="1809686399"/>
        <c:scaling>
          <c:orientation val="minMax"/>
        </c:scaling>
        <c:delete val="1"/>
        <c:axPos val="b"/>
        <c:numFmt formatCode="General" sourceLinked="1"/>
        <c:majorTickMark val="none"/>
        <c:minorTickMark val="none"/>
        <c:tickLblPos val="high"/>
        <c:crossAx val="1775379199"/>
        <c:crosses val="autoZero"/>
        <c:auto val="1"/>
        <c:lblAlgn val="ctr"/>
        <c:lblOffset val="100"/>
        <c:noMultiLvlLbl val="0"/>
      </c:catAx>
      <c:valAx>
        <c:axId val="1775379199"/>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096863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'Financial Trend Analysis'!$A$22</c:f>
              <c:strCache>
                <c:ptCount val="1"/>
                <c:pt idx="0">
                  <c:v>Kering operating margin</c:v>
                </c:pt>
              </c:strCache>
            </c:strRef>
          </c:tx>
          <c:spPr>
            <a:ln w="28575" cap="rnd">
              <a:solidFill>
                <a:srgbClr val="178BBE"/>
              </a:solidFill>
              <a:round/>
            </a:ln>
            <a:effectLst/>
          </c:spPr>
          <c:marker>
            <c:symbol val="circle"/>
            <c:size val="8"/>
            <c:spPr>
              <a:solidFill>
                <a:schemeClr val="accent1"/>
              </a:solidFill>
              <a:ln w="9525">
                <a:solidFill>
                  <a:schemeClr val="accent1"/>
                </a:solidFill>
              </a:ln>
              <a:effectLst/>
            </c:spPr>
          </c:marker>
          <c:cat>
            <c:numRef>
              <c:f>('Financial Trend Analysis'!$B$21,'Financial Trend Analysis'!$C$21,'Financial Trend Analysis'!$D$21:$F$21)</c:f>
              <c:numCache>
                <c:formatCode>General</c:formatCode>
                <c:ptCount val="5"/>
                <c:pt idx="0">
                  <c:v>2021</c:v>
                </c:pt>
                <c:pt idx="1">
                  <c:v>2022</c:v>
                </c:pt>
                <c:pt idx="2">
                  <c:v>2023</c:v>
                </c:pt>
                <c:pt idx="3">
                  <c:v>2024</c:v>
                </c:pt>
                <c:pt idx="4">
                  <c:v>2025</c:v>
                </c:pt>
              </c:numCache>
            </c:numRef>
          </c:cat>
          <c:val>
            <c:numRef>
              <c:f>'Financial Trend Analysis'!$B$22:$F$22</c:f>
              <c:numCache>
                <c:formatCode>0.00%</c:formatCode>
                <c:ptCount val="5"/>
                <c:pt idx="0">
                  <c:v>0.27186171720034003</c:v>
                </c:pt>
                <c:pt idx="1">
                  <c:v>0.26509753820451082</c:v>
                </c:pt>
                <c:pt idx="2">
                  <c:v>0.23729939691301236</c:v>
                </c:pt>
                <c:pt idx="3">
                  <c:v>0.13025957093753704</c:v>
                </c:pt>
                <c:pt idx="4">
                  <c:v>7.1345826235093696E-2</c:v>
                </c:pt>
              </c:numCache>
            </c:numRef>
          </c:val>
          <c:smooth val="0"/>
          <c:extLst>
            <c:ext xmlns:c16="http://schemas.microsoft.com/office/drawing/2014/chart" uri="{C3380CC4-5D6E-409C-BE32-E72D297353CC}">
              <c16:uniqueId val="{00000000-7776-B04A-BAA6-45418E41D0E4}"/>
            </c:ext>
          </c:extLst>
        </c:ser>
        <c:ser>
          <c:idx val="1"/>
          <c:order val="1"/>
          <c:tx>
            <c:strRef>
              <c:f>'Financial Trend Analysis'!$A$23</c:f>
              <c:strCache>
                <c:ptCount val="1"/>
                <c:pt idx="0">
                  <c:v>Gucci operating margin</c:v>
                </c:pt>
              </c:strCache>
            </c:strRef>
          </c:tx>
          <c:spPr>
            <a:ln w="28575" cap="rnd">
              <a:solidFill>
                <a:srgbClr val="FF7B0B"/>
              </a:solidFill>
              <a:round/>
            </a:ln>
            <a:effectLst/>
          </c:spPr>
          <c:marker>
            <c:symbol val="circle"/>
            <c:size val="8"/>
            <c:spPr>
              <a:solidFill>
                <a:srgbClr val="C65A11"/>
              </a:solidFill>
              <a:ln w="9525">
                <a:solidFill>
                  <a:schemeClr val="accent2"/>
                </a:solidFill>
              </a:ln>
              <a:effectLst/>
            </c:spPr>
          </c:marker>
          <c:cat>
            <c:numRef>
              <c:f>('Financial Trend Analysis'!$B$21,'Financial Trend Analysis'!$C$21,'Financial Trend Analysis'!$D$21:$F$21)</c:f>
              <c:numCache>
                <c:formatCode>General</c:formatCode>
                <c:ptCount val="5"/>
                <c:pt idx="0">
                  <c:v>2021</c:v>
                </c:pt>
                <c:pt idx="1">
                  <c:v>2022</c:v>
                </c:pt>
                <c:pt idx="2">
                  <c:v>2023</c:v>
                </c:pt>
                <c:pt idx="3">
                  <c:v>2024</c:v>
                </c:pt>
                <c:pt idx="4">
                  <c:v>2025</c:v>
                </c:pt>
              </c:numCache>
            </c:numRef>
          </c:cat>
          <c:val>
            <c:numRef>
              <c:f>'Financial Trend Analysis'!$B$23:$F$23</c:f>
              <c:numCache>
                <c:formatCode>0.00%</c:formatCode>
                <c:ptCount val="5"/>
                <c:pt idx="0">
                  <c:v>0.3817696023019217</c:v>
                </c:pt>
                <c:pt idx="1">
                  <c:v>0.35586917135501095</c:v>
                </c:pt>
                <c:pt idx="2">
                  <c:v>0.33059860224855669</c:v>
                </c:pt>
                <c:pt idx="3">
                  <c:v>0.20980392156862746</c:v>
                </c:pt>
                <c:pt idx="4">
                  <c:v>0.16121495327102803</c:v>
                </c:pt>
              </c:numCache>
            </c:numRef>
          </c:val>
          <c:smooth val="0"/>
          <c:extLst>
            <c:ext xmlns:c16="http://schemas.microsoft.com/office/drawing/2014/chart" uri="{C3380CC4-5D6E-409C-BE32-E72D297353CC}">
              <c16:uniqueId val="{00000001-7776-B04A-BAA6-45418E41D0E4}"/>
            </c:ext>
          </c:extLst>
        </c:ser>
        <c:dLbls>
          <c:showLegendKey val="0"/>
          <c:showVal val="0"/>
          <c:showCatName val="0"/>
          <c:showSerName val="0"/>
          <c:showPercent val="0"/>
          <c:showBubbleSize val="0"/>
        </c:dLbls>
        <c:marker val="1"/>
        <c:smooth val="0"/>
        <c:axId val="1682676287"/>
        <c:axId val="1689211711"/>
      </c:lineChart>
      <c:catAx>
        <c:axId val="168267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9211711"/>
        <c:crosses val="autoZero"/>
        <c:auto val="1"/>
        <c:lblAlgn val="ctr"/>
        <c:lblOffset val="100"/>
        <c:noMultiLvlLbl val="0"/>
      </c:catAx>
      <c:valAx>
        <c:axId val="168921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2676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effectLst/>
              </a:rPr>
              <a:t>ROE and ROIC</a:t>
            </a:r>
            <a:r>
              <a:rPr lang="en-IN" b="1" i="0" baseline="0">
                <a:effectLst/>
              </a:rPr>
              <a:t> - </a:t>
            </a:r>
            <a:r>
              <a:rPr lang="en-IN" b="1" i="0">
                <a:effectLst/>
              </a:rPr>
              <a:t>both near zero by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'Returns &amp; Efficiency Analysis'!$A$5</c:f>
              <c:strCache>
                <c:ptCount val="1"/>
                <c:pt idx="0">
                  <c:v>ROE</c:v>
                </c:pt>
              </c:strCache>
            </c:strRef>
          </c:tx>
          <c:spPr>
            <a:ln w="28575" cap="rnd">
              <a:solidFill>
                <a:srgbClr val="178BBE"/>
              </a:solidFill>
              <a:round/>
            </a:ln>
            <a:effectLst/>
          </c:spPr>
          <c:marker>
            <c:symbol val="circle"/>
            <c:size val="8"/>
            <c:spPr>
              <a:solidFill>
                <a:schemeClr val="accent1"/>
              </a:solidFill>
              <a:ln w="9525">
                <a:solidFill>
                  <a:schemeClr val="accent1"/>
                </a:solidFill>
              </a:ln>
              <a:effectLst/>
            </c:spPr>
          </c:marker>
          <c:cat>
            <c:numRef>
              <c:f>'Returns &amp; Efficiency Analysis'!$B$2:$F$2</c:f>
              <c:numCache>
                <c:formatCode>General</c:formatCode>
                <c:ptCount val="5"/>
                <c:pt idx="0">
                  <c:v>2021</c:v>
                </c:pt>
                <c:pt idx="1">
                  <c:v>2022</c:v>
                </c:pt>
                <c:pt idx="2">
                  <c:v>2023</c:v>
                </c:pt>
                <c:pt idx="3">
                  <c:v>2024</c:v>
                </c:pt>
                <c:pt idx="4">
                  <c:v>2025</c:v>
                </c:pt>
              </c:numCache>
            </c:numRef>
          </c:cat>
          <c:val>
            <c:numRef>
              <c:f>'Returns &amp; Efficiency Analysis'!$B$5:$F$5</c:f>
              <c:numCache>
                <c:formatCode>0.00%</c:formatCode>
                <c:ptCount val="5"/>
                <c:pt idx="0">
                  <c:v>0.25238397965670695</c:v>
                </c:pt>
                <c:pt idx="1">
                  <c:v>0.26432620223075515</c:v>
                </c:pt>
                <c:pt idx="2">
                  <c:v>0.20424512153372132</c:v>
                </c:pt>
                <c:pt idx="3">
                  <c:v>7.5242396068535E-2</c:v>
                </c:pt>
                <c:pt idx="4">
                  <c:v>4.8632218844984806E-3</c:v>
                </c:pt>
              </c:numCache>
            </c:numRef>
          </c:val>
          <c:smooth val="0"/>
          <c:extLst>
            <c:ext xmlns:c16="http://schemas.microsoft.com/office/drawing/2014/chart" uri="{C3380CC4-5D6E-409C-BE32-E72D297353CC}">
              <c16:uniqueId val="{00000000-3DDF-F644-A059-485F35FDFF70}"/>
            </c:ext>
          </c:extLst>
        </c:ser>
        <c:ser>
          <c:idx val="1"/>
          <c:order val="1"/>
          <c:tx>
            <c:strRef>
              <c:f>'Returns &amp; Efficiency Analysis'!$A$23</c:f>
              <c:strCache>
                <c:ptCount val="1"/>
                <c:pt idx="0">
                  <c:v>ROIC</c:v>
                </c:pt>
              </c:strCache>
            </c:strRef>
          </c:tx>
          <c:spPr>
            <a:ln w="28575" cap="rnd">
              <a:solidFill>
                <a:srgbClr val="FF7B0B"/>
              </a:solidFill>
              <a:round/>
            </a:ln>
            <a:effectLst/>
          </c:spPr>
          <c:marker>
            <c:symbol val="circle"/>
            <c:size val="8"/>
            <c:spPr>
              <a:solidFill>
                <a:srgbClr val="C65A11"/>
              </a:solidFill>
              <a:ln w="9525">
                <a:solidFill>
                  <a:schemeClr val="accent2"/>
                </a:solidFill>
              </a:ln>
              <a:effectLst/>
            </c:spPr>
          </c:marker>
          <c:cat>
            <c:numRef>
              <c:f>'Returns &amp; Efficiency Analysis'!$B$2:$F$2</c:f>
              <c:numCache>
                <c:formatCode>General</c:formatCode>
                <c:ptCount val="5"/>
                <c:pt idx="0">
                  <c:v>2021</c:v>
                </c:pt>
                <c:pt idx="1">
                  <c:v>2022</c:v>
                </c:pt>
                <c:pt idx="2">
                  <c:v>2023</c:v>
                </c:pt>
                <c:pt idx="3">
                  <c:v>2024</c:v>
                </c:pt>
                <c:pt idx="4">
                  <c:v>2025</c:v>
                </c:pt>
              </c:numCache>
            </c:numRef>
          </c:cat>
          <c:val>
            <c:numRef>
              <c:f>'Returns &amp; Efficiency Analysis'!$B$23:$F$23</c:f>
              <c:numCache>
                <c:formatCode>0.00%</c:formatCode>
                <c:ptCount val="5"/>
                <c:pt idx="0">
                  <c:v>0.24492116906013128</c:v>
                </c:pt>
                <c:pt idx="1">
                  <c:v>0.25186173232385528</c:v>
                </c:pt>
                <c:pt idx="2">
                  <c:v>0.16188035105025309</c:v>
                </c:pt>
                <c:pt idx="3">
                  <c:v>6.1725736313510395E-2</c:v>
                </c:pt>
                <c:pt idx="4">
                  <c:v>9.1891556208278484E-3</c:v>
                </c:pt>
              </c:numCache>
            </c:numRef>
          </c:val>
          <c:smooth val="0"/>
          <c:extLst>
            <c:ext xmlns:c16="http://schemas.microsoft.com/office/drawing/2014/chart" uri="{C3380CC4-5D6E-409C-BE32-E72D297353CC}">
              <c16:uniqueId val="{00000001-3DDF-F644-A059-485F35FDFF70}"/>
            </c:ext>
          </c:extLst>
        </c:ser>
        <c:dLbls>
          <c:showLegendKey val="0"/>
          <c:showVal val="0"/>
          <c:showCatName val="0"/>
          <c:showSerName val="0"/>
          <c:showPercent val="0"/>
          <c:showBubbleSize val="0"/>
        </c:dLbls>
        <c:marker val="1"/>
        <c:smooth val="0"/>
        <c:axId val="1675384959"/>
        <c:axId val="1675388095"/>
      </c:lineChart>
      <c:catAx>
        <c:axId val="167538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75388095"/>
        <c:crosses val="autoZero"/>
        <c:auto val="1"/>
        <c:lblAlgn val="ctr"/>
        <c:lblOffset val="100"/>
        <c:noMultiLvlLbl val="0"/>
      </c:catAx>
      <c:valAx>
        <c:axId val="1675388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75384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5.png"/><Relationship Id="rId3" Type="http://schemas.openxmlformats.org/officeDocument/2006/relationships/customXml" Target="../ink/ink2.xml"/><Relationship Id="rId7" Type="http://schemas.openxmlformats.org/officeDocument/2006/relationships/chart" Target="../charts/chart9.xml"/><Relationship Id="rId12" Type="http://schemas.openxmlformats.org/officeDocument/2006/relationships/customXml" Target="../ink/ink3.xml"/><Relationship Id="rId2" Type="http://schemas.openxmlformats.org/officeDocument/2006/relationships/image" Target="../media/image3.png"/><Relationship Id="rId1" Type="http://schemas.openxmlformats.org/officeDocument/2006/relationships/customXml" Target="../ink/ink1.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12700</xdr:rowOff>
    </xdr:from>
    <xdr:to>
      <xdr:col>22</xdr:col>
      <xdr:colOff>79606</xdr:colOff>
      <xdr:row>52</xdr:row>
      <xdr:rowOff>101600</xdr:rowOff>
    </xdr:to>
    <xdr:grpSp>
      <xdr:nvGrpSpPr>
        <xdr:cNvPr id="16" name="Group 15">
          <a:extLst>
            <a:ext uri="{FF2B5EF4-FFF2-40B4-BE49-F238E27FC236}">
              <a16:creationId xmlns:a16="http://schemas.microsoft.com/office/drawing/2014/main" id="{547C4D73-D235-8D5B-DC7B-A9F22134BCA8}"/>
            </a:ext>
          </a:extLst>
        </xdr:cNvPr>
        <xdr:cNvGrpSpPr/>
      </xdr:nvGrpSpPr>
      <xdr:grpSpPr>
        <a:xfrm>
          <a:off x="25400" y="12700"/>
          <a:ext cx="18215206" cy="10655300"/>
          <a:chOff x="25400" y="0"/>
          <a:chExt cx="18215206" cy="10655300"/>
        </a:xfrm>
      </xdr:grpSpPr>
      <xdr:pic>
        <xdr:nvPicPr>
          <xdr:cNvPr id="3" name="Picture 2">
            <a:extLst>
              <a:ext uri="{FF2B5EF4-FFF2-40B4-BE49-F238E27FC236}">
                <a16:creationId xmlns:a16="http://schemas.microsoft.com/office/drawing/2014/main" id="{193C33AC-DFC9-DAC4-9A5F-E7C73CC9A625}"/>
              </a:ext>
            </a:extLst>
          </xdr:cNvPr>
          <xdr:cNvPicPr>
            <a:picLocks noChangeAspect="1"/>
          </xdr:cNvPicPr>
        </xdr:nvPicPr>
        <xdr:blipFill rotWithShape="1">
          <a:blip xmlns:r="http://schemas.openxmlformats.org/officeDocument/2006/relationships" r:embed="rId1">
            <a:alphaModFix amt="85000"/>
            <a:extLst>
              <a:ext uri="{28A0092B-C50C-407E-A947-70E740481C1C}">
                <a14:useLocalDpi xmlns:a14="http://schemas.microsoft.com/office/drawing/2010/main" val="0"/>
              </a:ext>
            </a:extLst>
          </a:blip>
          <a:srcRect t="12255"/>
          <a:stretch>
            <a:fillRect/>
          </a:stretch>
        </xdr:blipFill>
        <xdr:spPr>
          <a:xfrm>
            <a:off x="25400" y="0"/>
            <a:ext cx="18215206" cy="10655300"/>
          </a:xfrm>
          <a:prstGeom prst="rect">
            <a:avLst/>
          </a:prstGeom>
          <a:ln>
            <a:noFill/>
          </a:ln>
          <a:effectLst>
            <a:softEdge rad="112500"/>
          </a:effectLst>
        </xdr:spPr>
      </xdr:pic>
      <xdr:pic>
        <xdr:nvPicPr>
          <xdr:cNvPr id="5" name="Picture 4">
            <a:extLst>
              <a:ext uri="{FF2B5EF4-FFF2-40B4-BE49-F238E27FC236}">
                <a16:creationId xmlns:a16="http://schemas.microsoft.com/office/drawing/2014/main" id="{5D78E3C4-94B1-EC66-B6E0-4F5A5A06FC4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1041" b="3691"/>
          <a:stretch>
            <a:fillRect/>
          </a:stretch>
        </xdr:blipFill>
        <xdr:spPr>
          <a:xfrm>
            <a:off x="9880600" y="56195"/>
            <a:ext cx="8356600" cy="10510205"/>
          </a:xfrm>
          <a:prstGeom prst="rect">
            <a:avLst/>
          </a:prstGeom>
          <a:ln>
            <a:noFill/>
          </a:ln>
          <a:effectLst>
            <a:softEdge rad="112500"/>
          </a:effectLst>
        </xdr:spPr>
      </xdr:pic>
    </xdr:grpSp>
    <xdr:clientData/>
  </xdr:twoCellAnchor>
  <xdr:twoCellAnchor>
    <xdr:from>
      <xdr:col>0</xdr:col>
      <xdr:colOff>444500</xdr:colOff>
      <xdr:row>13</xdr:row>
      <xdr:rowOff>165100</xdr:rowOff>
    </xdr:from>
    <xdr:to>
      <xdr:col>0</xdr:col>
      <xdr:colOff>457200</xdr:colOff>
      <xdr:row>39</xdr:row>
      <xdr:rowOff>12700</xdr:rowOff>
    </xdr:to>
    <xdr:cxnSp macro="">
      <xdr:nvCxnSpPr>
        <xdr:cNvPr id="12" name="Straight Connector 11">
          <a:extLst>
            <a:ext uri="{FF2B5EF4-FFF2-40B4-BE49-F238E27FC236}">
              <a16:creationId xmlns:a16="http://schemas.microsoft.com/office/drawing/2014/main" id="{5D44C96B-D11E-BA07-4501-F6906A3B9D9A}"/>
            </a:ext>
          </a:extLst>
        </xdr:cNvPr>
        <xdr:cNvCxnSpPr/>
      </xdr:nvCxnSpPr>
      <xdr:spPr>
        <a:xfrm>
          <a:off x="444500" y="2806700"/>
          <a:ext cx="12700" cy="5130800"/>
        </a:xfrm>
        <a:prstGeom prst="line">
          <a:avLst/>
        </a:prstGeom>
        <a:ln w="28575">
          <a:solidFill>
            <a:srgbClr val="7D050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495300</xdr:colOff>
      <xdr:row>14</xdr:row>
      <xdr:rowOff>152400</xdr:rowOff>
    </xdr:from>
    <xdr:to>
      <xdr:col>11</xdr:col>
      <xdr:colOff>800100</xdr:colOff>
      <xdr:row>41</xdr:row>
      <xdr:rowOff>88900</xdr:rowOff>
    </xdr:to>
    <xdr:sp macro="" textlink="">
      <xdr:nvSpPr>
        <xdr:cNvPr id="13" name="TextBox 12">
          <a:extLst>
            <a:ext uri="{FF2B5EF4-FFF2-40B4-BE49-F238E27FC236}">
              <a16:creationId xmlns:a16="http://schemas.microsoft.com/office/drawing/2014/main" id="{988674AE-9490-1C3D-1166-672788DD1C5E}"/>
            </a:ext>
          </a:extLst>
        </xdr:cNvPr>
        <xdr:cNvSpPr txBox="1"/>
      </xdr:nvSpPr>
      <xdr:spPr>
        <a:xfrm>
          <a:off x="495300" y="2997200"/>
          <a:ext cx="9385300" cy="542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bg1"/>
              </a:solidFill>
              <a:latin typeface="+mj-lt"/>
              <a:cs typeface="Arial" panose="020B0604020202020204" pitchFamily="34" charset="0"/>
            </a:rPr>
            <a:t>Company:</a:t>
          </a:r>
          <a:r>
            <a:rPr lang="en-IN" sz="1600">
              <a:solidFill>
                <a:schemeClr val="bg1"/>
              </a:solidFill>
              <a:latin typeface="+mj-lt"/>
              <a:cs typeface="Arial" panose="020B0604020202020204" pitchFamily="34" charset="0"/>
            </a:rPr>
            <a:t> Kering</a:t>
          </a:r>
        </a:p>
        <a:p>
          <a:br>
            <a:rPr lang="en-IN" sz="1600">
              <a:solidFill>
                <a:schemeClr val="bg1"/>
              </a:solidFill>
              <a:latin typeface="+mj-lt"/>
              <a:cs typeface="Arial" panose="020B0604020202020204" pitchFamily="34" charset="0"/>
            </a:rPr>
          </a:br>
          <a:r>
            <a:rPr lang="en-IN" sz="1600" b="1">
              <a:solidFill>
                <a:schemeClr val="bg1"/>
              </a:solidFill>
              <a:latin typeface="+mj-lt"/>
              <a:cs typeface="Times New Roman" panose="02020603050405020304" pitchFamily="18" charset="0"/>
            </a:rPr>
            <a:t>Context: </a:t>
          </a:r>
          <a:r>
            <a:rPr lang="en-IN" sz="1400">
              <a:solidFill>
                <a:schemeClr val="bg1"/>
              </a:solidFill>
              <a:latin typeface="+mj-lt"/>
            </a:rPr>
            <a:t>The global luxury sector has slowed following the post pandemic boom, with weaker demand in China and more cautious spending among aspirational consumers. Industry reporting indicates that Kering has been particularly affected because Gucci has historically generated the largest share of the group’s revenue and operating profit.</a:t>
          </a:r>
        </a:p>
        <a:p>
          <a:endParaRPr lang="en-IN" sz="1600" b="1">
            <a:solidFill>
              <a:schemeClr val="bg1"/>
            </a:solidFill>
            <a:latin typeface="+mj-lt"/>
            <a:cs typeface="Times New Roman" panose="02020603050405020304" pitchFamily="18" charset="0"/>
          </a:endParaRPr>
        </a:p>
        <a:p>
          <a:pPr algn="l"/>
          <a:r>
            <a:rPr lang="en-IN" sz="1600" b="1">
              <a:solidFill>
                <a:schemeClr val="bg1"/>
              </a:solidFill>
              <a:latin typeface="+mj-lt"/>
              <a:cs typeface="Times New Roman" panose="02020603050405020304" pitchFamily="18" charset="0"/>
            </a:rPr>
            <a:t>1.Problem Statement</a:t>
          </a:r>
        </a:p>
        <a:p>
          <a:pPr algn="l"/>
          <a:r>
            <a:rPr lang="en-IN" sz="1400">
              <a:solidFill>
                <a:schemeClr val="bg1"/>
              </a:solidFill>
              <a:latin typeface="+mj-lt"/>
            </a:rPr>
            <a:t>Recent industry reports highlight that Gucci’s slowdown has had a significant impact on Kering’s overall financial performance. This raises concerns about the group’s dependence on a single brand and the implications for profitability and financial stability.</a:t>
          </a:r>
          <a:endParaRPr lang="en-IN" sz="1400">
            <a:solidFill>
              <a:schemeClr val="bg1"/>
            </a:solidFill>
            <a:latin typeface="+mj-lt"/>
            <a:cs typeface="Times New Roman" panose="02020603050405020304" pitchFamily="18" charset="0"/>
          </a:endParaRPr>
        </a:p>
        <a:p>
          <a:pPr algn="l"/>
          <a:endParaRPr lang="en-IN" sz="1600">
            <a:solidFill>
              <a:schemeClr val="bg1"/>
            </a:solidFill>
            <a:latin typeface="+mj-lt"/>
            <a:cs typeface="Times New Roman" panose="02020603050405020304" pitchFamily="18" charset="0"/>
          </a:endParaRPr>
        </a:p>
        <a:p>
          <a:pPr algn="l"/>
          <a:r>
            <a:rPr lang="en-IN" sz="1600" b="1">
              <a:solidFill>
                <a:schemeClr val="bg1"/>
              </a:solidFill>
              <a:latin typeface="+mj-lt"/>
              <a:cs typeface="Times New Roman" panose="02020603050405020304" pitchFamily="18" charset="0"/>
            </a:rPr>
            <a:t>2. Core Research Question</a:t>
          </a:r>
        </a:p>
        <a:p>
          <a:pPr algn="l"/>
          <a:r>
            <a:rPr lang="en-IN" sz="1400">
              <a:solidFill>
                <a:schemeClr val="bg1"/>
              </a:solidFill>
              <a:latin typeface="+mj-lt"/>
            </a:rPr>
            <a:t>To what extent does Gucci’s performance influence Kering’s overall financial performance and profitability?</a:t>
          </a:r>
        </a:p>
        <a:p>
          <a:pPr algn="l"/>
          <a:endParaRPr lang="en-IN" sz="1600">
            <a:solidFill>
              <a:schemeClr val="bg1"/>
            </a:solidFill>
            <a:latin typeface="+mj-lt"/>
            <a:cs typeface="Times New Roman" panose="02020603050405020304" pitchFamily="18" charset="0"/>
          </a:endParaRPr>
        </a:p>
        <a:p>
          <a:pPr algn="l"/>
          <a:r>
            <a:rPr lang="en-IN" sz="1600" b="1">
              <a:solidFill>
                <a:schemeClr val="bg1"/>
              </a:solidFill>
              <a:latin typeface="+mj-lt"/>
              <a:cs typeface="Times New Roman" panose="02020603050405020304" pitchFamily="18" charset="0"/>
            </a:rPr>
            <a:t>3. Analytical Objectives</a:t>
          </a:r>
        </a:p>
        <a:p>
          <a:r>
            <a:rPr lang="en-IN" sz="1400">
              <a:solidFill>
                <a:schemeClr val="bg1"/>
              </a:solidFill>
              <a:latin typeface="+mj-lt"/>
              <a:cs typeface="Times New Roman" panose="02020603050405020304" pitchFamily="18" charset="0"/>
            </a:rPr>
            <a:t>• </a:t>
          </a:r>
          <a:r>
            <a:rPr lang="en-IN" sz="1400">
              <a:solidFill>
                <a:schemeClr val="bg1"/>
              </a:solidFill>
              <a:latin typeface="+mj-lt"/>
            </a:rPr>
            <a:t>Analyze Kering’s financial performance using financial statement and ratio analysis.</a:t>
          </a:r>
        </a:p>
        <a:p>
          <a:r>
            <a:rPr lang="en-IN" sz="1400">
              <a:solidFill>
                <a:schemeClr val="bg1"/>
              </a:solidFill>
              <a:latin typeface="+mj-lt"/>
              <a:ea typeface="+mn-ea"/>
              <a:cs typeface="Times New Roman" panose="02020603050405020304" pitchFamily="18" charset="0"/>
            </a:rPr>
            <a:t>• </a:t>
          </a:r>
          <a:r>
            <a:rPr lang="en-IN" sz="1400">
              <a:solidFill>
                <a:schemeClr val="bg1"/>
              </a:solidFill>
              <a:latin typeface="+mj-lt"/>
            </a:rPr>
            <a:t>Evaluate Gucci’s contribution to Kering’s revenue and operating profitability.</a:t>
          </a:r>
        </a:p>
        <a:p>
          <a:r>
            <a:rPr lang="en-IN" sz="1400">
              <a:solidFill>
                <a:schemeClr val="bg1"/>
              </a:solidFill>
              <a:latin typeface="+mj-lt"/>
              <a:ea typeface="+mn-ea"/>
              <a:cs typeface="Times New Roman" panose="02020603050405020304" pitchFamily="18" charset="0"/>
            </a:rPr>
            <a:t>• </a:t>
          </a:r>
          <a:r>
            <a:rPr lang="en-IN" sz="1400">
              <a:solidFill>
                <a:schemeClr val="bg1"/>
              </a:solidFill>
              <a:latin typeface="+mj-lt"/>
            </a:rPr>
            <a:t>Examine trends in margins and profitability across the group.</a:t>
          </a:r>
        </a:p>
        <a:p>
          <a:r>
            <a:rPr lang="en-IN" sz="1400">
              <a:solidFill>
                <a:schemeClr val="bg1"/>
              </a:solidFill>
              <a:latin typeface="+mj-lt"/>
              <a:ea typeface="+mn-ea"/>
              <a:cs typeface="Times New Roman" panose="02020603050405020304" pitchFamily="18" charset="0"/>
            </a:rPr>
            <a:t>• </a:t>
          </a:r>
          <a:r>
            <a:rPr lang="en-IN" sz="1400">
              <a:solidFill>
                <a:schemeClr val="bg1"/>
              </a:solidFill>
              <a:latin typeface="+mj-lt"/>
            </a:rPr>
            <a:t>Develop a simple forecast of Kering’s financial performance using historical financial data.</a:t>
          </a:r>
        </a:p>
        <a:p>
          <a:r>
            <a:rPr lang="en-IN" sz="1400">
              <a:solidFill>
                <a:schemeClr val="bg1"/>
              </a:solidFill>
              <a:latin typeface="+mj-lt"/>
              <a:ea typeface="+mn-ea"/>
              <a:cs typeface="Times New Roman" panose="02020603050405020304" pitchFamily="18" charset="0"/>
            </a:rPr>
            <a:t>• </a:t>
          </a:r>
          <a:r>
            <a:rPr lang="en-IN" sz="1400">
              <a:solidFill>
                <a:schemeClr val="bg1"/>
              </a:solidFill>
              <a:latin typeface="+mj-lt"/>
            </a:rPr>
            <a:t>Assess the financial implications of Kering’s dependence on Gucci for future performance.</a:t>
          </a:r>
        </a:p>
        <a:p>
          <a:br>
            <a:rPr lang="en-IN" sz="1400">
              <a:solidFill>
                <a:schemeClr val="bg1"/>
              </a:solidFill>
              <a:latin typeface="+mj-lt"/>
              <a:cs typeface="Arial" panose="020B0604020202020204" pitchFamily="34" charset="0"/>
            </a:rPr>
          </a:br>
          <a:endParaRPr lang="en-IN" sz="1400">
            <a:solidFill>
              <a:schemeClr val="bg1"/>
            </a:solidFill>
            <a:latin typeface="+mj-lt"/>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282795</xdr:colOff>
      <xdr:row>3</xdr:row>
      <xdr:rowOff>378</xdr:rowOff>
    </xdr:from>
    <xdr:to>
      <xdr:col>14</xdr:col>
      <xdr:colOff>314357</xdr:colOff>
      <xdr:row>5</xdr:row>
      <xdr:rowOff>114678</xdr:rowOff>
    </xdr:to>
    <xdr:sp macro="" textlink="">
      <xdr:nvSpPr>
        <xdr:cNvPr id="2" name="TextBox 1">
          <a:extLst>
            <a:ext uri="{FF2B5EF4-FFF2-40B4-BE49-F238E27FC236}">
              <a16:creationId xmlns:a16="http://schemas.microsoft.com/office/drawing/2014/main" id="{0C200628-3B8F-4AFA-F522-2056931B7879}"/>
            </a:ext>
          </a:extLst>
        </xdr:cNvPr>
        <xdr:cNvSpPr txBox="1"/>
      </xdr:nvSpPr>
      <xdr:spPr>
        <a:xfrm>
          <a:off x="9083895" y="838578"/>
          <a:ext cx="6635562" cy="6731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b="1">
              <a:solidFill>
                <a:schemeClr val="tx1">
                  <a:lumMod val="75000"/>
                  <a:lumOff val="25000"/>
                </a:schemeClr>
              </a:solidFill>
            </a:rPr>
            <a:t>1. Brand Concentration</a:t>
          </a:r>
        </a:p>
        <a:p>
          <a:pPr lvl="0"/>
          <a:r>
            <a:rPr lang="en-IN" sz="400" b="1">
              <a:solidFill>
                <a:schemeClr val="tx1">
                  <a:lumMod val="75000"/>
                  <a:lumOff val="25000"/>
                </a:schemeClr>
              </a:solidFill>
            </a:rPr>
            <a:t>.</a:t>
          </a:r>
          <a:br>
            <a:rPr lang="en-IN">
              <a:solidFill>
                <a:schemeClr val="tx1">
                  <a:lumMod val="75000"/>
                  <a:lumOff val="25000"/>
                </a:schemeClr>
              </a:solidFill>
            </a:rPr>
          </a:br>
          <a:r>
            <a:rPr lang="en-IN" b="1">
              <a:solidFill>
                <a:schemeClr val="tx1">
                  <a:lumMod val="75000"/>
                  <a:lumOff val="25000"/>
                </a:schemeClr>
              </a:solidFill>
            </a:rPr>
            <a:t>Kering remains highly dependent on Gucci.</a:t>
          </a:r>
          <a:endParaRPr lang="en-IN" b="0">
            <a:solidFill>
              <a:schemeClr val="tx1">
                <a:lumMod val="75000"/>
                <a:lumOff val="25000"/>
              </a:schemeClr>
            </a:solidFill>
          </a:endParaRPr>
        </a:p>
        <a:p>
          <a:pPr lvl="0"/>
          <a:r>
            <a:rPr lang="en-IN" sz="1100">
              <a:solidFill>
                <a:schemeClr val="tx1">
                  <a:lumMod val="75000"/>
                  <a:lumOff val="25000"/>
                </a:schemeClr>
              </a:solidFill>
              <a:latin typeface="+mn-lt"/>
              <a:ea typeface="+mn-ea"/>
              <a:cs typeface="Arial" panose="020B0604020202020204" pitchFamily="34" charset="0"/>
            </a:rPr>
            <a:t>•  </a:t>
          </a:r>
          <a:r>
            <a:rPr lang="en-IN">
              <a:solidFill>
                <a:schemeClr val="tx1">
                  <a:lumMod val="75000"/>
                  <a:lumOff val="25000"/>
                </a:schemeClr>
              </a:solidFill>
            </a:rPr>
            <a:t>Although its revenue share declined from </a:t>
          </a:r>
          <a:r>
            <a:rPr lang="en-IN" b="1">
              <a:solidFill>
                <a:schemeClr val="tx1">
                  <a:lumMod val="75000"/>
                  <a:lumOff val="25000"/>
                </a:schemeClr>
              </a:solidFill>
            </a:rPr>
            <a:t>55% to 41%</a:t>
          </a:r>
          <a:r>
            <a:rPr lang="en-IN">
              <a:solidFill>
                <a:schemeClr val="tx1">
                  <a:lumMod val="75000"/>
                  <a:lumOff val="25000"/>
                </a:schemeClr>
              </a:solidFill>
            </a:rPr>
            <a:t>, it remains the largest contributor.</a:t>
          </a:r>
        </a:p>
        <a:p>
          <a:endParaRPr lang="en-GB" sz="1100">
            <a:solidFill>
              <a:schemeClr val="tx1">
                <a:lumMod val="75000"/>
                <a:lumOff val="25000"/>
              </a:schemeClr>
            </a:solidFill>
          </a:endParaRPr>
        </a:p>
      </xdr:txBody>
    </xdr:sp>
    <xdr:clientData/>
  </xdr:twoCellAnchor>
  <xdr:twoCellAnchor>
    <xdr:from>
      <xdr:col>6</xdr:col>
      <xdr:colOff>307944</xdr:colOff>
      <xdr:row>11</xdr:row>
      <xdr:rowOff>203075</xdr:rowOff>
    </xdr:from>
    <xdr:to>
      <xdr:col>14</xdr:col>
      <xdr:colOff>339505</xdr:colOff>
      <xdr:row>14</xdr:row>
      <xdr:rowOff>76075</xdr:rowOff>
    </xdr:to>
    <xdr:sp macro="" textlink="">
      <xdr:nvSpPr>
        <xdr:cNvPr id="3" name="TextBox 2">
          <a:extLst>
            <a:ext uri="{FF2B5EF4-FFF2-40B4-BE49-F238E27FC236}">
              <a16:creationId xmlns:a16="http://schemas.microsoft.com/office/drawing/2014/main" id="{FFB08AC8-772F-B74F-A11A-CF6200A403E5}"/>
            </a:ext>
          </a:extLst>
        </xdr:cNvPr>
        <xdr:cNvSpPr txBox="1"/>
      </xdr:nvSpPr>
      <xdr:spPr>
        <a:xfrm>
          <a:off x="9109044" y="3047875"/>
          <a:ext cx="10483661" cy="4826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tx1">
                  <a:lumMod val="75000"/>
                  <a:lumOff val="25000"/>
                </a:schemeClr>
              </a:solidFill>
            </a:rPr>
            <a:t>2. Profit Concentration</a:t>
          </a:r>
        </a:p>
        <a:p>
          <a:endParaRPr lang="en-IN" sz="400">
            <a:solidFill>
              <a:schemeClr val="tx1">
                <a:lumMod val="75000"/>
                <a:lumOff val="25000"/>
              </a:schemeClr>
            </a:solidFill>
          </a:endParaRPr>
        </a:p>
        <a:p>
          <a:r>
            <a:rPr lang="en-IN"/>
            <a:t>Gucci continues to generate the </a:t>
          </a:r>
          <a:r>
            <a:rPr lang="en-IN" b="1"/>
            <a:t>majority </a:t>
          </a:r>
          <a:r>
            <a:rPr lang="en-IN"/>
            <a:t>of group operating income (</a:t>
          </a:r>
          <a:r>
            <a:rPr lang="en-IN" b="1"/>
            <a:t>59%</a:t>
          </a:r>
          <a:r>
            <a:rPr lang="en-IN" b="0"/>
            <a:t>), </a:t>
          </a:r>
          <a:r>
            <a:rPr lang="en-IN"/>
            <a:t>indicating significant profit concentration</a:t>
          </a:r>
          <a:r>
            <a:rPr lang="en-IN">
              <a:solidFill>
                <a:schemeClr val="tx1">
                  <a:lumMod val="75000"/>
                  <a:lumOff val="25000"/>
                </a:schemeClr>
              </a:solidFill>
            </a:rPr>
            <a:t>.</a:t>
          </a:r>
        </a:p>
      </xdr:txBody>
    </xdr:sp>
    <xdr:clientData/>
  </xdr:twoCellAnchor>
  <xdr:twoCellAnchor>
    <xdr:from>
      <xdr:col>6</xdr:col>
      <xdr:colOff>307943</xdr:colOff>
      <xdr:row>28</xdr:row>
      <xdr:rowOff>101852</xdr:rowOff>
    </xdr:from>
    <xdr:to>
      <xdr:col>14</xdr:col>
      <xdr:colOff>339504</xdr:colOff>
      <xdr:row>31</xdr:row>
      <xdr:rowOff>252</xdr:rowOff>
    </xdr:to>
    <xdr:sp macro="" textlink="">
      <xdr:nvSpPr>
        <xdr:cNvPr id="4" name="TextBox 3">
          <a:extLst>
            <a:ext uri="{FF2B5EF4-FFF2-40B4-BE49-F238E27FC236}">
              <a16:creationId xmlns:a16="http://schemas.microsoft.com/office/drawing/2014/main" id="{C9DF39FB-5B2A-7044-8822-0282553BC8F5}"/>
            </a:ext>
          </a:extLst>
        </xdr:cNvPr>
        <xdr:cNvSpPr txBox="1"/>
      </xdr:nvSpPr>
      <xdr:spPr>
        <a:xfrm>
          <a:off x="9109043" y="5308852"/>
          <a:ext cx="10039161" cy="5080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tx1">
                  <a:lumMod val="75000"/>
                  <a:lumOff val="25000"/>
                </a:schemeClr>
              </a:solidFill>
            </a:rPr>
            <a:t>3. Margin Deterioration at Gucci</a:t>
          </a:r>
        </a:p>
        <a:p>
          <a:r>
            <a:rPr lang="en-IN" sz="400" b="1">
              <a:solidFill>
                <a:schemeClr val="tx1">
                  <a:lumMod val="75000"/>
                  <a:lumOff val="25000"/>
                </a:schemeClr>
              </a:solidFill>
            </a:rPr>
            <a:t>.</a:t>
          </a:r>
          <a:endParaRPr lang="en-IN" sz="400">
            <a:solidFill>
              <a:schemeClr val="tx1">
                <a:lumMod val="75000"/>
                <a:lumOff val="25000"/>
              </a:schemeClr>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IN">
              <a:solidFill>
                <a:schemeClr val="tx1">
                  <a:lumMod val="75000"/>
                  <a:lumOff val="25000"/>
                </a:schemeClr>
              </a:solidFill>
            </a:rPr>
            <a:t>Gucci has the </a:t>
          </a:r>
          <a:r>
            <a:rPr lang="en-IN" b="1">
              <a:solidFill>
                <a:schemeClr val="tx1">
                  <a:lumMod val="75000"/>
                  <a:lumOff val="25000"/>
                </a:schemeClr>
              </a:solidFill>
            </a:rPr>
            <a:t>highest margins</a:t>
          </a:r>
          <a:r>
            <a:rPr lang="en-IN">
              <a:solidFill>
                <a:schemeClr val="tx1">
                  <a:lumMod val="75000"/>
                  <a:lumOff val="25000"/>
                </a:schemeClr>
              </a:solidFill>
            </a:rPr>
            <a:t>, but its decline from </a:t>
          </a:r>
          <a:r>
            <a:rPr lang="en-IN" b="1">
              <a:solidFill>
                <a:schemeClr val="tx1">
                  <a:lumMod val="75000"/>
                  <a:lumOff val="25000"/>
                </a:schemeClr>
              </a:solidFill>
            </a:rPr>
            <a:t>38% to 16%</a:t>
          </a:r>
          <a:r>
            <a:rPr lang="en-IN">
              <a:solidFill>
                <a:schemeClr val="tx1">
                  <a:lumMod val="75000"/>
                  <a:lumOff val="25000"/>
                </a:schemeClr>
              </a:solidFill>
            </a:rPr>
            <a:t> is driving Kering’s margin drop from </a:t>
          </a:r>
          <a:r>
            <a:rPr lang="en-IN" b="1">
              <a:solidFill>
                <a:schemeClr val="tx1">
                  <a:lumMod val="75000"/>
                  <a:lumOff val="25000"/>
                </a:schemeClr>
              </a:solidFill>
            </a:rPr>
            <a:t>27% to 7%</a:t>
          </a:r>
          <a:r>
            <a:rPr lang="en-IN">
              <a:solidFill>
                <a:schemeClr val="tx1">
                  <a:lumMod val="75000"/>
                  <a:lumOff val="25000"/>
                </a:schemeClr>
              </a:solidFill>
            </a:rPr>
            <a:t>.</a:t>
          </a:r>
        </a:p>
      </xdr:txBody>
    </xdr:sp>
    <xdr:clientData/>
  </xdr:twoCellAnchor>
  <xdr:twoCellAnchor>
    <xdr:from>
      <xdr:col>6</xdr:col>
      <xdr:colOff>336484</xdr:colOff>
      <xdr:row>20</xdr:row>
      <xdr:rowOff>60378</xdr:rowOff>
    </xdr:from>
    <xdr:to>
      <xdr:col>14</xdr:col>
      <xdr:colOff>371439</xdr:colOff>
      <xdr:row>22</xdr:row>
      <xdr:rowOff>231595</xdr:rowOff>
    </xdr:to>
    <xdr:sp macro="" textlink="">
      <xdr:nvSpPr>
        <xdr:cNvPr id="5" name="TextBox 4">
          <a:extLst>
            <a:ext uri="{FF2B5EF4-FFF2-40B4-BE49-F238E27FC236}">
              <a16:creationId xmlns:a16="http://schemas.microsoft.com/office/drawing/2014/main" id="{60FEE7E7-8137-4E43-8894-190DF5C00619}"/>
            </a:ext>
          </a:extLst>
        </xdr:cNvPr>
        <xdr:cNvSpPr txBox="1"/>
      </xdr:nvSpPr>
      <xdr:spPr>
        <a:xfrm>
          <a:off x="9354911" y="4740827"/>
          <a:ext cx="6656079" cy="742004"/>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4. Earnings Concentration Risk</a:t>
          </a:r>
        </a:p>
        <a:p>
          <a:r>
            <a:rPr lang="en-IN" sz="400">
              <a:solidFill>
                <a:schemeClr val="bg2"/>
              </a:solidFill>
            </a:rPr>
            <a:t>.</a:t>
          </a:r>
        </a:p>
        <a:p>
          <a:r>
            <a:rPr lang="en-IN"/>
            <a:t>Gucci drives </a:t>
          </a:r>
          <a:r>
            <a:rPr lang="en-IN" b="1"/>
            <a:t>73% </a:t>
          </a:r>
          <a:r>
            <a:rPr lang="en-IN"/>
            <a:t>of the </a:t>
          </a:r>
          <a:r>
            <a:rPr lang="en-IN" b="1"/>
            <a:t>operating income decline</a:t>
          </a:r>
          <a:r>
            <a:rPr lang="en-IN"/>
            <a:t>, highlighting high dependence on a single brand.</a:t>
          </a:r>
          <a:endParaRPr lang="en-IN">
            <a:solidFill>
              <a:schemeClr val="tx1">
                <a:lumMod val="75000"/>
                <a:lumOff val="2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0</xdr:rowOff>
    </xdr:from>
    <xdr:to>
      <xdr:col>3</xdr:col>
      <xdr:colOff>12700</xdr:colOff>
      <xdr:row>17</xdr:row>
      <xdr:rowOff>25400</xdr:rowOff>
    </xdr:to>
    <xdr:graphicFrame macro="">
      <xdr:nvGraphicFramePr>
        <xdr:cNvPr id="2" name="Chart 1">
          <a:extLst>
            <a:ext uri="{FF2B5EF4-FFF2-40B4-BE49-F238E27FC236}">
              <a16:creationId xmlns:a16="http://schemas.microsoft.com/office/drawing/2014/main" id="{A780002F-C6F4-B493-B79C-1E9BE294C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6</xdr:row>
      <xdr:rowOff>0</xdr:rowOff>
    </xdr:from>
    <xdr:to>
      <xdr:col>10</xdr:col>
      <xdr:colOff>50800</xdr:colOff>
      <xdr:row>17</xdr:row>
      <xdr:rowOff>25400</xdr:rowOff>
    </xdr:to>
    <xdr:graphicFrame macro="">
      <xdr:nvGraphicFramePr>
        <xdr:cNvPr id="3" name="Chart 2">
          <a:extLst>
            <a:ext uri="{FF2B5EF4-FFF2-40B4-BE49-F238E27FC236}">
              <a16:creationId xmlns:a16="http://schemas.microsoft.com/office/drawing/2014/main" id="{726964B5-8A66-4571-9000-396E5CDF9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190500</xdr:rowOff>
    </xdr:from>
    <xdr:to>
      <xdr:col>3</xdr:col>
      <xdr:colOff>12700</xdr:colOff>
      <xdr:row>35</xdr:row>
      <xdr:rowOff>12700</xdr:rowOff>
    </xdr:to>
    <xdr:graphicFrame macro="">
      <xdr:nvGraphicFramePr>
        <xdr:cNvPr id="4" name="Chart 3">
          <a:extLst>
            <a:ext uri="{FF2B5EF4-FFF2-40B4-BE49-F238E27FC236}">
              <a16:creationId xmlns:a16="http://schemas.microsoft.com/office/drawing/2014/main" id="{63189483-7E8A-273F-C42E-4C286B110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24</xdr:row>
      <xdr:rowOff>12700</xdr:rowOff>
    </xdr:from>
    <xdr:to>
      <xdr:col>10</xdr:col>
      <xdr:colOff>25400</xdr:colOff>
      <xdr:row>35</xdr:row>
      <xdr:rowOff>25400</xdr:rowOff>
    </xdr:to>
    <xdr:graphicFrame macro="">
      <xdr:nvGraphicFramePr>
        <xdr:cNvPr id="6" name="Chart 5">
          <a:extLst>
            <a:ext uri="{FF2B5EF4-FFF2-40B4-BE49-F238E27FC236}">
              <a16:creationId xmlns:a16="http://schemas.microsoft.com/office/drawing/2014/main" id="{4ADA521F-401E-9FCA-A692-CD83727D6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165100</xdr:colOff>
      <xdr:row>26</xdr:row>
      <xdr:rowOff>88900</xdr:rowOff>
    </xdr:from>
    <xdr:to>
      <xdr:col>12</xdr:col>
      <xdr:colOff>889000</xdr:colOff>
      <xdr:row>30</xdr:row>
      <xdr:rowOff>127000</xdr:rowOff>
    </xdr:to>
    <xdr:sp macro="" textlink="">
      <xdr:nvSpPr>
        <xdr:cNvPr id="9" name="TextBox 8">
          <a:extLst>
            <a:ext uri="{FF2B5EF4-FFF2-40B4-BE49-F238E27FC236}">
              <a16:creationId xmlns:a16="http://schemas.microsoft.com/office/drawing/2014/main" id="{DE4908FF-B2B5-8749-8A0F-2B6FD90E0E56}"/>
            </a:ext>
          </a:extLst>
        </xdr:cNvPr>
        <xdr:cNvSpPr txBox="1"/>
      </xdr:nvSpPr>
      <xdr:spPr>
        <a:xfrm>
          <a:off x="15201900" y="5854700"/>
          <a:ext cx="2527300" cy="8509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Operating margin declined from 27% to 7%, driven primarily by operating expenses rising from 46% to 62% of revenue.</a:t>
          </a:r>
          <a:endParaRPr lang="en-GB" sz="1100"/>
        </a:p>
      </xdr:txBody>
    </xdr:sp>
    <xdr:clientData/>
  </xdr:twoCellAnchor>
  <xdr:twoCellAnchor>
    <xdr:from>
      <xdr:col>3</xdr:col>
      <xdr:colOff>190500</xdr:colOff>
      <xdr:row>27</xdr:row>
      <xdr:rowOff>12700</xdr:rowOff>
    </xdr:from>
    <xdr:to>
      <xdr:col>6</xdr:col>
      <xdr:colOff>12700</xdr:colOff>
      <xdr:row>30</xdr:row>
      <xdr:rowOff>63500</xdr:rowOff>
    </xdr:to>
    <xdr:sp macro="" textlink="">
      <xdr:nvSpPr>
        <xdr:cNvPr id="5" name="TextBox 4">
          <a:extLst>
            <a:ext uri="{FF2B5EF4-FFF2-40B4-BE49-F238E27FC236}">
              <a16:creationId xmlns:a16="http://schemas.microsoft.com/office/drawing/2014/main" id="{65197A54-6949-FB40-B7AE-29D5271707F7}"/>
            </a:ext>
          </a:extLst>
        </xdr:cNvPr>
        <xdr:cNvSpPr txBox="1"/>
      </xdr:nvSpPr>
      <xdr:spPr>
        <a:xfrm>
          <a:off x="5956300" y="5981700"/>
          <a:ext cx="2438400" cy="6604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Gucci’s revenue and margin decline drive the overall deterioration in Kering’s performance.</a:t>
          </a:r>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12700</xdr:colOff>
      <xdr:row>3</xdr:row>
      <xdr:rowOff>25400</xdr:rowOff>
    </xdr:from>
    <xdr:to>
      <xdr:col>13</xdr:col>
      <xdr:colOff>800100</xdr:colOff>
      <xdr:row>5</xdr:row>
      <xdr:rowOff>50800</xdr:rowOff>
    </xdr:to>
    <xdr:sp macro="" textlink="">
      <xdr:nvSpPr>
        <xdr:cNvPr id="5" name="TextBox 4">
          <a:extLst>
            <a:ext uri="{FF2B5EF4-FFF2-40B4-BE49-F238E27FC236}">
              <a16:creationId xmlns:a16="http://schemas.microsoft.com/office/drawing/2014/main" id="{C4CFBB08-9ABA-56E6-70EC-CFBA65A289DD}"/>
            </a:ext>
          </a:extLst>
        </xdr:cNvPr>
        <xdr:cNvSpPr txBox="1"/>
      </xdr:nvSpPr>
      <xdr:spPr>
        <a:xfrm>
          <a:off x="8559800" y="749300"/>
          <a:ext cx="5791200" cy="5080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tx1">
                  <a:lumMod val="75000"/>
                  <a:lumOff val="25000"/>
                </a:schemeClr>
              </a:solidFill>
            </a:rPr>
            <a:t>1. Profitability Collapse (ROE)</a:t>
          </a:r>
        </a:p>
        <a:p>
          <a:r>
            <a:rPr lang="en-IN" sz="400">
              <a:solidFill>
                <a:schemeClr val="bg2"/>
              </a:solidFill>
            </a:rPr>
            <a:t>.</a:t>
          </a:r>
          <a:br>
            <a:rPr lang="en-IN">
              <a:solidFill>
                <a:schemeClr val="tx1">
                  <a:lumMod val="75000"/>
                  <a:lumOff val="25000"/>
                </a:schemeClr>
              </a:solidFill>
            </a:rPr>
          </a:br>
          <a:r>
            <a:rPr lang="en-IN">
              <a:solidFill>
                <a:schemeClr val="tx1">
                  <a:lumMod val="75000"/>
                  <a:lumOff val="25000"/>
                </a:schemeClr>
              </a:solidFill>
            </a:rPr>
            <a:t>ROE dropped sharply </a:t>
          </a:r>
          <a:r>
            <a:rPr lang="en-IN" b="1">
              <a:solidFill>
                <a:schemeClr val="tx1">
                  <a:lumMod val="75000"/>
                  <a:lumOff val="25000"/>
                </a:schemeClr>
              </a:solidFill>
            </a:rPr>
            <a:t>26% → 0%</a:t>
          </a:r>
          <a:r>
            <a:rPr lang="en-IN">
              <a:solidFill>
                <a:schemeClr val="tx1">
                  <a:lumMod val="75000"/>
                  <a:lumOff val="25000"/>
                </a:schemeClr>
              </a:solidFill>
            </a:rPr>
            <a:t>, indicating a major deterioration in shareholder returns.</a:t>
          </a:r>
          <a:endParaRPr lang="en-GB" sz="1100">
            <a:solidFill>
              <a:schemeClr val="tx1">
                <a:lumMod val="75000"/>
                <a:lumOff val="25000"/>
              </a:schemeClr>
            </a:solidFill>
          </a:endParaRPr>
        </a:p>
      </xdr:txBody>
    </xdr:sp>
    <xdr:clientData/>
  </xdr:twoCellAnchor>
  <xdr:twoCellAnchor>
    <xdr:from>
      <xdr:col>7</xdr:col>
      <xdr:colOff>25400</xdr:colOff>
      <xdr:row>8</xdr:row>
      <xdr:rowOff>25400</xdr:rowOff>
    </xdr:from>
    <xdr:to>
      <xdr:col>13</xdr:col>
      <xdr:colOff>812800</xdr:colOff>
      <xdr:row>10</xdr:row>
      <xdr:rowOff>50800</xdr:rowOff>
    </xdr:to>
    <xdr:sp macro="" textlink="">
      <xdr:nvSpPr>
        <xdr:cNvPr id="6" name="TextBox 5">
          <a:extLst>
            <a:ext uri="{FF2B5EF4-FFF2-40B4-BE49-F238E27FC236}">
              <a16:creationId xmlns:a16="http://schemas.microsoft.com/office/drawing/2014/main" id="{AC95ADCC-E84F-5946-B637-DB42AA627506}"/>
            </a:ext>
          </a:extLst>
        </xdr:cNvPr>
        <xdr:cNvSpPr txBox="1"/>
      </xdr:nvSpPr>
      <xdr:spPr>
        <a:xfrm>
          <a:off x="8572500" y="1955800"/>
          <a:ext cx="5791200" cy="5080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tx1">
                  <a:lumMod val="75000"/>
                  <a:lumOff val="25000"/>
                </a:schemeClr>
              </a:solidFill>
            </a:rPr>
            <a:t>2. Profitability Driver (DuPont)</a:t>
          </a:r>
        </a:p>
        <a:p>
          <a:r>
            <a:rPr lang="en-IN" sz="400" b="1">
              <a:solidFill>
                <a:schemeClr val="bg2"/>
              </a:solidFill>
            </a:rPr>
            <a:t>.</a:t>
          </a:r>
          <a:br>
            <a:rPr lang="en-IN">
              <a:solidFill>
                <a:schemeClr val="tx1">
                  <a:lumMod val="75000"/>
                  <a:lumOff val="25000"/>
                </a:schemeClr>
              </a:solidFill>
            </a:rPr>
          </a:br>
          <a:r>
            <a:rPr lang="en-IN">
              <a:solidFill>
                <a:schemeClr val="tx1">
                  <a:lumMod val="75000"/>
                  <a:lumOff val="25000"/>
                </a:schemeClr>
              </a:solidFill>
            </a:rPr>
            <a:t>The ROE decline is driven mainly by </a:t>
          </a:r>
          <a:r>
            <a:rPr lang="en-IN" b="1">
              <a:solidFill>
                <a:schemeClr val="tx1">
                  <a:lumMod val="75000"/>
                  <a:lumOff val="25000"/>
                </a:schemeClr>
              </a:solidFill>
            </a:rPr>
            <a:t>falling margins and weaker asset turnover</a:t>
          </a:r>
          <a:r>
            <a:rPr lang="en-IN">
              <a:solidFill>
                <a:schemeClr val="tx1">
                  <a:lumMod val="75000"/>
                  <a:lumOff val="25000"/>
                </a:schemeClr>
              </a:solidFill>
            </a:rPr>
            <a:t>, not leverage.</a:t>
          </a:r>
          <a:endParaRPr lang="en-GB" sz="1100">
            <a:solidFill>
              <a:schemeClr val="tx1">
                <a:lumMod val="75000"/>
                <a:lumOff val="25000"/>
              </a:schemeClr>
            </a:solidFill>
          </a:endParaRPr>
        </a:p>
      </xdr:txBody>
    </xdr:sp>
    <xdr:clientData/>
  </xdr:twoCellAnchor>
  <xdr:twoCellAnchor>
    <xdr:from>
      <xdr:col>7</xdr:col>
      <xdr:colOff>12700</xdr:colOff>
      <xdr:row>14</xdr:row>
      <xdr:rowOff>101600</xdr:rowOff>
    </xdr:from>
    <xdr:to>
      <xdr:col>13</xdr:col>
      <xdr:colOff>800100</xdr:colOff>
      <xdr:row>16</xdr:row>
      <xdr:rowOff>127000</xdr:rowOff>
    </xdr:to>
    <xdr:sp macro="" textlink="">
      <xdr:nvSpPr>
        <xdr:cNvPr id="9" name="TextBox 8">
          <a:extLst>
            <a:ext uri="{FF2B5EF4-FFF2-40B4-BE49-F238E27FC236}">
              <a16:creationId xmlns:a16="http://schemas.microsoft.com/office/drawing/2014/main" id="{8CCE27CF-1194-6A4E-9556-9BC4508B0817}"/>
            </a:ext>
          </a:extLst>
        </xdr:cNvPr>
        <xdr:cNvSpPr txBox="1"/>
      </xdr:nvSpPr>
      <xdr:spPr>
        <a:xfrm>
          <a:off x="8559800" y="3479800"/>
          <a:ext cx="5791200" cy="5080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tx1">
                  <a:lumMod val="75000"/>
                  <a:lumOff val="25000"/>
                </a:schemeClr>
              </a:solidFill>
            </a:rPr>
            <a:t>3. Margin Compression</a:t>
          </a:r>
        </a:p>
        <a:p>
          <a:pPr marL="0" marR="0" lvl="0" indent="0" defTabSz="914400" eaLnBrk="1" fontAlgn="auto" latinLnBrk="0" hangingPunct="1">
            <a:lnSpc>
              <a:spcPct val="100000"/>
            </a:lnSpc>
            <a:spcBef>
              <a:spcPts val="0"/>
            </a:spcBef>
            <a:spcAft>
              <a:spcPts val="0"/>
            </a:spcAft>
            <a:buClrTx/>
            <a:buSzTx/>
            <a:buFontTx/>
            <a:buNone/>
            <a:tabLst/>
            <a:defRPr/>
          </a:pPr>
          <a:r>
            <a:rPr lang="en-IN" sz="400" b="1">
              <a:solidFill>
                <a:schemeClr val="bg2"/>
              </a:solidFill>
            </a:rPr>
            <a:t>.</a:t>
          </a:r>
          <a:br>
            <a:rPr lang="en-IN">
              <a:solidFill>
                <a:schemeClr val="tx1">
                  <a:lumMod val="75000"/>
                  <a:lumOff val="25000"/>
                </a:schemeClr>
              </a:solidFill>
            </a:rPr>
          </a:br>
          <a:r>
            <a:rPr lang="en-IN"/>
            <a:t>Operating margin fell from </a:t>
          </a:r>
          <a:r>
            <a:rPr lang="en-IN" b="1"/>
            <a:t>27% to 7% </a:t>
          </a:r>
          <a:r>
            <a:rPr lang="en-IN"/>
            <a:t>as operating expenses increased and revenue weakened.</a:t>
          </a:r>
        </a:p>
        <a:p>
          <a:r>
            <a:rPr lang="en-IN">
              <a:solidFill>
                <a:schemeClr val="tx1">
                  <a:lumMod val="75000"/>
                  <a:lumOff val="25000"/>
                </a:schemeClr>
              </a:solidFill>
            </a:rPr>
            <a:t>.</a:t>
          </a:r>
          <a:endParaRPr lang="en-GB" sz="1100">
            <a:solidFill>
              <a:schemeClr val="tx1">
                <a:lumMod val="75000"/>
                <a:lumOff val="25000"/>
              </a:schemeClr>
            </a:solidFill>
          </a:endParaRPr>
        </a:p>
      </xdr:txBody>
    </xdr:sp>
    <xdr:clientData/>
  </xdr:twoCellAnchor>
  <xdr:twoCellAnchor>
    <xdr:from>
      <xdr:col>7</xdr:col>
      <xdr:colOff>12700</xdr:colOff>
      <xdr:row>21</xdr:row>
      <xdr:rowOff>25400</xdr:rowOff>
    </xdr:from>
    <xdr:to>
      <xdr:col>13</xdr:col>
      <xdr:colOff>800100</xdr:colOff>
      <xdr:row>23</xdr:row>
      <xdr:rowOff>50800</xdr:rowOff>
    </xdr:to>
    <xdr:sp macro="" textlink="">
      <xdr:nvSpPr>
        <xdr:cNvPr id="3" name="TextBox 2">
          <a:extLst>
            <a:ext uri="{FF2B5EF4-FFF2-40B4-BE49-F238E27FC236}">
              <a16:creationId xmlns:a16="http://schemas.microsoft.com/office/drawing/2014/main" id="{0E27E968-6A8B-0940-A89D-D2BA6CE677B1}"/>
            </a:ext>
          </a:extLst>
        </xdr:cNvPr>
        <xdr:cNvSpPr txBox="1"/>
      </xdr:nvSpPr>
      <xdr:spPr>
        <a:xfrm>
          <a:off x="8559800" y="5092700"/>
          <a:ext cx="5791200" cy="5080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4.</a:t>
          </a:r>
          <a:r>
            <a:rPr lang="en-IN"/>
            <a:t> </a:t>
          </a:r>
          <a:r>
            <a:rPr lang="en-IN" sz="1100" b="1" i="0" u="none" strike="noStrike">
              <a:solidFill>
                <a:schemeClr val="dk1"/>
              </a:solidFill>
              <a:effectLst/>
              <a:latin typeface="+mn-lt"/>
              <a:ea typeface="+mn-ea"/>
              <a:cs typeface="+mn-cs"/>
            </a:rPr>
            <a:t>Return on Invested Capital</a:t>
          </a:r>
          <a:r>
            <a:rPr lang="en-IN">
              <a:effectLst/>
            </a:rPr>
            <a:t> </a:t>
          </a:r>
        </a:p>
        <a:p>
          <a:endParaRPr lang="en-IN" sz="400"/>
        </a:p>
        <a:p>
          <a:r>
            <a:rPr lang="en-IN"/>
            <a:t>ROIC declined from 25% to 1%, reflecting deterioration in operating profitability.</a:t>
          </a:r>
          <a:endParaRPr lang="en-GB" sz="1100">
            <a:solidFill>
              <a:schemeClr val="tx1">
                <a:lumMod val="75000"/>
                <a:lumOff val="25000"/>
              </a:schemeClr>
            </a:solidFill>
          </a:endParaRPr>
        </a:p>
      </xdr:txBody>
    </xdr:sp>
    <xdr:clientData/>
  </xdr:twoCellAnchor>
  <xdr:twoCellAnchor>
    <xdr:from>
      <xdr:col>7</xdr:col>
      <xdr:colOff>25400</xdr:colOff>
      <xdr:row>27</xdr:row>
      <xdr:rowOff>190500</xdr:rowOff>
    </xdr:from>
    <xdr:to>
      <xdr:col>13</xdr:col>
      <xdr:colOff>812800</xdr:colOff>
      <xdr:row>29</xdr:row>
      <xdr:rowOff>215900</xdr:rowOff>
    </xdr:to>
    <xdr:sp macro="" textlink="">
      <xdr:nvSpPr>
        <xdr:cNvPr id="4" name="TextBox 3">
          <a:extLst>
            <a:ext uri="{FF2B5EF4-FFF2-40B4-BE49-F238E27FC236}">
              <a16:creationId xmlns:a16="http://schemas.microsoft.com/office/drawing/2014/main" id="{B88BCFF6-197F-3344-B5AE-78B79717A0DE}"/>
            </a:ext>
          </a:extLst>
        </xdr:cNvPr>
        <xdr:cNvSpPr txBox="1"/>
      </xdr:nvSpPr>
      <xdr:spPr>
        <a:xfrm>
          <a:off x="8572500" y="6705600"/>
          <a:ext cx="5791200" cy="508000"/>
        </a:xfrm>
        <a:prstGeom prst="rect">
          <a:avLst/>
        </a:prstGeom>
        <a:solidFill>
          <a:srgbClr val="EBEBF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5. Working Capital Inefficiency</a:t>
          </a:r>
        </a:p>
        <a:p>
          <a:pPr marL="0" marR="0" lvl="0" indent="0" defTabSz="914400" eaLnBrk="1" fontAlgn="auto" latinLnBrk="0" hangingPunct="1">
            <a:lnSpc>
              <a:spcPct val="100000"/>
            </a:lnSpc>
            <a:spcBef>
              <a:spcPts val="0"/>
            </a:spcBef>
            <a:spcAft>
              <a:spcPts val="0"/>
            </a:spcAft>
            <a:buClrTx/>
            <a:buSzTx/>
            <a:buFontTx/>
            <a:buNone/>
            <a:tabLst/>
            <a:defRPr/>
          </a:pPr>
          <a:endParaRPr lang="en-IN" sz="400" b="1"/>
        </a:p>
        <a:p>
          <a:r>
            <a:rPr lang="en-IN"/>
            <a:t>Elevated CCC of </a:t>
          </a:r>
          <a:r>
            <a:rPr lang="en-IN" b="1"/>
            <a:t>190 days </a:t>
          </a:r>
          <a:r>
            <a:rPr lang="en-IN"/>
            <a:t>signals Kering is funding operations from its own cash, pressuring liquidity.</a:t>
          </a:r>
          <a:endParaRPr lang="en-GB" sz="1100">
            <a:solidFill>
              <a:schemeClr val="tx1">
                <a:lumMod val="75000"/>
                <a:lumOff val="25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26</xdr:row>
      <xdr:rowOff>38458</xdr:rowOff>
    </xdr:from>
    <xdr:to>
      <xdr:col>6</xdr:col>
      <xdr:colOff>495300</xdr:colOff>
      <xdr:row>40</xdr:row>
      <xdr:rowOff>0</xdr:rowOff>
    </xdr:to>
    <xdr:graphicFrame macro="">
      <xdr:nvGraphicFramePr>
        <xdr:cNvPr id="2" name="Chart 1">
          <a:extLst>
            <a:ext uri="{FF2B5EF4-FFF2-40B4-BE49-F238E27FC236}">
              <a16:creationId xmlns:a16="http://schemas.microsoft.com/office/drawing/2014/main" id="{A1E17926-88DC-C60D-61DA-E12CB5B0F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24</xdr:row>
      <xdr:rowOff>107244</xdr:rowOff>
    </xdr:from>
    <xdr:to>
      <xdr:col>8</xdr:col>
      <xdr:colOff>387348</xdr:colOff>
      <xdr:row>26</xdr:row>
      <xdr:rowOff>117827</xdr:rowOff>
    </xdr:to>
    <xdr:sp macro="" textlink="">
      <xdr:nvSpPr>
        <xdr:cNvPr id="3" name="TextBox 2">
          <a:extLst>
            <a:ext uri="{FF2B5EF4-FFF2-40B4-BE49-F238E27FC236}">
              <a16:creationId xmlns:a16="http://schemas.microsoft.com/office/drawing/2014/main" id="{FCF31B6E-3855-5CE5-76A8-BD8E029B035D}"/>
            </a:ext>
          </a:extLst>
        </xdr:cNvPr>
        <xdr:cNvSpPr txBox="1"/>
      </xdr:nvSpPr>
      <xdr:spPr>
        <a:xfrm>
          <a:off x="76200" y="8819444"/>
          <a:ext cx="9950448" cy="455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1" u="none" strike="noStrike">
              <a:solidFill>
                <a:srgbClr val="C00000"/>
              </a:solidFill>
              <a:effectLst/>
              <a:latin typeface="+mn-lt"/>
              <a:ea typeface="+mn-ea"/>
              <a:cs typeface="+mn-cs"/>
            </a:rPr>
            <a:t>Revenue forecasts are based on historical brand performance, luxury industry growth expectations, and management turnaround strategy announced in 2025.</a:t>
          </a:r>
        </a:p>
      </xdr:txBody>
    </xdr:sp>
    <xdr:clientData/>
  </xdr:twoCellAnchor>
  <xdr:twoCellAnchor>
    <xdr:from>
      <xdr:col>6</xdr:col>
      <xdr:colOff>1676400</xdr:colOff>
      <xdr:row>26</xdr:row>
      <xdr:rowOff>23284</xdr:rowOff>
    </xdr:from>
    <xdr:to>
      <xdr:col>12</xdr:col>
      <xdr:colOff>12700</xdr:colOff>
      <xdr:row>39</xdr:row>
      <xdr:rowOff>190500</xdr:rowOff>
    </xdr:to>
    <xdr:graphicFrame macro="">
      <xdr:nvGraphicFramePr>
        <xdr:cNvPr id="4" name="Chart 3">
          <a:extLst>
            <a:ext uri="{FF2B5EF4-FFF2-40B4-BE49-F238E27FC236}">
              <a16:creationId xmlns:a16="http://schemas.microsoft.com/office/drawing/2014/main" id="{BFFAF368-3519-15CD-2A9B-6ADEC41E5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71</xdr:row>
      <xdr:rowOff>12700</xdr:rowOff>
    </xdr:from>
    <xdr:to>
      <xdr:col>9</xdr:col>
      <xdr:colOff>0</xdr:colOff>
      <xdr:row>83</xdr:row>
      <xdr:rowOff>76200</xdr:rowOff>
    </xdr:to>
    <xdr:sp macro="" textlink="">
      <xdr:nvSpPr>
        <xdr:cNvPr id="5" name="TextBox 4">
          <a:extLst>
            <a:ext uri="{FF2B5EF4-FFF2-40B4-BE49-F238E27FC236}">
              <a16:creationId xmlns:a16="http://schemas.microsoft.com/office/drawing/2014/main" id="{4F97A241-3A3B-33D7-6CAF-B21282E8199F}"/>
            </a:ext>
          </a:extLst>
        </xdr:cNvPr>
        <xdr:cNvSpPr txBox="1"/>
      </xdr:nvSpPr>
      <xdr:spPr>
        <a:xfrm>
          <a:off x="0" y="18326100"/>
          <a:ext cx="12306300" cy="2552700"/>
        </a:xfrm>
        <a:prstGeom prst="rect">
          <a:avLst/>
        </a:prstGeom>
        <a:solidFill>
          <a:srgbClr val="F6F5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i="0" u="none" strike="noStrike">
              <a:solidFill>
                <a:schemeClr val="dk1"/>
              </a:solidFill>
              <a:effectLst/>
              <a:latin typeface="+mn-lt"/>
              <a:ea typeface="+mn-ea"/>
              <a:cs typeface="+mn-cs"/>
            </a:rPr>
            <a:t>Assumptions Summary</a:t>
          </a:r>
          <a:r>
            <a:rPr lang="en-IN" sz="1200">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IN" sz="4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tx1"/>
              </a:solidFill>
              <a:latin typeface="+mn-lt"/>
              <a:ea typeface="+mn-ea"/>
              <a:cs typeface="Times New Roman" panose="02020603050405020304" pitchFamily="18" charset="0"/>
            </a:rPr>
            <a:t>• </a:t>
          </a:r>
          <a:r>
            <a:rPr lang="en-IN" sz="1200" b="0" i="0" u="none" strike="noStrike">
              <a:solidFill>
                <a:schemeClr val="tx1"/>
              </a:solidFill>
              <a:effectLst/>
              <a:latin typeface="+mn-lt"/>
              <a:ea typeface="+mn-ea"/>
              <a:cs typeface="+mn-cs"/>
            </a:rPr>
            <a:t>Gucci </a:t>
          </a:r>
          <a:r>
            <a:rPr lang="en-IN" sz="1200" b="0" i="0" u="none" strike="noStrike">
              <a:solidFill>
                <a:schemeClr val="dk1"/>
              </a:solidFill>
              <a:effectLst/>
              <a:latin typeface="+mn-lt"/>
              <a:ea typeface="+mn-ea"/>
              <a:cs typeface="+mn-cs"/>
            </a:rPr>
            <a:t>revenue declines in 2026, stabilizes in 2027, and recovers in 2028</a:t>
          </a:r>
          <a:r>
            <a:rPr lang="en-IN" sz="1200">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tx1"/>
              </a:solidFill>
              <a:latin typeface="+mn-lt"/>
              <a:ea typeface="+mn-ea"/>
              <a:cs typeface="Times New Roman" panose="02020603050405020304" pitchFamily="18" charset="0"/>
            </a:rPr>
            <a:t>• </a:t>
          </a:r>
          <a:r>
            <a:rPr lang="en-IN" sz="1200" b="0" i="0" u="none" strike="noStrike">
              <a:solidFill>
                <a:schemeClr val="dk1"/>
              </a:solidFill>
              <a:effectLst/>
              <a:latin typeface="+mn-lt"/>
              <a:ea typeface="+mn-ea"/>
              <a:cs typeface="+mn-cs"/>
            </a:rPr>
            <a:t>Other brands grow at low to mid single digit rates</a:t>
          </a:r>
          <a:r>
            <a:rPr lang="en-IN" sz="1200">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tx1"/>
              </a:solidFill>
              <a:latin typeface="+mn-lt"/>
              <a:ea typeface="+mn-ea"/>
              <a:cs typeface="Times New Roman" panose="02020603050405020304" pitchFamily="18" charset="0"/>
            </a:rPr>
            <a:t>• </a:t>
          </a:r>
          <a:r>
            <a:rPr lang="en-IN" sz="1200" b="0" i="0" u="none" strike="noStrike">
              <a:solidFill>
                <a:schemeClr val="dk1"/>
              </a:solidFill>
              <a:effectLst/>
              <a:latin typeface="+mn-lt"/>
              <a:ea typeface="+mn-ea"/>
              <a:cs typeface="+mn-cs"/>
            </a:rPr>
            <a:t>Income statement is forecast using common size percentages based on recent historical averages</a:t>
          </a:r>
          <a:r>
            <a:rPr lang="en-IN" sz="1200">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tx1"/>
              </a:solidFill>
              <a:latin typeface="+mn-lt"/>
              <a:ea typeface="+mn-ea"/>
              <a:cs typeface="Times New Roman" panose="02020603050405020304" pitchFamily="18" charset="0"/>
            </a:rPr>
            <a:t>• </a:t>
          </a:r>
          <a:r>
            <a:rPr lang="en-IN" sz="1200" b="0" i="0" u="none" strike="noStrike">
              <a:solidFill>
                <a:schemeClr val="dk1"/>
              </a:solidFill>
              <a:effectLst/>
              <a:latin typeface="+mn-lt"/>
              <a:ea typeface="+mn-ea"/>
              <a:cs typeface="+mn-cs"/>
            </a:rPr>
            <a:t>Total assets are projected based on revenue, and balance sheet items are derived using common size relationships</a:t>
          </a:r>
          <a:r>
            <a:rPr lang="en-IN" sz="1200">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tx1"/>
              </a:solidFill>
              <a:latin typeface="+mn-lt"/>
              <a:ea typeface="+mn-ea"/>
              <a:cs typeface="Times New Roman" panose="02020603050405020304" pitchFamily="18" charset="0"/>
            </a:rPr>
            <a:t>• </a:t>
          </a:r>
          <a:r>
            <a:rPr lang="en-IN" sz="1200" b="0" i="0" u="none" strike="noStrike">
              <a:solidFill>
                <a:schemeClr val="dk1"/>
              </a:solidFill>
              <a:effectLst/>
              <a:latin typeface="+mn-lt"/>
              <a:ea typeface="+mn-ea"/>
              <a:cs typeface="+mn-cs"/>
            </a:rPr>
            <a:t>No explicit changes are made to individual cost or balance sheet line items</a:t>
          </a:r>
          <a:r>
            <a:rPr lang="en-IN" sz="1200">
              <a:effectLst/>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2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200">
            <a:effectLst/>
          </a:endParaRPr>
        </a:p>
        <a:p>
          <a:r>
            <a:rPr lang="en-IN" sz="1200" b="1" i="0" u="none" strike="noStrike">
              <a:solidFill>
                <a:schemeClr val="dk1"/>
              </a:solidFill>
              <a:effectLst/>
              <a:latin typeface="+mn-lt"/>
              <a:ea typeface="+mn-ea"/>
              <a:cs typeface="+mn-cs"/>
            </a:rPr>
            <a:t>Model Limitations</a:t>
          </a:r>
          <a:r>
            <a:rPr lang="en-IN" sz="1200">
              <a:effectLst/>
            </a:rPr>
            <a:t> </a:t>
          </a:r>
        </a:p>
        <a:p>
          <a:endParaRPr lang="en-IN" sz="400">
            <a:effectLst/>
          </a:endParaRPr>
        </a:p>
        <a:p>
          <a:r>
            <a:rPr lang="en-IN" sz="1200">
              <a:solidFill>
                <a:schemeClr val="tx1"/>
              </a:solidFill>
              <a:latin typeface="+mn-lt"/>
              <a:ea typeface="+mn-ea"/>
              <a:cs typeface="Times New Roman" panose="02020603050405020304" pitchFamily="18" charset="0"/>
            </a:rPr>
            <a:t>• </a:t>
          </a:r>
          <a:r>
            <a:rPr lang="en-IN" sz="1200" b="0" i="0" u="none" strike="noStrike">
              <a:solidFill>
                <a:schemeClr val="dk1"/>
              </a:solidFill>
              <a:effectLst/>
              <a:latin typeface="+mn-lt"/>
              <a:ea typeface="+mn-ea"/>
              <a:cs typeface="+mn-cs"/>
            </a:rPr>
            <a:t>The model does not explicitly capture margin improvements from restructuring or cost optimization initiatives</a:t>
          </a:r>
          <a:r>
            <a:rPr lang="en-IN" sz="1200">
              <a:effectLst/>
            </a:rPr>
            <a:t> </a:t>
          </a:r>
        </a:p>
        <a:p>
          <a:r>
            <a:rPr lang="en-IN" sz="1200">
              <a:solidFill>
                <a:schemeClr val="tx1"/>
              </a:solidFill>
              <a:latin typeface="+mn-lt"/>
              <a:ea typeface="+mn-ea"/>
              <a:cs typeface="Times New Roman" panose="02020603050405020304" pitchFamily="18" charset="0"/>
            </a:rPr>
            <a:t>• </a:t>
          </a:r>
          <a:r>
            <a:rPr lang="en-IN" sz="1200" b="0" i="0" u="none" strike="noStrike">
              <a:solidFill>
                <a:schemeClr val="dk1"/>
              </a:solidFill>
              <a:effectLst/>
              <a:latin typeface="+mn-lt"/>
              <a:ea typeface="+mn-ea"/>
              <a:cs typeface="+mn-cs"/>
            </a:rPr>
            <a:t>Strategic and qualitative factors are not directly translated into financial line item changes</a:t>
          </a:r>
          <a:r>
            <a:rPr lang="en-IN" sz="1200">
              <a:effectLst/>
            </a:rPr>
            <a:t> </a:t>
          </a:r>
        </a:p>
        <a:p>
          <a:r>
            <a:rPr lang="en-IN" sz="1200">
              <a:solidFill>
                <a:schemeClr val="tx1"/>
              </a:solidFill>
              <a:latin typeface="+mn-lt"/>
              <a:ea typeface="+mn-ea"/>
              <a:cs typeface="Times New Roman" panose="02020603050405020304" pitchFamily="18" charset="0"/>
            </a:rPr>
            <a:t>• </a:t>
          </a:r>
          <a:r>
            <a:rPr lang="en-IN" sz="1200" b="0" i="0" u="none" strike="noStrike">
              <a:solidFill>
                <a:schemeClr val="dk1"/>
              </a:solidFill>
              <a:effectLst/>
              <a:latin typeface="+mn-lt"/>
              <a:ea typeface="+mn-ea"/>
              <a:cs typeface="+mn-cs"/>
            </a:rPr>
            <a:t>Forecast outcomes are primarily driven by revenue assumptions, with limited flexibility in cost structure and asset efficiency</a:t>
          </a:r>
          <a:r>
            <a:rPr lang="en-IN" sz="1200">
              <a:effectLst/>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200">
            <a:effectLst/>
          </a:endParaRPr>
        </a:p>
        <a:p>
          <a:pPr algn="l"/>
          <a:endParaRPr lang="en-GB" sz="1200"/>
        </a:p>
        <a:p>
          <a:endParaRPr lang="en-GB" sz="12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379680</xdr:colOff>
      <xdr:row>113</xdr:row>
      <xdr:rowOff>540</xdr:rowOff>
    </xdr:from>
    <xdr:to>
      <xdr:col>6</xdr:col>
      <xdr:colOff>365580</xdr:colOff>
      <xdr:row>121</xdr:row>
      <xdr:rowOff>5624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23" name="Ink 122">
              <a:extLst>
                <a:ext uri="{FF2B5EF4-FFF2-40B4-BE49-F238E27FC236}">
                  <a16:creationId xmlns:a16="http://schemas.microsoft.com/office/drawing/2014/main" id="{60800594-CEA5-077D-E58C-0D1A04A0B91B}"/>
                </a:ext>
              </a:extLst>
            </xdr14:cNvPr>
            <xdr14:cNvContentPartPr/>
          </xdr14:nvContentPartPr>
          <xdr14:nvPr macro=""/>
          <xdr14:xfrm>
            <a:off x="5332680" y="23660640"/>
            <a:ext cx="2462400" cy="1625040"/>
          </xdr14:xfrm>
        </xdr:contentPart>
      </mc:Choice>
      <mc:Fallback xmlns="">
        <xdr:pic>
          <xdr:nvPicPr>
            <xdr:cNvPr id="123" name="Ink 122">
              <a:extLst>
                <a:ext uri="{FF2B5EF4-FFF2-40B4-BE49-F238E27FC236}">
                  <a16:creationId xmlns:a16="http://schemas.microsoft.com/office/drawing/2014/main" id="{60800594-CEA5-077D-E58C-0D1A04A0B91B}"/>
                </a:ext>
              </a:extLst>
            </xdr:cNvPr>
            <xdr:cNvPicPr/>
          </xdr:nvPicPr>
          <xdr:blipFill>
            <a:blip xmlns:r="http://schemas.openxmlformats.org/officeDocument/2006/relationships" r:embed="rId2"/>
            <a:stretch>
              <a:fillRect/>
            </a:stretch>
          </xdr:blipFill>
          <xdr:spPr>
            <a:xfrm>
              <a:off x="5314680" y="23625126"/>
              <a:ext cx="2498040" cy="1696427"/>
            </a:xfrm>
            <a:prstGeom prst="rect">
              <a:avLst/>
            </a:prstGeom>
          </xdr:spPr>
        </xdr:pic>
      </mc:Fallback>
    </mc:AlternateContent>
    <xdr:clientData/>
  </xdr:twoCellAnchor>
  <xdr:twoCellAnchor editAs="oneCell">
    <xdr:from>
      <xdr:col>6</xdr:col>
      <xdr:colOff>425700</xdr:colOff>
      <xdr:row>111</xdr:row>
      <xdr:rowOff>72080</xdr:rowOff>
    </xdr:from>
    <xdr:to>
      <xdr:col>13</xdr:col>
      <xdr:colOff>145420</xdr:colOff>
      <xdr:row>113</xdr:row>
      <xdr:rowOff>49860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5" name="Ink 124">
              <a:extLst>
                <a:ext uri="{FF2B5EF4-FFF2-40B4-BE49-F238E27FC236}">
                  <a16:creationId xmlns:a16="http://schemas.microsoft.com/office/drawing/2014/main" id="{E25D0805-F941-CB4E-D18E-C87668459902}"/>
                </a:ext>
              </a:extLst>
            </xdr14:cNvPr>
            <xdr14:cNvContentPartPr/>
          </xdr14:nvContentPartPr>
          <xdr14:nvPr macro=""/>
          <xdr14:xfrm>
            <a:off x="7855200" y="23287680"/>
            <a:ext cx="5917320" cy="422280"/>
          </xdr14:xfrm>
        </xdr:contentPart>
      </mc:Choice>
      <mc:Fallback xmlns="">
        <xdr:pic>
          <xdr:nvPicPr>
            <xdr:cNvPr id="125" name="Ink 124">
              <a:extLst>
                <a:ext uri="{FF2B5EF4-FFF2-40B4-BE49-F238E27FC236}">
                  <a16:creationId xmlns:a16="http://schemas.microsoft.com/office/drawing/2014/main" id="{E25D0805-F941-CB4E-D18E-C87668459902}"/>
                </a:ext>
              </a:extLst>
            </xdr:cNvPr>
            <xdr:cNvPicPr/>
          </xdr:nvPicPr>
          <xdr:blipFill>
            <a:blip xmlns:r="http://schemas.openxmlformats.org/officeDocument/2006/relationships" r:embed="rId4"/>
            <a:stretch>
              <a:fillRect/>
            </a:stretch>
          </xdr:blipFill>
          <xdr:spPr>
            <a:xfrm>
              <a:off x="7801560" y="23179680"/>
              <a:ext cx="6024960" cy="637920"/>
            </a:xfrm>
            <a:prstGeom prst="rect">
              <a:avLst/>
            </a:prstGeom>
          </xdr:spPr>
        </xdr:pic>
      </mc:Fallback>
    </mc:AlternateContent>
    <xdr:clientData/>
  </xdr:twoCellAnchor>
  <xdr:twoCellAnchor>
    <xdr:from>
      <xdr:col>0</xdr:col>
      <xdr:colOff>0</xdr:colOff>
      <xdr:row>107</xdr:row>
      <xdr:rowOff>0</xdr:rowOff>
    </xdr:from>
    <xdr:to>
      <xdr:col>15</xdr:col>
      <xdr:colOff>25400</xdr:colOff>
      <xdr:row>125</xdr:row>
      <xdr:rowOff>0</xdr:rowOff>
    </xdr:to>
    <xdr:graphicFrame macro="">
      <xdr:nvGraphicFramePr>
        <xdr:cNvPr id="8" name="Chart 7">
          <a:extLst>
            <a:ext uri="{FF2B5EF4-FFF2-40B4-BE49-F238E27FC236}">
              <a16:creationId xmlns:a16="http://schemas.microsoft.com/office/drawing/2014/main" id="{960136CD-DDB0-8D4D-9FFB-275C75C51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xdr:colOff>
      <xdr:row>5</xdr:row>
      <xdr:rowOff>0</xdr:rowOff>
    </xdr:from>
    <xdr:to>
      <xdr:col>3</xdr:col>
      <xdr:colOff>12700</xdr:colOff>
      <xdr:row>11</xdr:row>
      <xdr:rowOff>0</xdr:rowOff>
    </xdr:to>
    <xdr:sp macro="" textlink="">
      <xdr:nvSpPr>
        <xdr:cNvPr id="13" name="Rounded Rectangle 12">
          <a:extLst>
            <a:ext uri="{FF2B5EF4-FFF2-40B4-BE49-F238E27FC236}">
              <a16:creationId xmlns:a16="http://schemas.microsoft.com/office/drawing/2014/main" id="{25852A27-5DB6-75B5-B628-A4B1B1F7F84C}"/>
            </a:ext>
          </a:extLst>
        </xdr:cNvPr>
        <xdr:cNvSpPr/>
      </xdr:nvSpPr>
      <xdr:spPr>
        <a:xfrm>
          <a:off x="838200" y="622300"/>
          <a:ext cx="2476500" cy="121920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GB" sz="1600" b="1">
              <a:solidFill>
                <a:schemeClr val="bg2">
                  <a:lumMod val="90000"/>
                </a:schemeClr>
              </a:solidFill>
            </a:rPr>
            <a:t>Revenue</a:t>
          </a:r>
          <a:r>
            <a:rPr lang="en-GB" sz="1600" b="1" baseline="0">
              <a:solidFill>
                <a:schemeClr val="bg2">
                  <a:lumMod val="90000"/>
                </a:schemeClr>
              </a:solidFill>
            </a:rPr>
            <a:t> 2025</a:t>
          </a:r>
        </a:p>
        <a:p>
          <a:pPr algn="ctr"/>
          <a:r>
            <a:rPr lang="en-IN" sz="2500" b="1" i="0">
              <a:solidFill>
                <a:schemeClr val="lt1"/>
              </a:solidFill>
              <a:effectLst/>
              <a:latin typeface="+mn-lt"/>
              <a:ea typeface="+mn-ea"/>
              <a:cs typeface="+mn-cs"/>
            </a:rPr>
            <a:t>€14.7B</a:t>
          </a:r>
          <a:endParaRPr lang="en-GB" sz="2500" b="1" baseline="0">
            <a:solidFill>
              <a:schemeClr val="tx1"/>
            </a:solidFill>
          </a:endParaRPr>
        </a:p>
        <a:p>
          <a:pPr algn="ctr"/>
          <a:r>
            <a:rPr lang="en-IN">
              <a:solidFill>
                <a:srgbClr val="FF0000"/>
              </a:solidFill>
            </a:rPr>
            <a:t>▼ 27.9% from €20.3B in 2022</a:t>
          </a:r>
          <a:endParaRPr lang="en-GB" sz="1500" b="1">
            <a:solidFill>
              <a:srgbClr val="FF0000"/>
            </a:solidFill>
          </a:endParaRPr>
        </a:p>
      </xdr:txBody>
    </xdr:sp>
    <xdr:clientData/>
  </xdr:twoCellAnchor>
  <xdr:twoCellAnchor>
    <xdr:from>
      <xdr:col>8</xdr:col>
      <xdr:colOff>12700</xdr:colOff>
      <xdr:row>5</xdr:row>
      <xdr:rowOff>0</xdr:rowOff>
    </xdr:from>
    <xdr:to>
      <xdr:col>11</xdr:col>
      <xdr:colOff>0</xdr:colOff>
      <xdr:row>11</xdr:row>
      <xdr:rowOff>12700</xdr:rowOff>
    </xdr:to>
    <xdr:sp macro="" textlink="">
      <xdr:nvSpPr>
        <xdr:cNvPr id="15" name="Rounded Rectangle 14">
          <a:extLst>
            <a:ext uri="{FF2B5EF4-FFF2-40B4-BE49-F238E27FC236}">
              <a16:creationId xmlns:a16="http://schemas.microsoft.com/office/drawing/2014/main" id="{08DFC452-04DC-DE40-96FD-FE8D567B4365}"/>
            </a:ext>
          </a:extLst>
        </xdr:cNvPr>
        <xdr:cNvSpPr/>
      </xdr:nvSpPr>
      <xdr:spPr>
        <a:xfrm>
          <a:off x="7442200" y="622300"/>
          <a:ext cx="2463800" cy="123190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i="0">
              <a:solidFill>
                <a:schemeClr val="bg2">
                  <a:lumMod val="90000"/>
                </a:schemeClr>
              </a:solidFill>
              <a:effectLst/>
              <a:latin typeface="+mn-lt"/>
              <a:ea typeface="+mn-ea"/>
              <a:cs typeface="+mn-cs"/>
            </a:rPr>
            <a:t>Gucci share of op. profit 2025</a:t>
          </a:r>
        </a:p>
        <a:p>
          <a:pPr algn="ctr"/>
          <a:r>
            <a:rPr lang="en-IN" sz="2500" b="1" i="0">
              <a:solidFill>
                <a:schemeClr val="lt1"/>
              </a:solidFill>
              <a:effectLst/>
              <a:latin typeface="+mn-lt"/>
              <a:ea typeface="+mn-ea"/>
              <a:cs typeface="+mn-cs"/>
            </a:rPr>
            <a:t>59%</a:t>
          </a:r>
        </a:p>
        <a:p>
          <a:pPr algn="ctr"/>
          <a:r>
            <a:rPr lang="en-IN">
              <a:solidFill>
                <a:srgbClr val="FF0000"/>
              </a:solidFill>
            </a:rPr>
            <a:t>▼ 15pp from 74% in 2021</a:t>
          </a:r>
          <a:endParaRPr lang="en-GB" sz="1100">
            <a:solidFill>
              <a:srgbClr val="FF0000"/>
            </a:solidFill>
          </a:endParaRPr>
        </a:p>
      </xdr:txBody>
    </xdr:sp>
    <xdr:clientData/>
  </xdr:twoCellAnchor>
  <xdr:twoCellAnchor>
    <xdr:from>
      <xdr:col>12</xdr:col>
      <xdr:colOff>50800</xdr:colOff>
      <xdr:row>5</xdr:row>
      <xdr:rowOff>25400</xdr:rowOff>
    </xdr:from>
    <xdr:to>
      <xdr:col>14</xdr:col>
      <xdr:colOff>419100</xdr:colOff>
      <xdr:row>11</xdr:row>
      <xdr:rowOff>12700</xdr:rowOff>
    </xdr:to>
    <xdr:sp macro="" textlink="">
      <xdr:nvSpPr>
        <xdr:cNvPr id="16" name="Rounded Rectangle 15">
          <a:extLst>
            <a:ext uri="{FF2B5EF4-FFF2-40B4-BE49-F238E27FC236}">
              <a16:creationId xmlns:a16="http://schemas.microsoft.com/office/drawing/2014/main" id="{1950D1AA-ABA9-FC43-9A9C-1CBCF4DDCD97}"/>
            </a:ext>
          </a:extLst>
        </xdr:cNvPr>
        <xdr:cNvSpPr/>
      </xdr:nvSpPr>
      <xdr:spPr>
        <a:xfrm>
          <a:off x="10782300" y="1257300"/>
          <a:ext cx="2463800" cy="120650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i="0">
              <a:solidFill>
                <a:schemeClr val="bg2">
                  <a:lumMod val="90000"/>
                </a:schemeClr>
              </a:solidFill>
              <a:effectLst/>
              <a:latin typeface="+mn-lt"/>
              <a:ea typeface="+mn-ea"/>
              <a:cs typeface="+mn-cs"/>
            </a:rPr>
            <a:t>Net income 2025</a:t>
          </a:r>
        </a:p>
        <a:p>
          <a:pPr algn="ctr"/>
          <a:r>
            <a:rPr lang="en-IN" sz="2500" b="1" i="0">
              <a:solidFill>
                <a:schemeClr val="lt1"/>
              </a:solidFill>
              <a:effectLst/>
              <a:latin typeface="+mn-lt"/>
              <a:ea typeface="+mn-ea"/>
              <a:cs typeface="+mn-cs"/>
            </a:rPr>
            <a:t>€72M</a:t>
          </a:r>
        </a:p>
        <a:p>
          <a:pPr algn="ctr"/>
          <a:r>
            <a:rPr lang="en-IN">
              <a:solidFill>
                <a:srgbClr val="FF0000"/>
              </a:solidFill>
            </a:rPr>
            <a:t>▼ 97.7% from €3.6B in 2022</a:t>
          </a:r>
          <a:endParaRPr lang="en-GB" sz="1100">
            <a:solidFill>
              <a:srgbClr val="FF0000"/>
            </a:solidFill>
          </a:endParaRPr>
        </a:p>
      </xdr:txBody>
    </xdr:sp>
    <xdr:clientData/>
  </xdr:twoCellAnchor>
  <xdr:twoCellAnchor>
    <xdr:from>
      <xdr:col>4</xdr:col>
      <xdr:colOff>0</xdr:colOff>
      <xdr:row>5</xdr:row>
      <xdr:rowOff>12700</xdr:rowOff>
    </xdr:from>
    <xdr:to>
      <xdr:col>7</xdr:col>
      <xdr:colOff>0</xdr:colOff>
      <xdr:row>11</xdr:row>
      <xdr:rowOff>25400</xdr:rowOff>
    </xdr:to>
    <xdr:sp macro="" textlink="">
      <xdr:nvSpPr>
        <xdr:cNvPr id="17" name="Rounded Rectangle 16">
          <a:extLst>
            <a:ext uri="{FF2B5EF4-FFF2-40B4-BE49-F238E27FC236}">
              <a16:creationId xmlns:a16="http://schemas.microsoft.com/office/drawing/2014/main" id="{BC5DF60C-62F0-CC4E-B335-9D6072660714}"/>
            </a:ext>
          </a:extLst>
        </xdr:cNvPr>
        <xdr:cNvSpPr/>
      </xdr:nvSpPr>
      <xdr:spPr>
        <a:xfrm>
          <a:off x="4127500" y="635000"/>
          <a:ext cx="2476500" cy="123190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1600" b="1">
              <a:solidFill>
                <a:schemeClr val="bg2">
                  <a:lumMod val="90000"/>
                </a:schemeClr>
              </a:solidFill>
              <a:latin typeface="+mn-lt"/>
              <a:ea typeface="+mn-ea"/>
              <a:cs typeface="+mn-cs"/>
            </a:rPr>
            <a:t>Operating margin 2025</a:t>
          </a:r>
        </a:p>
        <a:p>
          <a:pPr marL="0" indent="0" algn="ctr"/>
          <a:r>
            <a:rPr lang="en-IN" sz="2500" b="1">
              <a:solidFill>
                <a:schemeClr val="bg1"/>
              </a:solidFill>
              <a:latin typeface="+mn-lt"/>
              <a:ea typeface="+mn-ea"/>
              <a:cs typeface="+mn-cs"/>
            </a:rPr>
            <a:t>7.1%</a:t>
          </a:r>
        </a:p>
        <a:p>
          <a:pPr marL="0" indent="0" algn="ctr"/>
          <a:r>
            <a:rPr lang="en-IN" sz="1100" b="0">
              <a:solidFill>
                <a:srgbClr val="FF0000"/>
              </a:solidFill>
              <a:latin typeface="+mn-lt"/>
              <a:ea typeface="+mn-ea"/>
              <a:cs typeface="+mn-cs"/>
            </a:rPr>
            <a:t>▼ 20.1pp from 27.2% in 2021</a:t>
          </a:r>
          <a:endParaRPr lang="en-GB" sz="1100" b="0">
            <a:solidFill>
              <a:srgbClr val="FF0000"/>
            </a:solidFill>
          </a:endParaRPr>
        </a:p>
      </xdr:txBody>
    </xdr:sp>
    <xdr:clientData/>
  </xdr:twoCellAnchor>
  <xdr:twoCellAnchor>
    <xdr:from>
      <xdr:col>0</xdr:col>
      <xdr:colOff>0</xdr:colOff>
      <xdr:row>16</xdr:row>
      <xdr:rowOff>0</xdr:rowOff>
    </xdr:from>
    <xdr:to>
      <xdr:col>7</xdr:col>
      <xdr:colOff>254000</xdr:colOff>
      <xdr:row>34</xdr:row>
      <xdr:rowOff>0</xdr:rowOff>
    </xdr:to>
    <xdr:graphicFrame macro="">
      <xdr:nvGraphicFramePr>
        <xdr:cNvPr id="19" name="Chart 18">
          <a:extLst>
            <a:ext uri="{FF2B5EF4-FFF2-40B4-BE49-F238E27FC236}">
              <a16:creationId xmlns:a16="http://schemas.microsoft.com/office/drawing/2014/main" id="{1AB9C5A9-823C-BA4A-8A6A-2A3D041A1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16</xdr:row>
      <xdr:rowOff>0</xdr:rowOff>
    </xdr:from>
    <xdr:to>
      <xdr:col>14</xdr:col>
      <xdr:colOff>520700</xdr:colOff>
      <xdr:row>34</xdr:row>
      <xdr:rowOff>0</xdr:rowOff>
    </xdr:to>
    <xdr:graphicFrame macro="">
      <xdr:nvGraphicFramePr>
        <xdr:cNvPr id="2" name="Chart 1">
          <a:extLst>
            <a:ext uri="{FF2B5EF4-FFF2-40B4-BE49-F238E27FC236}">
              <a16:creationId xmlns:a16="http://schemas.microsoft.com/office/drawing/2014/main" id="{FFD51148-8971-2F4F-AC30-766983C11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40</xdr:row>
      <xdr:rowOff>38100</xdr:rowOff>
    </xdr:from>
    <xdr:to>
      <xdr:col>7</xdr:col>
      <xdr:colOff>393700</xdr:colOff>
      <xdr:row>58</xdr:row>
      <xdr:rowOff>38100</xdr:rowOff>
    </xdr:to>
    <xdr:graphicFrame macro="">
      <xdr:nvGraphicFramePr>
        <xdr:cNvPr id="3" name="Chart 2">
          <a:extLst>
            <a:ext uri="{FF2B5EF4-FFF2-40B4-BE49-F238E27FC236}">
              <a16:creationId xmlns:a16="http://schemas.microsoft.com/office/drawing/2014/main" id="{3E722BAD-925C-1849-ADDD-D240BA50D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76200</xdr:colOff>
      <xdr:row>39</xdr:row>
      <xdr:rowOff>127000</xdr:rowOff>
    </xdr:from>
    <xdr:to>
      <xdr:col>14</xdr:col>
      <xdr:colOff>596900</xdr:colOff>
      <xdr:row>57</xdr:row>
      <xdr:rowOff>127000</xdr:rowOff>
    </xdr:to>
    <xdr:graphicFrame macro="">
      <xdr:nvGraphicFramePr>
        <xdr:cNvPr id="4" name="Chart 3">
          <a:extLst>
            <a:ext uri="{FF2B5EF4-FFF2-40B4-BE49-F238E27FC236}">
              <a16:creationId xmlns:a16="http://schemas.microsoft.com/office/drawing/2014/main" id="{6CD2DEE9-6EF5-0749-BD1B-C52BCDA22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685800</xdr:colOff>
      <xdr:row>47</xdr:row>
      <xdr:rowOff>127000</xdr:rowOff>
    </xdr:from>
    <xdr:to>
      <xdr:col>12</xdr:col>
      <xdr:colOff>406400</xdr:colOff>
      <xdr:row>49</xdr:row>
      <xdr:rowOff>50800</xdr:rowOff>
    </xdr:to>
    <xdr:sp macro="" textlink="">
      <xdr:nvSpPr>
        <xdr:cNvPr id="5" name="TextBox 4">
          <a:extLst>
            <a:ext uri="{FF2B5EF4-FFF2-40B4-BE49-F238E27FC236}">
              <a16:creationId xmlns:a16="http://schemas.microsoft.com/office/drawing/2014/main" id="{10A1B143-0514-41EE-8030-6040A287E8F3}"/>
            </a:ext>
          </a:extLst>
        </xdr:cNvPr>
        <xdr:cNvSpPr txBox="1"/>
      </xdr:nvSpPr>
      <xdr:spPr>
        <a:xfrm>
          <a:off x="10591800" y="9639300"/>
          <a:ext cx="5461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cap="none" spc="50">
              <a:ln w="0"/>
              <a:solidFill>
                <a:schemeClr val="bg2"/>
              </a:solidFill>
              <a:effectLst>
                <a:innerShdw blurRad="63500" dist="50800" dir="13500000">
                  <a:srgbClr val="000000">
                    <a:alpha val="50000"/>
                  </a:srgbClr>
                </a:innerShdw>
              </a:effectLst>
            </a:rPr>
            <a:t>73%</a:t>
          </a:r>
        </a:p>
      </xdr:txBody>
    </xdr:sp>
    <xdr:clientData/>
  </xdr:twoCellAnchor>
  <xdr:twoCellAnchor>
    <xdr:from>
      <xdr:col>0</xdr:col>
      <xdr:colOff>0</xdr:colOff>
      <xdr:row>64</xdr:row>
      <xdr:rowOff>0</xdr:rowOff>
    </xdr:from>
    <xdr:to>
      <xdr:col>14</xdr:col>
      <xdr:colOff>571500</xdr:colOff>
      <xdr:row>82</xdr:row>
      <xdr:rowOff>0</xdr:rowOff>
    </xdr:to>
    <xdr:graphicFrame macro="">
      <xdr:nvGraphicFramePr>
        <xdr:cNvPr id="6" name="Chart 5">
          <a:extLst>
            <a:ext uri="{FF2B5EF4-FFF2-40B4-BE49-F238E27FC236}">
              <a16:creationId xmlns:a16="http://schemas.microsoft.com/office/drawing/2014/main" id="{30967AA7-1CB8-CC43-BFE6-18650CAAE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87</xdr:row>
      <xdr:rowOff>114300</xdr:rowOff>
    </xdr:from>
    <xdr:to>
      <xdr:col>7</xdr:col>
      <xdr:colOff>254000</xdr:colOff>
      <xdr:row>103</xdr:row>
      <xdr:rowOff>88900</xdr:rowOff>
    </xdr:to>
    <xdr:graphicFrame macro="">
      <xdr:nvGraphicFramePr>
        <xdr:cNvPr id="7" name="Chart 6">
          <a:extLst>
            <a:ext uri="{FF2B5EF4-FFF2-40B4-BE49-F238E27FC236}">
              <a16:creationId xmlns:a16="http://schemas.microsoft.com/office/drawing/2014/main" id="{4ECAA858-EBE1-6F4E-B0D5-14A402B70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21</xdr:col>
      <xdr:colOff>714726</xdr:colOff>
      <xdr:row>131</xdr:row>
      <xdr:rowOff>107754</xdr:rowOff>
    </xdr:from>
    <xdr:to>
      <xdr:col>21</xdr:col>
      <xdr:colOff>715086</xdr:colOff>
      <xdr:row>131</xdr:row>
      <xdr:rowOff>108114</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8" name="Ink 97">
              <a:extLst>
                <a:ext uri="{FF2B5EF4-FFF2-40B4-BE49-F238E27FC236}">
                  <a16:creationId xmlns:a16="http://schemas.microsoft.com/office/drawing/2014/main" id="{2D48352B-1383-DD17-66C2-3551745AB9DB}"/>
                </a:ext>
              </a:extLst>
            </xdr14:cNvPr>
            <xdr14:cNvContentPartPr/>
          </xdr14:nvContentPartPr>
          <xdr14:nvPr macro=""/>
          <xdr14:xfrm>
            <a:off x="19334880" y="26445600"/>
            <a:ext cx="360" cy="360"/>
          </xdr14:xfrm>
        </xdr:contentPart>
      </mc:Choice>
      <mc:Fallback xmlns="">
        <xdr:pic>
          <xdr:nvPicPr>
            <xdr:cNvPr id="98" name="Ink 97">
              <a:extLst>
                <a:ext uri="{FF2B5EF4-FFF2-40B4-BE49-F238E27FC236}">
                  <a16:creationId xmlns:a16="http://schemas.microsoft.com/office/drawing/2014/main" id="{2D48352B-1383-DD17-66C2-3551745AB9DB}"/>
                </a:ext>
              </a:extLst>
            </xdr:cNvPr>
            <xdr:cNvPicPr/>
          </xdr:nvPicPr>
          <xdr:blipFill>
            <a:blip xmlns:r="http://schemas.openxmlformats.org/officeDocument/2006/relationships" r:embed="rId13"/>
            <a:stretch>
              <a:fillRect/>
            </a:stretch>
          </xdr:blipFill>
          <xdr:spPr>
            <a:xfrm>
              <a:off x="19281240" y="26337600"/>
              <a:ext cx="108000" cy="216000"/>
            </a:xfrm>
            <a:prstGeom prst="rect">
              <a:avLst/>
            </a:prstGeom>
          </xdr:spPr>
        </xdr:pic>
      </mc:Fallback>
    </mc:AlternateContent>
    <xdr:clientData/>
  </xdr:twoCellAnchor>
  <xdr:twoCellAnchor>
    <xdr:from>
      <xdr:col>13</xdr:col>
      <xdr:colOff>15679</xdr:colOff>
      <xdr:row>112</xdr:row>
      <xdr:rowOff>121920</xdr:rowOff>
    </xdr:from>
    <xdr:to>
      <xdr:col>14</xdr:col>
      <xdr:colOff>741680</xdr:colOff>
      <xdr:row>112</xdr:row>
      <xdr:rowOff>125433</xdr:rowOff>
    </xdr:to>
    <xdr:cxnSp macro="">
      <xdr:nvCxnSpPr>
        <xdr:cNvPr id="127" name="Straight Arrow Connector 126">
          <a:extLst>
            <a:ext uri="{FF2B5EF4-FFF2-40B4-BE49-F238E27FC236}">
              <a16:creationId xmlns:a16="http://schemas.microsoft.com/office/drawing/2014/main" id="{774106AC-9E6E-CB0D-8EA5-C4EC6D10124B}"/>
            </a:ext>
          </a:extLst>
        </xdr:cNvPr>
        <xdr:cNvCxnSpPr/>
      </xdr:nvCxnSpPr>
      <xdr:spPr>
        <a:xfrm flipV="1">
          <a:off x="13609759" y="23581360"/>
          <a:ext cx="1691201" cy="3513"/>
        </a:xfrm>
        <a:prstGeom prst="straightConnector1">
          <a:avLst/>
        </a:prstGeom>
        <a:ln>
          <a:solidFill>
            <a:srgbClr val="B28C58"/>
          </a:solidFill>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359362</xdr:colOff>
      <xdr:row>110</xdr:row>
      <xdr:rowOff>130763</xdr:rowOff>
    </xdr:from>
    <xdr:to>
      <xdr:col>13</xdr:col>
      <xdr:colOff>219662</xdr:colOff>
      <xdr:row>112</xdr:row>
      <xdr:rowOff>29163</xdr:rowOff>
    </xdr:to>
    <xdr:sp macro="" textlink="">
      <xdr:nvSpPr>
        <xdr:cNvPr id="128" name="TextBox 127">
          <a:extLst>
            <a:ext uri="{FF2B5EF4-FFF2-40B4-BE49-F238E27FC236}">
              <a16:creationId xmlns:a16="http://schemas.microsoft.com/office/drawing/2014/main" id="{5B3E9C74-A4D8-3917-1E53-9086E423CDE5}"/>
            </a:ext>
          </a:extLst>
        </xdr:cNvPr>
        <xdr:cNvSpPr txBox="1"/>
      </xdr:nvSpPr>
      <xdr:spPr>
        <a:xfrm rot="21300982">
          <a:off x="12933930" y="23178911"/>
          <a:ext cx="989189" cy="306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B28C58"/>
              </a:solidFill>
            </a:rPr>
            <a:t>€306M gap</a:t>
          </a:r>
          <a:endParaRPr lang="en-GB" sz="1400" b="1">
            <a:solidFill>
              <a:srgbClr val="B28C58"/>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292100</xdr:colOff>
      <xdr:row>2</xdr:row>
      <xdr:rowOff>50800</xdr:rowOff>
    </xdr:from>
    <xdr:to>
      <xdr:col>0</xdr:col>
      <xdr:colOff>533400</xdr:colOff>
      <xdr:row>2</xdr:row>
      <xdr:rowOff>304799</xdr:rowOff>
    </xdr:to>
    <xdr:sp macro="" textlink="">
      <xdr:nvSpPr>
        <xdr:cNvPr id="2" name="Oval 1">
          <a:extLst>
            <a:ext uri="{FF2B5EF4-FFF2-40B4-BE49-F238E27FC236}">
              <a16:creationId xmlns:a16="http://schemas.microsoft.com/office/drawing/2014/main" id="{D18B6B0B-FA8B-8D31-4E86-91D0750A7A03}"/>
            </a:ext>
          </a:extLst>
        </xdr:cNvPr>
        <xdr:cNvSpPr/>
      </xdr:nvSpPr>
      <xdr:spPr>
        <a:xfrm>
          <a:off x="292100" y="533400"/>
          <a:ext cx="241300" cy="253999"/>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508000</xdr:colOff>
      <xdr:row>5</xdr:row>
      <xdr:rowOff>50800</xdr:rowOff>
    </xdr:from>
    <xdr:to>
      <xdr:col>10</xdr:col>
      <xdr:colOff>812800</xdr:colOff>
      <xdr:row>15</xdr:row>
      <xdr:rowOff>114300</xdr:rowOff>
    </xdr:to>
    <xdr:sp macro="" textlink="">
      <xdr:nvSpPr>
        <xdr:cNvPr id="4" name="TextBox 3">
          <a:extLst>
            <a:ext uri="{FF2B5EF4-FFF2-40B4-BE49-F238E27FC236}">
              <a16:creationId xmlns:a16="http://schemas.microsoft.com/office/drawing/2014/main" id="{0F4BAE88-C733-83FE-220E-DDEFC8F9FFD5}"/>
            </a:ext>
          </a:extLst>
        </xdr:cNvPr>
        <xdr:cNvSpPr txBox="1"/>
      </xdr:nvSpPr>
      <xdr:spPr>
        <a:xfrm>
          <a:off x="508000" y="1320800"/>
          <a:ext cx="8280400" cy="2476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75000"/>
                </a:schemeClr>
              </a:solidFill>
            </a:rPr>
            <a:t>To what extent does Gucci’s performance influence Kering’s overall financial performance and profitability?</a:t>
          </a:r>
        </a:p>
        <a:p>
          <a:endParaRPr lang="en-IN" sz="1400">
            <a:solidFill>
              <a:schemeClr val="bg1">
                <a:lumMod val="75000"/>
              </a:schemeClr>
            </a:solidFill>
          </a:endParaRPr>
        </a:p>
        <a:p>
          <a:r>
            <a:rPr lang="en-IN" sz="1400">
              <a:solidFill>
                <a:schemeClr val="bg1">
                  <a:lumMod val="75000"/>
                </a:schemeClr>
              </a:solidFill>
            </a:rPr>
            <a:t>Gucci is the primary driver of Kering’s financial performance. In 2021, Gucci generated approximately </a:t>
          </a:r>
          <a:r>
            <a:rPr lang="en-IN" sz="1400" b="1">
              <a:solidFill>
                <a:schemeClr val="bg1">
                  <a:lumMod val="75000"/>
                </a:schemeClr>
              </a:solidFill>
            </a:rPr>
            <a:t>74% of group operating profit while contributing 55% of revenue</a:t>
          </a:r>
          <a:r>
            <a:rPr lang="en-IN" sz="1400">
              <a:solidFill>
                <a:schemeClr val="bg1">
                  <a:lumMod val="75000"/>
                </a:schemeClr>
              </a:solidFill>
            </a:rPr>
            <a:t>. Between 2021 and 2025, </a:t>
          </a:r>
          <a:r>
            <a:rPr lang="en-IN" sz="1400" b="1">
              <a:solidFill>
                <a:schemeClr val="bg1">
                  <a:lumMod val="75000"/>
                </a:schemeClr>
              </a:solidFill>
            </a:rPr>
            <a:t>Gucci’s operating margin declined from 38.2% to 16.1%, </a:t>
          </a:r>
          <a:r>
            <a:rPr lang="en-IN" sz="1400">
              <a:solidFill>
                <a:schemeClr val="bg1">
                  <a:lumMod val="75000"/>
                </a:schemeClr>
              </a:solidFill>
            </a:rPr>
            <a:t>accounting for </a:t>
          </a:r>
          <a:r>
            <a:rPr lang="en-IN" sz="1400" b="1">
              <a:solidFill>
                <a:schemeClr val="bg1">
                  <a:lumMod val="75000"/>
                </a:schemeClr>
              </a:solidFill>
            </a:rPr>
            <a:t>around 73% of the €3,750M decline in group operating income</a:t>
          </a:r>
          <a:r>
            <a:rPr lang="en-IN" sz="1400">
              <a:solidFill>
                <a:schemeClr val="bg1">
                  <a:lumMod val="75000"/>
                </a:schemeClr>
              </a:solidFill>
            </a:rPr>
            <a:t>.</a:t>
          </a:r>
        </a:p>
        <a:p>
          <a:endParaRPr lang="en-IN" sz="1400">
            <a:solidFill>
              <a:schemeClr val="bg1">
                <a:lumMod val="75000"/>
              </a:schemeClr>
            </a:solidFill>
          </a:endParaRPr>
        </a:p>
        <a:p>
          <a:r>
            <a:rPr lang="en-IN" sz="1400">
              <a:solidFill>
                <a:schemeClr val="bg1">
                  <a:lumMod val="75000"/>
                </a:schemeClr>
              </a:solidFill>
            </a:rPr>
            <a:t>Over the same period, </a:t>
          </a:r>
          <a:r>
            <a:rPr lang="en-IN" sz="1400" b="1">
              <a:solidFill>
                <a:schemeClr val="bg1">
                  <a:lumMod val="75000"/>
                </a:schemeClr>
              </a:solidFill>
            </a:rPr>
            <a:t>group revenue declined by 16.8%, net income fell from €3.2B to €72M</a:t>
          </a:r>
          <a:r>
            <a:rPr lang="en-IN" sz="1400">
              <a:solidFill>
                <a:schemeClr val="bg1">
                  <a:lumMod val="75000"/>
                </a:schemeClr>
              </a:solidFill>
            </a:rPr>
            <a:t>, </a:t>
          </a:r>
          <a:r>
            <a:rPr lang="en-IN" sz="1400" b="1">
              <a:solidFill>
                <a:schemeClr val="bg1">
                  <a:lumMod val="75000"/>
                </a:schemeClr>
              </a:solidFill>
            </a:rPr>
            <a:t>and ROE decreased from 25.2% to 0.49%. </a:t>
          </a:r>
          <a:r>
            <a:rPr lang="en-IN" sz="1400">
              <a:solidFill>
                <a:schemeClr val="bg1">
                  <a:lumMod val="75000"/>
                </a:schemeClr>
              </a:solidFill>
            </a:rPr>
            <a:t>Other brands remained relatively stable but were insufficient to offset Gucci’s decline. As a result, </a:t>
          </a:r>
          <a:r>
            <a:rPr lang="en-IN" sz="1400" b="1">
              <a:solidFill>
                <a:schemeClr val="bg1">
                  <a:lumMod val="75000"/>
                </a:schemeClr>
              </a:solidFill>
            </a:rPr>
            <a:t>Kering’s financial performance is highly dependent on a single brand</a:t>
          </a:r>
          <a:r>
            <a:rPr lang="en-IN" sz="1400">
              <a:solidFill>
                <a:schemeClr val="bg1">
                  <a:lumMod val="75000"/>
                </a:schemeClr>
              </a:solidFill>
            </a:rPr>
            <a:t>.</a:t>
          </a:r>
        </a:p>
      </xdr:txBody>
    </xdr:sp>
    <xdr:clientData/>
  </xdr:twoCellAnchor>
  <xdr:twoCellAnchor>
    <xdr:from>
      <xdr:col>0</xdr:col>
      <xdr:colOff>406400</xdr:colOff>
      <xdr:row>16</xdr:row>
      <xdr:rowOff>63500</xdr:rowOff>
    </xdr:from>
    <xdr:to>
      <xdr:col>10</xdr:col>
      <xdr:colOff>647700</xdr:colOff>
      <xdr:row>28</xdr:row>
      <xdr:rowOff>127000</xdr:rowOff>
    </xdr:to>
    <xdr:sp macro="" textlink="">
      <xdr:nvSpPr>
        <xdr:cNvPr id="5" name="Rounded Rectangle 4">
          <a:extLst>
            <a:ext uri="{FF2B5EF4-FFF2-40B4-BE49-F238E27FC236}">
              <a16:creationId xmlns:a16="http://schemas.microsoft.com/office/drawing/2014/main" id="{120D0E18-7236-FA4C-9C09-7D999C74142F}"/>
            </a:ext>
          </a:extLst>
        </xdr:cNvPr>
        <xdr:cNvSpPr/>
      </xdr:nvSpPr>
      <xdr:spPr>
        <a:xfrm>
          <a:off x="406400" y="3987800"/>
          <a:ext cx="8216900" cy="3022600"/>
        </a:xfrm>
        <a:prstGeom prst="roundRect">
          <a:avLst/>
        </a:prstGeom>
        <a:solidFill>
          <a:srgbClr val="FFD579">
            <a:alpha val="7843"/>
          </a:srgbClr>
        </a:solidFill>
        <a:ln>
          <a:solidFill>
            <a:srgbClr val="D9D9D9"/>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63500</xdr:colOff>
      <xdr:row>17</xdr:row>
      <xdr:rowOff>12700</xdr:rowOff>
    </xdr:from>
    <xdr:to>
      <xdr:col>10</xdr:col>
      <xdr:colOff>431800</xdr:colOff>
      <xdr:row>28</xdr:row>
      <xdr:rowOff>0</xdr:rowOff>
    </xdr:to>
    <xdr:sp macro="" textlink="">
      <xdr:nvSpPr>
        <xdr:cNvPr id="6" name="TextBox 5">
          <a:extLst>
            <a:ext uri="{FF2B5EF4-FFF2-40B4-BE49-F238E27FC236}">
              <a16:creationId xmlns:a16="http://schemas.microsoft.com/office/drawing/2014/main" id="{8867DC22-353A-E04C-B248-C8F9630CBA91}"/>
            </a:ext>
          </a:extLst>
        </xdr:cNvPr>
        <xdr:cNvSpPr txBox="1"/>
      </xdr:nvSpPr>
      <xdr:spPr>
        <a:xfrm>
          <a:off x="609600" y="4178300"/>
          <a:ext cx="7797800" cy="270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mn-lt"/>
              <a:ea typeface="+mn-ea"/>
              <a:cs typeface="Times New Roman" panose="02020603050405020304" pitchFamily="18" charset="0"/>
            </a:rPr>
            <a:t>IMPLICATIONS</a:t>
          </a:r>
        </a:p>
        <a:p>
          <a:endParaRPr lang="en-IN" sz="1000">
            <a:solidFill>
              <a:schemeClr val="bg1"/>
            </a:solidFill>
            <a:latin typeface="+mn-lt"/>
            <a:ea typeface="+mn-ea"/>
            <a:cs typeface="Times New Roman" panose="02020603050405020304" pitchFamily="18" charset="0"/>
          </a:endParaRPr>
        </a:p>
        <a:p>
          <a:r>
            <a:rPr lang="en-IN" sz="1400">
              <a:solidFill>
                <a:schemeClr val="bg1"/>
              </a:solidFill>
              <a:latin typeface="+mn-lt"/>
              <a:ea typeface="+mn-ea"/>
              <a:cs typeface="Times New Roman" panose="02020603050405020304" pitchFamily="18" charset="0"/>
            </a:rPr>
            <a:t>• </a:t>
          </a:r>
          <a:r>
            <a:rPr lang="en-IN" sz="1400">
              <a:solidFill>
                <a:schemeClr val="bg1">
                  <a:lumMod val="75000"/>
                </a:schemeClr>
              </a:solidFill>
            </a:rPr>
            <a:t>The decline is not driven by pricing pressure, as gross margins remained stable at 72–76%. Instead, it</a:t>
          </a:r>
        </a:p>
        <a:p>
          <a:pPr lvl="0"/>
          <a:r>
            <a:rPr lang="en-IN" sz="1400">
              <a:solidFill>
                <a:schemeClr val="bg1">
                  <a:lumMod val="75000"/>
                </a:schemeClr>
              </a:solidFill>
            </a:rPr>
            <a:t>reflects a structural dependence on Gucci.</a:t>
          </a:r>
        </a:p>
        <a:p>
          <a:endParaRPr lang="en-IN" sz="1400">
            <a:solidFill>
              <a:schemeClr val="bg1">
                <a:lumMod val="75000"/>
              </a:schemeClr>
            </a:solidFill>
          </a:endParaRPr>
        </a:p>
        <a:p>
          <a:r>
            <a:rPr lang="en-IN" sz="1400">
              <a:solidFill>
                <a:schemeClr val="bg1"/>
              </a:solidFill>
              <a:latin typeface="+mn-lt"/>
              <a:ea typeface="+mn-ea"/>
              <a:cs typeface="Times New Roman" panose="02020603050405020304" pitchFamily="18" charset="0"/>
            </a:rPr>
            <a:t>• </a:t>
          </a:r>
          <a:r>
            <a:rPr lang="en-IN" sz="1400">
              <a:solidFill>
                <a:schemeClr val="bg1">
                  <a:lumMod val="75000"/>
                </a:schemeClr>
              </a:solidFill>
            </a:rPr>
            <a:t>Kering’s earnings are highly concentrated, meaning changes in Gucci’s performance translate directly into group outcomes. This increases exposure to brand-specific risks, including creative transitions, shifts in consumer demand, and macroeconomic conditions.</a:t>
          </a:r>
        </a:p>
        <a:p>
          <a:endParaRPr lang="en-IN" sz="1400">
            <a:solidFill>
              <a:schemeClr val="bg1">
                <a:lumMod val="75000"/>
              </a:schemeClr>
            </a:solidFill>
          </a:endParaRPr>
        </a:p>
        <a:p>
          <a:r>
            <a:rPr lang="en-IN" sz="1400">
              <a:solidFill>
                <a:schemeClr val="bg1"/>
              </a:solidFill>
              <a:latin typeface="+mn-lt"/>
              <a:ea typeface="+mn-ea"/>
              <a:cs typeface="Times New Roman" panose="02020603050405020304" pitchFamily="18" charset="0"/>
            </a:rPr>
            <a:t>• </a:t>
          </a:r>
          <a:r>
            <a:rPr lang="en-IN" sz="1400">
              <a:solidFill>
                <a:schemeClr val="bg1">
                  <a:lumMod val="75000"/>
                </a:schemeClr>
              </a:solidFill>
            </a:rPr>
            <a:t>Forecast outcomes show that recovery remains highly sensitive to Gucci’s trajectory. As long as Gucci contributes the majority of operating profit, group performance will remain dependent on its recovery path.</a:t>
          </a:r>
        </a:p>
      </xdr:txBody>
    </xdr:sp>
    <xdr:clientData/>
  </xdr:twoCellAnchor>
  <xdr:twoCellAnchor>
    <xdr:from>
      <xdr:col>11</xdr:col>
      <xdr:colOff>190500</xdr:colOff>
      <xdr:row>4</xdr:row>
      <xdr:rowOff>50800</xdr:rowOff>
    </xdr:from>
    <xdr:to>
      <xdr:col>16</xdr:col>
      <xdr:colOff>266700</xdr:colOff>
      <xdr:row>11</xdr:row>
      <xdr:rowOff>177800</xdr:rowOff>
    </xdr:to>
    <xdr:sp macro="" textlink="">
      <xdr:nvSpPr>
        <xdr:cNvPr id="7" name="Rounded Rectangle 6">
          <a:extLst>
            <a:ext uri="{FF2B5EF4-FFF2-40B4-BE49-F238E27FC236}">
              <a16:creationId xmlns:a16="http://schemas.microsoft.com/office/drawing/2014/main" id="{1CA30251-939C-BD45-A306-5A3070C729AF}"/>
            </a:ext>
          </a:extLst>
        </xdr:cNvPr>
        <xdr:cNvSpPr/>
      </xdr:nvSpPr>
      <xdr:spPr>
        <a:xfrm>
          <a:off x="8991600" y="1079500"/>
          <a:ext cx="4203700" cy="1816100"/>
        </a:xfrm>
        <a:prstGeom prst="roundRect">
          <a:avLst/>
        </a:prstGeom>
        <a:noFill/>
        <a:ln>
          <a:solidFill>
            <a:srgbClr val="D9D9D9"/>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431800</xdr:colOff>
      <xdr:row>4</xdr:row>
      <xdr:rowOff>50800</xdr:rowOff>
    </xdr:from>
    <xdr:to>
      <xdr:col>21</xdr:col>
      <xdr:colOff>508000</xdr:colOff>
      <xdr:row>11</xdr:row>
      <xdr:rowOff>177800</xdr:rowOff>
    </xdr:to>
    <xdr:sp macro="" textlink="">
      <xdr:nvSpPr>
        <xdr:cNvPr id="8" name="Rounded Rectangle 7">
          <a:extLst>
            <a:ext uri="{FF2B5EF4-FFF2-40B4-BE49-F238E27FC236}">
              <a16:creationId xmlns:a16="http://schemas.microsoft.com/office/drawing/2014/main" id="{84CE4AEE-5A4C-D24F-9F0A-FFB3E432EFF3}"/>
            </a:ext>
          </a:extLst>
        </xdr:cNvPr>
        <xdr:cNvSpPr/>
      </xdr:nvSpPr>
      <xdr:spPr>
        <a:xfrm>
          <a:off x="13360400" y="1079500"/>
          <a:ext cx="4203700" cy="1816100"/>
        </a:xfrm>
        <a:prstGeom prst="roundRect">
          <a:avLst/>
        </a:prstGeom>
        <a:noFill/>
        <a:ln>
          <a:solidFill>
            <a:srgbClr val="D9D9D9"/>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228600</xdr:colOff>
      <xdr:row>12</xdr:row>
      <xdr:rowOff>215900</xdr:rowOff>
    </xdr:from>
    <xdr:to>
      <xdr:col>16</xdr:col>
      <xdr:colOff>304800</xdr:colOff>
      <xdr:row>20</xdr:row>
      <xdr:rowOff>38100</xdr:rowOff>
    </xdr:to>
    <xdr:sp macro="" textlink="">
      <xdr:nvSpPr>
        <xdr:cNvPr id="9" name="Rounded Rectangle 8">
          <a:extLst>
            <a:ext uri="{FF2B5EF4-FFF2-40B4-BE49-F238E27FC236}">
              <a16:creationId xmlns:a16="http://schemas.microsoft.com/office/drawing/2014/main" id="{086CC008-851B-F648-B4B4-AEBEFF301D8C}"/>
            </a:ext>
          </a:extLst>
        </xdr:cNvPr>
        <xdr:cNvSpPr/>
      </xdr:nvSpPr>
      <xdr:spPr>
        <a:xfrm>
          <a:off x="9029700" y="3175000"/>
          <a:ext cx="4203700" cy="1816100"/>
        </a:xfrm>
        <a:prstGeom prst="roundRect">
          <a:avLst/>
        </a:prstGeom>
        <a:noFill/>
        <a:ln>
          <a:solidFill>
            <a:srgbClr val="D9D9D9"/>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482600</xdr:colOff>
      <xdr:row>12</xdr:row>
      <xdr:rowOff>190500</xdr:rowOff>
    </xdr:from>
    <xdr:to>
      <xdr:col>21</xdr:col>
      <xdr:colOff>558800</xdr:colOff>
      <xdr:row>20</xdr:row>
      <xdr:rowOff>12700</xdr:rowOff>
    </xdr:to>
    <xdr:sp macro="" textlink="">
      <xdr:nvSpPr>
        <xdr:cNvPr id="10" name="Rounded Rectangle 9">
          <a:extLst>
            <a:ext uri="{FF2B5EF4-FFF2-40B4-BE49-F238E27FC236}">
              <a16:creationId xmlns:a16="http://schemas.microsoft.com/office/drawing/2014/main" id="{40B8B185-4801-0849-BD88-532E7E4BE440}"/>
            </a:ext>
          </a:extLst>
        </xdr:cNvPr>
        <xdr:cNvSpPr/>
      </xdr:nvSpPr>
      <xdr:spPr>
        <a:xfrm>
          <a:off x="13411200" y="3149600"/>
          <a:ext cx="4203700" cy="1816100"/>
        </a:xfrm>
        <a:prstGeom prst="roundRect">
          <a:avLst/>
        </a:prstGeom>
        <a:noFill/>
        <a:ln>
          <a:solidFill>
            <a:srgbClr val="D9D9D9"/>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177800</xdr:colOff>
      <xdr:row>22</xdr:row>
      <xdr:rowOff>114300</xdr:rowOff>
    </xdr:from>
    <xdr:to>
      <xdr:col>21</xdr:col>
      <xdr:colOff>584200</xdr:colOff>
      <xdr:row>28</xdr:row>
      <xdr:rowOff>88900</xdr:rowOff>
    </xdr:to>
    <xdr:sp macro="" textlink="">
      <xdr:nvSpPr>
        <xdr:cNvPr id="12" name="Rounded Rectangle 11">
          <a:extLst>
            <a:ext uri="{FF2B5EF4-FFF2-40B4-BE49-F238E27FC236}">
              <a16:creationId xmlns:a16="http://schemas.microsoft.com/office/drawing/2014/main" id="{0407F0DF-A1BF-7245-91BE-429B2DD1D15F}"/>
            </a:ext>
          </a:extLst>
        </xdr:cNvPr>
        <xdr:cNvSpPr/>
      </xdr:nvSpPr>
      <xdr:spPr>
        <a:xfrm>
          <a:off x="8978900" y="5549900"/>
          <a:ext cx="8661400" cy="1422400"/>
        </a:xfrm>
        <a:prstGeom prst="roundRect">
          <a:avLst/>
        </a:prstGeom>
        <a:solidFill>
          <a:schemeClr val="tx1">
            <a:lumMod val="85000"/>
            <a:lumOff val="15000"/>
          </a:schemeClr>
        </a:solidFill>
        <a:ln>
          <a:solidFill>
            <a:srgbClr val="D9D9D9"/>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406400</xdr:colOff>
      <xdr:row>5</xdr:row>
      <xdr:rowOff>50800</xdr:rowOff>
    </xdr:from>
    <xdr:to>
      <xdr:col>16</xdr:col>
      <xdr:colOff>63500</xdr:colOff>
      <xdr:row>10</xdr:row>
      <xdr:rowOff>50800</xdr:rowOff>
    </xdr:to>
    <xdr:sp macro="" textlink="">
      <xdr:nvSpPr>
        <xdr:cNvPr id="13" name="TextBox 12">
          <a:extLst>
            <a:ext uri="{FF2B5EF4-FFF2-40B4-BE49-F238E27FC236}">
              <a16:creationId xmlns:a16="http://schemas.microsoft.com/office/drawing/2014/main" id="{4C31ECE1-896D-164B-B699-7790001263E7}"/>
            </a:ext>
          </a:extLst>
        </xdr:cNvPr>
        <xdr:cNvSpPr txBox="1"/>
      </xdr:nvSpPr>
      <xdr:spPr>
        <a:xfrm>
          <a:off x="9207500" y="1320800"/>
          <a:ext cx="3784600" cy="1206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50000"/>
                </a:schemeClr>
              </a:solidFill>
            </a:rPr>
            <a:t>01</a:t>
          </a:r>
          <a:r>
            <a:rPr lang="en-IN" sz="1600" b="1">
              <a:solidFill>
                <a:srgbClr val="FFC000"/>
              </a:solidFill>
            </a:rPr>
            <a:t> </a:t>
          </a:r>
          <a:r>
            <a:rPr lang="en-IN" sz="1600" b="0">
              <a:solidFill>
                <a:srgbClr val="FFC000"/>
              </a:solidFill>
            </a:rPr>
            <a:t>Restore Gucci’s operating performance</a:t>
          </a:r>
        </a:p>
        <a:p>
          <a:br>
            <a:rPr lang="en-IN">
              <a:solidFill>
                <a:schemeClr val="bg1"/>
              </a:solidFill>
            </a:rPr>
          </a:br>
          <a:r>
            <a:rPr lang="en-IN" sz="1400">
              <a:solidFill>
                <a:schemeClr val="bg1">
                  <a:lumMod val="75000"/>
                </a:schemeClr>
              </a:solidFill>
            </a:rPr>
            <a:t>Restore operating margin to above 25% through revenue stabilisation and cost discipline.</a:t>
          </a:r>
        </a:p>
      </xdr:txBody>
    </xdr:sp>
    <xdr:clientData/>
  </xdr:twoCellAnchor>
  <xdr:twoCellAnchor>
    <xdr:from>
      <xdr:col>16</xdr:col>
      <xdr:colOff>711200</xdr:colOff>
      <xdr:row>5</xdr:row>
      <xdr:rowOff>50800</xdr:rowOff>
    </xdr:from>
    <xdr:to>
      <xdr:col>21</xdr:col>
      <xdr:colOff>368300</xdr:colOff>
      <xdr:row>11</xdr:row>
      <xdr:rowOff>12700</xdr:rowOff>
    </xdr:to>
    <xdr:sp macro="" textlink="">
      <xdr:nvSpPr>
        <xdr:cNvPr id="14" name="TextBox 13">
          <a:extLst>
            <a:ext uri="{FF2B5EF4-FFF2-40B4-BE49-F238E27FC236}">
              <a16:creationId xmlns:a16="http://schemas.microsoft.com/office/drawing/2014/main" id="{7F863A72-ADE9-624E-9657-7A8B3BCE8AE0}"/>
            </a:ext>
          </a:extLst>
        </xdr:cNvPr>
        <xdr:cNvSpPr txBox="1"/>
      </xdr:nvSpPr>
      <xdr:spPr>
        <a:xfrm>
          <a:off x="13639800" y="1320800"/>
          <a:ext cx="3784600" cy="140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50000"/>
                </a:schemeClr>
              </a:solidFill>
            </a:rPr>
            <a:t>02</a:t>
          </a:r>
          <a:r>
            <a:rPr lang="en-IN" sz="1600" b="1">
              <a:solidFill>
                <a:srgbClr val="FFC000"/>
              </a:solidFill>
            </a:rPr>
            <a:t> </a:t>
          </a:r>
          <a:r>
            <a:rPr lang="en-IN" sz="1600">
              <a:solidFill>
                <a:srgbClr val="FFC000"/>
              </a:solidFill>
            </a:rPr>
            <a:t>Address underperforming brands</a:t>
          </a:r>
        </a:p>
        <a:p>
          <a:br>
            <a:rPr lang="en-IN" sz="1400">
              <a:solidFill>
                <a:schemeClr val="bg1"/>
              </a:solidFill>
            </a:rPr>
          </a:br>
          <a:r>
            <a:rPr lang="en-IN" sz="1400">
              <a:solidFill>
                <a:schemeClr val="bg1">
                  <a:lumMod val="75000"/>
                </a:schemeClr>
              </a:solidFill>
            </a:rPr>
            <a:t>Set clear performance thresholds for loss-making brands. Pursue restructuring or divestment where targets are not met.</a:t>
          </a:r>
        </a:p>
      </xdr:txBody>
    </xdr:sp>
    <xdr:clientData/>
  </xdr:twoCellAnchor>
  <xdr:twoCellAnchor>
    <xdr:from>
      <xdr:col>11</xdr:col>
      <xdr:colOff>330200</xdr:colOff>
      <xdr:row>13</xdr:row>
      <xdr:rowOff>190500</xdr:rowOff>
    </xdr:from>
    <xdr:to>
      <xdr:col>16</xdr:col>
      <xdr:colOff>241300</xdr:colOff>
      <xdr:row>19</xdr:row>
      <xdr:rowOff>101600</xdr:rowOff>
    </xdr:to>
    <xdr:sp macro="" textlink="">
      <xdr:nvSpPr>
        <xdr:cNvPr id="15" name="TextBox 14">
          <a:extLst>
            <a:ext uri="{FF2B5EF4-FFF2-40B4-BE49-F238E27FC236}">
              <a16:creationId xmlns:a16="http://schemas.microsoft.com/office/drawing/2014/main" id="{52194C63-62C8-7148-B45A-F3B3077B01C5}"/>
            </a:ext>
          </a:extLst>
        </xdr:cNvPr>
        <xdr:cNvSpPr txBox="1"/>
      </xdr:nvSpPr>
      <xdr:spPr>
        <a:xfrm>
          <a:off x="9131300" y="3390900"/>
          <a:ext cx="4038600" cy="142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50000"/>
                </a:schemeClr>
              </a:solidFill>
            </a:rPr>
            <a:t>03</a:t>
          </a:r>
          <a:r>
            <a:rPr lang="en-IN" sz="1600" b="1">
              <a:solidFill>
                <a:srgbClr val="FFC000"/>
              </a:solidFill>
            </a:rPr>
            <a:t> </a:t>
          </a:r>
          <a:r>
            <a:rPr lang="en-IN" sz="1600">
              <a:solidFill>
                <a:srgbClr val="FFC000"/>
              </a:solidFill>
            </a:rPr>
            <a:t>Strengthen contribution from other brands</a:t>
          </a:r>
          <a:endParaRPr lang="en-IN" sz="1600" b="0">
            <a:solidFill>
              <a:srgbClr val="FFC000"/>
            </a:solidFill>
          </a:endParaRPr>
        </a:p>
        <a:p>
          <a:br>
            <a:rPr lang="en-IN" sz="1400">
              <a:solidFill>
                <a:schemeClr val="bg1"/>
              </a:solidFill>
            </a:rPr>
          </a:br>
          <a:r>
            <a:rPr lang="en-IN" sz="1400">
              <a:solidFill>
                <a:schemeClr val="bg1">
                  <a:lumMod val="75000"/>
                </a:schemeClr>
              </a:solidFill>
            </a:rPr>
            <a:t>Continue investing in YSL and Bottega Veneta to build more balanced profit contribution and reduce concentration risk over time.</a:t>
          </a:r>
        </a:p>
      </xdr:txBody>
    </xdr:sp>
    <xdr:clientData/>
  </xdr:twoCellAnchor>
  <xdr:twoCellAnchor>
    <xdr:from>
      <xdr:col>16</xdr:col>
      <xdr:colOff>711200</xdr:colOff>
      <xdr:row>13</xdr:row>
      <xdr:rowOff>190500</xdr:rowOff>
    </xdr:from>
    <xdr:to>
      <xdr:col>21</xdr:col>
      <xdr:colOff>368300</xdr:colOff>
      <xdr:row>20</xdr:row>
      <xdr:rowOff>12700</xdr:rowOff>
    </xdr:to>
    <xdr:sp macro="" textlink="">
      <xdr:nvSpPr>
        <xdr:cNvPr id="16" name="TextBox 15">
          <a:extLst>
            <a:ext uri="{FF2B5EF4-FFF2-40B4-BE49-F238E27FC236}">
              <a16:creationId xmlns:a16="http://schemas.microsoft.com/office/drawing/2014/main" id="{393F6570-FBCA-1549-B0F7-B0D9079BDDB8}"/>
            </a:ext>
          </a:extLst>
        </xdr:cNvPr>
        <xdr:cNvSpPr txBox="1"/>
      </xdr:nvSpPr>
      <xdr:spPr>
        <a:xfrm>
          <a:off x="13639800" y="3390900"/>
          <a:ext cx="3784600" cy="157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50000"/>
                </a:schemeClr>
              </a:solidFill>
            </a:rPr>
            <a:t>04 </a:t>
          </a:r>
          <a:r>
            <a:rPr lang="en-IN" sz="1600">
              <a:solidFill>
                <a:srgbClr val="FFC000"/>
              </a:solidFill>
            </a:rPr>
            <a:t>Maintain financial discipline</a:t>
          </a:r>
          <a:endParaRPr lang="en-IN" sz="1600" b="0">
            <a:solidFill>
              <a:srgbClr val="FFC000"/>
            </a:solidFill>
          </a:endParaRPr>
        </a:p>
        <a:p>
          <a:br>
            <a:rPr lang="en-IN" sz="1400">
              <a:solidFill>
                <a:schemeClr val="bg1"/>
              </a:solidFill>
            </a:rPr>
          </a:br>
          <a:r>
            <a:rPr lang="en-IN" sz="1400">
              <a:solidFill>
                <a:schemeClr val="bg1">
                  <a:lumMod val="75000"/>
                </a:schemeClr>
              </a:solidFill>
            </a:rPr>
            <a:t>Prioritise cost control, cash generation, and debt reduction. Limit discretionary investment until earnings stabilise.</a:t>
          </a:r>
        </a:p>
      </xdr:txBody>
    </xdr:sp>
    <xdr:clientData/>
  </xdr:twoCellAnchor>
  <xdr:twoCellAnchor>
    <xdr:from>
      <xdr:col>11</xdr:col>
      <xdr:colOff>444500</xdr:colOff>
      <xdr:row>22</xdr:row>
      <xdr:rowOff>203200</xdr:rowOff>
    </xdr:from>
    <xdr:to>
      <xdr:col>21</xdr:col>
      <xdr:colOff>342900</xdr:colOff>
      <xdr:row>28</xdr:row>
      <xdr:rowOff>114300</xdr:rowOff>
    </xdr:to>
    <xdr:sp macro="" textlink="">
      <xdr:nvSpPr>
        <xdr:cNvPr id="17" name="TextBox 16">
          <a:extLst>
            <a:ext uri="{FF2B5EF4-FFF2-40B4-BE49-F238E27FC236}">
              <a16:creationId xmlns:a16="http://schemas.microsoft.com/office/drawing/2014/main" id="{B45A598E-5988-704E-9536-B5E5BAD3A807}"/>
            </a:ext>
          </a:extLst>
        </xdr:cNvPr>
        <xdr:cNvSpPr txBox="1"/>
      </xdr:nvSpPr>
      <xdr:spPr>
        <a:xfrm>
          <a:off x="9245600" y="5638800"/>
          <a:ext cx="8153400" cy="1358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F0000"/>
              </a:solidFill>
            </a:rPr>
            <a:t>VERDICT</a:t>
          </a:r>
        </a:p>
        <a:p>
          <a:endParaRPr lang="en-IN" sz="500" b="1">
            <a:solidFill>
              <a:schemeClr val="bg1">
                <a:lumMod val="75000"/>
              </a:schemeClr>
            </a:solidFill>
          </a:endParaRPr>
        </a:p>
        <a:p>
          <a:r>
            <a:rPr lang="en-IN" sz="1400">
              <a:solidFill>
                <a:schemeClr val="bg1">
                  <a:lumMod val="75000"/>
                </a:schemeClr>
              </a:solidFill>
            </a:rPr>
            <a:t>Kering’s recent performance reflects a high level of dependence on Gucci. Recovery is achievable but depends on </a:t>
          </a:r>
          <a:r>
            <a:rPr lang="en-IN" sz="1400">
              <a:solidFill>
                <a:schemeClr val="bg1"/>
              </a:solidFill>
            </a:rPr>
            <a:t>Gucci’s successful repositioning </a:t>
          </a:r>
          <a:r>
            <a:rPr lang="en-IN" sz="1400">
              <a:solidFill>
                <a:schemeClr val="bg1">
                  <a:lumMod val="75000"/>
                </a:schemeClr>
              </a:solidFill>
            </a:rPr>
            <a:t>and a gradual </a:t>
          </a:r>
          <a:r>
            <a:rPr lang="en-IN" sz="1400">
              <a:solidFill>
                <a:schemeClr val="bg1"/>
              </a:solidFill>
            </a:rPr>
            <a:t>rebalancing of the brand portfolio to reduce concentration risk</a:t>
          </a:r>
          <a:r>
            <a:rPr lang="en-IN" sz="1400" b="0">
              <a:solidFill>
                <a:schemeClr val="bg1"/>
              </a:solidFill>
            </a:rPr>
            <a:t>.</a:t>
          </a:r>
        </a:p>
      </xdr:txBody>
    </xdr:sp>
    <xdr:clientData/>
  </xdr:twoCellAnchor>
  <xdr:oneCellAnchor>
    <xdr:from>
      <xdr:col>11</xdr:col>
      <xdr:colOff>104484</xdr:colOff>
      <xdr:row>12</xdr:row>
      <xdr:rowOff>96303</xdr:rowOff>
    </xdr:from>
    <xdr:ext cx="184731" cy="937693"/>
    <xdr:sp macro="" textlink="">
      <xdr:nvSpPr>
        <xdr:cNvPr id="18" name="Rectangle 17">
          <a:extLst>
            <a:ext uri="{FF2B5EF4-FFF2-40B4-BE49-F238E27FC236}">
              <a16:creationId xmlns:a16="http://schemas.microsoft.com/office/drawing/2014/main" id="{A0487A1E-D50F-D53D-9F5A-E310F2C605C9}"/>
            </a:ext>
          </a:extLst>
        </xdr:cNvPr>
        <xdr:cNvSpPr/>
      </xdr:nvSpPr>
      <xdr:spPr>
        <a:xfrm>
          <a:off x="8905584" y="2991903"/>
          <a:ext cx="184731" cy="937693"/>
        </a:xfrm>
        <a:prstGeom prst="rect">
          <a:avLst/>
        </a:prstGeom>
        <a:noFill/>
      </xdr:spPr>
      <xdr:txBody>
        <a:bodyPr wrap="none" lIns="91440" tIns="45720" rIns="91440" bIns="45720">
          <a:spAutoFit/>
        </a:bodyPr>
        <a:lstStyle/>
        <a:p>
          <a:pPr algn="ctr"/>
          <a:endParaRPr lang="en-GB"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393700</xdr:colOff>
      <xdr:row>4</xdr:row>
      <xdr:rowOff>114300</xdr:rowOff>
    </xdr:from>
    <xdr:to>
      <xdr:col>0</xdr:col>
      <xdr:colOff>406400</xdr:colOff>
      <xdr:row>15</xdr:row>
      <xdr:rowOff>101600</xdr:rowOff>
    </xdr:to>
    <xdr:cxnSp macro="">
      <xdr:nvCxnSpPr>
        <xdr:cNvPr id="20" name="Straight Connector 19">
          <a:extLst>
            <a:ext uri="{FF2B5EF4-FFF2-40B4-BE49-F238E27FC236}">
              <a16:creationId xmlns:a16="http://schemas.microsoft.com/office/drawing/2014/main" id="{801E22D6-08C1-DC80-9EA1-28AF7937A5CA}"/>
            </a:ext>
          </a:extLst>
        </xdr:cNvPr>
        <xdr:cNvCxnSpPr/>
      </xdr:nvCxnSpPr>
      <xdr:spPr>
        <a:xfrm flipH="1">
          <a:off x="393700" y="901700"/>
          <a:ext cx="12700" cy="2641600"/>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2T20:44:04.758"/>
    </inkml:context>
    <inkml:brush xml:id="br0">
      <inkml:brushProperty name="width" value="0.1" units="cm"/>
      <inkml:brushProperty name="height" value="0.2" units="cm"/>
      <inkml:brushProperty name="color" value="#FFD579"/>
      <inkml:brushProperty name="tip" value="rectangle"/>
      <inkml:brushProperty name="rasterOp" value="maskPen"/>
    </inkml:brush>
  </inkml:definitions>
  <inkml:trace contextRef="#ctx0" brushRef="#br0">0 4530,'18'-8,"-2"-1,-6 0,0-2,-1 0,0 0,-1 1,0-1,-1 2,-1 1,-1 1,-1 2,0 1,1-3,-1 1,1-1,-1 1,1 2,-1-1,1-2,2 1,0 0,0-2,0 0,0-2,0-2,2 3,-1 2,1-1,0 3,-1-1,0 0,0 0,0-1,1 0,2-2,-1 2,-2 0,-1 1,-1 3,1 0,1 0,-2 0,1-2,0 1,0 0,0-1,0 3,-1-1,3 0,-2 0,0 0,-1 0,1-1,0-1,2 0,-1 0,-2 1,0 0,0 1,1-1,2 1,-1 1,-1-3,0 2,-1-2,2 0,0 3,0-3,-1 0,0 0,1-2,0 1,2 1,2-2,1 1,1-2,3-1,1-1,3-2,3-3,0 1,1 4,-3 1,-5 4,-3 2,-3 1,-3 0,-3 0,2-1,-1 1,3 0,0-1,-1 0,0-1,-2 2,2 0,-1 0,1 1,-1 0,1-2,1 0,-1 1,1 1,-3 0,0-2,0-1,0 0,1 1,0 1,4-1,3-5,6-3,5-3,-1-2,3 2,-4 0,0 3,-1 0,-1 1,-1 0,1 0,0 1,-1 0,1-3,-1-1,1-2,0-1,-1 1,1 0,-1-1,1 1,-1 1,1 1,-4 3,-3 1,-3 2,-5 1,-2 0,0 1,-2-1,3 1,0 0,2 0,1 0,0-1,2-3,2-2,3-3,3-1,2-1,0-1,1 0,-1 2,-2 0,0 2,-2 0,-2 0,-1 3,0-1,2-1,3-2,3-3,0 1,-1 0,1 3,-3 4,-3 0,-2 2,-3 1,-1 0,-1 1,-1-1,2-2,2 1,2-1,-1 0,-1 1,0 0,0 0,1 1,2 0,3-2,1 0,4-5,3-4,0-4,-1 4,-3 4,-7 4,-2 3,-4 0,0 1,1 0,-2 2,2-1,1-3,0 0,3-3,3 0,2-1,2-2,0 0,1 0,0 2,-1 4,0 0,-2 0,-2 0,-6 1,-1 1,-1 1,0 0,1 0,1-1,2-1,3-3,2 0,2-1,0 1,-1 0,0-2,0-1,2-1,0 1,-3 1,-1 1,-3 2,-1 2,-1 1,0 2,5-5,6-4,9-9,13-5,-1 1,-2 3,-3 2,-7 3,0 0,-3 2,-5 3,-7 1,-3 1,-3 1,-2 2,0-1,0 1,0 0,0 2,1-1,-1 0,-1-1,1-2,-1-1,5-1,1 0,0 1,2-1,-1-1,2-1,1 0,-1 0,-1 0,3 0,0-3,3-2,4-2,7-5,2-2,1 3,-5 3,-6 7,-2 1,-6 2,-3 2,-1 3,-3 0,1 1,-1-1,0-1,1-1,1-1,4-1,3-3,11-8,7-5,3 1,-3 2,-7 6,-7 5,-6 3,-3 3,-2 1,-2 2,-2-1,-1 2,-2-1,3-2,-1 2,0 0,2 0,-1-2,0-1,2-1,1 0,3-1,4-2,4-5,3-3,1-2,-1 0,-2 5,-6 3,-1 4,-3 2,0 0,2-1,1-1,0-1,0 0,-3-1,-3 3,-3 0,1 1,0 1,0-1,0 1,-2 0,1 0,1 0,0-2,1 0,2-2,4-3,8-2,2-2,1 0,-1 3,-4 1,0 2,-4 0,-2 2,-1 1,-3 0,2 2,-4-1,-2 0,2 1,3-1,5-2,4-5,6-4,3-4,-1 1,-2 5,-4 5,-5 3,-4 2,-4-1,-3 2,2-1,-1 0,1-1,1-1,0 1,3-2,3-1,6-4,6-8,9-6,7-4,0 3,-4 5,-9 8,-10 4,-7 4,-3 5,-4-1,1 1,-2-3,0 1,2 0,0 0,6-1,4-4,8-4,9-4,4-2,0-2,-5 4,-8-1,0 2,0 3,0-3,3 0,-3-1,-1 1,-1 1,-4 3,-3 3,-3 1,-4 3,-1 1,0 0,-1-1,0-2,2 1,2-2,2 1,1 0,0-1,-2 2,-2 0,-2 1,-1 1,2-1,0 1,0-1,-2-1,0 1,-2 0,3 0,1 1,0-3,1-1,3-3,0 2,2 1,3 0,0-2,3-4,2-3,2 1,0 2,-2 3,-7 5,-2 1,0 2,1 1,0-2,-3 1,-3 1,-1-1,1 3,-2-1,0-1,0-1,-1-1,-1 0,1 2,-1-1,1 0,-1-1,-1 0,1-1,0-1,1 2,-1-2,0 2,-1 0,0-1,1 19,-2-5,-1 14,-2-11,-2-1,-3 2,-5 1,-1 1,-1 0,2-5,2-1,-1-4,-2-1,0 0,-3 1,-1 0,-1-2,1 2,2-1,1 1,-1 2,-5-3,-1 0,-1-2,2-1,2 2,1-1,-1 0,-1-1,1-1,0 0,3 0,2 0,2 0,2 0,0 0,-1 0,-2 0,-2 0,0 0,1 0,1 0,1 0,0 0,0 0,0 0,-1 0,1 0,1 0,2 1,0 2,1 1,0 0,19-18,7 2,22-15,-1 10,5 1,-2 0,-5 0,-3-4,-9 4,0-1,-1 0,-2 2,-2 2,-4 0,-1-1,-3 4,-2 0,-2 5,-3 2,-1-1,-3-1,0 0,-1-1,2 1,1 0,0-2,1 0,-1 0,-2-1,2 1,0 1,0 0,1-1,-1 1,2-1,-1 1,-3-2,1 0,-1-1,3-2,0 2,-2 0,0 0,-1 2,1-2,-1 3,2 0,1-1,0 3,1-1,-1 2,0 0,0-1,1 0,0 2,-1-1,1 3,-1 0,2 0,-2-2,-1 0,1 0,-2 0,3 2,-2 1,-2 2,0 5,-2 6,4 6,-1 7,0 2,-2-1,-3-9,0-12,0-7,-1-14,-2 4,-5-4,-3 7,-8 4,1 0,-4 3,6 0,2 2,4 3,1 3,0 3,-1-1,-1-1,0-2,0-1,4-1,0-1,1 0,-1-2,-1 2,0-2,0 2,0 1,0-3,3 0,2 3,3 0,1 7,0 3,0-1,3-3,3-5,2-5,0 0,2-1,0-2,-1 0,0 0,-6 0,-17 12,0-5,-15 6,9-7,2 1,4 2,8-1,23-1,5-4,20-1,-10-2,-3-3,-6-3,-3-1,0 2,-3 0,-3 1,-3 0,-1-1,-1 0,1 1,-1-2,0 3,0 1,-5-2,-1 0,-5-2,-2-1,1 0,-1 1,1 1,0-2,0-1,-1-4,-1-3,-1-4,-1-3,-1-4,-3-3,2 0,-1 5,2 7,2 6,0 4,0 0,-2 1,0 2,0 0,2 1,0-2,1 1,-1 0,1 0,-1 2,1 0,0-3,0 0,0 0,2 3,-4 3,0 3,-6 4,1 2,-2 0,0 1,-1-1,-4 2,0 0,-3 1,0 0,3-2,2 0,2-1,3 1,0-3,2 1,0-1,0 0,-1 0,0-4,0 1,0-3,0 0,1 0,1 2,2 0,2 2,0 0,-1 0,0 1,-1-1,2 0,-1 1,3 1,-2-1,0 1,-1 0,-2 1,3 1,-1-1,-1-3,1 0,-1 1,0 1,0 0,-1 0,2-2,1 0,-1 0,-1-1,0 1,-1-1,-2 1,-2 0,1 0,1 1,2-1,-1 3,0-2,-1 2,-1-1,3-1,-1 4,3-1,0 1,-2 0,2-1,2 0,-1-1,-1-2,-2 0,-1 2,1 3,0-1,2-2,-1-3,1 1,3 2,-2-2,0 1,-1-1,-1-1,2 3,-1-2,0 1,0 1,1 0,-1-1,0 1,0 0,-2 1,1 1,-1 0,0-1,3 0,-1 0,-1-2,1 0,-1 0,-1 0,-1 1,0 0,-1 1,1 0,-1 1,0 0,1-1,0 0,-1-1,-2 0,-2 2,-2 2,-2 2,1 0,0-3,5-1,2-1,2-2,1-2,0 0,0 0,-3 1,-8 4,-29 23,-26 25,28-23,0 2,1-1,3 0,-15 12,24-16,14-14,6-8,2-6,-1-3,2 2,2-1,-1 2,1 0,-2 0,-1-1,3 1,0-1,0 1,-14 4,-23 14,-20 16,-5 10,11-3,24-13,14-12,-2-10,-40 9,12 1,-5 3,-10 6,-1 3,0 1,4 1,14-4,6-2,-9 7,26-12,15-10,5-7,-1-3,-1-2,-1 2,0 1,-2 1,-3 1,2-1,0 2,0 2,2-2,1 0,0-2,3 0,-1 2,2 1,-2 1,0-1,0 0,0 1,0 0,-2 1,0-1,-1-1,-1 1,-3 3,-6 4,-4 3,-4 3,1-2,4-2,4-7,5-3,1 0,-3-1,-12 6,-16 5,-12 5,-1 0,10-5,16-5,10-3,9-3,3-2,2 0,1-1,0 1,0-1,-2 2,1 0,-2 0,0 1,1 0,-1 0,-1 1,0 0,0 0,-1 0,-2 2,-1 1,-3 0,1 1,-2 1,0 2,3-2,1-1,2-3,2-2,-1 1,-1 0,2 1,-2 1,0 0,0 1,-3 0,1 2,-3 1,-2 1,-1 4,-3 0,0 0,0 0,2-2,2-3,4-2,3-3,4-1,0-1,-2 0,2 0,-1 0,1 1,0-1,0 1,-1-2,1 0,-2 2,0 0,1 1,0-2,1 0,0-1,-2 1,0 1,-1 2,-1 1,1-2,1 1,-1 0,1-1,0 2,1 0,2-4,0 2,0-4,0 2,0-1,-1 0,1 2,-1-2,0-1,2 0,-3-1,3-2,13-16,-1 2,12-15,-5 9,1-2,4-3,13-7,9-5,4 2,1 3,-12 7,-6 4,-5-1,-4 5,1 0,-2 0,-1 2,0-2,1 0,0 3,2-1,-3 4,-2-1,-1-2,-2 0,2 0,0 0,-1 2,1 0,-2 0,1 1,-2-1,0 1,-1 2,-1 0,2 0,-1-2,4-1,1 1,-1 2,-3 1,-2 3,-2-3,2 0,0 2,0 0,-1 3,-1 0,-1 2,1 0,2 0,0 0,0 0,2 0,-2 0,1-2,0-1,-3 0,1 1,-1 1,2-2,-1 1,0 0,2 0,0-1,0-2,0-2,2-1,2-2,3 0,3 0,-1 0,1 1,0 1,-1-1,1-1,2-4,1 0,4-1,3 1,-1 0,1-2,1-1,2-3,5 0,2 0,1-1,-4 2,-6 3,-7 3,-6 3,-3 0,-2 2,-2 1,0 0,3 0,-1-3,2-4,6-4,10-6,11-7,7-7,7-5,-1-1,-2 1,-5 4,-10 6,-5 0,-1 5,2-2,1-2,3 1,-5 1,-6 7,-1 6,1 0,9-2,7-7,4-6,0 0,-5 2,-9 6,-8 6,-3 6,-3 4,-1 3,-4-1,-3-2,-3 0,0-2,-1 1,0-1,3 1,-2 0,-1 2,0 0,-3 1,1-1,0 0,-2-1,1 0,1-1,7-10,15-10,12-10,8-5,-2 5,-10 9,-6 7,-5 6,-6 4,-2-3,1 1,-2-1,2 0,-3 1,1-4,12-9,13-12,10-4,2 3,-9 10,-15 12,-10 8,-7 6,-5 2,1 3,0 0,-1 0,0 3,-3 4,0 7,-3 4,-1 3,0-1,0 4,0 1,0-1,1-5,4-10,4-7,4-3,2-2,0 3,2 0,3-2,5-1,3-2,1 0,-3 2,-3-2,-5 3,-3-1,-4-2,-2 2,-1-1,1-1,1 3,-2 0,0 1,-1 0,0-3,-2-2,-2-5,-2-1,-1-2,0 0,0-2,0-2,0-3,0 0,0 2,0 1,0 2,2 3,1 2,-1 0,2 3,-2-1,3 1,1 0,-1-1,1 5,-2 4,-1 8,-1 5,-2 2,1 0,-1-2,0 2,0-1,0-1,0-1,0-3,0-1,0 0,0 1,-2-2,-4-3,-9-2,-8-2,-5 0,0 0,5 0,7 1,2 2,6 2,6-1,15-15,-2 4,7-14,-9 8,-1 2,0 2,-2 2,1-1,-3 0,-1-3,-1 1,-2 0,0-2,0 0,0 0,0-1,0 3,-2 3,2 3,-2 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2T20:45:13.459"/>
    </inkml:context>
    <inkml:brush xml:id="br0">
      <inkml:brushProperty name="width" value="0.3" units="cm"/>
      <inkml:brushProperty name="height" value="0.6" units="cm"/>
      <inkml:brushProperty name="color" value="#FFD579"/>
      <inkml:brushProperty name="tip" value="rectangle"/>
      <inkml:brushProperty name="rasterOp" value="maskPen"/>
    </inkml:brush>
  </inkml:definitions>
  <inkml:trace contextRef="#ctx0" brushRef="#br0">1 1164,'43'0,"-6"0,-24 0,0 0,9 0,-2 0,4 0,-8 0,-3 0,6 0,-5 0,7 0,-5-2,-5 0,5-8,-4 0,0 0,8 3,-10 5,10 2,-5-1,-2 1,6 0,-5-3,2 2,2-3,-2 3,-1 1,2 0,-4 0,4 0,2 0,-7 0,8 0,-7 0,1 0,6 0,-6 0,1 0,4 0,-7-2,8-1,-4 1,0-1,2 3,-4 0,5 0,-3 0,1 0,1 0,1 0,5 0,2 0,2 0,0 0,-3 0,-3 0,-1 0,-1 0,1 0,-3 0,-3 0,2 0,-1 0,1 0,0 0,-3 0,6 0,-6 0,5 0,-2 0,-2 0,4 0,-4 0,3 4,-2-2,1 2,-2-4,-1 0,6 0,-5 0,4 0,-3 0,-2 0,5 0,-4 0,2 0,0 3,-4-2,7 3,-6-4,5 0,-4 0,3 0,1 0,0 0,-2 0,-1 0,2 0,3 0,-1 0,-2 0,0 0,-3 0,3 0,-4 0,7 0,-7 0,4 0,1 0,-4 0,0 0,4 0,-7 0,8 0,-5 0,-1 0,6 0,-8 0,-54 0,10 3,-55 3,29 0,0 0,6-3,5-2,5-1,7 0,7 0,9 0,5 0,-1 0,1 0,-4 0,2 0,0 0,-8 0,-13-3,-19-4,-17-4,-13-3,4 0,10 3,19 4,19 2,12 1,11 2,-4 0,-1 2,0 0,-2 0,2 0,0 0,-3 0,3 0,4 0,-12 0,11 0,-7 0,2 0,4 0,-5 0,0 0,7 0,-7 0,10 18,7-7,9 12,10-16,2-4,3-3,3 0,3 0,9 0,8 0,11 0,1 0,-3-2,-6-2,-8-2,-4-1,-4 1,-3-3,-1 3,-1-1,-3 2,-1 2,-3 1,4 2,4 0,4 0,8 0,4 0,8 0,7 0,4 0,3 0,0 0,-2 0,0 0,-3 0,-8 0,-2 0,-8 0,-3 0,-4 0,-4 0,-1 0,3 0,3 0,5 0,0 0,-2 0,-1 0,-6 0,0 0,-1 0,0 0,4 0,-2 0,2 0,-1 0,0 0,-4 0,-3 0,-6 0,-8 0,9 0,9 0,20 0,16 0,14 0,8 0,-8 0,-14 0,-19 0,-17 0,1 0,-1 0,1 0,-4 0,-3 0,-5 0,-4 0,-3 2,3 0,-3 0,6 0,-2 0,-2 1,2-1,-1 1,0-3,6 0,7 0,4 0,5 0,2 2,0 2,2-1,3 0,2-3,4 0,-1 0,-3 0,-4 0,-6 0,-3 0,-4 0,-5 0,-2 0,-3 0,-1 0,1 0,0 0,-1 0,-2 0,0 0,-1 0,2 0,3 0,5 0,5 0,10 0,7 0,3 0,7 0,-5 0,-4 0,-3 0,-8 0,0 0,1 0,-2 0,3 0,2 0,-2 2,-2 0,-6 1,-4 2,-5-2,-3 2,-1 0,-1 0,-4-1,1-1,-3-1,10-2,-5 0,3 0,-6 0,4 0,-2 0,3 0,-4 0,-2 0,6 0,18 0,18 0,17 0,8 0,-3 0,-7 0,-12 0,-8 0,-7 0,-3 0,1 0,-1 0,3 1,0 2,-1 1,-3 1,-6-1,-2-1,0-1,0-2,4 3,-3 0,-2 0,-3 0,0-3,1 0,2 0,3 0,1 0,1 0,0 0,1 0,-1 0,1 0,-2 0,-4 0,0 0,-3 0,0 0,3 0,4 0,7 0,5 0,3 0,1 0,5 0,1 0,0 0,-4 0,-12 0,-7 0,-5 0,-3 0,2 0,0 0,1 0,3 0,0 0,1 0,-2 0,-3-2,-4-2,-1-2,-2 1,-1 0,1 2,-1-2,1 0,3-1,5-1,6-1,6-1,0 2,0 1,-4 1,-3-2,-4 2,-1 0,3 0,4 0,8 2,-1-3,-3 3,-5-1,-8 2,-6 2,-7 0,2 0,-1 0,3 0,2 0,-2 0,3 0,-1 0,1 0,-1 0,1 0,2 0,2 0,3 0,0 0,-3 0,-6-6,-6-5,6 0,15 0,28 7,31 4,-38 0,3 0,12 2,2 0,0 0,-2 0,-5 0,-3 0,-7 0,-3-1,29-1,-3 0,0 0,3 0,-2 0,-1 0,-5 0,-13 0,-10 0,-12 0,-6 0,-3 0,0 0,-1 0,-3 0,-5 0,-5 0,-1 0,5 0,0 0,6 0,-1 0,9 0,9 0,13 0,8 0,4 0,-2 0,-9 0,-7 0,-2 0,0 0,4 0,0 0,-3 0,-3 0,-2 0,1 0,4 0,-2 0,-6 0,-7 0,-6 0,-3 0,-3-2,3-1,0 0,-4-1,-7 1,-9-20,-1 12,6-10,13 18,16 3,15 0,21 0,14 0,9 0,2 0,-9 0,-4 0,-1-2,-4-1,-3 0,-9 0,-8 2,-6 1,-8 0,-3 0,-4 0,-4 0,-1 0,-2 0,4 0,8 0,11 0,10 0,0 0,-8 0,-10 0,-1 0,4 0,9 0,7 0,0 0,2 0,-4 0,-6 0,-3 0,-8 0,-1 0,0 0,1 0,4-1,-4-2,-6 0,-7-1,-8 1,-4 0,-2 1,-3-1,-1 0,1 0,0-2,3-2,-1 1,1 1,0 3,-3 0,-3 0,0-2,0 0,3-1,6-3,3 2,8-2,5 2,0-1,-1-1,-6 1,-6 1,-3 1,-4 2,1 1,2 0,1 1,1-2,-2 0,-1 1,-1 1,-1 1,1 0,0 0,-1 0,-2 0,0 0,-1 0,2-2,1-1,1 0,-1 1,1 2,-1-3,1 0,-1 1,-1 0,-5 2,2 0,-3 0,4 0,-2 0,3 0,-2 0,-1 0,4 0,-8 0,10 0,-9 0,5 0,-3 12,-2-7,4 8,-2-11,2-2,1 0,-1 0,-2-9,-11-8,0 0,-7-2,2 2,-1 5,0-6,1 0,2 6,0-7,0 6,0-3,0 0,0 0,0 1,0-5,0 7,0-5,4 3,1 0,2-1,-1 1,-1 2,1-5,2 6,0-4,1 1,-2 5,0-10,-2 9,-2-7,2 3,-1 0,2-2,-3 3,-1-2,-2-3,0 4,0-3,0 3,0-1,0 0,0-1,0 1,-4-2,3 3,-3-4,3 7,1 57,-1-28,1 49,0-51,0 2,0 1,0-1,0 2,0-1,0-3,0 2,0 1,0-2,0 3,0-5,0 4,0-6,0 9,0-7,0 1,0 3,0-5,0 6,0-2,0-5,0 6,0-4,0 2,0 5,0-9,0 6,0-1,0-5,0 8,-8-62,4 17,-5-52,7 29,2 4,0 7,0 7,0 5,0 4,0 0,0-4,0 0,-3 0,0 2,1 3,-2 3,-2 1,-2 2,-1 3,-5 0,9-2,-7 2,7-7,-7 9,-7 4,6 5,-7-1,8 1,-7 3,3-1,1 5,1-2,-2 3,3-1,-5 0,4-2,42-31,-24 16,37-21,-31 24,0 2,10-8,-9 9,5-8,-56 11,23-1,-36 6,36 2,-1 1,2-1,-1 2,-1-1,1-1,-2 0,1 0,3-1,-1 1,3 2,-2 0,4 1,-8-1,7-2,-3 0,-5-1,8-3,-7 3,3-2,6-1,-11 0,4-2,-2 0,2 3,0 1,2 2,-2-2,3-2,-2 0,-1 1,-2 0,-2 1,0-1,0 0,-3-1,-1-1,0 1,1 1,2-1,-2 1,-1 0,1-1,-2 4,1 0,-2 0,-2 1,1-1,-3-1,0 2,0-2,-1 1,2-1,-1-3,0 3,-1 0,-1 1,-9 2,-16-2,-16 3,-13 5,-4 1,9 2,17-4,19-5,16-1,10-1,5-1,0-3,0 3,-2-1,-3 3,1-1,1-2,2-2,5-20,9 6,0-13,11 11,-4 4,9-6,-6 6,6-3,-4 3,4 3,0-3,2 6,-1-2,2 2,-4-1,3 0,-3-3,4 4,-3 0,7-2,-7 4,3-7,-4 4,0-2,6-2,-3 4,2 1,-4 3,2 1,-1-3,6 1,-6-1,0 2,-1-1,0-1,6 0,-6 1,4 2,0-1,-5 1,5 0,-3 0,21 0,25 0,19 0,12 0,-14 0,-14 0,-15 0,-13 0,-5 0,-3 0,-2 0,2 0,0 0,3 3,3 0,2 2,-1 1,0-4,0 1,1-3,0 2,-3 2,-2 1,-3 2,-4-2,-5 0,-5-3,1 2,1-2,0 5,2-1,-6-2,6 3,-3-6,1 4,4 0,-8 1,4 4,-2-3,-3 4,-21-50,7 27,-21-37,15 37,2 2,-6-3,2 3,-3-2,1 4,-1 2,-2-1,3 1,5-9,6 0,2-4,-2 4,-14 7,3 2,-12 6,10 0,-1 0,1 0,-3 0,4 0,-6 4,9-3,-6 3,-1-4,4 0,-6 0,4 0,4 0,-8 0,8 2,-10 0,6 0,-1 1,2-1,2 1,-7 0,8-1,-7 2,7 0,-2 5,0-2,-1-1,1 2,-3-6,2 2,-1-3,-2-1,4 0,-2 0,-2 3,1 0,-1 3,4-2,0 0,-3 2,3-1,-5 1,4-3,-1-1,-3-2,6 3,-2-1,0 3,-1-1,-1 3,4-4,-4 4,1-6,1 3,-2 0,2-3,-1 3,1-3,-4-1,4-1,-3 1,-1 0,2 0,-7 0,-7 3,-5 0,-3 3,4-1,3-2,5-1,7-2,4 0,1 0,1 0,-8 0,5 0,-1 0,2 0,1 0,-2 0,0 0,-1 0,1 0,1 2,-3 1,7-1,-6 0,-1-2,4 0,-5 0,6 0,-1 0,-4 0,2 0,-3 0,5 0,0 0,-6 0,6 0,-4 0,0 0,6 0,-7 0,5 0,3 1,-10 1,11 0,-7 1,0-3,7 0,-13 0,13 0,-9 0,3 0,0 0,-4 2,9 0,-7 0,5 0,-3 0,0 0,5 3,-10-1,9-1,-4-1,1 2,1-3,-4 2,5-1,-4 0,7 2,-10 1,5 0,-3 0,6-2,-3 2,1-3,-1 3,0-2,-2 1,0 0,-5 0,2 1,1 2,-1-2,0 0,1 0,1-1,2-2,2-2,-5 0,4 0,-4 0,1 0,-6 3,-13-1,-13 4,-12 3,-8 1,7 3,13-3,15-3,15-2,7-3,1 1,-4-2,3-1,-7 0,6 0,-5 0,4 0,-5 3,0 1,-2-1,-1 0,3-3,3 2,0 1,0-1,-1 1,-5-3,-6 0,-10 0,-6 2,-1 2,3-1,5 0,6-3,5 0,4 0,4 0,2 0,1 0,-1 0,-1 0,-2 0,-3 0,-4 0,-1 0,-4 0,1 0,2 0,-1 2,4 1,3-1,4 1,3-3,-1 0,-1 0,0 0,0 0,-3 0,-4 0,-5 0,-3 0,-3 0,-2 0,-2 0,-2 0,2 2,2 2,6-1,5 0,4-3,3 0,0 3,3-1,1 1,-1 0,2 0,0 0,0-1,69-2,-8 0,9 0,5 0,34 0,3 0,-42-1,1-1,-2 0,0 0,45-3,-8 2,-22 3,-2 0,6 0,7 0,14 0,5 0,-47 0,1 0,0 0,-1 0,48 0,-48 0,1 0,0 0,1 0,2 0,1 0,-1 0,1 0,-1 0,1 0,-4 0,0 0,47 0,-2 0,-5 0,5 0,1 0,-3 0,-7 0,-15 0,-15 0,-13 0,-14 0,-7 0,-6 0,-4 0,-76 0,6 0,-5 0,-5 0,-28 0,4 0,17 0,11 0,11 0,9 0,6 0,7 0,1 0,0 0,0 0,-1 0,-5 0,-17 0,-31 0,24 0,-5 0,-12 0,-3 0,-4 0,0 0,8 0,2 0,12 0,3 0,-29 0,24 0,11 0,7 0,4 0,2 0,-2 0,-1 0,-2 0,2 0,5 0,4 0,7 0,2 0,2 0,1 0,0 0,2 0,0 0,0 0,-1 0,-2 0,0 2,-3 1,-6 0,-7-1,-6-2,-2 0,4 0,7 0,6 0,10-2,8-10,9-9,17-6,9 4,2 11,3 7,-1 5,4 0,5-3,-1 0,2-1,0 2,0 2,-2 0,3-3,0-3,4-3,8-4,1 0,4 0,-2 0,-10 2,-7 2,-7 2,-7 2,-1 0,-3 0,1 3,-1-1,1 2,-3 1,-3-1,0-2,0 0,3 1,3 1,-1 0,1-2,-1 0,4-2,4 1,4 0,0 1,-1 3,-2-2,1-1,2 1,1-1,-1 3,-1 0,-5 0,-1 0,-3 0,-2 0,1 0,0 0,-1 0,0 0,0-1,-3-1,-1-1,-2 1,7 0,-2 2,6 0,-7 0,-2 0,0 0,1 0,-3 0,4 0,-89 16,18 8,-11-5,-6 0,20 1,2-2,-2-2,-1-2,-1-4,1-2,-36 1,18-6,23-3,22 2,4 1,4 2,3 2,0 1,-1 2,-9 1,-20 0,-30 2,21-6,-3 0,-10 0,-2-1,-5-2,0 0,4-2,3-1,8 0,3-2,-26 1,31 0,16 0,12 0,-4 0,-11 0,-25 0,-25 0,32 0,-1-2,-3 0,1-2,4 1,2-2,-32-5,26 3,18 3,15 2,7 2,5 0,-6 0,5 0,-9 0,9 0,-8 0,10 0,-12 0,9 0,-3 0,-4 0,9 0,-9 0,8 3,0-1,-8 5,8-5,-6 3,3-5,3 0,-8 0,6 0,-6 0,0 0,-4 2,-9 4,-6 3,-1 2,2 1,10-3,8-2,3-3,3-2,0 2,-3-1,0 1,-3 3,-6 0,-17 4,-19 3,-25 6,40-7,-1 1,-44 10,17-3,23-9,19-8,14-2,7-2,-3 0,-2 0,-3 0,0 0,4 0,2 0,0 1,-3 2,0 0,-3-1,0-1,0-1,1 0,-4 0,-3 0,-2 1,-5 2,0 0,-3 2,1 0,-1-2,0 3,0-2,4-1,8 1,4-2,5 1,3-1,-4 0,4 0,-4 2,1 0,1 1,0 0,64-3,-27 0,49-2,-46 0,1 0,1 0,4 0,4 0,-3 0,-1 0,-5 0,-3 0,-3 0,0 0,-2-2,-3-1,0 0,5-6,-3 3,2-4,-7 1,-1 0,2 0,0-1,2 1,1 0,0 1,-1 0,0 1,0 2,0 1,1 0,0-2,0-1,-1 3,2 0,-2-2,5 2,-5-3,0 5,1 1,1-4,-1 2,-72-4,19 5,-55-1,51 3,7 0,6 0,7 0,3 0,4 2,-1 5,2-1,-2 4,1-5,-4-1,-1-2,-1-2,2 0,3 0,-1 4,-1-2,1 2,-2-4,5 0,-8 0,7 0,-6 0,5 0,0 0,-2 0,2 0,-5 0,6 0,-4 0,0 0,4 0,-4 0,3 0,-1 0,-1 0,2 0,-2 0,1 0,1 0,-6 0,9 0,-7 0,5 0,-2 2,0 0,0 1,-1 1,1-1,-2 2,0 0,1-1,-1 0,0 0,3 0,1 0,-3-2,1 1,0 0,1 0,0-1,-2-2,2 0,-4 0,4 4,0-3,-4 3,4-3,-1-1,-4 0,8 0,-11 4,9-3,-5 3,5-4,1 0,-11 3,8-1,-8 1,6 1,-1-1,-2 0,3 1,0-1,0 0,-1 1,-2-1,1 0,-1 2,1-3,2 1,0-2,2 1,-1 0,0 1,2 0,0-3,-6 0,5 0,-8 0,9 0,-3 0,3 0,-1 0,-1 0,2 0,-2 0,2 0,-3 0,4 0,-4 0,1 0,3 0,-8 0,11 2,-9 1,5-1,0 1,-4-3,8 0,-8 1,4 1,-1 0,0 0,-2-1,3 1,-3 0,2 0,3 0,-7-2,63 0,-45 0,44 0,-99 5,-4 0,12-1,-2 0,-27 1,6 1,15-2,10 0,7-2,9-2,4 0,-3 3,-3 0,-7 1,-6 1,2-1,5 0,8 0,7-1,4 0,2-2,2-1,0 0,-1 0,1 0,-3 0,6 0,-7 0,7 0,-4 0,-3 0,4 0,-7 0,8 0,0 0,0 0,-1 0,-1 0,-2 0,-1 0,-4 0,-4 0,-8 0,-7 0,-4 3,-1 0,1 0,5 0,5-3,7 2,6 1,4 0,4-1,1-2,-3 0,3 0,-4 0,4 0,2 0,-5 0,3 0,-3 0,3 0,-2 0,-1 0,-3 0,0 0,1 0,1 0,2 0,-1 0,0 0,-3 0,0 0,-2 0,-4 0,-8 0,-12 0,-7 0,-3 0,5 0,13 0,8 0,9 0,7 0,-1 0,2 0,-2 0,-6 0,9 0,-6 2,5 0,1 0,-11 0,7-2,-5 0,4 3,0-1,-5 1,-6-1,-8-2,-8 0,-4 3,3 0,7 1,6-1,10-1,3 1,6-1,-2 1,1-1,-1 3,-3 2,9-3,-8 3,6-2,-3 0,-5 0,9-1,-8 1,2-3,2 3,-3-3,5 1,-2-1,-2 1,2-1,-3 1,6-1,-6-2,1 0,3 0,-5 0,6 0,-3 0,-8 0,6 0,-10 0,8 0,2 0,0 0,5 0,-6 0,5 0,-5 0,6 0,-3 0,0 0,1 2,-2 0,0 1,-2-1,-1-1,-1-1,0 0,0 0,1 0,1 0,3 0,1 0,-2 3,3-1,-8 1,10-2,-7-1,2 0,3 0,-4 0,5 0,-5 0,1 0,3 0,-6 0,9 0,-9 0,7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3-22T18:33:36.557"/>
    </inkml:context>
    <inkml:brush xml:id="br0">
      <inkml:brushProperty name="width" value="0.3" units="cm"/>
      <inkml:brushProperty name="height" value="0.6" units="cm"/>
      <inkml:brushProperty name="color" value="#A2D762"/>
      <inkml:brushProperty name="tip" value="rectangle"/>
      <inkml:brushProperty name="rasterOp" value="maskPen"/>
    </inkml:brush>
  </inkml:definitions>
  <inkml:trace contextRef="#ctx0" brushRef="#br0">1 0,'0'0</inkml:trace>
</inkml:ink>
</file>

<file path=xl/persons/person.xml><?xml version="1.0" encoding="utf-8"?>
<personList xmlns="http://schemas.microsoft.com/office/spreadsheetml/2018/threadedcomments" xmlns:x="http://schemas.openxmlformats.org/spreadsheetml/2006/main">
  <person displayName="Arya, Nitya" id="{BB8754C2-E612-6944-ACC9-57F678D70B11}" userId="S::na588@exeter.ac.uk::da252aca-6cac-4c69-acd9-675d8c3d2a8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B2D751-C233-5C4E-9D0F-69AA8BD71156}" name="Financial_Statements" displayName="Financial_Statements" ref="A2:G144" headerRowCount="0" headerRowDxfId="204" dataDxfId="203" totalsRowDxfId="202">
  <tableColumns count="7">
    <tableColumn id="1" xr3:uid="{49A99212-5B7F-8643-9BB1-B165D85BB266}" name="Column1" totalsRowLabel="Total" headerRowDxfId="201" dataDxfId="200" totalsRowDxfId="199"/>
    <tableColumn id="7" xr3:uid="{CBC4A214-D242-3341-966F-AA60005608B7}" name="Column7" headerRowDxfId="198" dataDxfId="197" totalsRowDxfId="196"/>
    <tableColumn id="2" xr3:uid="{1B3C8C0A-71D5-2C43-9446-CDC4ECA29C56}" name="Column2" headerRowDxfId="195" dataDxfId="194" totalsRowDxfId="193"/>
    <tableColumn id="3" xr3:uid="{E56EBC37-4CA0-6945-87E8-BAD44E85D962}" name="Column3" headerRowDxfId="192" dataDxfId="191"/>
    <tableColumn id="4" xr3:uid="{96E3D2CC-383F-A24E-AB4C-E55CB34F2359}" name="Column4" headerRowDxfId="190" dataDxfId="189"/>
    <tableColumn id="5" xr3:uid="{B2D67BBA-E79F-174B-B2EF-FC2E96FECFCD}" name="Column5" headerRowDxfId="188" dataDxfId="187"/>
    <tableColumn id="6" xr3:uid="{E6AEFACD-A1D3-D04A-9067-B4A6ADD64670}" name="Column6" totalsRowFunction="count" headerRowDxfId="186" dataDxfId="185"/>
  </tableColumns>
  <tableStyleInfo name="Table Style 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AE59685-49D0-3744-A2EF-4F310371909D}" name="Revenue_Brand" displayName="Revenue_Brand" ref="A147:G154" headerRowCount="0" totalsRowShown="0" headerRowDxfId="184" dataDxfId="183">
  <tableColumns count="7">
    <tableColumn id="1" xr3:uid="{8A8658A1-D50F-A948-BDC6-0E9507FDC66D}" name="Column1" headerRowDxfId="182" dataDxfId="181" totalsRowDxfId="180"/>
    <tableColumn id="2" xr3:uid="{5DF3A114-C1E1-F74E-884A-679BFA941309}" name="Column2" headerRowDxfId="179" dataDxfId="178" totalsRowDxfId="177"/>
    <tableColumn id="3" xr3:uid="{481A2561-DF15-9B48-8E6C-F2E8B302D2B7}" name="Column3" headerRowDxfId="176" dataDxfId="175" totalsRowDxfId="174"/>
    <tableColumn id="4" xr3:uid="{705D61D4-94AB-AB41-A16D-98E5B36ECF8D}" name="Column4" headerRowDxfId="173" dataDxfId="172" totalsRowDxfId="171"/>
    <tableColumn id="5" xr3:uid="{23393935-6BA1-3F45-B2EA-04E555E8FADB}" name="Column5" headerRowDxfId="170" dataDxfId="169" totalsRowDxfId="168"/>
    <tableColumn id="6" xr3:uid="{BBDDF204-905E-E043-B0A9-1197E1768014}" name="Column6" headerRowDxfId="167" dataDxfId="166" totalsRowDxfId="165"/>
    <tableColumn id="7" xr3:uid="{EE08EB49-BA2C-3146-9AA0-4A8508FE11A3}" name="Column7" headerRowDxfId="164" dataDxfId="163"/>
  </tableColumns>
  <tableStyleInfo name="Table Style 9"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C862A7-7370-1B43-B926-214DE0EAB316}" name="Operating_Income_Brand" displayName="Operating_Income_Brand" ref="A158:G165" headerRowCount="0" totalsRowShown="0" headerRowDxfId="162" dataDxfId="161">
  <tableColumns count="7">
    <tableColumn id="1" xr3:uid="{61162D5B-404C-D845-848D-0BAD07EDF0C2}" name="Column1" headerRowDxfId="160" dataDxfId="159"/>
    <tableColumn id="2" xr3:uid="{554F04E4-5421-A34A-9A0A-02FAD5C6BDBC}" name="Column2" headerRowDxfId="158" dataDxfId="157" totalsRowDxfId="156"/>
    <tableColumn id="3" xr3:uid="{E7DC6254-1DC6-B249-B87A-E6810A7CDF3B}" name="Column3" headerRowDxfId="155" dataDxfId="154" totalsRowDxfId="153"/>
    <tableColumn id="4" xr3:uid="{1247064F-C400-4446-BC0A-6FF151817E33}" name="Column4" headerRowDxfId="152" dataDxfId="151" totalsRowDxfId="150"/>
    <tableColumn id="5" xr3:uid="{5709D9F2-D836-2844-B3D2-ECF040027208}" name="Column5" headerRowDxfId="149" dataDxfId="148" totalsRowDxfId="147"/>
    <tableColumn id="6" xr3:uid="{6A62B3F9-0FEB-E547-B615-500CFC62A422}" name="Column6" headerRowDxfId="146" dataDxfId="145" totalsRowDxfId="144"/>
    <tableColumn id="7" xr3:uid="{9C761B26-66BA-2C47-BD88-8B28DAC94CD1}" name="Column7" headerRowDxfId="143" dataDxfId="142"/>
  </tableColumns>
  <tableStyleInfo name="Table Style 9"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4E5704-79AE-B040-9509-4A333834B150}" name="Common_Sized" displayName="Common_Sized" ref="A2:G102" headerRowCount="0" headerRowDxfId="141">
  <tableColumns count="7">
    <tableColumn id="1" xr3:uid="{B9F7DACF-EF7B-6A4C-A2F1-E1B9878BED13}" name="Column1" totalsRowLabel="Total" headerRowDxfId="140" dataDxfId="139" totalsRowDxfId="138"/>
    <tableColumn id="2" xr3:uid="{6FE8DC3E-888B-6947-8107-56E9F382E870}" name="Column2" headerRowDxfId="137" dataDxfId="136" totalsRowDxfId="135"/>
    <tableColumn id="3" xr3:uid="{190EEB8E-742F-3648-A4B9-3D6F4DFC5C10}" name="Column3" headerRowDxfId="134"/>
    <tableColumn id="4" xr3:uid="{69114FA0-189D-E84F-BBF9-B3AA5F776D86}" name="Column4" headerRowDxfId="133"/>
    <tableColumn id="5" xr3:uid="{58BB2237-D780-4541-9669-799E78CF406B}" name="Column5" headerRowDxfId="132"/>
    <tableColumn id="6" xr3:uid="{22926A0D-2E6C-6447-B350-93067B6B7028}" name="Column6" totalsRowFunction="count" headerRowDxfId="131"/>
    <tableColumn id="7" xr3:uid="{4A15CCF5-3268-2446-A6F5-EFFA1F231288}" name="Column7" headerRowDxfId="130" dataDxfId="129"/>
  </tableColumns>
  <tableStyleInfo name="Table Style 9"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516450-1920-C94D-85A5-990CEA358D5C}" name="Revenue_Share_Brand" displayName="Revenue_Share_Brand" ref="A2:F7" headerRowCount="0" totalsRowShown="0" headerRowDxfId="128" dataDxfId="127">
  <tableColumns count="6">
    <tableColumn id="1" xr3:uid="{8E9BA5D9-C064-8E4E-8173-56E1DA49CBCA}" name="Column1" dataDxfId="126"/>
    <tableColumn id="2" xr3:uid="{19C2E579-4042-6E43-93E6-99553633174B}" name="Column2" dataDxfId="125"/>
    <tableColumn id="3" xr3:uid="{5B38891B-8239-6647-B01A-8652C8AE42D5}" name="Column3" dataDxfId="124"/>
    <tableColumn id="4" xr3:uid="{F8C84F12-BEE9-D34E-A9A0-8471790E9F98}" name="Column4" dataDxfId="123"/>
    <tableColumn id="5" xr3:uid="{701183B6-6300-044C-B86C-B8391CC3DFEA}" name="Column5" dataDxfId="122"/>
    <tableColumn id="6" xr3:uid="{B485F46E-19CD-4D44-93BF-93989B244D9E}" name="Column6" dataDxfId="121"/>
  </tableColumns>
  <tableStyleInfo name="Table Style 9"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64185F9-2683-1E4B-94E1-CE06BB03689C}" name="Operating_Income_Share_Brand" displayName="Operating_Income_Share_Brand" ref="A11:F16" headerRowCount="0" totalsRowShown="0" headerRowDxfId="120" dataDxfId="118" headerRowBorderDxfId="119" tableBorderDxfId="117">
  <tableColumns count="6">
    <tableColumn id="1" xr3:uid="{7D12E415-DA45-AA4E-A5BE-A356FB07639A}" name="Column1" headerRowDxfId="116" dataDxfId="115"/>
    <tableColumn id="2" xr3:uid="{ED88B54D-5096-AD4F-87B6-0B75FCF44ADA}" name="Column2" headerRowDxfId="114" dataDxfId="113">
      <calculatedColumnFormula>'Raw Financial Data'!C158/'Raw Financial Data'!C$165</calculatedColumnFormula>
    </tableColumn>
    <tableColumn id="3" xr3:uid="{056FFD90-483E-D64F-93BC-03BBC73280A7}" name="Column3" headerRowDxfId="112" dataDxfId="111">
      <calculatedColumnFormula>'Raw Financial Data'!D158/'Raw Financial Data'!D$165</calculatedColumnFormula>
    </tableColumn>
    <tableColumn id="4" xr3:uid="{AF93F74D-DC41-2541-B30A-DF348C3A472D}" name="Column4" headerRowDxfId="110" dataDxfId="109">
      <calculatedColumnFormula>'Raw Financial Data'!E158/'Raw Financial Data'!E$165</calculatedColumnFormula>
    </tableColumn>
    <tableColumn id="5" xr3:uid="{FDC8A5FE-F79E-1F45-BFB2-264B08FFACBE}" name="Column5" headerRowDxfId="108" dataDxfId="107">
      <calculatedColumnFormula>'Raw Financial Data'!F158/'Raw Financial Data'!F$165</calculatedColumnFormula>
    </tableColumn>
    <tableColumn id="6" xr3:uid="{B76C7C01-87D3-444A-835F-073056CE0D43}" name="Column6" headerRowDxfId="106" dataDxfId="105">
      <calculatedColumnFormula>'Raw Financial Data'!G158/'Raw Financial Data'!G$165</calculatedColumnFormula>
    </tableColumn>
  </tableColumns>
  <tableStyleInfo name="Table Style 9"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D7AB50E-1211-C24C-9A09-01F2D0871701}" name="Operating_Margin_Brand" displayName="Operating_Margin_Brand" ref="A27:F32" headerRowCount="0" totalsRowShown="0" headerRowDxfId="104" dataDxfId="103">
  <tableColumns count="6">
    <tableColumn id="1" xr3:uid="{2A743871-2B1D-F64B-AD02-2BD8E1DD0F9E}" name="Column1" dataDxfId="102"/>
    <tableColumn id="2" xr3:uid="{EF140044-F626-3049-AB1F-76D282FB7DC8}" name="Column2" dataDxfId="101"/>
    <tableColumn id="3" xr3:uid="{0EE20382-6FCB-AD46-9413-50EEC0C8503A}" name="Column3" dataDxfId="100"/>
    <tableColumn id="4" xr3:uid="{FC7F81F2-08A0-974C-BD11-98C29043C1DF}" name="Column4" dataDxfId="99"/>
    <tableColumn id="5" xr3:uid="{98E42713-02B8-DE4C-BF6E-F0E7B87F8553}" name="Column5" dataDxfId="98"/>
    <tableColumn id="6" xr3:uid="{6CA98320-A67A-964B-89C4-683709CA78EA}" name="Column6" dataDxfId="97"/>
  </tableColumns>
  <tableStyleInfo name="Table Style 9"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9F7E5C5-D785-1F47-98BD-8B0DF8E950F1}" name="Operating_Income_Decline_Attribution" displayName="Operating_Income_Decline_Attribution" ref="A20:E23" headerRowCount="0" totalsRowShown="0" headerRowDxfId="96" dataDxfId="95" tableBorderDxfId="94" totalsRowBorderDxfId="93">
  <tableColumns count="5">
    <tableColumn id="1" xr3:uid="{E9064C6E-D3AD-8E41-A162-FF10B75B1A51}" name="Column1" headerRowDxfId="92" dataDxfId="91"/>
    <tableColumn id="2" xr3:uid="{E6A228D1-4EAD-C34C-AF8D-9E5609FC2E28}" name="Column2" headerRowDxfId="90" dataDxfId="89"/>
    <tableColumn id="3" xr3:uid="{1F3BA59B-49EF-704D-A9DD-0011A9E03006}" name="Column3" headerRowDxfId="88" dataDxfId="87"/>
    <tableColumn id="4" xr3:uid="{DD7C12F4-5BC7-C24A-9082-6AE47B50F7F1}" name="Column4" headerRowDxfId="86" dataDxfId="85"/>
    <tableColumn id="5" xr3:uid="{2E16808C-5DD0-7F46-8E45-82625D9F826A}" name="Column5" headerRowDxfId="84" dataDxfId="83"/>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451BAA3-9C12-2E43-9D0C-C00D3687A6C5}" name="Revenue_Trend" displayName="Revenue_Trend" ref="A2:F5" headerRowCount="0" totalsRowShown="0" headerRowDxfId="234" dataDxfId="233" tableBorderDxfId="232" totalsRowBorderDxfId="231">
  <tableColumns count="6">
    <tableColumn id="1" xr3:uid="{9D1E9FB3-5086-094D-A92F-EE8AEDB93E09}" name="Column1" dataDxfId="230"/>
    <tableColumn id="2" xr3:uid="{03FB976A-A79B-9146-ABB5-DB53582DAD78}" name="Column2" dataDxfId="229"/>
    <tableColumn id="3" xr3:uid="{5395091F-5097-6446-9CA4-40EAB9AC53D3}" name="Column3" dataDxfId="228"/>
    <tableColumn id="4" xr3:uid="{A9B7631D-4B89-8E4A-A21E-42594B8DBB7E}" name="Column4" dataDxfId="227"/>
    <tableColumn id="5" xr3:uid="{1368E113-A0BC-8646-9080-87B85D16772B}" name="Column5" dataDxfId="226"/>
    <tableColumn id="6" xr3:uid="{F937FCA9-4F23-9C45-A0E5-1290F8459520}" name="Column6" dataDxfId="225"/>
  </tableColumns>
  <tableStyleInfo name="Table Style 8"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2E090EE-0C53-1946-96B3-028CC374B845}" name="Operating_Income_Trend" displayName="Operating_Income_Trend" ref="H2:M5" headerRowCount="0" totalsRowShown="0" headerRowDxfId="224" dataDxfId="223" tableBorderDxfId="222" totalsRowBorderDxfId="221">
  <tableColumns count="6">
    <tableColumn id="1" xr3:uid="{C1B6B1CD-7E74-F741-98F0-5AFDA2F759B9}" name="Column1" dataDxfId="220"/>
    <tableColumn id="2" xr3:uid="{37EFD909-BF49-F948-A430-241B59B4F6BF}" name="Column2" dataDxfId="219"/>
    <tableColumn id="3" xr3:uid="{C5D8B8A1-DB35-F443-B65B-87E4B41D57B6}" name="Column3" dataDxfId="218"/>
    <tableColumn id="4" xr3:uid="{2A7F1719-EDFA-7C4B-B757-FE13691B31F7}" name="Column4" dataDxfId="217"/>
    <tableColumn id="5" xr3:uid="{3DB29E53-4175-F84C-A09F-FD9807593A5C}" name="Column5" dataDxfId="216"/>
    <tableColumn id="6" xr3:uid="{2ACD0047-E45F-7E42-B6CF-73F30D49A32A}" name="Column6" dataDxfId="215"/>
  </tableColumns>
  <tableStyleInfo name="Table Style 8"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CB605AD-CC3C-B247-9EC1-A6E16CFD0489}" name="Operating_Margin_Trend" displayName="Operating_Margin_Trend" ref="A21:F23" headerRowCount="0" totalsRowShown="0" headerRowDxfId="214" dataDxfId="213" tableBorderDxfId="212" totalsRowBorderDxfId="211">
  <tableColumns count="6">
    <tableColumn id="1" xr3:uid="{02AB397F-A0A9-0B41-AECB-4E5066CAFD54}" name="Column1" dataDxfId="210"/>
    <tableColumn id="2" xr3:uid="{083D6388-247C-B14F-896B-46045D693B51}" name="Column2" dataDxfId="209"/>
    <tableColumn id="3" xr3:uid="{675AFE98-67D2-A942-A6EC-67588F310753}" name="Column3" dataDxfId="208"/>
    <tableColumn id="4" xr3:uid="{6C05A757-6E73-B24F-BED6-E63AAC866387}" name="Column4" dataDxfId="207"/>
    <tableColumn id="5" xr3:uid="{6F96CE08-B63A-1446-BA4E-B886B1B4D20B}" name="Column5" dataDxfId="206"/>
    <tableColumn id="6" xr3:uid="{23B5E1CD-9A15-2940-A37D-E354B438FF8C}" name="Column6" dataDxfId="205"/>
  </tableColumns>
  <tableStyleInfo name="Table Style 8"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B95A1-468A-9846-BAB5-220E427D92FF}" name="Table2" displayName="Table2" ref="A2:F30" headerRowCount="0" totalsRowShown="0" headerRowDxfId="82" dataDxfId="81" tableBorderDxfId="80" totalsRowBorderDxfId="79">
  <tableColumns count="6">
    <tableColumn id="1" xr3:uid="{B0642120-EC6A-2C44-A8FA-329565B9CCCB}" name="Column1" headerRowDxfId="78" dataDxfId="77"/>
    <tableColumn id="2" xr3:uid="{E7242597-ACD1-9048-9EA7-686A241D9FAD}" name="Column2" headerRowDxfId="76" dataDxfId="75"/>
    <tableColumn id="3" xr3:uid="{2B3443BB-FE1E-A24C-9C69-80D1C7585507}" name="Column3" headerRowDxfId="74" dataDxfId="73"/>
    <tableColumn id="4" xr3:uid="{D1E77CAA-EF88-FC4E-906D-1E8E1BFA5E58}" name="Column4" headerRowDxfId="72" dataDxfId="71"/>
    <tableColumn id="5" xr3:uid="{2764EB1D-6BAE-E04C-BBE6-7C426595EC20}" name="Column5" headerRowDxfId="70" dataDxfId="69"/>
    <tableColumn id="6" xr3:uid="{A57F2EBA-EFE0-2C4C-8B26-415F250B499D}" name="Column6" headerRowDxfId="68" dataDxfId="67"/>
  </tableColumns>
  <tableStyleInfo name="Table Style 9"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BCDC6D-F6BF-5E4E-8B70-C9FE898CA2CC}" name="Forcasting_Revenue" displayName="Forcasting_Revenue" ref="A17:L24" headerRowCount="0" totalsRowShown="0" headerRowDxfId="66" dataDxfId="64" headerRowBorderDxfId="65" tableBorderDxfId="63" totalsRowBorderDxfId="62">
  <tableColumns count="12">
    <tableColumn id="1" xr3:uid="{792C2719-62AB-2045-8CFD-7708C893F6C3}" name="Column1" headerRowDxfId="61" dataDxfId="60"/>
    <tableColumn id="2" xr3:uid="{6B5C73F2-BDA1-3C45-9AAE-B78889D2387C}" name="Column2" headerRowDxfId="59" dataDxfId="58"/>
    <tableColumn id="3" xr3:uid="{C077D3D6-43DC-394B-9A08-58A94F4CFAA5}" name="Column3" headerRowDxfId="57" dataDxfId="56"/>
    <tableColumn id="4" xr3:uid="{4194043C-B3EB-A640-B770-13079CE999C4}" name="Column4" headerRowDxfId="55" dataDxfId="54"/>
    <tableColumn id="5" xr3:uid="{7847F945-315E-A64E-BF90-DE6C67EDEBCD}" name="Column5" headerRowDxfId="53" dataDxfId="52"/>
    <tableColumn id="6" xr3:uid="{F0374749-F57D-F94B-B9AB-D4B34DA74FBC}" name="Column6" headerRowDxfId="51" dataDxfId="50"/>
    <tableColumn id="7" xr3:uid="{8CE234B5-AB96-9946-ABCC-5AD6C315D0BB}" name="Column7" headerRowDxfId="49" dataDxfId="48"/>
    <tableColumn id="8" xr3:uid="{A17CDAAB-C47B-CA46-A0CE-1BDE5866DE09}" name="Column8" headerRowDxfId="47" dataDxfId="46"/>
    <tableColumn id="9" xr3:uid="{3C9EEB8F-5FB2-BC45-807A-6B8A96F1AAF8}" name="Column9" headerRowDxfId="45" dataDxfId="44"/>
    <tableColumn id="10" xr3:uid="{B1509886-1575-AC4F-A836-EB82CE3AE740}" name="Column10" headerRowDxfId="43" dataDxfId="42"/>
    <tableColumn id="11" xr3:uid="{210FE043-1767-0642-820F-7D0D7FFCA438}" name="Column11" headerRowDxfId="41" dataDxfId="40"/>
    <tableColumn id="12" xr3:uid="{614B5CFE-0D04-D347-90A1-1CBD5EC08B9D}" name="Column12" headerRowDxfId="39" dataDxfId="38"/>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6A08CE-17A6-6C4F-9E48-5D5CFEF04237}" name="Income_Statement_Forecast" displayName="Income_Statement_Forecast" ref="A46:I53" headerRowCount="0" totalsRowShown="0" headerRowDxfId="37" dataDxfId="35" headerRowBorderDxfId="36" tableBorderDxfId="34">
  <tableColumns count="9">
    <tableColumn id="1" xr3:uid="{FB467B67-1D9F-2D40-86B5-4343AC1FC428}" name="Column1" headerRowDxfId="33" dataDxfId="32"/>
    <tableColumn id="2" xr3:uid="{19C8B541-A179-244A-B29A-B237EA7F94D7}" name="Column2" headerRowDxfId="31" dataDxfId="30"/>
    <tableColumn id="3" xr3:uid="{84C7A039-A457-564A-B819-AF5789B84936}" name="Column3" headerRowDxfId="29" dataDxfId="28"/>
    <tableColumn id="4" xr3:uid="{8AC321ED-7D57-784E-8CA2-936BB2745E36}" name="Column4" headerRowDxfId="27" dataDxfId="26"/>
    <tableColumn id="5" xr3:uid="{F88816B5-0D4E-BB4E-8C01-2EC8F1424CF4}" name="Column5" headerRowDxfId="25" dataDxfId="24"/>
    <tableColumn id="6" xr3:uid="{6101FE70-B228-144F-B6B9-1495FCE390DF}" name="Column6" headerRowDxfId="23" dataDxfId="22"/>
    <tableColumn id="7" xr3:uid="{1D65D703-4179-AE4C-A568-D8CFAA4AE1B0}" name="Column7" headerRowDxfId="21" dataDxfId="20"/>
    <tableColumn id="8" xr3:uid="{6C2FF5AC-C50E-5749-9A98-1E0295955220}" name="Column8" headerRowDxfId="19" dataDxfId="18"/>
    <tableColumn id="9" xr3:uid="{AAA71DFA-3B27-1E40-91C6-FCF3592ADCFA}" name="Column9" headerRowDxfId="17" dataDxfId="16"/>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47C1038-59FD-EF4F-ACB3-F627C1EA447C}" name="Returns_Forecast" displayName="Returns_Forecast" ref="A56:I70" headerRowCount="0" totalsRowShown="0" headerRowDxfId="15" tableBorderDxfId="14">
  <tableColumns count="9">
    <tableColumn id="1" xr3:uid="{A9599157-7E3C-2C4D-81F5-7EF07AAD0ABB}" name="Column1" headerRowDxfId="13"/>
    <tableColumn id="2" xr3:uid="{1CB996BD-6BF2-244E-BE40-C7A37DCAC0D2}" name="Column2" headerRowDxfId="12" dataDxfId="11"/>
    <tableColumn id="3" xr3:uid="{ABB8DDB4-5F29-8448-B4C4-0829DAD34586}" name="Column3" headerRowDxfId="10" dataDxfId="9"/>
    <tableColumn id="4" xr3:uid="{EE5B84DC-AB14-6942-A917-49BD9C44F3A6}" name="Column4" headerRowDxfId="8" dataDxfId="7"/>
    <tableColumn id="5" xr3:uid="{0825BE83-5D67-FC4C-9071-E29EDD8F3C26}" name="Column5" headerRowDxfId="6" dataDxfId="5"/>
    <tableColumn id="6" xr3:uid="{7E2C7A8B-4108-E042-BD3A-FF0A7AFDFCC6}" name="Column6" headerRowDxfId="4" dataDxfId="3"/>
    <tableColumn id="7" xr3:uid="{1A46FE7B-C90E-A14C-B281-9C03F2054B32}" name="Column7" headerRowDxfId="2"/>
    <tableColumn id="8" xr3:uid="{060CD4BD-5A5D-8E4A-AA9F-2E12B043AB0F}" name="Column8" headerRowDxfId="1"/>
    <tableColumn id="9" xr3:uid="{19E07416-9776-AD44-9135-D600F27AF502}" name="Column9" headerRow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6-03-08T13:18:30.00" personId="{BB8754C2-E612-6944-ACC9-57F678D70B11}" id="{45A7A253-AEE1-5F43-839E-C0F09AA1C679}">
    <text>Return on Equity
ROE_x000B_Net Income ÷ Average Equity</text>
  </threadedComment>
  <threadedComment ref="A2" dT="2026-03-08T13:18:41.97" personId="{BB8754C2-E612-6944-ACC9-57F678D70B11}" id="{D5E115FD-3918-3545-AF1C-3E59664B1BDB}" parentId="{45A7A253-AEE1-5F43-839E-C0F09AA1C679}">
    <text>DuPont Decomposition
Net Margin_x000B_Net Income ÷ Revenue
Asset Turnover_x000B_Revenue ÷ Average Total Assets
Equity Multiplier_x000B_Average Total Assets ÷ Average Equity
ROE Check_x000B_Net Margin × Asset Turnover × Equity Multiplier</text>
  </threadedComment>
  <threadedComment ref="A2" dT="2026-03-08T13:19:29.58" personId="{BB8754C2-E612-6944-ACC9-57F678D70B11}" id="{289E3703-C6CA-4041-9F28-D82C23553659}" parentId="{45A7A253-AEE1-5F43-839E-C0F09AA1C679}">
    <text xml:space="preserve">Profitability Drivers
Gross Margin_x000B_(Revenue − Cost of Sales) ÷ Revenue
Operating Expenses %_x000B_Operating Expenses ÷ Revenue
Operating Margin_x000B_Operating Income ÷ Revenue
Interest Expense %_x000B_Financial Result ÷ Revenue
Effective Tax Rate_x000B_Income Tax ÷ Income Before Tax
</text>
  </threadedComment>
  <threadedComment ref="A2" dT="2026-03-08T13:20:55.36" personId="{BB8754C2-E612-6944-ACC9-57F678D70B11}" id="{8FBD26EC-BCA1-1744-87DF-22A21FBF5BDF}" parentId="{45A7A253-AEE1-5F43-839E-C0F09AA1C679}">
    <text xml:space="preserve">Return on Invested Capital
NOPAT_x000B_Operating Income × (1 − Tax Rate)
Invested Capital_x000B_Equity + Borrowings − Cash
Average Invested Capital_x000B_(Current IC + Previous IC) ÷ 2
ROIC_x000B_NOPAT ÷ Average Invested Capital
</text>
  </threadedComment>
  <threadedComment ref="A2" dT="2026-03-16T14:40:53.52" personId="{BB8754C2-E612-6944-ACC9-57F678D70B11}" id="{2DCD5063-6B13-EB46-9EE6-E61EC0FAFE7F}" parentId="{45A7A253-AEE1-5F43-839E-C0F09AA1C679}">
    <text>Working Capital Efficiency
Inventory Turnover
= Cost of Goods Sold (COGS) ÷ Average Inventory
DIO
= (Average Inventory ÷ Cost of Sales) × 365
Receivable Days
= (Average Trade Receivables ÷ Revenue) × 365
Payable Days
= (Average Trade Payables ÷ Cost of Sales) × 365
Cash Conversion Cycle
= DIO + Receivable Days − Payable Days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2.xml"/><Relationship Id="rId5" Type="http://schemas.openxmlformats.org/officeDocument/2006/relationships/table" Target="../tables/table8.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3.xml"/><Relationship Id="rId4"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5.xml"/><Relationship Id="rId4"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8D82A-C7BF-554C-A8A3-3DA5481E7421}">
  <sheetPr>
    <tabColor theme="2" tint="-9.9978637043366805E-2"/>
  </sheetPr>
  <dimension ref="A1"/>
  <sheetViews>
    <sheetView showGridLines="0" tabSelected="1" zoomScaleNormal="100" workbookViewId="0">
      <selection activeCell="B57" sqref="B57"/>
    </sheetView>
  </sheetViews>
  <sheetFormatPr baseColWidth="10" defaultRowHeight="16" x14ac:dyDescent="0.2"/>
  <sheetData/>
  <sheetProtection algorithmName="SHA-512" hashValue="r5GvbEWzeZ8CE1+lEsw2zPACd53VOSyNNPSJwbC0YBO0ornqgCLt4m5/oZ9C/CuYilE/Mtk9GKl4PkeIf7sh+g==" saltValue="m7cxExx1R2aYxZO9ICo11Q==" spinCount="100000" sheet="1" objects="1" scenarios="1" selectLockedCells="1" selectUnlockedCells="1"/>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D0289-6E6F-6445-B659-7410A4DC6E16}">
  <sheetPr>
    <tabColor theme="8" tint="0.79998168889431442"/>
  </sheetPr>
  <dimension ref="A1:G166"/>
  <sheetViews>
    <sheetView showGridLines="0" zoomScaleNormal="100" workbookViewId="0"/>
  </sheetViews>
  <sheetFormatPr baseColWidth="10" defaultRowHeight="16" x14ac:dyDescent="0.2"/>
  <cols>
    <col min="1" max="1" width="88" bestFit="1" customWidth="1"/>
    <col min="2" max="2" width="11.6640625" bestFit="1" customWidth="1"/>
    <col min="3" max="7" width="10.83203125" customWidth="1"/>
  </cols>
  <sheetData>
    <row r="1" spans="1:7" ht="16" customHeight="1" x14ac:dyDescent="0.2">
      <c r="A1" s="7"/>
      <c r="B1" s="7"/>
      <c r="C1" s="7"/>
      <c r="D1" s="7"/>
      <c r="E1" s="7"/>
      <c r="F1" s="7"/>
      <c r="G1" s="7"/>
    </row>
    <row r="2" spans="1:7" ht="20" x14ac:dyDescent="0.2">
      <c r="A2" s="8" t="s">
        <v>68</v>
      </c>
      <c r="B2" s="8"/>
      <c r="C2" s="3"/>
      <c r="D2" s="3"/>
      <c r="E2" s="3"/>
      <c r="F2" s="3"/>
      <c r="G2" s="3"/>
    </row>
    <row r="3" spans="1:7" ht="20" x14ac:dyDescent="0.2">
      <c r="A3" s="8"/>
      <c r="B3" s="8"/>
      <c r="C3" s="3"/>
      <c r="D3" s="3"/>
      <c r="E3" s="3"/>
      <c r="F3" s="3"/>
      <c r="G3" s="3"/>
    </row>
    <row r="4" spans="1:7" ht="19" x14ac:dyDescent="0.25">
      <c r="A4" s="9" t="s">
        <v>8</v>
      </c>
      <c r="B4" s="9">
        <v>2020</v>
      </c>
      <c r="C4" s="9">
        <v>2021</v>
      </c>
      <c r="D4" s="9">
        <v>2022</v>
      </c>
      <c r="E4" s="9">
        <v>2023</v>
      </c>
      <c r="F4" s="9">
        <v>2024</v>
      </c>
      <c r="G4" s="9">
        <v>2025</v>
      </c>
    </row>
    <row r="5" spans="1:7" x14ac:dyDescent="0.2">
      <c r="A5" s="1" t="s">
        <v>18</v>
      </c>
      <c r="B5" s="1"/>
    </row>
    <row r="6" spans="1:7" x14ac:dyDescent="0.2">
      <c r="A6" s="4" t="s">
        <v>0</v>
      </c>
      <c r="B6" s="78">
        <v>13100.2</v>
      </c>
      <c r="C6" s="79">
        <v>17645</v>
      </c>
      <c r="D6" s="79">
        <v>20351</v>
      </c>
      <c r="E6" s="79">
        <v>19566</v>
      </c>
      <c r="F6" s="79">
        <v>16874</v>
      </c>
      <c r="G6" s="79">
        <v>14675</v>
      </c>
    </row>
    <row r="7" spans="1:7" x14ac:dyDescent="0.2">
      <c r="A7" t="s">
        <v>21</v>
      </c>
      <c r="B7" s="80">
        <v>-3590.6</v>
      </c>
      <c r="C7" s="81" t="s">
        <v>61</v>
      </c>
      <c r="D7" s="81" t="s">
        <v>60</v>
      </c>
      <c r="E7" s="81" t="s">
        <v>59</v>
      </c>
      <c r="F7" s="81" t="s">
        <v>58</v>
      </c>
      <c r="G7" s="81" t="s">
        <v>57</v>
      </c>
    </row>
    <row r="8" spans="1:7" x14ac:dyDescent="0.2">
      <c r="A8" s="4" t="s">
        <v>22</v>
      </c>
      <c r="B8" s="78">
        <v>9509.6</v>
      </c>
      <c r="C8" s="79">
        <v>13068</v>
      </c>
      <c r="D8" s="79">
        <v>15198</v>
      </c>
      <c r="E8" s="79">
        <v>14927</v>
      </c>
      <c r="F8" s="79">
        <v>12394</v>
      </c>
      <c r="G8" s="79">
        <v>10660</v>
      </c>
    </row>
    <row r="9" spans="1:7" x14ac:dyDescent="0.2">
      <c r="A9" t="s">
        <v>262</v>
      </c>
      <c r="B9" s="80">
        <v>-2070</v>
      </c>
      <c r="C9" s="81" t="s">
        <v>56</v>
      </c>
      <c r="D9" s="81" t="s">
        <v>55</v>
      </c>
      <c r="E9" s="81" t="s">
        <v>54</v>
      </c>
      <c r="F9" s="81" t="s">
        <v>53</v>
      </c>
      <c r="G9" s="81" t="s">
        <v>52</v>
      </c>
    </row>
    <row r="10" spans="1:7" x14ac:dyDescent="0.2">
      <c r="A10" t="s">
        <v>24</v>
      </c>
      <c r="B10" s="80">
        <v>-4304.3999999999996</v>
      </c>
      <c r="C10" s="81" t="s">
        <v>51</v>
      </c>
      <c r="D10" s="81" t="s">
        <v>50</v>
      </c>
      <c r="E10" s="81" t="s">
        <v>49</v>
      </c>
      <c r="F10" s="81" t="s">
        <v>48</v>
      </c>
      <c r="G10" s="81" t="s">
        <v>47</v>
      </c>
    </row>
    <row r="11" spans="1:7" x14ac:dyDescent="0.2">
      <c r="A11" s="4" t="s">
        <v>1</v>
      </c>
      <c r="B11" s="78">
        <v>3135.2</v>
      </c>
      <c r="C11" s="79">
        <v>5017</v>
      </c>
      <c r="D11" s="79">
        <v>5589</v>
      </c>
      <c r="E11" s="79">
        <v>4746</v>
      </c>
      <c r="F11" s="79">
        <v>2440</v>
      </c>
      <c r="G11" s="79">
        <v>1631</v>
      </c>
    </row>
    <row r="12" spans="1:7" x14ac:dyDescent="0.2">
      <c r="A12" t="s">
        <v>2</v>
      </c>
      <c r="B12" s="80">
        <v>163</v>
      </c>
      <c r="C12" s="81" t="s">
        <v>41</v>
      </c>
      <c r="D12" s="81" t="s">
        <v>42</v>
      </c>
      <c r="E12" s="81" t="s">
        <v>43</v>
      </c>
      <c r="F12" s="81" t="s">
        <v>10</v>
      </c>
      <c r="G12" s="81" t="s">
        <v>9</v>
      </c>
    </row>
    <row r="13" spans="1:7" x14ac:dyDescent="0.2">
      <c r="A13" s="4" t="s">
        <v>25</v>
      </c>
      <c r="B13" s="78">
        <v>3298.2</v>
      </c>
      <c r="C13" s="79">
        <v>4797</v>
      </c>
      <c r="D13" s="79">
        <v>5395</v>
      </c>
      <c r="E13" s="79">
        <v>4643</v>
      </c>
      <c r="F13" s="79">
        <v>2198</v>
      </c>
      <c r="G13" s="79">
        <v>1047</v>
      </c>
    </row>
    <row r="14" spans="1:7" x14ac:dyDescent="0.2">
      <c r="A14" t="s">
        <v>3</v>
      </c>
      <c r="B14" s="80">
        <v>-341.7</v>
      </c>
      <c r="C14" s="81" t="s">
        <v>38</v>
      </c>
      <c r="D14" s="81" t="s">
        <v>39</v>
      </c>
      <c r="E14" s="81" t="s">
        <v>40</v>
      </c>
      <c r="F14" s="81" t="s">
        <v>12</v>
      </c>
      <c r="G14" s="81" t="s">
        <v>11</v>
      </c>
    </row>
    <row r="15" spans="1:7" x14ac:dyDescent="0.2">
      <c r="A15" s="4" t="s">
        <v>26</v>
      </c>
      <c r="B15" s="78">
        <v>2956.5</v>
      </c>
      <c r="C15" s="79">
        <v>4524</v>
      </c>
      <c r="D15" s="79">
        <v>5135</v>
      </c>
      <c r="E15" s="79">
        <v>4233</v>
      </c>
      <c r="F15" s="79">
        <v>1584</v>
      </c>
      <c r="G15" s="79">
        <v>453</v>
      </c>
    </row>
    <row r="16" spans="1:7" x14ac:dyDescent="0.2">
      <c r="A16" t="s">
        <v>4</v>
      </c>
      <c r="B16" s="80">
        <v>-759.2</v>
      </c>
      <c r="C16" s="81" t="s">
        <v>46</v>
      </c>
      <c r="D16" s="81" t="s">
        <v>45</v>
      </c>
      <c r="E16" s="81" t="s">
        <v>44</v>
      </c>
      <c r="F16" s="81" t="s">
        <v>14</v>
      </c>
      <c r="G16" s="81" t="s">
        <v>13</v>
      </c>
    </row>
    <row r="17" spans="1:7" x14ac:dyDescent="0.2">
      <c r="A17" t="s">
        <v>5</v>
      </c>
      <c r="B17" s="80">
        <v>-7.6</v>
      </c>
      <c r="C17" s="82">
        <v>1</v>
      </c>
      <c r="D17" s="82">
        <v>2</v>
      </c>
      <c r="E17" s="82">
        <v>4</v>
      </c>
      <c r="F17" s="81" t="s">
        <v>16</v>
      </c>
      <c r="G17" s="81" t="s">
        <v>15</v>
      </c>
    </row>
    <row r="18" spans="1:7" x14ac:dyDescent="0.2">
      <c r="A18" s="4" t="s">
        <v>6</v>
      </c>
      <c r="B18" s="78">
        <v>2189.6999999999998</v>
      </c>
      <c r="C18" s="79">
        <v>3245</v>
      </c>
      <c r="D18" s="79">
        <v>3717</v>
      </c>
      <c r="E18" s="79">
        <v>3074</v>
      </c>
      <c r="F18" s="79">
        <v>1119</v>
      </c>
      <c r="G18" s="79">
        <v>39</v>
      </c>
    </row>
    <row r="19" spans="1:7" x14ac:dyDescent="0.2">
      <c r="A19" s="83" t="s">
        <v>27</v>
      </c>
      <c r="B19" s="80">
        <v>2160.1999999999998</v>
      </c>
      <c r="C19" s="84">
        <v>3165</v>
      </c>
      <c r="D19" s="84">
        <v>3613</v>
      </c>
      <c r="E19" s="84">
        <v>2983</v>
      </c>
      <c r="F19" s="84">
        <v>1025</v>
      </c>
      <c r="G19" s="85" t="s">
        <v>17</v>
      </c>
    </row>
    <row r="20" spans="1:7" x14ac:dyDescent="0.2">
      <c r="A20" s="83" t="s">
        <v>28</v>
      </c>
      <c r="B20" s="86">
        <v>29.5</v>
      </c>
      <c r="C20" s="84">
        <v>80</v>
      </c>
      <c r="D20" s="84">
        <v>104</v>
      </c>
      <c r="E20" s="84">
        <v>91</v>
      </c>
      <c r="F20" s="84">
        <v>94</v>
      </c>
      <c r="G20" s="84">
        <v>68</v>
      </c>
    </row>
    <row r="21" spans="1:7" x14ac:dyDescent="0.2">
      <c r="A21" s="1" t="s">
        <v>19</v>
      </c>
      <c r="B21" s="87"/>
      <c r="C21" s="82"/>
      <c r="D21" s="82"/>
      <c r="E21" s="82"/>
      <c r="F21" s="82"/>
      <c r="G21" s="82"/>
    </row>
    <row r="22" spans="1:7" x14ac:dyDescent="0.2">
      <c r="A22" s="4" t="s">
        <v>290</v>
      </c>
      <c r="B22" s="78">
        <v>-9.8000000000000007</v>
      </c>
      <c r="C22" s="79">
        <v>11</v>
      </c>
      <c r="D22" s="79">
        <v>1</v>
      </c>
      <c r="E22" s="79" t="s">
        <v>30</v>
      </c>
      <c r="F22" s="79">
        <v>108</v>
      </c>
      <c r="G22" s="79">
        <v>101</v>
      </c>
    </row>
    <row r="23" spans="1:7" x14ac:dyDescent="0.2">
      <c r="A23" s="83" t="s">
        <v>27</v>
      </c>
      <c r="B23" s="86">
        <v>-9.8000000000000007</v>
      </c>
      <c r="C23" s="84">
        <v>11</v>
      </c>
      <c r="D23" s="84">
        <v>1</v>
      </c>
      <c r="E23" s="84" t="s">
        <v>30</v>
      </c>
      <c r="F23" s="84">
        <v>108</v>
      </c>
      <c r="G23" s="84">
        <v>101</v>
      </c>
    </row>
    <row r="24" spans="1:7" x14ac:dyDescent="0.2">
      <c r="A24" s="83" t="s">
        <v>28</v>
      </c>
      <c r="B24" s="86" t="s">
        <v>30</v>
      </c>
      <c r="C24" s="84" t="s">
        <v>30</v>
      </c>
      <c r="D24" s="84" t="s">
        <v>30</v>
      </c>
      <c r="E24" s="84" t="s">
        <v>30</v>
      </c>
      <c r="F24" s="84" t="s">
        <v>30</v>
      </c>
      <c r="G24" s="84" t="s">
        <v>30</v>
      </c>
    </row>
    <row r="25" spans="1:7" x14ac:dyDescent="0.2">
      <c r="A25" s="1" t="s">
        <v>20</v>
      </c>
      <c r="B25" s="87"/>
      <c r="C25" s="82"/>
      <c r="D25" s="82"/>
      <c r="E25" s="82"/>
      <c r="F25" s="82"/>
      <c r="G25" s="82"/>
    </row>
    <row r="26" spans="1:7" x14ac:dyDescent="0.2">
      <c r="A26" s="4" t="s">
        <v>31</v>
      </c>
      <c r="B26" s="78">
        <v>2179.9</v>
      </c>
      <c r="C26" s="79">
        <v>3256</v>
      </c>
      <c r="D26" s="79">
        <v>3718</v>
      </c>
      <c r="E26" s="79">
        <v>3074</v>
      </c>
      <c r="F26" s="79">
        <v>1227</v>
      </c>
      <c r="G26" s="79">
        <v>140</v>
      </c>
    </row>
    <row r="27" spans="1:7" x14ac:dyDescent="0.2">
      <c r="A27" s="83" t="s">
        <v>27</v>
      </c>
      <c r="B27" s="86">
        <v>2150.4</v>
      </c>
      <c r="C27" s="84">
        <v>3176</v>
      </c>
      <c r="D27" s="84">
        <v>3614</v>
      </c>
      <c r="E27" s="84">
        <v>2983</v>
      </c>
      <c r="F27" s="84">
        <v>1133</v>
      </c>
      <c r="G27" s="84">
        <v>72</v>
      </c>
    </row>
    <row r="28" spans="1:7" x14ac:dyDescent="0.2">
      <c r="A28" s="83" t="s">
        <v>28</v>
      </c>
      <c r="B28" s="86">
        <v>29.5</v>
      </c>
      <c r="C28" s="84">
        <v>80</v>
      </c>
      <c r="D28" s="84">
        <v>104</v>
      </c>
      <c r="E28" s="84">
        <v>91</v>
      </c>
      <c r="F28" s="84">
        <v>94</v>
      </c>
      <c r="G28" s="84">
        <v>68</v>
      </c>
    </row>
    <row r="29" spans="1:7" x14ac:dyDescent="0.2">
      <c r="B29" s="80"/>
      <c r="C29" s="82"/>
      <c r="D29" s="82"/>
      <c r="E29" s="82"/>
      <c r="F29" s="82"/>
      <c r="G29" s="82"/>
    </row>
    <row r="30" spans="1:7" ht="19" x14ac:dyDescent="0.25">
      <c r="A30" s="9" t="s">
        <v>8</v>
      </c>
      <c r="B30" s="9">
        <v>2020</v>
      </c>
      <c r="C30" s="9">
        <v>2021</v>
      </c>
      <c r="D30" s="9">
        <v>2022</v>
      </c>
      <c r="E30" s="9">
        <v>2023</v>
      </c>
      <c r="F30" s="9">
        <v>2024</v>
      </c>
      <c r="G30" s="9">
        <v>2025</v>
      </c>
    </row>
    <row r="31" spans="1:7" x14ac:dyDescent="0.2">
      <c r="A31" s="4" t="s">
        <v>62</v>
      </c>
      <c r="B31" s="88">
        <v>2150.4</v>
      </c>
      <c r="C31" s="79">
        <v>3176</v>
      </c>
      <c r="D31" s="79">
        <v>3614</v>
      </c>
      <c r="E31" s="79">
        <v>2983</v>
      </c>
      <c r="F31" s="79">
        <v>1133</v>
      </c>
      <c r="G31" s="79">
        <v>72</v>
      </c>
    </row>
    <row r="32" spans="1:7" x14ac:dyDescent="0.2">
      <c r="A32" t="s">
        <v>263</v>
      </c>
      <c r="B32" s="80">
        <v>17.2</v>
      </c>
      <c r="C32" s="82">
        <v>25.49</v>
      </c>
      <c r="D32" s="82">
        <v>29.34</v>
      </c>
      <c r="E32" s="82">
        <v>24.38</v>
      </c>
      <c r="F32" s="82">
        <v>9.24</v>
      </c>
      <c r="G32" s="82">
        <v>0.59</v>
      </c>
    </row>
    <row r="33" spans="1:7" x14ac:dyDescent="0.2">
      <c r="A33" t="s">
        <v>264</v>
      </c>
      <c r="B33" s="80">
        <v>17.2</v>
      </c>
      <c r="C33" s="82">
        <v>25.49</v>
      </c>
      <c r="D33" s="82">
        <v>29.31</v>
      </c>
      <c r="E33" s="82">
        <v>24.37</v>
      </c>
      <c r="F33" s="82">
        <v>9.24</v>
      </c>
      <c r="G33" s="82">
        <v>0.59</v>
      </c>
    </row>
    <row r="34" spans="1:7" x14ac:dyDescent="0.2">
      <c r="A34" s="4" t="s">
        <v>63</v>
      </c>
      <c r="B34" s="78">
        <v>2160.1999999999998</v>
      </c>
      <c r="C34" s="79">
        <v>3165</v>
      </c>
      <c r="D34" s="79">
        <v>3613</v>
      </c>
      <c r="E34" s="79">
        <v>2983</v>
      </c>
      <c r="F34" s="79">
        <v>1025</v>
      </c>
      <c r="G34" s="89">
        <v>-29</v>
      </c>
    </row>
    <row r="35" spans="1:7" x14ac:dyDescent="0.2">
      <c r="A35" t="s">
        <v>33</v>
      </c>
      <c r="B35" s="80">
        <v>17.28</v>
      </c>
      <c r="C35" s="82">
        <v>25.4</v>
      </c>
      <c r="D35" s="82">
        <v>29.33</v>
      </c>
      <c r="E35" s="82">
        <v>24.38</v>
      </c>
      <c r="F35" s="82">
        <v>8.36</v>
      </c>
      <c r="G35" s="81" t="s">
        <v>37</v>
      </c>
    </row>
    <row r="36" spans="1:7" x14ac:dyDescent="0.2">
      <c r="A36" t="s">
        <v>34</v>
      </c>
      <c r="B36" s="80">
        <v>17.28</v>
      </c>
      <c r="C36" s="82">
        <v>25.4</v>
      </c>
      <c r="D36" s="82">
        <v>29.3</v>
      </c>
      <c r="E36" s="82">
        <v>24.37</v>
      </c>
      <c r="F36" s="82">
        <v>8.36</v>
      </c>
      <c r="G36" s="81" t="s">
        <v>37</v>
      </c>
    </row>
    <row r="37" spans="1:7" x14ac:dyDescent="0.2">
      <c r="A37" s="4" t="s">
        <v>291</v>
      </c>
      <c r="B37" s="78">
        <v>1972.2</v>
      </c>
      <c r="C37" s="79">
        <v>3361</v>
      </c>
      <c r="D37" s="79">
        <v>3747</v>
      </c>
      <c r="E37" s="79">
        <v>3061</v>
      </c>
      <c r="F37" s="79">
        <v>1206</v>
      </c>
      <c r="G37" s="79">
        <v>532</v>
      </c>
    </row>
    <row r="38" spans="1:7" x14ac:dyDescent="0.2">
      <c r="A38" t="s">
        <v>292</v>
      </c>
      <c r="B38" s="80">
        <v>15.78</v>
      </c>
      <c r="C38" s="82">
        <v>26.98</v>
      </c>
      <c r="D38" s="82">
        <v>30.42</v>
      </c>
      <c r="E38" s="82">
        <v>25.02</v>
      </c>
      <c r="F38" s="82">
        <v>9.84</v>
      </c>
      <c r="G38" s="82">
        <v>4.34</v>
      </c>
    </row>
    <row r="39" spans="1:7" x14ac:dyDescent="0.2">
      <c r="A39" t="s">
        <v>293</v>
      </c>
      <c r="B39" s="80">
        <v>15.78</v>
      </c>
      <c r="C39" s="82">
        <v>26.98</v>
      </c>
      <c r="D39" s="82">
        <v>30.39</v>
      </c>
      <c r="E39" s="82">
        <v>25.01</v>
      </c>
      <c r="F39" s="82">
        <v>9.84</v>
      </c>
      <c r="G39" s="82">
        <v>4.34</v>
      </c>
    </row>
    <row r="40" spans="1:7" x14ac:dyDescent="0.2">
      <c r="A40" s="4" t="s">
        <v>67</v>
      </c>
      <c r="B40" s="90"/>
      <c r="C40" s="79">
        <v>11</v>
      </c>
      <c r="D40" s="79">
        <v>1</v>
      </c>
      <c r="E40" s="79" t="s">
        <v>30</v>
      </c>
      <c r="F40" s="79">
        <v>108</v>
      </c>
      <c r="G40" s="79">
        <v>101</v>
      </c>
    </row>
    <row r="41" spans="1:7" x14ac:dyDescent="0.2">
      <c r="A41" t="s">
        <v>35</v>
      </c>
      <c r="B41" s="91"/>
      <c r="C41" s="82">
        <v>0.09</v>
      </c>
      <c r="D41" s="82">
        <v>0.01</v>
      </c>
      <c r="E41" s="82" t="s">
        <v>30</v>
      </c>
      <c r="F41" s="82">
        <v>0.88</v>
      </c>
      <c r="G41" s="82">
        <v>0.82</v>
      </c>
    </row>
    <row r="42" spans="1:7" x14ac:dyDescent="0.2">
      <c r="A42" t="s">
        <v>36</v>
      </c>
      <c r="B42" s="91"/>
      <c r="C42" s="82">
        <v>0.09</v>
      </c>
      <c r="D42" s="82">
        <v>0.01</v>
      </c>
      <c r="E42" s="82" t="s">
        <v>30</v>
      </c>
      <c r="F42" s="82">
        <v>0.88</v>
      </c>
      <c r="G42" s="82">
        <v>0.82</v>
      </c>
    </row>
    <row r="43" spans="1:7" x14ac:dyDescent="0.2">
      <c r="A43" s="7"/>
      <c r="B43" s="7"/>
      <c r="C43" s="7"/>
      <c r="D43" s="7"/>
      <c r="E43" s="7"/>
      <c r="F43" s="7"/>
      <c r="G43" s="7"/>
    </row>
    <row r="45" spans="1:7" ht="20" x14ac:dyDescent="0.2">
      <c r="A45" s="8" t="s">
        <v>205</v>
      </c>
      <c r="B45" s="8"/>
    </row>
    <row r="46" spans="1:7" ht="18" x14ac:dyDescent="0.2">
      <c r="A46" s="6"/>
      <c r="B46" s="6"/>
    </row>
    <row r="47" spans="1:7" ht="19" x14ac:dyDescent="0.25">
      <c r="A47" s="6" t="s">
        <v>69</v>
      </c>
      <c r="B47" s="6"/>
      <c r="C47" s="11"/>
      <c r="D47" s="11"/>
      <c r="E47" s="11"/>
      <c r="F47" s="11"/>
      <c r="G47" s="11"/>
    </row>
    <row r="48" spans="1:7" ht="19" x14ac:dyDescent="0.25">
      <c r="A48" s="9" t="s">
        <v>8</v>
      </c>
      <c r="B48" s="9">
        <v>2020</v>
      </c>
      <c r="C48" s="9">
        <v>2021</v>
      </c>
      <c r="D48" s="9">
        <v>2022</v>
      </c>
      <c r="E48" s="9">
        <v>2023</v>
      </c>
      <c r="F48" s="9">
        <v>2024</v>
      </c>
      <c r="G48" s="9">
        <v>2025</v>
      </c>
    </row>
    <row r="49" spans="1:7" x14ac:dyDescent="0.2">
      <c r="A49" s="1" t="s">
        <v>70</v>
      </c>
      <c r="B49" s="1"/>
    </row>
    <row r="50" spans="1:7" x14ac:dyDescent="0.2">
      <c r="A50" t="s">
        <v>71</v>
      </c>
      <c r="B50" s="2">
        <v>2452.1999999999998</v>
      </c>
      <c r="C50" s="2">
        <v>2891</v>
      </c>
      <c r="D50" s="2">
        <v>4053</v>
      </c>
      <c r="E50" s="2">
        <v>7112</v>
      </c>
      <c r="F50" s="2">
        <v>6277</v>
      </c>
      <c r="G50" s="2">
        <v>3666</v>
      </c>
    </row>
    <row r="51" spans="1:7" x14ac:dyDescent="0.2">
      <c r="A51" t="s">
        <v>72</v>
      </c>
      <c r="B51" s="2">
        <v>6985.8</v>
      </c>
      <c r="C51" s="2">
        <v>7032</v>
      </c>
      <c r="D51" s="2">
        <v>7357</v>
      </c>
      <c r="E51" s="2">
        <v>8178</v>
      </c>
      <c r="F51" s="2">
        <v>9287</v>
      </c>
      <c r="G51" s="2">
        <v>7962</v>
      </c>
    </row>
    <row r="52" spans="1:7" x14ac:dyDescent="0.2">
      <c r="A52" t="s">
        <v>73</v>
      </c>
      <c r="B52" s="2">
        <v>3956.8</v>
      </c>
      <c r="C52" s="2">
        <v>4302</v>
      </c>
      <c r="D52" s="2">
        <v>4929</v>
      </c>
      <c r="E52" s="2">
        <v>4984</v>
      </c>
      <c r="F52" s="2">
        <v>5615</v>
      </c>
      <c r="G52" s="2">
        <v>5647</v>
      </c>
    </row>
    <row r="53" spans="1:7" x14ac:dyDescent="0.2">
      <c r="A53" t="s">
        <v>74</v>
      </c>
      <c r="B53" s="2">
        <v>2670.2</v>
      </c>
      <c r="C53" s="2">
        <v>2967</v>
      </c>
      <c r="D53" s="2">
        <v>3388</v>
      </c>
      <c r="E53" s="2">
        <v>5341</v>
      </c>
      <c r="F53" s="2">
        <v>6537</v>
      </c>
      <c r="G53" s="2">
        <v>3546</v>
      </c>
    </row>
    <row r="54" spans="1:7" x14ac:dyDescent="0.2">
      <c r="A54" t="s">
        <v>75</v>
      </c>
      <c r="B54" s="2">
        <v>36.200000000000003</v>
      </c>
      <c r="C54">
        <v>31</v>
      </c>
      <c r="D54">
        <v>49</v>
      </c>
      <c r="E54" s="2">
        <v>1750</v>
      </c>
      <c r="F54" s="2">
        <v>1762</v>
      </c>
      <c r="G54" s="2">
        <v>2080</v>
      </c>
    </row>
    <row r="55" spans="1:7" x14ac:dyDescent="0.2">
      <c r="A55" t="s">
        <v>76</v>
      </c>
      <c r="B55" s="2">
        <v>1688.6</v>
      </c>
      <c r="C55" s="2">
        <v>1054</v>
      </c>
      <c r="D55">
        <v>855</v>
      </c>
      <c r="E55">
        <v>536</v>
      </c>
      <c r="F55">
        <v>492</v>
      </c>
      <c r="G55">
        <v>533</v>
      </c>
    </row>
    <row r="56" spans="1:7" x14ac:dyDescent="0.2">
      <c r="A56" t="s">
        <v>77</v>
      </c>
      <c r="B56" s="2">
        <v>1177.4000000000001</v>
      </c>
      <c r="C56" s="2">
        <v>1352</v>
      </c>
      <c r="D56" s="2">
        <v>1640</v>
      </c>
      <c r="E56" s="2">
        <v>1520</v>
      </c>
      <c r="F56" s="2">
        <v>1651</v>
      </c>
      <c r="G56" s="2">
        <v>1725</v>
      </c>
    </row>
    <row r="57" spans="1:7" x14ac:dyDescent="0.2">
      <c r="A57" t="s">
        <v>78</v>
      </c>
      <c r="B57" s="2">
        <v>17</v>
      </c>
      <c r="C57">
        <v>6</v>
      </c>
      <c r="D57">
        <v>8</v>
      </c>
      <c r="E57">
        <v>16</v>
      </c>
      <c r="F57">
        <v>27</v>
      </c>
      <c r="G57">
        <v>12</v>
      </c>
    </row>
    <row r="58" spans="1:7" x14ac:dyDescent="0.2">
      <c r="A58" s="4" t="s">
        <v>79</v>
      </c>
      <c r="B58" s="75">
        <v>18984.599999999999</v>
      </c>
      <c r="C58" s="75">
        <v>19635</v>
      </c>
      <c r="D58" s="75">
        <v>22279</v>
      </c>
      <c r="E58" s="75">
        <v>29437</v>
      </c>
      <c r="F58" s="75">
        <v>31648</v>
      </c>
      <c r="G58" s="75">
        <v>25171</v>
      </c>
    </row>
    <row r="60" spans="1:7" x14ac:dyDescent="0.2">
      <c r="A60" s="1" t="s">
        <v>80</v>
      </c>
      <c r="B60" s="1"/>
    </row>
    <row r="61" spans="1:7" x14ac:dyDescent="0.2">
      <c r="A61" t="s">
        <v>81</v>
      </c>
      <c r="B61" s="2">
        <v>2845.5</v>
      </c>
      <c r="C61" s="2">
        <v>3369</v>
      </c>
      <c r="D61" s="2">
        <v>4465</v>
      </c>
      <c r="E61" s="2">
        <v>4550</v>
      </c>
      <c r="F61" s="2">
        <v>3992</v>
      </c>
      <c r="G61" s="2">
        <v>3677</v>
      </c>
    </row>
    <row r="62" spans="1:7" x14ac:dyDescent="0.2">
      <c r="A62" t="s">
        <v>82</v>
      </c>
      <c r="B62" s="2">
        <v>910.4</v>
      </c>
      <c r="C62">
        <v>977</v>
      </c>
      <c r="D62" s="2">
        <v>1180</v>
      </c>
      <c r="E62" s="2">
        <v>1151</v>
      </c>
      <c r="F62" s="2">
        <v>1003</v>
      </c>
      <c r="G62">
        <v>824</v>
      </c>
    </row>
    <row r="63" spans="1:7" x14ac:dyDescent="0.2">
      <c r="A63" t="s">
        <v>83</v>
      </c>
      <c r="B63" s="2">
        <v>600.5</v>
      </c>
      <c r="C63">
        <v>822</v>
      </c>
      <c r="D63">
        <v>378</v>
      </c>
      <c r="E63">
        <v>765</v>
      </c>
      <c r="F63">
        <v>680</v>
      </c>
      <c r="G63">
        <v>486</v>
      </c>
    </row>
    <row r="64" spans="1:7" x14ac:dyDescent="0.2">
      <c r="A64" t="s">
        <v>84</v>
      </c>
      <c r="B64" s="2">
        <v>158</v>
      </c>
      <c r="C64">
        <v>22</v>
      </c>
      <c r="D64">
        <v>167</v>
      </c>
      <c r="E64">
        <v>136</v>
      </c>
      <c r="F64">
        <v>42</v>
      </c>
      <c r="G64">
        <v>102</v>
      </c>
    </row>
    <row r="65" spans="1:7" x14ac:dyDescent="0.2">
      <c r="A65" t="s">
        <v>85</v>
      </c>
      <c r="B65" s="2">
        <v>1062.8</v>
      </c>
      <c r="C65">
        <v>975</v>
      </c>
      <c r="D65" s="2">
        <v>1136</v>
      </c>
      <c r="E65" s="2">
        <v>1406</v>
      </c>
      <c r="F65" s="2">
        <v>1388</v>
      </c>
      <c r="G65" s="2">
        <v>1358</v>
      </c>
    </row>
    <row r="66" spans="1:7" x14ac:dyDescent="0.2">
      <c r="A66" t="s">
        <v>86</v>
      </c>
      <c r="B66" s="2">
        <v>3442.8</v>
      </c>
      <c r="C66" s="2">
        <v>5249</v>
      </c>
      <c r="D66" s="2">
        <v>4336</v>
      </c>
      <c r="E66" s="2">
        <v>3922</v>
      </c>
      <c r="F66" s="2">
        <v>3518</v>
      </c>
      <c r="G66" s="2">
        <v>4313</v>
      </c>
    </row>
    <row r="67" spans="1:7" x14ac:dyDescent="0.2">
      <c r="A67" s="4" t="s">
        <v>87</v>
      </c>
      <c r="B67" s="75">
        <v>9020.1</v>
      </c>
      <c r="C67" s="75">
        <v>11414</v>
      </c>
      <c r="D67" s="75">
        <v>11662</v>
      </c>
      <c r="E67" s="75">
        <v>11930</v>
      </c>
      <c r="F67" s="75">
        <v>10623</v>
      </c>
      <c r="G67" s="75">
        <v>10760</v>
      </c>
    </row>
    <row r="68" spans="1:7" x14ac:dyDescent="0.2">
      <c r="A68" s="4" t="s">
        <v>88</v>
      </c>
      <c r="B68" s="75">
        <v>0.7</v>
      </c>
      <c r="C68" s="4">
        <v>19</v>
      </c>
      <c r="D68" s="4" t="s">
        <v>30</v>
      </c>
      <c r="E68" s="4" t="s">
        <v>30</v>
      </c>
      <c r="F68" s="75">
        <v>1075</v>
      </c>
      <c r="G68" s="75">
        <v>5251</v>
      </c>
    </row>
    <row r="69" spans="1:7" x14ac:dyDescent="0.2">
      <c r="A69" s="4"/>
      <c r="B69" s="4"/>
      <c r="C69" s="4"/>
      <c r="D69" s="4"/>
      <c r="E69" s="4"/>
      <c r="F69" s="75"/>
      <c r="G69" s="75"/>
    </row>
    <row r="70" spans="1:7" x14ac:dyDescent="0.2">
      <c r="A70" s="4" t="s">
        <v>89</v>
      </c>
      <c r="B70" s="75">
        <v>28005.4</v>
      </c>
      <c r="C70" s="75">
        <v>31068</v>
      </c>
      <c r="D70" s="75">
        <v>33941</v>
      </c>
      <c r="E70" s="75">
        <v>41367</v>
      </c>
      <c r="F70" s="75">
        <v>43346</v>
      </c>
      <c r="G70" s="75">
        <v>41182</v>
      </c>
    </row>
    <row r="71" spans="1:7" x14ac:dyDescent="0.2">
      <c r="A71" s="4"/>
      <c r="B71" s="4"/>
      <c r="C71" s="75"/>
      <c r="D71" s="75"/>
      <c r="E71" s="75"/>
      <c r="F71" s="75"/>
      <c r="G71" s="75"/>
    </row>
    <row r="72" spans="1:7" ht="19" x14ac:dyDescent="0.25">
      <c r="A72" s="10" t="s">
        <v>90</v>
      </c>
      <c r="B72" s="10"/>
      <c r="C72" s="11"/>
      <c r="D72" s="11"/>
      <c r="E72" s="11"/>
      <c r="F72" s="11"/>
      <c r="G72" s="11"/>
    </row>
    <row r="73" spans="1:7" ht="19" x14ac:dyDescent="0.25">
      <c r="A73" s="9" t="s">
        <v>8</v>
      </c>
      <c r="B73" s="9">
        <v>2020</v>
      </c>
      <c r="C73" s="9">
        <v>2021</v>
      </c>
      <c r="D73" s="9">
        <v>2022</v>
      </c>
      <c r="E73" s="9">
        <v>2023</v>
      </c>
      <c r="F73" s="9">
        <v>2024</v>
      </c>
      <c r="G73" s="9">
        <v>2025</v>
      </c>
    </row>
    <row r="74" spans="1:7" x14ac:dyDescent="0.2">
      <c r="A74" s="1" t="s">
        <v>91</v>
      </c>
      <c r="B74" s="1"/>
      <c r="C74" s="75"/>
    </row>
    <row r="75" spans="1:7" x14ac:dyDescent="0.2">
      <c r="A75" s="5" t="s">
        <v>92</v>
      </c>
      <c r="B75" s="2">
        <v>11820.9</v>
      </c>
      <c r="C75" s="2">
        <v>13347</v>
      </c>
      <c r="D75" s="2">
        <v>13998</v>
      </c>
      <c r="E75" s="2">
        <v>15212</v>
      </c>
      <c r="F75" s="2">
        <v>14904</v>
      </c>
      <c r="G75" s="2">
        <v>14706</v>
      </c>
    </row>
    <row r="76" spans="1:7" x14ac:dyDescent="0.2">
      <c r="A76" s="5" t="s">
        <v>93</v>
      </c>
      <c r="B76" s="2">
        <v>214.1</v>
      </c>
      <c r="C76">
        <v>389</v>
      </c>
      <c r="D76">
        <v>785</v>
      </c>
      <c r="E76">
        <v>798</v>
      </c>
      <c r="F76">
        <v>826</v>
      </c>
      <c r="G76">
        <v>809</v>
      </c>
    </row>
    <row r="77" spans="1:7" x14ac:dyDescent="0.2">
      <c r="A77" s="4" t="s">
        <v>94</v>
      </c>
      <c r="B77" s="75">
        <v>12035</v>
      </c>
      <c r="C77" s="75">
        <v>13736</v>
      </c>
      <c r="D77" s="75">
        <v>14783</v>
      </c>
      <c r="E77" s="75">
        <v>16010</v>
      </c>
      <c r="F77" s="75">
        <v>15730</v>
      </c>
      <c r="G77" s="75">
        <v>15515</v>
      </c>
    </row>
    <row r="78" spans="1:7" x14ac:dyDescent="0.2">
      <c r="A78" s="4"/>
      <c r="B78" s="4"/>
      <c r="C78" s="75"/>
      <c r="D78" s="75"/>
      <c r="E78" s="75"/>
      <c r="F78" s="75"/>
      <c r="G78" s="75"/>
    </row>
    <row r="79" spans="1:7" x14ac:dyDescent="0.2">
      <c r="A79" s="1" t="s">
        <v>95</v>
      </c>
      <c r="B79" s="1"/>
    </row>
    <row r="80" spans="1:7" x14ac:dyDescent="0.2">
      <c r="A80" t="s">
        <v>96</v>
      </c>
      <c r="B80" s="2">
        <v>3815.3</v>
      </c>
      <c r="C80" s="2">
        <v>2976</v>
      </c>
      <c r="D80" s="2">
        <v>4347</v>
      </c>
      <c r="E80" s="2">
        <v>10026</v>
      </c>
      <c r="F80" s="2">
        <v>10556</v>
      </c>
      <c r="G80" s="2">
        <v>10306</v>
      </c>
    </row>
    <row r="81" spans="1:7" x14ac:dyDescent="0.2">
      <c r="A81" t="s">
        <v>97</v>
      </c>
      <c r="B81" s="2">
        <v>3545.8</v>
      </c>
      <c r="C81" s="2">
        <v>3826</v>
      </c>
      <c r="D81" s="2">
        <v>4420</v>
      </c>
      <c r="E81" s="2">
        <v>4511</v>
      </c>
      <c r="F81" s="2">
        <v>5056</v>
      </c>
      <c r="G81" s="2">
        <v>5032</v>
      </c>
    </row>
    <row r="82" spans="1:7" x14ac:dyDescent="0.2">
      <c r="A82" t="s">
        <v>287</v>
      </c>
      <c r="B82" s="2">
        <v>80</v>
      </c>
      <c r="C82" t="s">
        <v>30</v>
      </c>
      <c r="D82" t="s">
        <v>30</v>
      </c>
      <c r="E82">
        <v>13</v>
      </c>
      <c r="F82">
        <v>13</v>
      </c>
      <c r="G82">
        <v>40</v>
      </c>
    </row>
    <row r="83" spans="1:7" x14ac:dyDescent="0.2">
      <c r="A83" t="s">
        <v>288</v>
      </c>
      <c r="B83" s="2">
        <v>107.5</v>
      </c>
      <c r="C83">
        <v>89</v>
      </c>
      <c r="D83">
        <v>66</v>
      </c>
      <c r="E83">
        <v>68</v>
      </c>
      <c r="F83">
        <v>85</v>
      </c>
      <c r="G83">
        <v>87</v>
      </c>
    </row>
    <row r="84" spans="1:7" x14ac:dyDescent="0.2">
      <c r="A84" t="s">
        <v>100</v>
      </c>
      <c r="B84" s="2">
        <v>18.399999999999999</v>
      </c>
      <c r="C84">
        <v>16</v>
      </c>
      <c r="D84">
        <v>19</v>
      </c>
      <c r="E84">
        <v>21</v>
      </c>
      <c r="F84">
        <v>51</v>
      </c>
      <c r="G84">
        <v>232</v>
      </c>
    </row>
    <row r="85" spans="1:7" x14ac:dyDescent="0.2">
      <c r="A85" t="s">
        <v>101</v>
      </c>
      <c r="B85" s="2">
        <v>1485.1</v>
      </c>
      <c r="C85" s="2">
        <v>1452</v>
      </c>
      <c r="D85" s="2">
        <v>1572</v>
      </c>
      <c r="E85" s="2">
        <v>1776</v>
      </c>
      <c r="F85" s="2">
        <v>1985</v>
      </c>
      <c r="G85" s="2">
        <v>1779</v>
      </c>
    </row>
    <row r="86" spans="1:7" x14ac:dyDescent="0.2">
      <c r="A86" t="s">
        <v>102</v>
      </c>
      <c r="B86" s="2">
        <v>183.6</v>
      </c>
      <c r="C86">
        <v>198</v>
      </c>
      <c r="D86">
        <v>228</v>
      </c>
      <c r="E86">
        <v>311</v>
      </c>
      <c r="F86">
        <v>278</v>
      </c>
      <c r="G86">
        <v>138</v>
      </c>
    </row>
    <row r="87" spans="1:7" x14ac:dyDescent="0.2">
      <c r="A87" s="4" t="s">
        <v>103</v>
      </c>
      <c r="B87" s="75">
        <v>9235.7000000000007</v>
      </c>
      <c r="C87" s="75">
        <v>8557</v>
      </c>
      <c r="D87" s="75">
        <v>10652</v>
      </c>
      <c r="E87" s="75">
        <v>16726</v>
      </c>
      <c r="F87" s="75">
        <v>18024</v>
      </c>
      <c r="G87" s="75">
        <v>17614</v>
      </c>
    </row>
    <row r="88" spans="1:7" x14ac:dyDescent="0.2">
      <c r="A88" s="4"/>
      <c r="B88" s="4"/>
      <c r="C88" s="75"/>
      <c r="D88" s="75"/>
      <c r="E88" s="75"/>
      <c r="F88" s="75"/>
      <c r="G88" s="75"/>
    </row>
    <row r="89" spans="1:7" x14ac:dyDescent="0.2">
      <c r="A89" s="1" t="s">
        <v>104</v>
      </c>
      <c r="B89" s="1"/>
    </row>
    <row r="90" spans="1:7" x14ac:dyDescent="0.2">
      <c r="A90" t="s">
        <v>105</v>
      </c>
      <c r="B90" s="2">
        <v>1776.2</v>
      </c>
      <c r="C90" s="2">
        <v>2442</v>
      </c>
      <c r="D90" s="2">
        <v>2295</v>
      </c>
      <c r="E90" s="2">
        <v>2400</v>
      </c>
      <c r="F90" s="2">
        <v>3479</v>
      </c>
      <c r="G90" s="2">
        <v>2046</v>
      </c>
    </row>
    <row r="91" spans="1:7" x14ac:dyDescent="0.2">
      <c r="A91" t="s">
        <v>106</v>
      </c>
      <c r="B91" s="2">
        <v>538</v>
      </c>
      <c r="C91">
        <v>675</v>
      </c>
      <c r="D91">
        <v>812</v>
      </c>
      <c r="E91">
        <v>884</v>
      </c>
      <c r="F91" s="2">
        <v>1051</v>
      </c>
      <c r="G91" s="2">
        <v>1180</v>
      </c>
    </row>
    <row r="92" spans="1:7" x14ac:dyDescent="0.2">
      <c r="A92" t="s">
        <v>107</v>
      </c>
      <c r="B92" s="2">
        <v>338.1</v>
      </c>
      <c r="C92">
        <v>743</v>
      </c>
      <c r="D92">
        <v>663</v>
      </c>
      <c r="E92">
        <v>588</v>
      </c>
      <c r="F92">
        <v>343</v>
      </c>
      <c r="G92">
        <v>170</v>
      </c>
    </row>
    <row r="93" spans="1:7" x14ac:dyDescent="0.2">
      <c r="A93" t="s">
        <v>108</v>
      </c>
      <c r="B93" s="2">
        <v>1489.6</v>
      </c>
      <c r="C93" s="2">
        <v>1742</v>
      </c>
      <c r="D93" s="2">
        <v>2263</v>
      </c>
      <c r="E93" s="2">
        <v>2200</v>
      </c>
      <c r="F93" s="2">
        <v>2098</v>
      </c>
      <c r="G93" s="2">
        <v>1898</v>
      </c>
    </row>
    <row r="94" spans="1:7" x14ac:dyDescent="0.2">
      <c r="A94" t="s">
        <v>289</v>
      </c>
      <c r="B94" s="2">
        <v>12.2</v>
      </c>
      <c r="C94">
        <v>12</v>
      </c>
      <c r="D94">
        <v>12</v>
      </c>
      <c r="E94">
        <v>12</v>
      </c>
      <c r="F94">
        <v>13</v>
      </c>
      <c r="G94">
        <v>13</v>
      </c>
    </row>
    <row r="95" spans="1:7" x14ac:dyDescent="0.2">
      <c r="A95" t="s">
        <v>110</v>
      </c>
      <c r="B95" s="2">
        <v>212.4</v>
      </c>
      <c r="C95">
        <v>138</v>
      </c>
      <c r="D95">
        <v>168</v>
      </c>
      <c r="E95">
        <v>163</v>
      </c>
      <c r="F95">
        <v>191</v>
      </c>
      <c r="G95">
        <v>186</v>
      </c>
    </row>
    <row r="96" spans="1:7" x14ac:dyDescent="0.2">
      <c r="A96" t="s">
        <v>111</v>
      </c>
      <c r="B96" s="2">
        <v>901.3</v>
      </c>
      <c r="C96" s="2">
        <v>1148</v>
      </c>
      <c r="D96">
        <v>567</v>
      </c>
      <c r="E96">
        <v>536</v>
      </c>
      <c r="F96">
        <v>528</v>
      </c>
      <c r="G96">
        <v>519</v>
      </c>
    </row>
    <row r="97" spans="1:7" x14ac:dyDescent="0.2">
      <c r="A97" t="s">
        <v>112</v>
      </c>
      <c r="B97" s="2">
        <v>1466.8</v>
      </c>
      <c r="C97" s="2">
        <v>1826</v>
      </c>
      <c r="D97" s="2">
        <v>1726</v>
      </c>
      <c r="E97" s="2">
        <v>1848</v>
      </c>
      <c r="F97" s="2">
        <v>1889</v>
      </c>
      <c r="G97" s="2">
        <v>1716</v>
      </c>
    </row>
    <row r="98" spans="1:7" x14ac:dyDescent="0.2">
      <c r="A98" s="4" t="s">
        <v>113</v>
      </c>
      <c r="B98" s="75">
        <v>6734.6</v>
      </c>
      <c r="C98" s="75">
        <v>8726</v>
      </c>
      <c r="D98" s="75">
        <v>8506</v>
      </c>
      <c r="E98" s="75">
        <v>8631</v>
      </c>
      <c r="F98" s="75">
        <v>9592</v>
      </c>
      <c r="G98" s="75">
        <v>7728</v>
      </c>
    </row>
    <row r="99" spans="1:7" x14ac:dyDescent="0.2">
      <c r="A99" s="4" t="s">
        <v>114</v>
      </c>
      <c r="B99" s="4" t="s">
        <v>30</v>
      </c>
      <c r="C99" s="4">
        <v>49</v>
      </c>
      <c r="D99" s="4" t="s">
        <v>30</v>
      </c>
      <c r="E99" s="4" t="s">
        <v>30</v>
      </c>
      <c r="F99" s="4" t="s">
        <v>30</v>
      </c>
      <c r="G99" s="4">
        <v>325</v>
      </c>
    </row>
    <row r="100" spans="1:7" x14ac:dyDescent="0.2">
      <c r="A100" s="4"/>
      <c r="B100" s="4"/>
      <c r="C100" s="4"/>
      <c r="D100" s="4"/>
      <c r="E100" s="4"/>
      <c r="F100" s="4"/>
      <c r="G100" s="4"/>
    </row>
    <row r="101" spans="1:7" x14ac:dyDescent="0.2">
      <c r="A101" s="4" t="s">
        <v>115</v>
      </c>
      <c r="B101" s="75">
        <v>28005.4</v>
      </c>
      <c r="C101" s="75">
        <v>31068</v>
      </c>
      <c r="D101" s="75">
        <v>33941</v>
      </c>
      <c r="E101" s="75">
        <v>41367</v>
      </c>
      <c r="F101" s="75">
        <v>43346</v>
      </c>
      <c r="G101" s="75">
        <v>41182</v>
      </c>
    </row>
    <row r="102" spans="1:7" x14ac:dyDescent="0.2">
      <c r="A102" s="7"/>
      <c r="B102" s="7"/>
      <c r="C102" s="7"/>
      <c r="D102" s="7"/>
      <c r="E102" s="7"/>
      <c r="F102" s="7"/>
      <c r="G102" s="7"/>
    </row>
    <row r="104" spans="1:7" ht="20" x14ac:dyDescent="0.2">
      <c r="A104" s="8" t="s">
        <v>120</v>
      </c>
      <c r="B104" s="8"/>
    </row>
    <row r="105" spans="1:7" ht="18" x14ac:dyDescent="0.2">
      <c r="A105" s="6"/>
      <c r="B105" s="6"/>
    </row>
    <row r="106" spans="1:7" ht="19" x14ac:dyDescent="0.25">
      <c r="A106" s="9" t="s">
        <v>8</v>
      </c>
      <c r="B106" s="9">
        <v>2020</v>
      </c>
      <c r="C106" s="9">
        <v>2021</v>
      </c>
      <c r="D106" s="9">
        <v>2022</v>
      </c>
      <c r="E106" s="9">
        <v>2023</v>
      </c>
      <c r="F106" s="9">
        <v>2024</v>
      </c>
      <c r="G106" s="9">
        <v>2025</v>
      </c>
    </row>
    <row r="107" spans="1:7" x14ac:dyDescent="0.2">
      <c r="A107" s="4" t="s">
        <v>6</v>
      </c>
      <c r="B107" s="79">
        <v>2189.6999999999998</v>
      </c>
      <c r="C107" s="79">
        <v>3245</v>
      </c>
      <c r="D107" s="79">
        <v>3717</v>
      </c>
      <c r="E107" s="79">
        <v>3074</v>
      </c>
      <c r="F107" s="79">
        <v>1227</v>
      </c>
      <c r="G107" s="79">
        <v>39</v>
      </c>
    </row>
    <row r="108" spans="1:7" x14ac:dyDescent="0.2">
      <c r="A108" t="s">
        <v>266</v>
      </c>
      <c r="B108" s="82">
        <v>1439</v>
      </c>
      <c r="C108" s="82">
        <v>1453</v>
      </c>
      <c r="D108" s="82">
        <v>1666</v>
      </c>
      <c r="E108" s="82">
        <v>1823</v>
      </c>
      <c r="F108" s="82">
        <v>2113</v>
      </c>
      <c r="G108" s="82">
        <v>2044</v>
      </c>
    </row>
    <row r="109" spans="1:7" x14ac:dyDescent="0.2">
      <c r="A109" t="s">
        <v>267</v>
      </c>
      <c r="B109" s="82">
        <v>-382.8</v>
      </c>
      <c r="C109" s="82">
        <v>18</v>
      </c>
      <c r="D109" s="81" t="s">
        <v>192</v>
      </c>
      <c r="E109" s="82">
        <v>94</v>
      </c>
      <c r="F109" s="82">
        <v>57</v>
      </c>
      <c r="G109" s="82">
        <v>137</v>
      </c>
    </row>
    <row r="110" spans="1:7" x14ac:dyDescent="0.2">
      <c r="A110" s="4" t="s">
        <v>268</v>
      </c>
      <c r="B110" s="79">
        <v>3345.9</v>
      </c>
      <c r="C110" s="79">
        <v>4716</v>
      </c>
      <c r="D110" s="79">
        <v>5049</v>
      </c>
      <c r="E110" s="79">
        <v>4991</v>
      </c>
      <c r="F110" s="79">
        <v>3397</v>
      </c>
      <c r="G110" s="79">
        <v>2220</v>
      </c>
    </row>
    <row r="111" spans="1:7" x14ac:dyDescent="0.2">
      <c r="A111" t="s">
        <v>265</v>
      </c>
      <c r="B111" s="82">
        <v>-277.39999999999998</v>
      </c>
      <c r="C111" s="82">
        <v>215</v>
      </c>
      <c r="D111" s="82">
        <v>287</v>
      </c>
      <c r="E111" s="82">
        <v>300</v>
      </c>
      <c r="F111" s="82">
        <v>559</v>
      </c>
      <c r="G111" s="82">
        <v>611</v>
      </c>
    </row>
    <row r="112" spans="1:7" x14ac:dyDescent="0.2">
      <c r="A112" t="s">
        <v>116</v>
      </c>
      <c r="B112" s="82" t="s">
        <v>30</v>
      </c>
      <c r="C112" s="81" t="s">
        <v>132</v>
      </c>
      <c r="D112" s="81" t="s">
        <v>196</v>
      </c>
      <c r="E112" s="81" t="s">
        <v>197</v>
      </c>
      <c r="F112" s="81" t="s">
        <v>132</v>
      </c>
      <c r="G112" s="81" t="s">
        <v>197</v>
      </c>
    </row>
    <row r="113" spans="1:7" x14ac:dyDescent="0.2">
      <c r="A113" t="s">
        <v>117</v>
      </c>
      <c r="B113" s="82">
        <v>657</v>
      </c>
      <c r="C113" s="82">
        <v>1458</v>
      </c>
      <c r="D113" s="82">
        <v>1597</v>
      </c>
      <c r="E113" s="82">
        <v>1007</v>
      </c>
      <c r="F113" s="82">
        <v>526</v>
      </c>
      <c r="G113" s="82">
        <v>542</v>
      </c>
    </row>
    <row r="114" spans="1:7" x14ac:dyDescent="0.2">
      <c r="A114" s="4" t="s">
        <v>269</v>
      </c>
      <c r="B114" s="79">
        <v>4280.3</v>
      </c>
      <c r="C114" s="79">
        <v>6387</v>
      </c>
      <c r="D114" s="79">
        <v>6926</v>
      </c>
      <c r="E114" s="79">
        <v>6289</v>
      </c>
      <c r="F114" s="79">
        <v>4480</v>
      </c>
      <c r="G114" s="79">
        <v>3364</v>
      </c>
    </row>
    <row r="115" spans="1:7" x14ac:dyDescent="0.2">
      <c r="A115" t="s">
        <v>118</v>
      </c>
      <c r="B115" s="82">
        <v>44.4</v>
      </c>
      <c r="C115" s="81" t="s">
        <v>193</v>
      </c>
      <c r="D115" s="81" t="s">
        <v>194</v>
      </c>
      <c r="E115" s="81" t="s">
        <v>195</v>
      </c>
      <c r="F115" s="82">
        <v>667</v>
      </c>
      <c r="G115" s="82">
        <v>70</v>
      </c>
    </row>
    <row r="116" spans="1:7" x14ac:dyDescent="0.2">
      <c r="A116" t="s">
        <v>119</v>
      </c>
      <c r="B116" s="82">
        <v>-1436.1</v>
      </c>
      <c r="C116" s="81" t="s">
        <v>188</v>
      </c>
      <c r="D116" s="81" t="s">
        <v>189</v>
      </c>
      <c r="E116" s="81" t="s">
        <v>190</v>
      </c>
      <c r="F116" s="81" t="s">
        <v>191</v>
      </c>
      <c r="G116" s="81" t="s">
        <v>192</v>
      </c>
    </row>
    <row r="117" spans="1:7" x14ac:dyDescent="0.2">
      <c r="A117" s="4" t="s">
        <v>270</v>
      </c>
      <c r="B117" s="79">
        <v>2888.6</v>
      </c>
      <c r="C117" s="79">
        <v>4876</v>
      </c>
      <c r="D117" s="79">
        <v>4278</v>
      </c>
      <c r="E117" s="79">
        <v>4459</v>
      </c>
      <c r="F117" s="79">
        <v>4709</v>
      </c>
      <c r="G117" s="79">
        <v>3100</v>
      </c>
    </row>
    <row r="118" spans="1:7" x14ac:dyDescent="0.2">
      <c r="B118" s="82"/>
      <c r="C118" s="82"/>
      <c r="D118" s="82"/>
      <c r="E118" s="82"/>
      <c r="F118" s="82"/>
      <c r="G118" s="82"/>
    </row>
    <row r="119" spans="1:7" x14ac:dyDescent="0.2">
      <c r="A119" t="s">
        <v>271</v>
      </c>
      <c r="B119" s="82">
        <v>-786.9</v>
      </c>
      <c r="C119" s="81" t="s">
        <v>183</v>
      </c>
      <c r="D119" s="81" t="s">
        <v>185</v>
      </c>
      <c r="E119" s="81" t="s">
        <v>186</v>
      </c>
      <c r="F119" s="81" t="s">
        <v>187</v>
      </c>
      <c r="G119" s="81" t="s">
        <v>184</v>
      </c>
    </row>
    <row r="120" spans="1:7" x14ac:dyDescent="0.2">
      <c r="A120" t="s">
        <v>272</v>
      </c>
      <c r="B120" s="82">
        <v>2.9</v>
      </c>
      <c r="C120" s="82">
        <v>6</v>
      </c>
      <c r="D120" s="82">
        <v>1</v>
      </c>
      <c r="E120" s="82">
        <v>135</v>
      </c>
      <c r="F120" s="82">
        <v>32</v>
      </c>
      <c r="G120" s="82">
        <v>2158</v>
      </c>
    </row>
    <row r="121" spans="1:7" x14ac:dyDescent="0.2">
      <c r="A121" t="s">
        <v>273</v>
      </c>
      <c r="B121" s="82">
        <v>6.2</v>
      </c>
      <c r="C121" s="81" t="s">
        <v>178</v>
      </c>
      <c r="D121" s="81" t="s">
        <v>179</v>
      </c>
      <c r="E121" s="81" t="s">
        <v>180</v>
      </c>
      <c r="F121" s="81" t="s">
        <v>181</v>
      </c>
      <c r="G121" s="81" t="s">
        <v>182</v>
      </c>
    </row>
    <row r="122" spans="1:7" x14ac:dyDescent="0.2">
      <c r="A122" t="s">
        <v>274</v>
      </c>
      <c r="B122" s="82">
        <v>656.3</v>
      </c>
      <c r="C122" s="82" t="s">
        <v>30</v>
      </c>
      <c r="D122" s="81" t="s">
        <v>177</v>
      </c>
      <c r="E122" s="82" t="s">
        <v>30</v>
      </c>
      <c r="F122" s="82" t="s">
        <v>30</v>
      </c>
      <c r="G122" s="82">
        <v>344</v>
      </c>
    </row>
    <row r="123" spans="1:7" x14ac:dyDescent="0.2">
      <c r="A123" t="s">
        <v>121</v>
      </c>
      <c r="B123" s="92">
        <v>-267.89999999999998</v>
      </c>
      <c r="C123" s="81" t="s">
        <v>172</v>
      </c>
      <c r="D123" s="81" t="s">
        <v>173</v>
      </c>
      <c r="E123" s="81" t="s">
        <v>174</v>
      </c>
      <c r="F123" s="81" t="s">
        <v>175</v>
      </c>
      <c r="G123" s="81" t="s">
        <v>176</v>
      </c>
    </row>
    <row r="124" spans="1:7" x14ac:dyDescent="0.2">
      <c r="A124" t="s">
        <v>122</v>
      </c>
      <c r="B124" s="82">
        <v>186</v>
      </c>
      <c r="C124" s="82">
        <v>1049</v>
      </c>
      <c r="D124" s="82">
        <v>115</v>
      </c>
      <c r="E124" s="82">
        <v>251</v>
      </c>
      <c r="F124" s="82">
        <v>140</v>
      </c>
      <c r="G124" s="82">
        <v>16</v>
      </c>
    </row>
    <row r="125" spans="1:7" x14ac:dyDescent="0.2">
      <c r="A125" t="s">
        <v>123</v>
      </c>
      <c r="B125" s="82">
        <v>6.9</v>
      </c>
      <c r="C125" s="82">
        <v>37</v>
      </c>
      <c r="D125" s="82">
        <v>17</v>
      </c>
      <c r="E125" s="82">
        <v>76</v>
      </c>
      <c r="F125" s="82">
        <v>70</v>
      </c>
      <c r="G125" s="82">
        <v>79</v>
      </c>
    </row>
    <row r="126" spans="1:7" x14ac:dyDescent="0.2">
      <c r="A126" s="4" t="s">
        <v>275</v>
      </c>
      <c r="B126" s="79">
        <v>-196.5</v>
      </c>
      <c r="C126" s="93" t="s">
        <v>168</v>
      </c>
      <c r="D126" s="93" t="s">
        <v>169</v>
      </c>
      <c r="E126" s="93" t="s">
        <v>170</v>
      </c>
      <c r="F126" s="93" t="s">
        <v>171</v>
      </c>
      <c r="G126" s="79">
        <v>1213</v>
      </c>
    </row>
    <row r="127" spans="1:7" x14ac:dyDescent="0.2">
      <c r="B127" s="82"/>
      <c r="C127" s="82"/>
      <c r="D127" s="82"/>
      <c r="E127" s="82"/>
      <c r="F127" s="82"/>
      <c r="G127" s="82"/>
    </row>
    <row r="128" spans="1:7" x14ac:dyDescent="0.2">
      <c r="A128" t="s">
        <v>276</v>
      </c>
      <c r="B128" s="82">
        <v>-1000.1</v>
      </c>
      <c r="C128" s="81" t="s">
        <v>163</v>
      </c>
      <c r="D128" s="81" t="s">
        <v>164</v>
      </c>
      <c r="E128" s="81" t="s">
        <v>165</v>
      </c>
      <c r="F128" s="81" t="s">
        <v>166</v>
      </c>
      <c r="G128" s="81" t="s">
        <v>167</v>
      </c>
    </row>
    <row r="129" spans="1:7" x14ac:dyDescent="0.2">
      <c r="A129" t="s">
        <v>277</v>
      </c>
      <c r="B129" s="82">
        <v>-9.3000000000000007</v>
      </c>
      <c r="C129" s="81" t="s">
        <v>159</v>
      </c>
      <c r="D129" s="81" t="s">
        <v>160</v>
      </c>
      <c r="E129" s="81" t="s">
        <v>161</v>
      </c>
      <c r="F129" s="81" t="s">
        <v>156</v>
      </c>
      <c r="G129" s="81" t="s">
        <v>162</v>
      </c>
    </row>
    <row r="130" spans="1:7" x14ac:dyDescent="0.2">
      <c r="A130" t="s">
        <v>124</v>
      </c>
      <c r="B130" s="82">
        <v>-27.5</v>
      </c>
      <c r="C130" s="82">
        <v>2</v>
      </c>
      <c r="D130" s="82">
        <v>317</v>
      </c>
      <c r="E130" s="81" t="s">
        <v>156</v>
      </c>
      <c r="F130" s="81" t="s">
        <v>157</v>
      </c>
      <c r="G130" s="81" t="s">
        <v>159</v>
      </c>
    </row>
    <row r="131" spans="1:7" x14ac:dyDescent="0.2">
      <c r="A131" t="s">
        <v>278</v>
      </c>
      <c r="B131" s="82">
        <v>-54.1</v>
      </c>
      <c r="C131" s="81" t="s">
        <v>154</v>
      </c>
      <c r="D131" s="81" t="s">
        <v>155</v>
      </c>
      <c r="E131" s="81" t="s">
        <v>16</v>
      </c>
      <c r="F131" s="82">
        <v>2</v>
      </c>
      <c r="G131" s="82" t="s">
        <v>30</v>
      </c>
    </row>
    <row r="132" spans="1:7" x14ac:dyDescent="0.2">
      <c r="A132" t="s">
        <v>125</v>
      </c>
      <c r="B132" s="82">
        <v>1443.1</v>
      </c>
      <c r="C132" s="82">
        <v>63</v>
      </c>
      <c r="D132" s="82">
        <v>1742</v>
      </c>
      <c r="E132" s="82">
        <v>6205</v>
      </c>
      <c r="F132" s="82">
        <v>2493</v>
      </c>
      <c r="G132" s="82">
        <v>788</v>
      </c>
    </row>
    <row r="133" spans="1:7" x14ac:dyDescent="0.2">
      <c r="A133" t="s">
        <v>126</v>
      </c>
      <c r="B133" s="82">
        <v>-642.29999999999995</v>
      </c>
      <c r="C133" s="81" t="s">
        <v>150</v>
      </c>
      <c r="D133" s="81" t="s">
        <v>151</v>
      </c>
      <c r="E133" s="81" t="s">
        <v>152</v>
      </c>
      <c r="F133" s="81" t="s">
        <v>153</v>
      </c>
      <c r="G133" s="81" t="s">
        <v>158</v>
      </c>
    </row>
    <row r="134" spans="1:7" x14ac:dyDescent="0.2">
      <c r="A134" t="s">
        <v>279</v>
      </c>
      <c r="B134" s="82">
        <v>-258.60000000000002</v>
      </c>
      <c r="C134" s="82">
        <v>152</v>
      </c>
      <c r="D134" s="82">
        <v>343</v>
      </c>
      <c r="E134" s="82">
        <v>174</v>
      </c>
      <c r="F134" s="81" t="s">
        <v>148</v>
      </c>
      <c r="G134" s="81" t="s">
        <v>149</v>
      </c>
    </row>
    <row r="135" spans="1:7" x14ac:dyDescent="0.2">
      <c r="A135" t="s">
        <v>127</v>
      </c>
      <c r="B135" s="82">
        <v>-787.3</v>
      </c>
      <c r="C135" s="81" t="s">
        <v>143</v>
      </c>
      <c r="D135" s="81" t="s">
        <v>144</v>
      </c>
      <c r="E135" s="81" t="s">
        <v>145</v>
      </c>
      <c r="F135" s="81" t="s">
        <v>146</v>
      </c>
      <c r="G135" s="81" t="s">
        <v>147</v>
      </c>
    </row>
    <row r="136" spans="1:7" x14ac:dyDescent="0.2">
      <c r="A136" t="s">
        <v>280</v>
      </c>
      <c r="B136" s="82">
        <v>-287</v>
      </c>
      <c r="C136" s="81" t="s">
        <v>137</v>
      </c>
      <c r="D136" s="81" t="s">
        <v>136</v>
      </c>
      <c r="E136" s="81" t="s">
        <v>135</v>
      </c>
      <c r="F136" s="81" t="s">
        <v>134</v>
      </c>
      <c r="G136" s="81" t="s">
        <v>133</v>
      </c>
    </row>
    <row r="137" spans="1:7" x14ac:dyDescent="0.2">
      <c r="A137" s="4" t="s">
        <v>281</v>
      </c>
      <c r="B137" s="79">
        <v>-1623.1</v>
      </c>
      <c r="C137" s="93" t="s">
        <v>138</v>
      </c>
      <c r="D137" s="93" t="s">
        <v>139</v>
      </c>
      <c r="E137" s="93" t="s">
        <v>140</v>
      </c>
      <c r="F137" s="93" t="s">
        <v>141</v>
      </c>
      <c r="G137" s="93" t="s">
        <v>142</v>
      </c>
    </row>
    <row r="138" spans="1:7" x14ac:dyDescent="0.2">
      <c r="A138" s="4" t="s">
        <v>282</v>
      </c>
      <c r="B138" s="82">
        <v>-4.3</v>
      </c>
      <c r="C138" s="81" t="s">
        <v>132</v>
      </c>
      <c r="D138" s="81" t="s">
        <v>131</v>
      </c>
      <c r="E138" s="82" t="s">
        <v>30</v>
      </c>
      <c r="F138" s="82" t="s">
        <v>30</v>
      </c>
      <c r="G138" s="82">
        <v>58</v>
      </c>
    </row>
    <row r="139" spans="1:7" x14ac:dyDescent="0.2">
      <c r="A139" s="5" t="s">
        <v>283</v>
      </c>
      <c r="B139" s="79">
        <v>97.8</v>
      </c>
      <c r="C139" s="79">
        <v>21</v>
      </c>
      <c r="D139" s="82">
        <v>222</v>
      </c>
      <c r="E139" s="82">
        <v>18</v>
      </c>
      <c r="F139" s="82">
        <v>31</v>
      </c>
      <c r="G139" s="82">
        <v>57</v>
      </c>
    </row>
    <row r="140" spans="1:7" x14ac:dyDescent="0.2">
      <c r="A140" s="4" t="s">
        <v>284</v>
      </c>
      <c r="B140" s="79">
        <v>1162.5</v>
      </c>
      <c r="C140" s="79">
        <v>1516</v>
      </c>
      <c r="D140" s="93" t="s">
        <v>130</v>
      </c>
      <c r="E140" s="93" t="s">
        <v>129</v>
      </c>
      <c r="F140" s="93" t="s">
        <v>128</v>
      </c>
      <c r="G140" s="79">
        <v>978</v>
      </c>
    </row>
    <row r="141" spans="1:7" x14ac:dyDescent="0.2">
      <c r="A141" s="4"/>
      <c r="B141" s="79"/>
      <c r="C141" s="79"/>
      <c r="D141" s="82"/>
      <c r="E141" s="82"/>
      <c r="F141" s="82"/>
      <c r="G141" s="82"/>
    </row>
    <row r="142" spans="1:7" x14ac:dyDescent="0.2">
      <c r="A142" s="4" t="s">
        <v>285</v>
      </c>
      <c r="B142" s="79">
        <v>1837.6</v>
      </c>
      <c r="C142" s="79">
        <v>3000</v>
      </c>
      <c r="D142" s="79">
        <v>4516</v>
      </c>
      <c r="E142" s="79">
        <v>4094</v>
      </c>
      <c r="F142" s="79">
        <v>3650</v>
      </c>
      <c r="G142" s="79">
        <v>3309</v>
      </c>
    </row>
    <row r="143" spans="1:7" x14ac:dyDescent="0.2">
      <c r="A143" s="4" t="s">
        <v>286</v>
      </c>
      <c r="B143" s="79">
        <v>3000.1</v>
      </c>
      <c r="C143" s="79">
        <v>4516</v>
      </c>
      <c r="D143" s="79">
        <v>4094</v>
      </c>
      <c r="E143" s="79">
        <v>3650</v>
      </c>
      <c r="F143" s="79">
        <v>3309</v>
      </c>
      <c r="G143" s="79">
        <v>4287</v>
      </c>
    </row>
    <row r="144" spans="1:7" x14ac:dyDescent="0.2">
      <c r="A144" s="7"/>
      <c r="B144" s="7"/>
      <c r="C144" s="7"/>
      <c r="D144" s="7"/>
      <c r="E144" s="7"/>
      <c r="F144" s="7"/>
      <c r="G144" s="7"/>
    </row>
    <row r="146" spans="1:7" ht="24" x14ac:dyDescent="0.3">
      <c r="A146" s="94" t="s">
        <v>201</v>
      </c>
    </row>
    <row r="147" spans="1:7" ht="22" x14ac:dyDescent="0.3">
      <c r="A147" s="95" t="s">
        <v>213</v>
      </c>
      <c r="B147" s="95">
        <v>2020</v>
      </c>
      <c r="C147" s="95">
        <v>2021</v>
      </c>
      <c r="D147" s="95">
        <v>2022</v>
      </c>
      <c r="E147" s="95">
        <v>2023</v>
      </c>
      <c r="F147" s="95">
        <v>2024</v>
      </c>
      <c r="G147" s="95">
        <v>2025</v>
      </c>
    </row>
    <row r="148" spans="1:7" ht="22" x14ac:dyDescent="0.3">
      <c r="A148" s="96" t="s">
        <v>198</v>
      </c>
      <c r="B148" s="97">
        <v>7440.6</v>
      </c>
      <c r="C148" s="98">
        <v>9731</v>
      </c>
      <c r="D148" s="98">
        <v>10487</v>
      </c>
      <c r="E148" s="98">
        <v>9873</v>
      </c>
      <c r="F148" s="98">
        <v>7650</v>
      </c>
      <c r="G148" s="98">
        <v>5992</v>
      </c>
    </row>
    <row r="149" spans="1:7" ht="22" x14ac:dyDescent="0.3">
      <c r="A149" s="96" t="s">
        <v>207</v>
      </c>
      <c r="B149" s="97">
        <v>1744.4</v>
      </c>
      <c r="C149" s="98">
        <v>2521</v>
      </c>
      <c r="D149" s="98">
        <v>3300</v>
      </c>
      <c r="E149" s="98">
        <v>3179</v>
      </c>
      <c r="F149" s="98">
        <v>2881</v>
      </c>
      <c r="G149" s="98">
        <v>2643</v>
      </c>
    </row>
    <row r="150" spans="1:7" ht="22" x14ac:dyDescent="0.3">
      <c r="A150" s="96" t="s">
        <v>199</v>
      </c>
      <c r="B150" s="97">
        <v>1210.3</v>
      </c>
      <c r="C150" s="98">
        <v>1503</v>
      </c>
      <c r="D150" s="98">
        <v>1740</v>
      </c>
      <c r="E150" s="98">
        <v>1645</v>
      </c>
      <c r="F150" s="98">
        <v>1713</v>
      </c>
      <c r="G150" s="98">
        <v>1706</v>
      </c>
    </row>
    <row r="151" spans="1:7" ht="22" x14ac:dyDescent="0.3">
      <c r="A151" s="96" t="s">
        <v>200</v>
      </c>
      <c r="B151" s="97">
        <v>2281.3000000000002</v>
      </c>
      <c r="C151" s="98">
        <v>3285</v>
      </c>
      <c r="D151" s="98">
        <v>3874</v>
      </c>
      <c r="E151" s="98">
        <v>3514</v>
      </c>
      <c r="F151" s="98">
        <v>3221</v>
      </c>
      <c r="G151" s="98">
        <v>2900</v>
      </c>
    </row>
    <row r="152" spans="1:7" ht="22" x14ac:dyDescent="0.3">
      <c r="A152" s="96" t="s">
        <v>208</v>
      </c>
      <c r="B152" s="97">
        <v>423.6</v>
      </c>
      <c r="C152" s="98">
        <v>733</v>
      </c>
      <c r="D152" s="98">
        <v>1139</v>
      </c>
      <c r="E152" s="98">
        <v>1568</v>
      </c>
      <c r="F152" s="98">
        <v>1618</v>
      </c>
      <c r="G152" s="98">
        <v>1631</v>
      </c>
    </row>
    <row r="153" spans="1:7" ht="22" x14ac:dyDescent="0.3">
      <c r="A153" s="20" t="s">
        <v>209</v>
      </c>
      <c r="B153" s="97">
        <v>0</v>
      </c>
      <c r="C153" s="99" t="s">
        <v>203</v>
      </c>
      <c r="D153" s="99" t="s">
        <v>210</v>
      </c>
      <c r="E153" s="99" t="s">
        <v>211</v>
      </c>
      <c r="F153" s="99" t="s">
        <v>212</v>
      </c>
      <c r="G153" s="99" t="s">
        <v>214</v>
      </c>
    </row>
    <row r="154" spans="1:7" ht="22" x14ac:dyDescent="0.3">
      <c r="A154" s="95" t="s">
        <v>206</v>
      </c>
      <c r="B154" s="100">
        <v>13100</v>
      </c>
      <c r="C154" s="101">
        <v>17645</v>
      </c>
      <c r="D154" s="101">
        <v>20351</v>
      </c>
      <c r="E154" s="101">
        <v>19566</v>
      </c>
      <c r="F154" s="101">
        <v>16874</v>
      </c>
      <c r="G154" s="101">
        <v>14675</v>
      </c>
    </row>
    <row r="155" spans="1:7" x14ac:dyDescent="0.2">
      <c r="A155" s="104"/>
      <c r="B155" s="105"/>
      <c r="C155" s="106"/>
      <c r="D155" s="106"/>
      <c r="E155" s="106"/>
      <c r="F155" s="106"/>
      <c r="G155" s="7"/>
    </row>
    <row r="156" spans="1:7" x14ac:dyDescent="0.2">
      <c r="A156" s="1"/>
      <c r="B156" s="80"/>
      <c r="C156" s="2"/>
      <c r="D156" s="2"/>
      <c r="E156" s="2"/>
      <c r="F156" s="2"/>
    </row>
    <row r="157" spans="1:7" ht="24" x14ac:dyDescent="0.3">
      <c r="A157" s="94" t="s">
        <v>202</v>
      </c>
      <c r="B157" s="80"/>
    </row>
    <row r="158" spans="1:7" ht="22" x14ac:dyDescent="0.3">
      <c r="A158" s="95" t="s">
        <v>213</v>
      </c>
      <c r="B158" s="95">
        <v>2020</v>
      </c>
      <c r="C158" s="95">
        <v>2021</v>
      </c>
      <c r="D158" s="95">
        <v>2022</v>
      </c>
      <c r="E158" s="95">
        <v>2023</v>
      </c>
      <c r="F158" s="102">
        <v>2024</v>
      </c>
      <c r="G158" s="95">
        <v>2025</v>
      </c>
    </row>
    <row r="159" spans="1:7" ht="22" x14ac:dyDescent="0.3">
      <c r="A159" s="96" t="s">
        <v>198</v>
      </c>
      <c r="B159" s="98">
        <v>2614.5</v>
      </c>
      <c r="C159" s="98">
        <v>3715</v>
      </c>
      <c r="D159" s="98">
        <v>3732</v>
      </c>
      <c r="E159" s="98">
        <v>3264</v>
      </c>
      <c r="F159" s="99">
        <v>1605</v>
      </c>
      <c r="G159" s="98">
        <v>966</v>
      </c>
    </row>
    <row r="160" spans="1:7" ht="22" x14ac:dyDescent="0.3">
      <c r="A160" s="96" t="s">
        <v>207</v>
      </c>
      <c r="B160" s="98">
        <v>400</v>
      </c>
      <c r="C160" s="98">
        <v>715</v>
      </c>
      <c r="D160" s="98">
        <v>1019</v>
      </c>
      <c r="E160" s="98">
        <v>969</v>
      </c>
      <c r="F160" s="99">
        <v>593</v>
      </c>
      <c r="G160" s="98">
        <v>529</v>
      </c>
    </row>
    <row r="161" spans="1:7" ht="22" x14ac:dyDescent="0.3">
      <c r="A161" s="96" t="s">
        <v>199</v>
      </c>
      <c r="B161" s="98">
        <v>172</v>
      </c>
      <c r="C161" s="98">
        <v>286</v>
      </c>
      <c r="D161" s="98">
        <v>366</v>
      </c>
      <c r="E161" s="98">
        <v>312</v>
      </c>
      <c r="F161" s="99">
        <v>255</v>
      </c>
      <c r="G161" s="98">
        <v>267</v>
      </c>
    </row>
    <row r="162" spans="1:7" ht="22" x14ac:dyDescent="0.3">
      <c r="A162" s="96" t="s">
        <v>200</v>
      </c>
      <c r="B162" s="98">
        <v>180.6</v>
      </c>
      <c r="C162" s="98">
        <v>459</v>
      </c>
      <c r="D162" s="98">
        <v>558</v>
      </c>
      <c r="E162" s="98">
        <v>212</v>
      </c>
      <c r="F162" s="99" t="s">
        <v>197</v>
      </c>
      <c r="G162" s="99" t="s">
        <v>217</v>
      </c>
    </row>
    <row r="163" spans="1:7" ht="22" x14ac:dyDescent="0.3">
      <c r="A163" s="96" t="s">
        <v>208</v>
      </c>
      <c r="B163" s="98">
        <v>-231.9</v>
      </c>
      <c r="C163" s="99" t="s">
        <v>204</v>
      </c>
      <c r="D163" s="99" t="s">
        <v>215</v>
      </c>
      <c r="E163" s="99" t="s">
        <v>196</v>
      </c>
      <c r="F163" s="99" t="s">
        <v>132</v>
      </c>
      <c r="G163" s="99" t="s">
        <v>218</v>
      </c>
    </row>
    <row r="164" spans="1:7" ht="22" x14ac:dyDescent="0.3">
      <c r="A164" s="20" t="s">
        <v>209</v>
      </c>
      <c r="B164" s="97">
        <v>0</v>
      </c>
      <c r="C164" s="98">
        <v>6</v>
      </c>
      <c r="D164" s="98">
        <v>2</v>
      </c>
      <c r="E164" s="99" t="s">
        <v>216</v>
      </c>
      <c r="F164" s="99" t="s">
        <v>132</v>
      </c>
      <c r="G164" s="99" t="s">
        <v>132</v>
      </c>
    </row>
    <row r="165" spans="1:7" ht="22" x14ac:dyDescent="0.3">
      <c r="A165" s="95" t="s">
        <v>206</v>
      </c>
      <c r="B165" s="100">
        <v>3135</v>
      </c>
      <c r="C165" s="101">
        <v>5017</v>
      </c>
      <c r="D165" s="101">
        <v>5589</v>
      </c>
      <c r="E165" s="101">
        <v>4746</v>
      </c>
      <c r="F165" s="103">
        <v>2440</v>
      </c>
      <c r="G165" s="101">
        <v>1631</v>
      </c>
    </row>
    <row r="166" spans="1:7" x14ac:dyDescent="0.2">
      <c r="A166" s="7"/>
      <c r="B166" s="7"/>
      <c r="C166" s="7"/>
      <c r="D166" s="7"/>
      <c r="E166" s="7"/>
      <c r="F166" s="7"/>
      <c r="G166" s="7"/>
    </row>
  </sheetData>
  <sheetProtection algorithmName="SHA-512" hashValue="8qp9yfWP1yBDPRDF08zBxcttlPPlAuJRoR6b4tUPVh6NZOISXMrUk7mKm2D18xkNgfyPbsCUJR67dMzxV0FSQw==" saltValue="vcWPjuF2ocIl+0ALukr45w==" spinCount="100000" sheet="1" objects="1" scenarios="1"/>
  <pageMargins left="0.7" right="0.7" top="0.75" bottom="0.75" header="0.3" footer="0.3"/>
  <pageSetup paperSize="9" orientation="portrait" horizontalDpi="0" verticalDpi="0"/>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88855-BE31-6D4D-B99D-7846782316C7}">
  <sheetPr>
    <tabColor theme="8" tint="0.79998168889431442"/>
  </sheetPr>
  <dimension ref="A1:K102"/>
  <sheetViews>
    <sheetView showGridLines="0" zoomScaleNormal="100" workbookViewId="0"/>
  </sheetViews>
  <sheetFormatPr baseColWidth="10" defaultRowHeight="16" x14ac:dyDescent="0.2"/>
  <cols>
    <col min="1" max="1" width="86.6640625" bestFit="1" customWidth="1"/>
    <col min="2" max="3" width="8.5" bestFit="1" customWidth="1"/>
    <col min="4" max="6" width="11" customWidth="1"/>
    <col min="7" max="7" width="10.6640625" style="28" customWidth="1"/>
  </cols>
  <sheetData>
    <row r="1" spans="1:11" ht="16" customHeight="1" x14ac:dyDescent="0.2">
      <c r="A1" s="7"/>
      <c r="B1" s="7"/>
      <c r="C1" s="7"/>
      <c r="D1" s="7"/>
      <c r="E1" s="7"/>
      <c r="F1" s="7"/>
      <c r="G1" s="67"/>
      <c r="H1" s="3"/>
      <c r="I1" s="3"/>
      <c r="J1" s="3"/>
      <c r="K1" s="3"/>
    </row>
    <row r="2" spans="1:11" ht="20" x14ac:dyDescent="0.2">
      <c r="A2" s="8" t="s">
        <v>219</v>
      </c>
      <c r="B2" s="3"/>
      <c r="C2" s="3"/>
      <c r="D2" s="3"/>
      <c r="E2" s="3"/>
      <c r="F2" s="3"/>
      <c r="H2" s="3"/>
      <c r="I2" s="3"/>
      <c r="J2" s="3"/>
      <c r="K2" s="3"/>
    </row>
    <row r="3" spans="1:11" ht="20" x14ac:dyDescent="0.2">
      <c r="A3" s="8"/>
      <c r="B3" s="3"/>
      <c r="C3" s="3"/>
      <c r="D3" s="3"/>
      <c r="E3" s="3"/>
      <c r="F3" s="3"/>
      <c r="H3" s="3"/>
      <c r="I3" s="3"/>
      <c r="J3" s="3"/>
      <c r="K3" s="3"/>
    </row>
    <row r="4" spans="1:11" ht="19" x14ac:dyDescent="0.25">
      <c r="A4" s="9" t="s">
        <v>228</v>
      </c>
      <c r="B4" s="9">
        <v>2021</v>
      </c>
      <c r="C4" s="9">
        <v>2022</v>
      </c>
      <c r="D4" s="9">
        <v>2023</v>
      </c>
      <c r="E4" s="9">
        <v>2024</v>
      </c>
      <c r="F4" s="9">
        <v>2025</v>
      </c>
      <c r="G4" s="74" t="s">
        <v>333</v>
      </c>
      <c r="H4" s="3"/>
      <c r="I4" s="3"/>
      <c r="J4" s="3"/>
      <c r="K4" s="3"/>
    </row>
    <row r="5" spans="1:11" x14ac:dyDescent="0.2">
      <c r="A5" s="1" t="s">
        <v>18</v>
      </c>
      <c r="H5" s="3"/>
      <c r="I5" s="3"/>
      <c r="J5" s="3"/>
      <c r="K5" s="3"/>
    </row>
    <row r="6" spans="1:11" x14ac:dyDescent="0.2">
      <c r="A6" s="13" t="s">
        <v>0</v>
      </c>
      <c r="B6" s="13">
        <f>(Financial_Statements[[#This Row],[Column2]]/'Raw Financial Data'!C$6)</f>
        <v>1</v>
      </c>
      <c r="C6" s="13">
        <f>(Financial_Statements[[#This Row],[Column3]]/'Raw Financial Data'!D$6)</f>
        <v>1</v>
      </c>
      <c r="D6" s="13">
        <f>(Financial_Statements[[#This Row],[Column4]]/'Raw Financial Data'!E$6)</f>
        <v>1</v>
      </c>
      <c r="E6" s="13">
        <f>(Financial_Statements[[#This Row],[Column5]]/'Raw Financial Data'!F$6)</f>
        <v>1</v>
      </c>
      <c r="F6" s="13">
        <f>(Financial_Statements[[#This Row],[Column6]]/'Raw Financial Data'!G$6)</f>
        <v>1</v>
      </c>
      <c r="G6" s="13">
        <f>AVERAGE(B6,C6,D6,E6,F6)</f>
        <v>1</v>
      </c>
      <c r="H6" s="3"/>
      <c r="I6" s="3"/>
      <c r="J6" s="3"/>
      <c r="K6" s="3"/>
    </row>
    <row r="7" spans="1:11" s="5" customFormat="1" x14ac:dyDescent="0.2">
      <c r="A7" s="14" t="s">
        <v>21</v>
      </c>
      <c r="B7" s="14">
        <f>(Financial_Statements[[#This Row],[Column2]]/'Raw Financial Data'!C$6)</f>
        <v>-0.25939359591952393</v>
      </c>
      <c r="C7" s="14">
        <f>(Financial_Statements[[#This Row],[Column3]]/'Raw Financial Data'!D$6)</f>
        <v>-0.25320623065205639</v>
      </c>
      <c r="D7" s="14">
        <f>(Financial_Statements[[#This Row],[Column4]]/'Raw Financial Data'!E$6)</f>
        <v>-0.23709496064601859</v>
      </c>
      <c r="E7" s="14">
        <f>(Financial_Statements[[#This Row],[Column5]]/'Raw Financial Data'!F$6)</f>
        <v>-0.26549721464975701</v>
      </c>
      <c r="F7" s="14">
        <f>(Financial_Statements[[#This Row],[Column6]]/'Raw Financial Data'!G$6)</f>
        <v>-0.27359454855195914</v>
      </c>
      <c r="G7" s="17">
        <f>AVERAGE(D7,E7,F7)</f>
        <v>-0.25872890794924491</v>
      </c>
      <c r="H7" s="12"/>
      <c r="I7" s="12"/>
      <c r="J7" s="12"/>
      <c r="K7" s="12"/>
    </row>
    <row r="8" spans="1:11" x14ac:dyDescent="0.2">
      <c r="A8" s="13" t="s">
        <v>22</v>
      </c>
      <c r="B8" s="13">
        <f>(Financial_Statements[[#This Row],[Column2]]/'Raw Financial Data'!C$6)</f>
        <v>0.74060640408047607</v>
      </c>
      <c r="C8" s="13">
        <f>(Financial_Statements[[#This Row],[Column3]]/'Raw Financial Data'!D$6)</f>
        <v>0.74679376934794361</v>
      </c>
      <c r="D8" s="13">
        <f>(Financial_Statements[[#This Row],[Column4]]/'Raw Financial Data'!E$6)</f>
        <v>0.76290503935398135</v>
      </c>
      <c r="E8" s="13">
        <f>(Financial_Statements[[#This Row],[Column5]]/'Raw Financial Data'!F$6)</f>
        <v>0.73450278535024294</v>
      </c>
      <c r="F8" s="13">
        <f>(Financial_Statements[[#This Row],[Column6]]/'Raw Financial Data'!G$6)</f>
        <v>0.72640545144804092</v>
      </c>
      <c r="G8" s="13">
        <f t="shared" ref="G8:G28" si="0">AVERAGE(D8,E8,F8)</f>
        <v>0.74127109205075514</v>
      </c>
      <c r="H8" s="3"/>
      <c r="I8" s="3"/>
      <c r="J8" s="3"/>
      <c r="K8" s="3"/>
    </row>
    <row r="9" spans="1:11" s="5" customFormat="1" x14ac:dyDescent="0.2">
      <c r="A9" s="14" t="s">
        <v>23</v>
      </c>
      <c r="B9" s="14">
        <f>(Financial_Statements[[#This Row],[Column2]]/'Raw Financial Data'!C$6)</f>
        <v>-0.13850949277415697</v>
      </c>
      <c r="C9" s="14">
        <f>(Financial_Statements[[#This Row],[Column3]]/'Raw Financial Data'!D$6)</f>
        <v>-0.13905950567539679</v>
      </c>
      <c r="D9" s="14">
        <f>(Financial_Statements[[#This Row],[Column4]]/'Raw Financial Data'!E$6)</f>
        <v>-0.15240723704385159</v>
      </c>
      <c r="E9" s="14">
        <f>(Financial_Statements[[#This Row],[Column5]]/'Raw Financial Data'!F$6)</f>
        <v>-0.17506222590968354</v>
      </c>
      <c r="F9" s="14">
        <f>(Financial_Statements[[#This Row],[Column6]]/'Raw Financial Data'!G$6)</f>
        <v>-0.18923339011925042</v>
      </c>
      <c r="G9" s="17">
        <f t="shared" si="0"/>
        <v>-0.17223428435759516</v>
      </c>
      <c r="H9" s="12"/>
      <c r="I9" s="12"/>
      <c r="J9" s="12"/>
      <c r="K9" s="12"/>
    </row>
    <row r="10" spans="1:11" s="5" customFormat="1" x14ac:dyDescent="0.2">
      <c r="A10" s="14" t="s">
        <v>24</v>
      </c>
      <c r="B10" s="14">
        <f>(Financial_Statements[[#This Row],[Column2]]/'Raw Financial Data'!C$6)</f>
        <v>-0.31776707282516292</v>
      </c>
      <c r="C10" s="14">
        <f>(Financial_Statements[[#This Row],[Column3]]/'Raw Financial Data'!D$6)</f>
        <v>-0.33310402437226672</v>
      </c>
      <c r="D10" s="14">
        <f>(Financial_Statements[[#This Row],[Column4]]/'Raw Financial Data'!E$6)</f>
        <v>-0.36793417152202801</v>
      </c>
      <c r="E10" s="14">
        <f>(Financial_Statements[[#This Row],[Column5]]/'Raw Financial Data'!F$6)</f>
        <v>-0.41483939789024532</v>
      </c>
      <c r="F10" s="14">
        <f>(Financial_Statements[[#This Row],[Column6]]/'Raw Financial Data'!G$6)</f>
        <v>-0.42603066439522996</v>
      </c>
      <c r="G10" s="17">
        <f t="shared" si="0"/>
        <v>-0.40293474460250112</v>
      </c>
      <c r="H10" s="12"/>
      <c r="I10" s="12"/>
      <c r="J10" s="12"/>
      <c r="K10" s="12"/>
    </row>
    <row r="11" spans="1:11" x14ac:dyDescent="0.2">
      <c r="A11" s="13" t="s">
        <v>1</v>
      </c>
      <c r="B11" s="13">
        <f>(Financial_Statements[[#This Row],[Column2]]/'Raw Financial Data'!C$6)</f>
        <v>0.28432983848115612</v>
      </c>
      <c r="C11" s="13">
        <f>(Financial_Statements[[#This Row],[Column3]]/'Raw Financial Data'!D$6)</f>
        <v>0.27463023930028008</v>
      </c>
      <c r="D11" s="13">
        <f>(Financial_Statements[[#This Row],[Column4]]/'Raw Financial Data'!E$6)</f>
        <v>0.24256363078810181</v>
      </c>
      <c r="E11" s="13">
        <f>(Financial_Statements[[#This Row],[Column5]]/'Raw Financial Data'!F$6)</f>
        <v>0.14460116155031411</v>
      </c>
      <c r="F11" s="13">
        <f>(Financial_Statements[[#This Row],[Column6]]/'Raw Financial Data'!G$6)</f>
        <v>0.11114139693356048</v>
      </c>
      <c r="G11" s="13">
        <f t="shared" si="0"/>
        <v>0.16610206309065881</v>
      </c>
      <c r="H11" s="3"/>
      <c r="I11" s="3"/>
      <c r="J11" s="3"/>
      <c r="K11" s="3"/>
    </row>
    <row r="12" spans="1:11" s="5" customFormat="1" x14ac:dyDescent="0.2">
      <c r="A12" s="14" t="s">
        <v>2</v>
      </c>
      <c r="B12" s="14">
        <f>(Financial_Statements[[#This Row],[Column2]]/'Raw Financial Data'!C$6)</f>
        <v>-1.2468121280816095E-2</v>
      </c>
      <c r="C12" s="14">
        <f>(Financial_Statements[[#This Row],[Column3]]/'Raw Financial Data'!D$6)</f>
        <v>-9.5327010957692495E-3</v>
      </c>
      <c r="D12" s="14">
        <f>(Financial_Statements[[#This Row],[Column4]]/'Raw Financial Data'!E$6)</f>
        <v>-5.2642338750894411E-3</v>
      </c>
      <c r="E12" s="14">
        <f>(Financial_Statements[[#This Row],[Column5]]/'Raw Financial Data'!F$6)</f>
        <v>-1.4341590612777053E-2</v>
      </c>
      <c r="F12" s="14">
        <f>(Financial_Statements[[#This Row],[Column6]]/'Raw Financial Data'!G$6)</f>
        <v>-3.979557069846678E-2</v>
      </c>
      <c r="G12" s="17">
        <f t="shared" si="0"/>
        <v>-1.9800465062111094E-2</v>
      </c>
      <c r="H12" s="12"/>
      <c r="I12" s="12"/>
      <c r="J12" s="12"/>
      <c r="K12" s="12"/>
    </row>
    <row r="13" spans="1:11" x14ac:dyDescent="0.2">
      <c r="A13" s="13" t="s">
        <v>25</v>
      </c>
      <c r="B13" s="13">
        <f>(Financial_Statements[[#This Row],[Column2]]/'Raw Financial Data'!C$6)</f>
        <v>0.27186171720034003</v>
      </c>
      <c r="C13" s="13">
        <f>(Financial_Statements[[#This Row],[Column3]]/'Raw Financial Data'!D$6)</f>
        <v>0.26509753820451082</v>
      </c>
      <c r="D13" s="13">
        <f>(Financial_Statements[[#This Row],[Column4]]/'Raw Financial Data'!E$6)</f>
        <v>0.23729939691301236</v>
      </c>
      <c r="E13" s="13">
        <f>(Financial_Statements[[#This Row],[Column5]]/'Raw Financial Data'!F$6)</f>
        <v>0.13025957093753704</v>
      </c>
      <c r="F13" s="13">
        <f>(Financial_Statements[[#This Row],[Column6]]/'Raw Financial Data'!G$6)</f>
        <v>7.1345826235093696E-2</v>
      </c>
      <c r="G13" s="13">
        <f t="shared" si="0"/>
        <v>0.1463015980285477</v>
      </c>
      <c r="H13" s="3"/>
      <c r="I13" s="3"/>
      <c r="J13" s="3"/>
      <c r="K13" s="3"/>
    </row>
    <row r="14" spans="1:11" s="5" customFormat="1" x14ac:dyDescent="0.2">
      <c r="A14" s="14" t="s">
        <v>3</v>
      </c>
      <c r="B14" s="14">
        <f>(Financial_Statements[[#This Row],[Column2]]/'Raw Financial Data'!C$6)</f>
        <v>-1.5471805043921791E-2</v>
      </c>
      <c r="C14" s="14">
        <f>(Financial_Statements[[#This Row],[Column3]]/'Raw Financial Data'!D$6)</f>
        <v>-1.2775784973711365E-2</v>
      </c>
      <c r="D14" s="14">
        <f>(Financial_Statements[[#This Row],[Column4]]/'Raw Financial Data'!E$6)</f>
        <v>-2.095471736686088E-2</v>
      </c>
      <c r="E14" s="14">
        <f>(Financial_Statements[[#This Row],[Column5]]/'Raw Financial Data'!F$6)</f>
        <v>-3.6387341472087234E-2</v>
      </c>
      <c r="F14" s="14">
        <f>(Financial_Statements[[#This Row],[Column6]]/'Raw Financial Data'!G$6)</f>
        <v>-4.0477001703577514E-2</v>
      </c>
      <c r="G14" s="17">
        <f t="shared" si="0"/>
        <v>-3.2606353514175207E-2</v>
      </c>
      <c r="H14" s="12"/>
      <c r="I14" s="12"/>
      <c r="J14" s="12"/>
      <c r="K14" s="12"/>
    </row>
    <row r="15" spans="1:11" x14ac:dyDescent="0.2">
      <c r="A15" s="13" t="s">
        <v>26</v>
      </c>
      <c r="B15" s="13">
        <f>(Financial_Statements[[#This Row],[Column2]]/'Raw Financial Data'!C$6)</f>
        <v>0.25638991215641826</v>
      </c>
      <c r="C15" s="13">
        <f>(Financial_Statements[[#This Row],[Column3]]/'Raw Financial Data'!D$6)</f>
        <v>0.25232175323079947</v>
      </c>
      <c r="D15" s="13">
        <f>(Financial_Statements[[#This Row],[Column4]]/'Raw Financial Data'!E$6)</f>
        <v>0.2163446795461515</v>
      </c>
      <c r="E15" s="13">
        <f>(Financial_Statements[[#This Row],[Column5]]/'Raw Financial Data'!F$6)</f>
        <v>9.3872229465449805E-2</v>
      </c>
      <c r="F15" s="13">
        <f>(Financial_Statements[[#This Row],[Column6]]/'Raw Financial Data'!G$6)</f>
        <v>3.0868824531516185E-2</v>
      </c>
      <c r="G15" s="13">
        <f t="shared" si="0"/>
        <v>0.1136952445143725</v>
      </c>
      <c r="H15" s="3"/>
      <c r="I15" s="3"/>
      <c r="J15" s="3"/>
      <c r="K15" s="3"/>
    </row>
    <row r="16" spans="1:11" s="5" customFormat="1" x14ac:dyDescent="0.2">
      <c r="A16" s="14" t="s">
        <v>4</v>
      </c>
      <c r="B16" s="14">
        <f>(Financial_Statements[[#This Row],[Column2]]/'Raw Financial Data'!C$6)</f>
        <v>-7.2541796542930012E-2</v>
      </c>
      <c r="C16" s="14">
        <f>(Financial_Statements[[#This Row],[Column3]]/'Raw Financial Data'!D$6)</f>
        <v>-6.9775441010269765E-2</v>
      </c>
      <c r="D16" s="14">
        <f>(Financial_Statements[[#This Row],[Column4]]/'Raw Financial Data'!E$6)</f>
        <v>-5.9439844628437086E-2</v>
      </c>
      <c r="E16" s="14">
        <f>(Financial_Statements[[#This Row],[Column5]]/'Raw Financial Data'!F$6)</f>
        <v>-2.6964560862865947E-2</v>
      </c>
      <c r="F16" s="14">
        <f>(Financial_Statements[[#This Row],[Column6]]/'Raw Financial Data'!G$6)</f>
        <v>-2.4122657580919932E-2</v>
      </c>
      <c r="G16" s="17">
        <f t="shared" si="0"/>
        <v>-3.6842354357407653E-2</v>
      </c>
      <c r="H16" s="12"/>
      <c r="I16" s="12"/>
      <c r="J16" s="12"/>
      <c r="K16" s="12"/>
    </row>
    <row r="17" spans="1:11" s="5" customFormat="1" x14ac:dyDescent="0.2">
      <c r="A17" s="14" t="s">
        <v>5</v>
      </c>
      <c r="B17" s="14">
        <f>(Financial_Statements[[#This Row],[Column2]]/'Raw Financial Data'!C$6)</f>
        <v>5.6673278549164072E-5</v>
      </c>
      <c r="C17" s="14">
        <f>(Financial_Statements[[#This Row],[Column3]]/'Raw Financial Data'!D$6)</f>
        <v>9.8275269028548967E-5</v>
      </c>
      <c r="D17" s="14">
        <f>(Financial_Statements[[#This Row],[Column4]]/'Raw Financial Data'!E$6)</f>
        <v>2.044362669937647E-4</v>
      </c>
      <c r="E17" s="14">
        <f>(Financial_Statements[[#This Row],[Column5]]/'Raw Financial Data'!F$6)</f>
        <v>-5.9262771127177908E-4</v>
      </c>
      <c r="F17" s="14">
        <f>(Financial_Statements[[#This Row],[Column6]]/'Raw Financial Data'!G$6)</f>
        <v>-4.0885860306643955E-3</v>
      </c>
      <c r="G17" s="17">
        <f t="shared" si="0"/>
        <v>-1.4922591583141364E-3</v>
      </c>
      <c r="H17" s="12"/>
      <c r="I17" s="12"/>
      <c r="J17" s="12"/>
      <c r="K17" s="12"/>
    </row>
    <row r="18" spans="1:11" x14ac:dyDescent="0.2">
      <c r="A18" s="13" t="s">
        <v>6</v>
      </c>
      <c r="B18" s="13">
        <f>(Financial_Statements[[#This Row],[Column2]]/'Raw Financial Data'!C$6)</f>
        <v>0.1839047888920374</v>
      </c>
      <c r="C18" s="13">
        <f>(Financial_Statements[[#This Row],[Column3]]/'Raw Financial Data'!D$6)</f>
        <v>0.18264458748955825</v>
      </c>
      <c r="D18" s="13">
        <f>(Financial_Statements[[#This Row],[Column4]]/'Raw Financial Data'!E$6)</f>
        <v>0.15710927118470816</v>
      </c>
      <c r="E18" s="13">
        <f>(Financial_Statements[[#This Row],[Column5]]/'Raw Financial Data'!F$6)</f>
        <v>6.6315040891312071E-2</v>
      </c>
      <c r="F18" s="13">
        <f>(Financial_Statements[[#This Row],[Column6]]/'Raw Financial Data'!G$6)</f>
        <v>2.6575809199318569E-3</v>
      </c>
      <c r="G18" s="13">
        <f t="shared" si="0"/>
        <v>7.5360630998650688E-2</v>
      </c>
      <c r="H18" s="3"/>
      <c r="I18" s="3"/>
      <c r="J18" s="3"/>
      <c r="K18" s="3"/>
    </row>
    <row r="19" spans="1:11" s="5" customFormat="1" x14ac:dyDescent="0.2">
      <c r="A19" s="15" t="s">
        <v>27</v>
      </c>
      <c r="B19" s="14">
        <f>(Financial_Statements[[#This Row],[Column2]]/'Raw Financial Data'!C$6)</f>
        <v>0.17937092660810428</v>
      </c>
      <c r="C19" s="14">
        <f>(Financial_Statements[[#This Row],[Column3]]/'Raw Financial Data'!D$6)</f>
        <v>0.1775342735000737</v>
      </c>
      <c r="D19" s="14">
        <f>(Financial_Statements[[#This Row],[Column4]]/'Raw Financial Data'!E$6)</f>
        <v>0.15245834611060002</v>
      </c>
      <c r="E19" s="14">
        <f>(Financial_Statements[[#This Row],[Column5]]/'Raw Financial Data'!F$6)</f>
        <v>6.0744340405357353E-2</v>
      </c>
      <c r="F19" s="14">
        <f>(Financial_Statements[[#This Row],[Column6]]/'Raw Financial Data'!G$6)</f>
        <v>-1.9761499148211242E-3</v>
      </c>
      <c r="G19" s="17">
        <f t="shared" si="0"/>
        <v>7.0408845533712086E-2</v>
      </c>
      <c r="H19" s="12"/>
      <c r="I19" s="12"/>
      <c r="J19" s="12"/>
      <c r="K19" s="12"/>
    </row>
    <row r="20" spans="1:11" s="5" customFormat="1" x14ac:dyDescent="0.2">
      <c r="A20" s="15" t="s">
        <v>28</v>
      </c>
      <c r="B20" s="14">
        <f>(Financial_Statements[[#This Row],[Column2]]/'Raw Financial Data'!C$6)</f>
        <v>4.5338622839331258E-3</v>
      </c>
      <c r="C20" s="14">
        <f>(Financial_Statements[[#This Row],[Column3]]/'Raw Financial Data'!D$6)</f>
        <v>5.1103139894845464E-3</v>
      </c>
      <c r="D20" s="14">
        <f>(Financial_Statements[[#This Row],[Column4]]/'Raw Financial Data'!E$6)</f>
        <v>4.6509250741081469E-3</v>
      </c>
      <c r="E20" s="14">
        <f>(Financial_Statements[[#This Row],[Column5]]/'Raw Financial Data'!F$6)</f>
        <v>5.5707004859547231E-3</v>
      </c>
      <c r="F20" s="14">
        <f>(Financial_Statements[[#This Row],[Column6]]/'Raw Financial Data'!G$6)</f>
        <v>4.6337308347529811E-3</v>
      </c>
      <c r="G20" s="17">
        <f t="shared" si="0"/>
        <v>4.9517854649386165E-3</v>
      </c>
      <c r="H20" s="12"/>
      <c r="I20" s="12"/>
      <c r="J20" s="12"/>
      <c r="K20" s="12"/>
    </row>
    <row r="21" spans="1:11" x14ac:dyDescent="0.2">
      <c r="A21" s="16" t="s">
        <v>19</v>
      </c>
      <c r="B21" s="13"/>
      <c r="C21" s="13"/>
      <c r="D21" s="13"/>
      <c r="E21" s="13"/>
      <c r="F21" s="13"/>
      <c r="G21" s="17"/>
      <c r="H21" s="3"/>
      <c r="I21" s="3"/>
      <c r="J21" s="3"/>
      <c r="K21" s="3"/>
    </row>
    <row r="22" spans="1:11" x14ac:dyDescent="0.2">
      <c r="A22" s="13" t="s">
        <v>29</v>
      </c>
      <c r="B22" s="13">
        <f>(Financial_Statements[[#This Row],[Column2]]/'Raw Financial Data'!C$6)</f>
        <v>6.2340606404080474E-4</v>
      </c>
      <c r="C22" s="13">
        <f>(Financial_Statements[[#This Row],[Column3]]/'Raw Financial Data'!D$6)</f>
        <v>4.9137634514274483E-5</v>
      </c>
      <c r="D22" s="13">
        <v>0</v>
      </c>
      <c r="E22" s="13">
        <f>(Financial_Statements[[#This Row],[Column5]]/'Raw Financial Data'!F$6)</f>
        <v>6.4003792817352136E-3</v>
      </c>
      <c r="F22" s="13">
        <f>(Financial_Statements[[#This Row],[Column6]]/'Raw Financial Data'!G$6)</f>
        <v>6.8824531516183986E-3</v>
      </c>
      <c r="G22" s="13">
        <f t="shared" si="0"/>
        <v>4.4276108111178701E-3</v>
      </c>
      <c r="H22" s="3"/>
      <c r="I22" s="3"/>
      <c r="J22" s="3"/>
      <c r="K22" s="3"/>
    </row>
    <row r="23" spans="1:11" s="5" customFormat="1" x14ac:dyDescent="0.2">
      <c r="A23" s="15" t="s">
        <v>27</v>
      </c>
      <c r="B23" s="14">
        <f>(Financial_Statements[[#This Row],[Column2]]/'Raw Financial Data'!C$6)</f>
        <v>6.2340606404080474E-4</v>
      </c>
      <c r="C23" s="14">
        <f>(Financial_Statements[[#This Row],[Column3]]/'Raw Financial Data'!D$6)</f>
        <v>4.9137634514274483E-5</v>
      </c>
      <c r="D23" s="14">
        <v>0</v>
      </c>
      <c r="E23" s="14">
        <f>(Financial_Statements[[#This Row],[Column5]]/'Raw Financial Data'!F$6)</f>
        <v>6.4003792817352136E-3</v>
      </c>
      <c r="F23" s="14">
        <f>(Financial_Statements[[#This Row],[Column6]]/'Raw Financial Data'!G$6)</f>
        <v>6.8824531516183986E-3</v>
      </c>
      <c r="G23" s="17">
        <f t="shared" si="0"/>
        <v>4.4276108111178701E-3</v>
      </c>
      <c r="H23" s="12"/>
      <c r="I23" s="12"/>
      <c r="J23" s="12"/>
      <c r="K23" s="12"/>
    </row>
    <row r="24" spans="1:11" s="5" customFormat="1" x14ac:dyDescent="0.2">
      <c r="A24" s="15" t="s">
        <v>28</v>
      </c>
      <c r="B24" s="14">
        <v>0</v>
      </c>
      <c r="C24" s="14">
        <v>0</v>
      </c>
      <c r="D24" s="14">
        <v>0</v>
      </c>
      <c r="E24" s="14">
        <v>0</v>
      </c>
      <c r="F24" s="14">
        <v>0</v>
      </c>
      <c r="G24" s="17">
        <f t="shared" si="0"/>
        <v>0</v>
      </c>
      <c r="H24" s="12"/>
      <c r="I24" s="12"/>
      <c r="J24" s="12"/>
      <c r="K24" s="12"/>
    </row>
    <row r="25" spans="1:11" x14ac:dyDescent="0.2">
      <c r="A25" s="16" t="s">
        <v>20</v>
      </c>
      <c r="B25" s="13"/>
      <c r="C25" s="13"/>
      <c r="D25" s="13"/>
      <c r="E25" s="13"/>
      <c r="F25" s="13"/>
      <c r="G25" s="17"/>
      <c r="H25" s="3"/>
      <c r="I25" s="3"/>
      <c r="J25" s="3"/>
      <c r="K25" s="3"/>
    </row>
    <row r="26" spans="1:11" x14ac:dyDescent="0.2">
      <c r="A26" s="13" t="s">
        <v>31</v>
      </c>
      <c r="B26" s="13">
        <f>(Financial_Statements[[#This Row],[Column2]]/'Raw Financial Data'!C$6)</f>
        <v>0.1845281949560782</v>
      </c>
      <c r="C26" s="13">
        <f>(Financial_Statements[[#This Row],[Column3]]/'Raw Financial Data'!D$6)</f>
        <v>0.18269372512407253</v>
      </c>
      <c r="D26" s="13">
        <f>(Financial_Statements[[#This Row],[Column4]]/'Raw Financial Data'!E$6)</f>
        <v>0.15710927118470816</v>
      </c>
      <c r="E26" s="13">
        <f>(Financial_Statements[[#This Row],[Column5]]/'Raw Financial Data'!F$6)</f>
        <v>7.2715420173047288E-2</v>
      </c>
      <c r="F26" s="13">
        <f>(Financial_Statements[[#This Row],[Column6]]/'Raw Financial Data'!G$6)</f>
        <v>9.5400340715502564E-3</v>
      </c>
      <c r="G26" s="13">
        <f t="shared" si="0"/>
        <v>7.9788241809768581E-2</v>
      </c>
      <c r="H26" s="3"/>
      <c r="I26" s="3"/>
      <c r="J26" s="3"/>
      <c r="K26" s="3"/>
    </row>
    <row r="27" spans="1:11" s="5" customFormat="1" x14ac:dyDescent="0.2">
      <c r="A27" s="15" t="s">
        <v>27</v>
      </c>
      <c r="B27" s="14">
        <f>(Financial_Statements[[#This Row],[Column2]]/'Raw Financial Data'!C$6)</f>
        <v>0.1799943326721451</v>
      </c>
      <c r="C27" s="14">
        <f>(Financial_Statements[[#This Row],[Column3]]/'Raw Financial Data'!D$6)</f>
        <v>0.17758341113458798</v>
      </c>
      <c r="D27" s="14">
        <f>(Financial_Statements[[#This Row],[Column4]]/'Raw Financial Data'!E$6)</f>
        <v>0.15245834611060002</v>
      </c>
      <c r="E27" s="14">
        <f>(Financial_Statements[[#This Row],[Column5]]/'Raw Financial Data'!F$6)</f>
        <v>6.7144719687092569E-2</v>
      </c>
      <c r="F27" s="14">
        <f>(Financial_Statements[[#This Row],[Column6]]/'Raw Financial Data'!G$6)</f>
        <v>4.9063032367972744E-3</v>
      </c>
      <c r="G27" s="17">
        <f t="shared" si="0"/>
        <v>7.4836456344829952E-2</v>
      </c>
    </row>
    <row r="28" spans="1:11" s="5" customFormat="1" x14ac:dyDescent="0.2">
      <c r="A28" s="15" t="s">
        <v>28</v>
      </c>
      <c r="B28" s="14">
        <f>(Financial_Statements[[#This Row],[Column2]]/'Raw Financial Data'!C$6)</f>
        <v>4.5338622839331258E-3</v>
      </c>
      <c r="C28" s="14">
        <f>(Financial_Statements[[#This Row],[Column3]]/'Raw Financial Data'!D$6)</f>
        <v>5.1103139894845464E-3</v>
      </c>
      <c r="D28" s="14">
        <f>(Financial_Statements[[#This Row],[Column4]]/'Raw Financial Data'!E$6)</f>
        <v>4.6509250741081469E-3</v>
      </c>
      <c r="E28" s="14">
        <f>(Financial_Statements[[#This Row],[Column5]]/'Raw Financial Data'!F$6)</f>
        <v>5.5707004859547231E-3</v>
      </c>
      <c r="F28" s="14">
        <f>(Financial_Statements[[#This Row],[Column6]]/'Raw Financial Data'!G$6)</f>
        <v>4.6337308347529811E-3</v>
      </c>
      <c r="G28" s="17">
        <f t="shared" si="0"/>
        <v>4.9517854649386165E-3</v>
      </c>
    </row>
    <row r="29" spans="1:11" x14ac:dyDescent="0.2">
      <c r="A29" s="17"/>
      <c r="B29" s="13"/>
      <c r="C29" s="13"/>
      <c r="D29" s="13"/>
      <c r="E29" s="13"/>
      <c r="F29" s="13"/>
      <c r="G29" s="17"/>
    </row>
    <row r="30" spans="1:11" ht="19" x14ac:dyDescent="0.25">
      <c r="A30" s="18" t="s">
        <v>228</v>
      </c>
      <c r="B30" s="9">
        <v>2021</v>
      </c>
      <c r="C30" s="9">
        <v>2022</v>
      </c>
      <c r="D30" s="9">
        <v>2023</v>
      </c>
      <c r="E30" s="9">
        <v>2024</v>
      </c>
      <c r="F30" s="9">
        <v>2025</v>
      </c>
      <c r="G30" s="66" t="s">
        <v>333</v>
      </c>
    </row>
    <row r="31" spans="1:11" x14ac:dyDescent="0.2">
      <c r="A31" s="13" t="s">
        <v>62</v>
      </c>
      <c r="B31" s="13">
        <f>(Financial_Statements[[#This Row],[Column2]]/'Raw Financial Data'!C$6)</f>
        <v>0.1799943326721451</v>
      </c>
      <c r="C31" s="13">
        <f>(Financial_Statements[[#This Row],[Column3]]/'Raw Financial Data'!D$6)</f>
        <v>0.17758341113458798</v>
      </c>
      <c r="D31" s="13">
        <f>(Financial_Statements[[#This Row],[Column4]]/'Raw Financial Data'!E$6)</f>
        <v>0.15245834611060002</v>
      </c>
      <c r="E31" s="13">
        <f>(Financial_Statements[[#This Row],[Column5]]/'Raw Financial Data'!F$6)</f>
        <v>6.7144719687092569E-2</v>
      </c>
      <c r="F31" s="13">
        <f>(Financial_Statements[[#This Row],[Column6]]/'Raw Financial Data'!G$6)</f>
        <v>4.9063032367972744E-3</v>
      </c>
      <c r="G31" s="13">
        <f>AVERAGE(D31,E31,F31)</f>
        <v>7.4836456344829952E-2</v>
      </c>
    </row>
    <row r="32" spans="1:11" s="5" customFormat="1" x14ac:dyDescent="0.2">
      <c r="A32" s="14" t="s">
        <v>7</v>
      </c>
      <c r="B32" s="14">
        <f>(Financial_Statements[[#This Row],[Column2]]/'Raw Financial Data'!C$6)</f>
        <v>1.444601870218192E-3</v>
      </c>
      <c r="C32" s="14">
        <f>(Financial_Statements[[#This Row],[Column3]]/'Raw Financial Data'!D$6)</f>
        <v>1.4416981966488133E-3</v>
      </c>
      <c r="D32" s="14">
        <f>(Financial_Statements[[#This Row],[Column4]]/'Raw Financial Data'!E$6)</f>
        <v>1.2460390473269958E-3</v>
      </c>
      <c r="E32" s="14">
        <f>(Financial_Statements[[#This Row],[Column5]]/'Raw Financial Data'!F$6)</f>
        <v>5.4758800521512391E-4</v>
      </c>
      <c r="F32" s="14">
        <f>(Financial_Statements[[#This Row],[Column6]]/'Raw Financial Data'!G$6)</f>
        <v>4.0204429301533216E-5</v>
      </c>
      <c r="G32" s="17">
        <f>AVERAGE(D32,E32,F32)</f>
        <v>6.1127716061455098E-4</v>
      </c>
    </row>
    <row r="33" spans="1:7" s="5" customFormat="1" x14ac:dyDescent="0.2">
      <c r="A33" s="14" t="s">
        <v>32</v>
      </c>
      <c r="B33" s="14">
        <f>(Financial_Statements[[#This Row],[Column2]]/'Raw Financial Data'!C$6)</f>
        <v>1.444601870218192E-3</v>
      </c>
      <c r="C33" s="14">
        <f>(Financial_Statements[[#This Row],[Column3]]/'Raw Financial Data'!D$6)</f>
        <v>1.4402240676133851E-3</v>
      </c>
      <c r="D33" s="14">
        <f>(Financial_Statements[[#This Row],[Column4]]/'Raw Financial Data'!E$6)</f>
        <v>1.2455279566595116E-3</v>
      </c>
      <c r="E33" s="14">
        <f>(Financial_Statements[[#This Row],[Column5]]/'Raw Financial Data'!F$6)</f>
        <v>5.4758800521512391E-4</v>
      </c>
      <c r="F33" s="14">
        <f>(Financial_Statements[[#This Row],[Column6]]/'Raw Financial Data'!G$6)</f>
        <v>4.0204429301533216E-5</v>
      </c>
      <c r="G33" s="17">
        <f t="shared" ref="G33:G42" si="1">AVERAGE(D33,E33,F33)</f>
        <v>6.1110679705872288E-4</v>
      </c>
    </row>
    <row r="34" spans="1:7" x14ac:dyDescent="0.2">
      <c r="A34" s="13" t="s">
        <v>63</v>
      </c>
      <c r="B34" s="13">
        <f>(Financial_Statements[[#This Row],[Column2]]/'Raw Financial Data'!C$6)</f>
        <v>0.17937092660810428</v>
      </c>
      <c r="C34" s="13">
        <f>(Financial_Statements[[#This Row],[Column3]]/'Raw Financial Data'!D$6)</f>
        <v>0.1775342735000737</v>
      </c>
      <c r="D34" s="13">
        <f>(Financial_Statements[[#This Row],[Column4]]/'Raw Financial Data'!E$6)</f>
        <v>0.15245834611060002</v>
      </c>
      <c r="E34" s="13">
        <f>(Financial_Statements[[#This Row],[Column5]]/'Raw Financial Data'!F$6)</f>
        <v>6.0744340405357353E-2</v>
      </c>
      <c r="F34" s="13">
        <f>(Financial_Statements[[#This Row],[Column6]]/'Raw Financial Data'!G$6)</f>
        <v>-1.9761499148211242E-3</v>
      </c>
      <c r="G34" s="13">
        <f t="shared" si="1"/>
        <v>7.0408845533712086E-2</v>
      </c>
    </row>
    <row r="35" spans="1:7" s="5" customFormat="1" x14ac:dyDescent="0.2">
      <c r="A35" s="14" t="s">
        <v>33</v>
      </c>
      <c r="B35" s="14">
        <f>(Financial_Statements[[#This Row],[Column2]]/'Raw Financial Data'!C$6)</f>
        <v>1.4395012751487672E-3</v>
      </c>
      <c r="C35" s="14">
        <f>(Financial_Statements[[#This Row],[Column3]]/'Raw Financial Data'!D$6)</f>
        <v>1.4412068203036705E-3</v>
      </c>
      <c r="D35" s="14">
        <f>(Financial_Statements[[#This Row],[Column4]]/'Raw Financial Data'!E$6)</f>
        <v>1.2460390473269958E-3</v>
      </c>
      <c r="E35" s="14">
        <f>(Financial_Statements[[#This Row],[Column5]]/'Raw Financial Data'!F$6)</f>
        <v>4.9543676662320722E-4</v>
      </c>
      <c r="F35" s="14">
        <f>(Financial_Statements[[#This Row],[Column6]]/'Raw Financial Data'!G$6)</f>
        <v>-1.5672913117546847E-5</v>
      </c>
      <c r="G35" s="17">
        <f t="shared" si="1"/>
        <v>5.752676336108854E-4</v>
      </c>
    </row>
    <row r="36" spans="1:7" s="5" customFormat="1" x14ac:dyDescent="0.2">
      <c r="A36" s="14" t="s">
        <v>34</v>
      </c>
      <c r="B36" s="14">
        <f>(Financial_Statements[[#This Row],[Column2]]/'Raw Financial Data'!C$6)</f>
        <v>1.4395012751487672E-3</v>
      </c>
      <c r="C36" s="14">
        <f>(Financial_Statements[[#This Row],[Column3]]/'Raw Financial Data'!D$6)</f>
        <v>1.4397326912682423E-3</v>
      </c>
      <c r="D36" s="14">
        <f>(Financial_Statements[[#This Row],[Column4]]/'Raw Financial Data'!E$6)</f>
        <v>1.2455279566595116E-3</v>
      </c>
      <c r="E36" s="14">
        <f>(Financial_Statements[[#This Row],[Column5]]/'Raw Financial Data'!F$6)</f>
        <v>4.9543676662320722E-4</v>
      </c>
      <c r="F36" s="14">
        <f>(Financial_Statements[[#This Row],[Column6]]/'Raw Financial Data'!G$6)</f>
        <v>-1.5672913117546847E-5</v>
      </c>
      <c r="G36" s="17">
        <f t="shared" si="1"/>
        <v>5.7509727005505731E-4</v>
      </c>
    </row>
    <row r="37" spans="1:7" x14ac:dyDescent="0.2">
      <c r="A37" s="13" t="s">
        <v>64</v>
      </c>
      <c r="B37" s="13">
        <f>(Financial_Statements[[#This Row],[Column2]]/'Raw Financial Data'!C$6)</f>
        <v>0.19047888920374043</v>
      </c>
      <c r="C37" s="13">
        <f>(Financial_Statements[[#This Row],[Column3]]/'Raw Financial Data'!D$6)</f>
        <v>0.18411871652498649</v>
      </c>
      <c r="D37" s="13">
        <f>(Financial_Statements[[#This Row],[Column4]]/'Raw Financial Data'!E$6)</f>
        <v>0.15644485331697844</v>
      </c>
      <c r="E37" s="13">
        <f>(Financial_Statements[[#This Row],[Column5]]/'Raw Financial Data'!F$6)</f>
        <v>7.1470901979376555E-2</v>
      </c>
      <c r="F37" s="13">
        <f>(Financial_Statements[[#This Row],[Column6]]/'Raw Financial Data'!G$6)</f>
        <v>3.6252129471890972E-2</v>
      </c>
      <c r="G37" s="13">
        <f t="shared" si="1"/>
        <v>8.8055961589415324E-2</v>
      </c>
    </row>
    <row r="38" spans="1:7" s="5" customFormat="1" x14ac:dyDescent="0.2">
      <c r="A38" s="14" t="s">
        <v>65</v>
      </c>
      <c r="B38" s="14">
        <f>(Financial_Statements[[#This Row],[Column2]]/'Raw Financial Data'!C$6)</f>
        <v>1.5290450552564467E-3</v>
      </c>
      <c r="C38" s="14">
        <f>(Financial_Statements[[#This Row],[Column3]]/'Raw Financial Data'!D$6)</f>
        <v>1.4947668419242298E-3</v>
      </c>
      <c r="D38" s="14">
        <f>(Financial_Statements[[#This Row],[Column4]]/'Raw Financial Data'!E$6)</f>
        <v>1.2787488500459981E-3</v>
      </c>
      <c r="E38" s="14">
        <f>(Financial_Statements[[#This Row],[Column5]]/'Raw Financial Data'!F$6)</f>
        <v>5.8314566789143061E-4</v>
      </c>
      <c r="F38" s="14">
        <f>(Financial_Statements[[#This Row],[Column6]]/'Raw Financial Data'!G$6)</f>
        <v>2.9574105621805791E-4</v>
      </c>
      <c r="G38" s="17">
        <f t="shared" si="1"/>
        <v>7.192118580518289E-4</v>
      </c>
    </row>
    <row r="39" spans="1:7" s="5" customFormat="1" x14ac:dyDescent="0.2">
      <c r="A39" s="14" t="s">
        <v>66</v>
      </c>
      <c r="B39" s="14">
        <f>(Financial_Statements[[#This Row],[Column2]]/'Raw Financial Data'!C$6)</f>
        <v>1.5290450552564467E-3</v>
      </c>
      <c r="C39" s="14">
        <f>(Financial_Statements[[#This Row],[Column3]]/'Raw Financial Data'!D$6)</f>
        <v>1.4932927128888016E-3</v>
      </c>
      <c r="D39" s="14">
        <f>(Financial_Statements[[#This Row],[Column4]]/'Raw Financial Data'!E$6)</f>
        <v>1.2782377593785138E-3</v>
      </c>
      <c r="E39" s="14">
        <f>(Financial_Statements[[#This Row],[Column5]]/'Raw Financial Data'!F$6)</f>
        <v>5.8314566789143061E-4</v>
      </c>
      <c r="F39" s="14">
        <f>(Financial_Statements[[#This Row],[Column6]]/'Raw Financial Data'!G$6)</f>
        <v>2.9574105621805791E-4</v>
      </c>
      <c r="G39" s="17">
        <f t="shared" si="1"/>
        <v>7.190414944960008E-4</v>
      </c>
    </row>
    <row r="40" spans="1:7" x14ac:dyDescent="0.2">
      <c r="A40" s="13" t="s">
        <v>67</v>
      </c>
      <c r="B40" s="13">
        <f>(Financial_Statements[[#This Row],[Column2]]/'Raw Financial Data'!C$6)</f>
        <v>6.2340606404080474E-4</v>
      </c>
      <c r="C40" s="13">
        <f>(Financial_Statements[[#This Row],[Column3]]/'Raw Financial Data'!D$6)</f>
        <v>4.9137634514274483E-5</v>
      </c>
      <c r="D40" s="13">
        <v>0</v>
      </c>
      <c r="E40" s="13">
        <f>(Financial_Statements[[#This Row],[Column5]]/'Raw Financial Data'!F$6)</f>
        <v>6.4003792817352136E-3</v>
      </c>
      <c r="F40" s="13">
        <f>(Financial_Statements[[#This Row],[Column6]]/'Raw Financial Data'!G$6)</f>
        <v>6.8824531516183986E-3</v>
      </c>
      <c r="G40" s="13">
        <f t="shared" si="1"/>
        <v>4.4276108111178701E-3</v>
      </c>
    </row>
    <row r="41" spans="1:7" s="5" customFormat="1" x14ac:dyDescent="0.2">
      <c r="A41" s="14" t="s">
        <v>35</v>
      </c>
      <c r="B41" s="14">
        <f>(Financial_Statements[[#This Row],[Column2]]/'Raw Financial Data'!C$6)</f>
        <v>5.1005950694247664E-6</v>
      </c>
      <c r="C41" s="14">
        <f>(Financial_Statements[[#This Row],[Column3]]/'Raw Financial Data'!D$6)</f>
        <v>4.9137634514274488E-7</v>
      </c>
      <c r="D41" s="14">
        <v>0</v>
      </c>
      <c r="E41" s="14">
        <f>(Financial_Statements[[#This Row],[Column5]]/'Raw Financial Data'!F$6)</f>
        <v>5.2151238591916558E-5</v>
      </c>
      <c r="F41" s="14">
        <f>(Financial_Statements[[#This Row],[Column6]]/'Raw Financial Data'!G$6)</f>
        <v>5.5877342419080063E-5</v>
      </c>
      <c r="G41" s="17">
        <f t="shared" si="1"/>
        <v>3.600952700366554E-5</v>
      </c>
    </row>
    <row r="42" spans="1:7" s="5" customFormat="1" x14ac:dyDescent="0.2">
      <c r="A42" s="14" t="s">
        <v>36</v>
      </c>
      <c r="B42" s="14">
        <f>(Financial_Statements[[#This Row],[Column2]]/'Raw Financial Data'!C$6)</f>
        <v>5.1005950694247664E-6</v>
      </c>
      <c r="C42" s="14">
        <f>(Financial_Statements[[#This Row],[Column3]]/'Raw Financial Data'!D$6)</f>
        <v>4.9137634514274488E-7</v>
      </c>
      <c r="D42" s="14">
        <v>0</v>
      </c>
      <c r="E42" s="14">
        <f>(Financial_Statements[[#This Row],[Column5]]/'Raw Financial Data'!F$6)</f>
        <v>5.2151238591916558E-5</v>
      </c>
      <c r="F42" s="14">
        <f>(Financial_Statements[[#This Row],[Column6]]/'Raw Financial Data'!G$6)</f>
        <v>5.5877342419080063E-5</v>
      </c>
      <c r="G42" s="17">
        <f t="shared" si="1"/>
        <v>3.600952700366554E-5</v>
      </c>
    </row>
    <row r="43" spans="1:7" x14ac:dyDescent="0.2">
      <c r="A43" s="7"/>
      <c r="B43" s="7"/>
      <c r="C43" s="7"/>
      <c r="D43" s="7"/>
      <c r="E43" s="7"/>
      <c r="F43" s="7"/>
      <c r="G43" s="70"/>
    </row>
    <row r="44" spans="1:7" x14ac:dyDescent="0.2">
      <c r="G44" s="17"/>
    </row>
    <row r="45" spans="1:7" ht="20" x14ac:dyDescent="0.2">
      <c r="A45" s="8" t="s">
        <v>220</v>
      </c>
      <c r="G45" s="17"/>
    </row>
    <row r="46" spans="1:7" ht="18" x14ac:dyDescent="0.2">
      <c r="A46" s="6"/>
      <c r="G46" s="17"/>
    </row>
    <row r="47" spans="1:7" ht="19" x14ac:dyDescent="0.25">
      <c r="A47" s="6" t="s">
        <v>69</v>
      </c>
      <c r="B47" s="11"/>
      <c r="C47" s="11"/>
      <c r="D47" s="11"/>
      <c r="E47" s="11"/>
      <c r="F47" s="11"/>
      <c r="G47" s="17"/>
    </row>
    <row r="48" spans="1:7" ht="19" x14ac:dyDescent="0.25">
      <c r="A48" s="9" t="s">
        <v>229</v>
      </c>
      <c r="B48" s="9">
        <v>2021</v>
      </c>
      <c r="C48" s="9">
        <v>2022</v>
      </c>
      <c r="D48" s="9">
        <v>2023</v>
      </c>
      <c r="E48" s="9">
        <v>2024</v>
      </c>
      <c r="F48" s="9">
        <v>2025</v>
      </c>
      <c r="G48" s="74" t="s">
        <v>333</v>
      </c>
    </row>
    <row r="49" spans="1:7" x14ac:dyDescent="0.2">
      <c r="A49" s="1" t="s">
        <v>70</v>
      </c>
      <c r="G49" s="17"/>
    </row>
    <row r="50" spans="1:7" x14ac:dyDescent="0.2">
      <c r="A50" t="s">
        <v>71</v>
      </c>
      <c r="B50" s="17">
        <f>Financial_Statements[[#This Row],[Column2]]/'Raw Financial Data'!C$70</f>
        <v>9.3053946182567265E-2</v>
      </c>
      <c r="C50" s="17">
        <f>Financial_Statements[[#This Row],[Column3]]/'Raw Financial Data'!D$70</f>
        <v>0.11941309920155564</v>
      </c>
      <c r="D50" s="17">
        <f>Financial_Statements[[#This Row],[Column4]]/'Raw Financial Data'!E$70</f>
        <v>0.17192448086639109</v>
      </c>
      <c r="E50" s="17">
        <f>Financial_Statements[[#This Row],[Column5]]/'Raw Financial Data'!F$70</f>
        <v>0.1448115166335994</v>
      </c>
      <c r="F50" s="17">
        <f>Financial_Statements[[#This Row],[Column6]]/'Raw Financial Data'!G$70</f>
        <v>8.9019474527706283E-2</v>
      </c>
      <c r="G50" s="17">
        <f>AVERAGE(D50,E50,F50)</f>
        <v>0.13525182400923227</v>
      </c>
    </row>
    <row r="51" spans="1:7" x14ac:dyDescent="0.2">
      <c r="A51" t="s">
        <v>72</v>
      </c>
      <c r="B51" s="17">
        <f>Financial_Statements[[#This Row],[Column2]]/'Raw Financial Data'!C$70</f>
        <v>0.22634221707222865</v>
      </c>
      <c r="C51" s="17">
        <f>Financial_Statements[[#This Row],[Column3]]/'Raw Financial Data'!D$70</f>
        <v>0.21675849267847147</v>
      </c>
      <c r="D51" s="17">
        <f>Financial_Statements[[#This Row],[Column4]]/'Raw Financial Data'!E$70</f>
        <v>0.19769381390963811</v>
      </c>
      <c r="E51" s="17">
        <f>Financial_Statements[[#This Row],[Column5]]/'Raw Financial Data'!F$70</f>
        <v>0.21425275688644857</v>
      </c>
      <c r="F51" s="17">
        <f>Financial_Statements[[#This Row],[Column6]]/'Raw Financial Data'!G$70</f>
        <v>0.19333689475984653</v>
      </c>
      <c r="G51" s="17">
        <f t="shared" ref="G51:G58" si="2">AVERAGE(D51,E51,F51)</f>
        <v>0.20176115518531104</v>
      </c>
    </row>
    <row r="52" spans="1:7" x14ac:dyDescent="0.2">
      <c r="A52" t="s">
        <v>73</v>
      </c>
      <c r="B52" s="17">
        <f>Financial_Statements[[#This Row],[Column2]]/'Raw Financial Data'!C$70</f>
        <v>0.13847045191193511</v>
      </c>
      <c r="C52" s="17">
        <f>Financial_Statements[[#This Row],[Column3]]/'Raw Financial Data'!D$70</f>
        <v>0.14522259214519312</v>
      </c>
      <c r="D52" s="17">
        <f>Financial_Statements[[#This Row],[Column4]]/'Raw Financial Data'!E$70</f>
        <v>0.12048251021345517</v>
      </c>
      <c r="E52" s="17">
        <f>Financial_Statements[[#This Row],[Column5]]/'Raw Financial Data'!F$70</f>
        <v>0.12953905781386979</v>
      </c>
      <c r="F52" s="17">
        <f>Financial_Statements[[#This Row],[Column6]]/'Raw Financial Data'!G$70</f>
        <v>0.13712301490942644</v>
      </c>
      <c r="G52" s="17">
        <f t="shared" si="2"/>
        <v>0.12904819431225045</v>
      </c>
    </row>
    <row r="53" spans="1:7" x14ac:dyDescent="0.2">
      <c r="A53" t="s">
        <v>74</v>
      </c>
      <c r="B53" s="17">
        <f>Financial_Statements[[#This Row],[Column2]]/'Raw Financial Data'!C$70</f>
        <v>9.5500193124758589E-2</v>
      </c>
      <c r="C53" s="17">
        <f>Financial_Statements[[#This Row],[Column3]]/'Raw Financial Data'!D$70</f>
        <v>9.9820276361922158E-2</v>
      </c>
      <c r="D53" s="17">
        <f>Financial_Statements[[#This Row],[Column4]]/'Raw Financial Data'!E$70</f>
        <v>0.12911257765852008</v>
      </c>
      <c r="E53" s="17">
        <f>Financial_Statements[[#This Row],[Column5]]/'Raw Financial Data'!F$70</f>
        <v>0.15080976329995846</v>
      </c>
      <c r="F53" s="17">
        <f>Financial_Statements[[#This Row],[Column6]]/'Raw Financial Data'!G$70</f>
        <v>8.6105580107814092E-2</v>
      </c>
      <c r="G53" s="17">
        <f t="shared" si="2"/>
        <v>0.12200930702209756</v>
      </c>
    </row>
    <row r="54" spans="1:7" x14ac:dyDescent="0.2">
      <c r="A54" t="s">
        <v>75</v>
      </c>
      <c r="B54" s="17">
        <f>Financial_Statements[[#This Row],[Column2]]/'Raw Financial Data'!C$70</f>
        <v>9.978112527359341E-4</v>
      </c>
      <c r="C54" s="17">
        <f>Financial_Statements[[#This Row],[Column3]]/'Raw Financial Data'!D$70</f>
        <v>1.4436816829203618E-3</v>
      </c>
      <c r="D54" s="17">
        <f>Financial_Statements[[#This Row],[Column4]]/'Raw Financial Data'!E$70</f>
        <v>4.2304252181690719E-2</v>
      </c>
      <c r="E54" s="17">
        <f>Financial_Statements[[#This Row],[Column5]]/'Raw Financial Data'!F$70</f>
        <v>4.0649656254325657E-2</v>
      </c>
      <c r="F54" s="17">
        <f>Financial_Statements[[#This Row],[Column6]]/'Raw Financial Data'!G$70</f>
        <v>5.0507503278131222E-2</v>
      </c>
      <c r="G54" s="17">
        <f t="shared" si="2"/>
        <v>4.4487137238049201E-2</v>
      </c>
    </row>
    <row r="55" spans="1:7" x14ac:dyDescent="0.2">
      <c r="A55" t="s">
        <v>76</v>
      </c>
      <c r="B55" s="17">
        <f>Financial_Statements[[#This Row],[Column2]]/'Raw Financial Data'!C$70</f>
        <v>3.3925582593021759E-2</v>
      </c>
      <c r="C55" s="17">
        <f>Financial_Statements[[#This Row],[Column3]]/'Raw Financial Data'!D$70</f>
        <v>2.5190772222385905E-2</v>
      </c>
      <c r="D55" s="17">
        <f>Financial_Statements[[#This Row],[Column4]]/'Raw Financial Data'!E$70</f>
        <v>1.295718809679213E-2</v>
      </c>
      <c r="E55" s="17">
        <f>Financial_Statements[[#This Row],[Column5]]/'Raw Financial Data'!F$70</f>
        <v>1.135052830711023E-2</v>
      </c>
      <c r="F55" s="17">
        <f>Financial_Statements[[#This Row],[Column6]]/'Raw Financial Data'!G$70</f>
        <v>1.2942547715021126E-2</v>
      </c>
      <c r="G55" s="17">
        <f t="shared" si="2"/>
        <v>1.2416754706307829E-2</v>
      </c>
    </row>
    <row r="56" spans="1:7" x14ac:dyDescent="0.2">
      <c r="A56" t="s">
        <v>77</v>
      </c>
      <c r="B56" s="17">
        <f>Financial_Statements[[#This Row],[Column2]]/'Raw Financial Data'!C$70</f>
        <v>4.3517445603192997E-2</v>
      </c>
      <c r="C56" s="17">
        <f>Financial_Statements[[#This Row],[Column3]]/'Raw Financial Data'!D$70</f>
        <v>4.8319142040599866E-2</v>
      </c>
      <c r="D56" s="17">
        <f>Financial_Statements[[#This Row],[Column4]]/'Raw Financial Data'!E$70</f>
        <v>3.6744264752097085E-2</v>
      </c>
      <c r="E56" s="17">
        <f>Financial_Statements[[#This Row],[Column5]]/'Raw Financial Data'!F$70</f>
        <v>3.8088866331380061E-2</v>
      </c>
      <c r="F56" s="17">
        <f>Financial_Statements[[#This Row],[Column6]]/'Raw Financial Data'!G$70</f>
        <v>4.188723228595017E-2</v>
      </c>
      <c r="G56" s="17">
        <f t="shared" si="2"/>
        <v>3.8906787789809105E-2</v>
      </c>
    </row>
    <row r="57" spans="1:7" x14ac:dyDescent="0.2">
      <c r="A57" t="s">
        <v>78</v>
      </c>
      <c r="B57" s="17">
        <f>Financial_Statements[[#This Row],[Column2]]/'Raw Financial Data'!C$70</f>
        <v>1.9312475859405175E-4</v>
      </c>
      <c r="C57" s="17">
        <f>Financial_Statements[[#This Row],[Column3]]/'Raw Financial Data'!D$70</f>
        <v>2.3570313190536519E-4</v>
      </c>
      <c r="D57" s="17">
        <f>Financial_Statements[[#This Row],[Column4]]/'Raw Financial Data'!E$70</f>
        <v>3.8678173423260088E-4</v>
      </c>
      <c r="E57" s="17">
        <f>Financial_Statements[[#This Row],[Column5]]/'Raw Financial Data'!F$70</f>
        <v>6.2289484612190282E-4</v>
      </c>
      <c r="F57" s="17">
        <f>Financial_Statements[[#This Row],[Column6]]/'Raw Financial Data'!G$70</f>
        <v>2.9138944198921858E-4</v>
      </c>
      <c r="G57" s="17">
        <f t="shared" si="2"/>
        <v>4.3368867411457411E-4</v>
      </c>
    </row>
    <row r="58" spans="1:7" x14ac:dyDescent="0.2">
      <c r="A58" s="4" t="s">
        <v>79</v>
      </c>
      <c r="B58" s="17">
        <f>Financial_Statements[[#This Row],[Column2]]/'Raw Financial Data'!C$70</f>
        <v>0.63200077249903441</v>
      </c>
      <c r="C58" s="17">
        <f>Financial_Statements[[#This Row],[Column3]]/'Raw Financial Data'!D$70</f>
        <v>0.65640375946495388</v>
      </c>
      <c r="D58" s="17">
        <f>Financial_Statements[[#This Row],[Column4]]/'Raw Financial Data'!E$70</f>
        <v>0.711605869412817</v>
      </c>
      <c r="E58" s="17">
        <f>Financial_Statements[[#This Row],[Column5]]/'Raw Financial Data'!F$70</f>
        <v>0.73012504037281412</v>
      </c>
      <c r="F58" s="17">
        <f>Financial_Statements[[#This Row],[Column6]]/'Raw Financial Data'!G$70</f>
        <v>0.61121363702588505</v>
      </c>
      <c r="G58" s="17">
        <f t="shared" si="2"/>
        <v>0.68431484893717209</v>
      </c>
    </row>
    <row r="59" spans="1:7" x14ac:dyDescent="0.2">
      <c r="B59" s="17"/>
      <c r="C59" s="17"/>
      <c r="D59" s="17"/>
      <c r="E59" s="17"/>
      <c r="F59" s="17"/>
      <c r="G59" s="17"/>
    </row>
    <row r="60" spans="1:7" x14ac:dyDescent="0.2">
      <c r="A60" s="1" t="s">
        <v>80</v>
      </c>
      <c r="B60" s="17"/>
      <c r="C60" s="17"/>
      <c r="D60" s="17"/>
      <c r="E60" s="17"/>
      <c r="F60" s="17"/>
      <c r="G60" s="17"/>
    </row>
    <row r="61" spans="1:7" x14ac:dyDescent="0.2">
      <c r="A61" t="s">
        <v>81</v>
      </c>
      <c r="B61" s="17">
        <f>Financial_Statements[[#This Row],[Column2]]/'Raw Financial Data'!C$70</f>
        <v>0.10843955195056006</v>
      </c>
      <c r="C61" s="17">
        <f>Financial_Statements[[#This Row],[Column3]]/'Raw Financial Data'!D$70</f>
        <v>0.13155181049468195</v>
      </c>
      <c r="D61" s="17">
        <f>Financial_Statements[[#This Row],[Column4]]/'Raw Financial Data'!E$70</f>
        <v>0.10999105567239587</v>
      </c>
      <c r="E61" s="17">
        <f>Financial_Statements[[#This Row],[Column5]]/'Raw Financial Data'!F$70</f>
        <v>9.2096156508097632E-2</v>
      </c>
      <c r="F61" s="17">
        <f>Financial_Statements[[#This Row],[Column6]]/'Raw Financial Data'!G$70</f>
        <v>8.9286581516196395E-2</v>
      </c>
      <c r="G61" s="17">
        <f>AVERAGE(D61,E61,F61)</f>
        <v>9.7124597898896645E-2</v>
      </c>
    </row>
    <row r="62" spans="1:7" x14ac:dyDescent="0.2">
      <c r="A62" t="s">
        <v>82</v>
      </c>
      <c r="B62" s="17">
        <f>Financial_Statements[[#This Row],[Column2]]/'Raw Financial Data'!C$70</f>
        <v>3.1447148191064762E-2</v>
      </c>
      <c r="C62" s="17">
        <f>Financial_Statements[[#This Row],[Column3]]/'Raw Financial Data'!D$70</f>
        <v>3.4766211956041369E-2</v>
      </c>
      <c r="D62" s="17">
        <f>Financial_Statements[[#This Row],[Column4]]/'Raw Financial Data'!E$70</f>
        <v>2.7824111006357725E-2</v>
      </c>
      <c r="E62" s="17">
        <f>Financial_Statements[[#This Row],[Column5]]/'Raw Financial Data'!F$70</f>
        <v>2.3139390024454389E-2</v>
      </c>
      <c r="F62" s="17">
        <f>Financial_Statements[[#This Row],[Column6]]/'Raw Financial Data'!G$70</f>
        <v>2.0008741683259678E-2</v>
      </c>
      <c r="G62" s="17">
        <f t="shared" ref="G62:G68" si="3">AVERAGE(D62,E62,F62)</f>
        <v>2.3657414238023932E-2</v>
      </c>
    </row>
    <row r="63" spans="1:7" x14ac:dyDescent="0.2">
      <c r="A63" t="s">
        <v>83</v>
      </c>
      <c r="B63" s="17">
        <f>Financial_Statements[[#This Row],[Column2]]/'Raw Financial Data'!C$70</f>
        <v>2.6458091927385092E-2</v>
      </c>
      <c r="C63" s="17">
        <f>Financial_Statements[[#This Row],[Column3]]/'Raw Financial Data'!D$70</f>
        <v>1.1136972982528505E-2</v>
      </c>
      <c r="D63" s="17">
        <f>Financial_Statements[[#This Row],[Column4]]/'Raw Financial Data'!E$70</f>
        <v>1.849300166799623E-2</v>
      </c>
      <c r="E63" s="17">
        <f>Financial_Statements[[#This Row],[Column5]]/'Raw Financial Data'!F$70</f>
        <v>1.5687722050477554E-2</v>
      </c>
      <c r="F63" s="17">
        <f>Financial_Statements[[#This Row],[Column6]]/'Raw Financial Data'!G$70</f>
        <v>1.1801272400563353E-2</v>
      </c>
      <c r="G63" s="17">
        <f t="shared" si="3"/>
        <v>1.5327332039679046E-2</v>
      </c>
    </row>
    <row r="64" spans="1:7" x14ac:dyDescent="0.2">
      <c r="A64" t="s">
        <v>84</v>
      </c>
      <c r="B64" s="17">
        <f>Financial_Statements[[#This Row],[Column2]]/'Raw Financial Data'!C$70</f>
        <v>7.0812411484485647E-4</v>
      </c>
      <c r="C64" s="17">
        <f>Financial_Statements[[#This Row],[Column3]]/'Raw Financial Data'!D$70</f>
        <v>4.9203028785244985E-3</v>
      </c>
      <c r="D64" s="17">
        <f>Financial_Statements[[#This Row],[Column4]]/'Raw Financial Data'!E$70</f>
        <v>3.2876447409771075E-3</v>
      </c>
      <c r="E64" s="17">
        <f>Financial_Statements[[#This Row],[Column5]]/'Raw Financial Data'!F$70</f>
        <v>9.689475384118488E-4</v>
      </c>
      <c r="F64" s="17">
        <f>Financial_Statements[[#This Row],[Column6]]/'Raw Financial Data'!G$70</f>
        <v>2.4768102569083582E-3</v>
      </c>
      <c r="G64" s="17">
        <f t="shared" si="3"/>
        <v>2.2444675120991049E-3</v>
      </c>
    </row>
    <row r="65" spans="1:7" x14ac:dyDescent="0.2">
      <c r="A65" t="s">
        <v>85</v>
      </c>
      <c r="B65" s="17">
        <f>Financial_Statements[[#This Row],[Column2]]/'Raw Financial Data'!C$70</f>
        <v>3.138277327153341E-2</v>
      </c>
      <c r="C65" s="17">
        <f>Financial_Statements[[#This Row],[Column3]]/'Raw Financial Data'!D$70</f>
        <v>3.346984473056186E-2</v>
      </c>
      <c r="D65" s="17">
        <f>Financial_Statements[[#This Row],[Column4]]/'Raw Financial Data'!E$70</f>
        <v>3.39884448956898E-2</v>
      </c>
      <c r="E65" s="17">
        <f>Financial_Statements[[#This Row],[Column5]]/'Raw Financial Data'!F$70</f>
        <v>3.2021409126563004E-2</v>
      </c>
      <c r="F65" s="17">
        <f>Financial_Statements[[#This Row],[Column6]]/'Raw Financial Data'!G$70</f>
        <v>3.2975571851779906E-2</v>
      </c>
      <c r="G65" s="17">
        <f t="shared" si="3"/>
        <v>3.2995141958010905E-2</v>
      </c>
    </row>
    <row r="66" spans="1:7" x14ac:dyDescent="0.2">
      <c r="A66" t="s">
        <v>86</v>
      </c>
      <c r="B66" s="17">
        <f>Financial_Statements[[#This Row],[Column2]]/'Raw Financial Data'!C$70</f>
        <v>0.16895197631002962</v>
      </c>
      <c r="C66" s="17">
        <f>Financial_Statements[[#This Row],[Column3]]/'Raw Financial Data'!D$70</f>
        <v>0.12775109749270794</v>
      </c>
      <c r="D66" s="17">
        <f>Financial_Statements[[#This Row],[Column4]]/'Raw Financial Data'!E$70</f>
        <v>9.480987260376629E-2</v>
      </c>
      <c r="E66" s="17">
        <f>Financial_Statements[[#This Row],[Column5]]/'Raw Financial Data'!F$70</f>
        <v>8.1160891431735341E-2</v>
      </c>
      <c r="F66" s="17">
        <f>Financial_Statements[[#This Row],[Column6]]/'Raw Financial Data'!G$70</f>
        <v>0.10473022194162498</v>
      </c>
      <c r="G66" s="17">
        <f t="shared" si="3"/>
        <v>9.3566995325708877E-2</v>
      </c>
    </row>
    <row r="67" spans="1:7" x14ac:dyDescent="0.2">
      <c r="A67" s="4" t="s">
        <v>87</v>
      </c>
      <c r="B67" s="17">
        <f>Financial_Statements[[#This Row],[Column2]]/'Raw Financial Data'!C$70</f>
        <v>0.36738766576541781</v>
      </c>
      <c r="C67" s="17">
        <f>Financial_Statements[[#This Row],[Column3]]/'Raw Financial Data'!D$70</f>
        <v>0.34359624053504612</v>
      </c>
      <c r="D67" s="17">
        <f>Financial_Statements[[#This Row],[Column4]]/'Raw Financial Data'!E$70</f>
        <v>0.288394130587183</v>
      </c>
      <c r="E67" s="17">
        <f>Financial_Statements[[#This Row],[Column5]]/'Raw Financial Data'!F$70</f>
        <v>0.24507451667973976</v>
      </c>
      <c r="F67" s="17">
        <f>Financial_Statements[[#This Row],[Column6]]/'Raw Financial Data'!G$70</f>
        <v>0.26127919965033269</v>
      </c>
      <c r="G67" s="17">
        <f t="shared" si="3"/>
        <v>0.26491594897241849</v>
      </c>
    </row>
    <row r="68" spans="1:7" x14ac:dyDescent="0.2">
      <c r="A68" s="4" t="s">
        <v>88</v>
      </c>
      <c r="B68" s="17">
        <f>Financial_Statements[[#This Row],[Column2]]/'Raw Financial Data'!C$70</f>
        <v>6.1156173554783059E-4</v>
      </c>
      <c r="C68" s="17">
        <v>0</v>
      </c>
      <c r="D68" s="17">
        <v>0</v>
      </c>
      <c r="E68" s="17">
        <f>Financial_Statements[[#This Row],[Column5]]/'Raw Financial Data'!F$70</f>
        <v>2.4800442947446131E-2</v>
      </c>
      <c r="F68" s="17">
        <f>Financial_Statements[[#This Row],[Column6]]/'Raw Financial Data'!G$70</f>
        <v>0.12750716332378223</v>
      </c>
      <c r="G68" s="17">
        <f t="shared" si="3"/>
        <v>5.076920209040945E-2</v>
      </c>
    </row>
    <row r="69" spans="1:7" x14ac:dyDescent="0.2">
      <c r="A69" s="4"/>
      <c r="B69" s="17"/>
      <c r="C69" s="17"/>
      <c r="D69" s="17"/>
      <c r="E69" s="17"/>
      <c r="F69" s="17"/>
      <c r="G69" s="17"/>
    </row>
    <row r="70" spans="1:7" x14ac:dyDescent="0.2">
      <c r="A70" s="4" t="s">
        <v>89</v>
      </c>
      <c r="B70" s="17">
        <f>Financial_Statements[[#This Row],[Column2]]/'Raw Financial Data'!C$70</f>
        <v>1</v>
      </c>
      <c r="C70" s="17">
        <f>Financial_Statements[[#This Row],[Column3]]/'Raw Financial Data'!D$70</f>
        <v>1</v>
      </c>
      <c r="D70" s="17">
        <f>Financial_Statements[[#This Row],[Column4]]/'Raw Financial Data'!E$70</f>
        <v>1</v>
      </c>
      <c r="E70" s="17">
        <f>Financial_Statements[[#This Row],[Column5]]/'Raw Financial Data'!F$70</f>
        <v>1</v>
      </c>
      <c r="F70" s="17">
        <f>Financial_Statements[[#This Row],[Column6]]/'Raw Financial Data'!G$70</f>
        <v>1</v>
      </c>
      <c r="G70" s="17">
        <f>AVERAGE(D70,E70,F70)</f>
        <v>1</v>
      </c>
    </row>
    <row r="71" spans="1:7" x14ac:dyDescent="0.2">
      <c r="A71" s="4"/>
      <c r="B71" s="17"/>
      <c r="C71" s="17"/>
      <c r="D71" s="17"/>
      <c r="E71" s="17"/>
      <c r="F71" s="17"/>
      <c r="G71" s="17"/>
    </row>
    <row r="72" spans="1:7" ht="19" x14ac:dyDescent="0.25">
      <c r="A72" s="10" t="s">
        <v>90</v>
      </c>
      <c r="B72" s="9"/>
      <c r="C72" s="9"/>
      <c r="D72" s="9"/>
      <c r="E72" s="9"/>
      <c r="F72" s="9"/>
      <c r="G72" s="17"/>
    </row>
    <row r="73" spans="1:7" ht="19" x14ac:dyDescent="0.25">
      <c r="A73" s="9" t="s">
        <v>230</v>
      </c>
      <c r="B73" s="9">
        <v>2021</v>
      </c>
      <c r="C73" s="9">
        <v>2022</v>
      </c>
      <c r="D73" s="9">
        <v>2023</v>
      </c>
      <c r="E73" s="9">
        <v>2024</v>
      </c>
      <c r="F73" s="9">
        <v>2025</v>
      </c>
      <c r="G73" s="74" t="s">
        <v>333</v>
      </c>
    </row>
    <row r="74" spans="1:7" x14ac:dyDescent="0.2">
      <c r="A74" s="1" t="s">
        <v>91</v>
      </c>
      <c r="B74" s="17"/>
      <c r="C74" s="17"/>
      <c r="D74" s="17"/>
      <c r="E74" s="17"/>
      <c r="F74" s="17"/>
      <c r="G74" s="17"/>
    </row>
    <row r="75" spans="1:7" x14ac:dyDescent="0.2">
      <c r="A75" t="s">
        <v>92</v>
      </c>
      <c r="B75" s="17">
        <f>Financial_Statements[[#This Row],[Column2]]/'Raw Financial Data'!C$70</f>
        <v>0.42960602549246812</v>
      </c>
      <c r="C75" s="17">
        <f>Financial_Statements[[#This Row],[Column3]]/'Raw Financial Data'!D$70</f>
        <v>0.41242155505141276</v>
      </c>
      <c r="D75" s="17">
        <f>Financial_Statements[[#This Row],[Column4]]/'Raw Financial Data'!E$70</f>
        <v>0.36773273382164529</v>
      </c>
      <c r="E75" s="17">
        <f>Financial_Statements[[#This Row],[Column5]]/'Raw Financial Data'!F$70</f>
        <v>0.34383795505929038</v>
      </c>
      <c r="F75" s="17">
        <f>Financial_Statements[[#This Row],[Column6]]/'Raw Financial Data'!G$70</f>
        <v>0.35709776115778741</v>
      </c>
      <c r="G75" s="17">
        <f>AVERAGE(D75,E75,F75)</f>
        <v>0.35622281667957439</v>
      </c>
    </row>
    <row r="76" spans="1:7" x14ac:dyDescent="0.2">
      <c r="A76" t="s">
        <v>93</v>
      </c>
      <c r="B76" s="17">
        <f>Financial_Statements[[#This Row],[Column2]]/'Raw Financial Data'!C$70</f>
        <v>1.2520921848847689E-2</v>
      </c>
      <c r="C76" s="17">
        <f>Financial_Statements[[#This Row],[Column3]]/'Raw Financial Data'!D$70</f>
        <v>2.3128369818213961E-2</v>
      </c>
      <c r="D76" s="17">
        <f>Financial_Statements[[#This Row],[Column4]]/'Raw Financial Data'!E$70</f>
        <v>1.9290738994850967E-2</v>
      </c>
      <c r="E76" s="17">
        <f>Financial_Statements[[#This Row],[Column5]]/'Raw Financial Data'!F$70</f>
        <v>1.9055968255433028E-2</v>
      </c>
      <c r="F76" s="17">
        <f>Financial_Statements[[#This Row],[Column6]]/'Raw Financial Data'!G$70</f>
        <v>1.9644504880773152E-2</v>
      </c>
      <c r="G76" s="17">
        <f t="shared" ref="G76:G101" si="4">AVERAGE(D76,E76,F76)</f>
        <v>1.9330404043685717E-2</v>
      </c>
    </row>
    <row r="77" spans="1:7" x14ac:dyDescent="0.2">
      <c r="A77" s="4" t="s">
        <v>94</v>
      </c>
      <c r="B77" s="17">
        <f>Financial_Statements[[#This Row],[Column2]]/'Raw Financial Data'!C$70</f>
        <v>0.4421269473413158</v>
      </c>
      <c r="C77" s="17">
        <f>Financial_Statements[[#This Row],[Column3]]/'Raw Financial Data'!D$70</f>
        <v>0.43554992486962668</v>
      </c>
      <c r="D77" s="17">
        <f>Financial_Statements[[#This Row],[Column4]]/'Raw Financial Data'!E$70</f>
        <v>0.38702347281649624</v>
      </c>
      <c r="E77" s="17">
        <f>Financial_Statements[[#This Row],[Column5]]/'Raw Financial Data'!F$70</f>
        <v>0.36289392331472337</v>
      </c>
      <c r="F77" s="17">
        <f>Financial_Statements[[#This Row],[Column6]]/'Raw Financial Data'!G$70</f>
        <v>0.37674226603856054</v>
      </c>
      <c r="G77" s="17">
        <f t="shared" si="4"/>
        <v>0.37555322072325997</v>
      </c>
    </row>
    <row r="78" spans="1:7" x14ac:dyDescent="0.2">
      <c r="A78" s="4"/>
      <c r="B78" s="17"/>
      <c r="C78" s="17"/>
      <c r="D78" s="17"/>
      <c r="E78" s="17"/>
      <c r="F78" s="17"/>
      <c r="G78" s="17"/>
    </row>
    <row r="79" spans="1:7" x14ac:dyDescent="0.2">
      <c r="A79" s="1" t="s">
        <v>95</v>
      </c>
      <c r="B79" s="17"/>
      <c r="C79" s="17"/>
      <c r="D79" s="17"/>
      <c r="E79" s="17"/>
      <c r="F79" s="17"/>
      <c r="G79" s="17"/>
    </row>
    <row r="80" spans="1:7" x14ac:dyDescent="0.2">
      <c r="A80" t="s">
        <v>96</v>
      </c>
      <c r="B80" s="17">
        <f>Financial_Statements[[#This Row],[Column2]]/'Raw Financial Data'!C$70</f>
        <v>9.5789880262649674E-2</v>
      </c>
      <c r="C80" s="17">
        <f>Financial_Statements[[#This Row],[Column3]]/'Raw Financial Data'!D$70</f>
        <v>0.12807518929907782</v>
      </c>
      <c r="D80" s="17">
        <f>Financial_Statements[[#This Row],[Column4]]/'Raw Financial Data'!E$70</f>
        <v>0.24236710421350352</v>
      </c>
      <c r="E80" s="17">
        <f>Financial_Statements[[#This Row],[Column5]]/'Raw Financial Data'!F$70</f>
        <v>0.243528814654178</v>
      </c>
      <c r="F80" s="17">
        <f>Financial_Statements[[#This Row],[Column6]]/'Raw Financial Data'!G$70</f>
        <v>0.25025496576174056</v>
      </c>
      <c r="G80" s="17">
        <f t="shared" si="4"/>
        <v>0.24538362820980733</v>
      </c>
    </row>
    <row r="81" spans="1:7" x14ac:dyDescent="0.2">
      <c r="A81" t="s">
        <v>97</v>
      </c>
      <c r="B81" s="17">
        <f>Financial_Statements[[#This Row],[Column2]]/'Raw Financial Data'!C$70</f>
        <v>0.12314922106347367</v>
      </c>
      <c r="C81" s="17">
        <f>Financial_Statements[[#This Row],[Column3]]/'Raw Financial Data'!D$70</f>
        <v>0.13022598037771427</v>
      </c>
      <c r="D81" s="17">
        <f>Financial_Statements[[#This Row],[Column4]]/'Raw Financial Data'!E$70</f>
        <v>0.10904827519520391</v>
      </c>
      <c r="E81" s="17">
        <f>Financial_Statements[[#This Row],[Column5]]/'Raw Financial Data'!F$70</f>
        <v>0.11664282748119781</v>
      </c>
      <c r="F81" s="17">
        <f>Financial_Statements[[#This Row],[Column6]]/'Raw Financial Data'!G$70</f>
        <v>0.122189306007479</v>
      </c>
      <c r="G81" s="17">
        <f t="shared" si="4"/>
        <v>0.11596013622796024</v>
      </c>
    </row>
    <row r="82" spans="1:7" x14ac:dyDescent="0.2">
      <c r="A82" t="s">
        <v>98</v>
      </c>
      <c r="B82" s="17">
        <v>0</v>
      </c>
      <c r="C82" s="17">
        <v>0</v>
      </c>
      <c r="D82" s="17">
        <f>Financial_Statements[[#This Row],[Column4]]/'Raw Financial Data'!E$70</f>
        <v>3.1426015906398818E-4</v>
      </c>
      <c r="E82" s="17">
        <f>Financial_Statements[[#This Row],[Column5]]/'Raw Financial Data'!F$70</f>
        <v>2.9991233331795321E-4</v>
      </c>
      <c r="F82" s="17">
        <f>Financial_Statements[[#This Row],[Column6]]/'Raw Financial Data'!G$70</f>
        <v>9.7129813996406193E-4</v>
      </c>
      <c r="G82" s="17">
        <f t="shared" si="4"/>
        <v>5.2849021078200107E-4</v>
      </c>
    </row>
    <row r="83" spans="1:7" x14ac:dyDescent="0.2">
      <c r="A83" t="s">
        <v>99</v>
      </c>
      <c r="B83" s="17">
        <f>Financial_Statements[[#This Row],[Column2]]/'Raw Financial Data'!C$70</f>
        <v>2.864683919145101E-3</v>
      </c>
      <c r="C83" s="17">
        <f>Financial_Statements[[#This Row],[Column3]]/'Raw Financial Data'!D$70</f>
        <v>1.9445508382192628E-3</v>
      </c>
      <c r="D83" s="17">
        <f>Financial_Statements[[#This Row],[Column4]]/'Raw Financial Data'!E$70</f>
        <v>1.6438223704885538E-3</v>
      </c>
      <c r="E83" s="17">
        <f>Financial_Statements[[#This Row],[Column5]]/'Raw Financial Data'!F$70</f>
        <v>1.9609652563096942E-3</v>
      </c>
      <c r="F83" s="17">
        <f>Financial_Statements[[#This Row],[Column6]]/'Raw Financial Data'!G$70</f>
        <v>2.1125734544218348E-3</v>
      </c>
      <c r="G83" s="17">
        <f t="shared" si="4"/>
        <v>1.9057870270733608E-3</v>
      </c>
    </row>
    <row r="84" spans="1:7" x14ac:dyDescent="0.2">
      <c r="A84" t="s">
        <v>100</v>
      </c>
      <c r="B84" s="17">
        <f>Financial_Statements[[#This Row],[Column2]]/'Raw Financial Data'!C$70</f>
        <v>5.1499935625080471E-4</v>
      </c>
      <c r="C84" s="17">
        <f>Financial_Statements[[#This Row],[Column3]]/'Raw Financial Data'!D$70</f>
        <v>5.5979493827524229E-4</v>
      </c>
      <c r="D84" s="17">
        <f>Financial_Statements[[#This Row],[Column4]]/'Raw Financial Data'!E$70</f>
        <v>5.0765102618028865E-4</v>
      </c>
      <c r="E84" s="17">
        <f>Financial_Statements[[#This Row],[Column5]]/'Raw Financial Data'!F$70</f>
        <v>1.1765791537858164E-3</v>
      </c>
      <c r="F84" s="17">
        <f>Financial_Statements[[#This Row],[Column6]]/'Raw Financial Data'!G$70</f>
        <v>5.6335292117915591E-3</v>
      </c>
      <c r="G84" s="17">
        <f t="shared" si="4"/>
        <v>2.4392531305858882E-3</v>
      </c>
    </row>
    <row r="85" spans="1:7" x14ac:dyDescent="0.2">
      <c r="A85" t="s">
        <v>101</v>
      </c>
      <c r="B85" s="17">
        <f>Financial_Statements[[#This Row],[Column2]]/'Raw Financial Data'!C$70</f>
        <v>4.6736191579760528E-2</v>
      </c>
      <c r="C85" s="17">
        <f>Financial_Statements[[#This Row],[Column3]]/'Raw Financial Data'!D$70</f>
        <v>4.631566541940426E-2</v>
      </c>
      <c r="D85" s="17">
        <f>Financial_Statements[[#This Row],[Column4]]/'Raw Financial Data'!E$70</f>
        <v>4.2932772499818694E-2</v>
      </c>
      <c r="E85" s="17">
        <f>Financial_Statements[[#This Row],[Column5]]/'Raw Financial Data'!F$70</f>
        <v>4.5794306279702858E-2</v>
      </c>
      <c r="F85" s="17">
        <f>Financial_Statements[[#This Row],[Column6]]/'Raw Financial Data'!G$70</f>
        <v>4.3198484774901659E-2</v>
      </c>
      <c r="G85" s="17">
        <f t="shared" si="4"/>
        <v>4.3975187851474397E-2</v>
      </c>
    </row>
    <row r="86" spans="1:7" x14ac:dyDescent="0.2">
      <c r="A86" t="s">
        <v>102</v>
      </c>
      <c r="B86" s="17">
        <f>Financial_Statements[[#This Row],[Column2]]/'Raw Financial Data'!C$70</f>
        <v>6.3731170336037077E-3</v>
      </c>
      <c r="C86" s="17">
        <f>Financial_Statements[[#This Row],[Column3]]/'Raw Financial Data'!D$70</f>
        <v>6.7175392593029079E-3</v>
      </c>
      <c r="D86" s="17">
        <f>Financial_Statements[[#This Row],[Column4]]/'Raw Financial Data'!E$70</f>
        <v>7.5180699591461796E-3</v>
      </c>
      <c r="E86" s="17">
        <f>Financial_Statements[[#This Row],[Column5]]/'Raw Financial Data'!F$70</f>
        <v>6.4135098971069993E-3</v>
      </c>
      <c r="F86" s="17">
        <f>Financial_Statements[[#This Row],[Column6]]/'Raw Financial Data'!G$70</f>
        <v>3.3509785828760136E-3</v>
      </c>
      <c r="G86" s="17">
        <f t="shared" si="4"/>
        <v>5.7608528130430638E-3</v>
      </c>
    </row>
    <row r="87" spans="1:7" x14ac:dyDescent="0.2">
      <c r="A87" s="4" t="s">
        <v>103</v>
      </c>
      <c r="B87" s="17">
        <f>Financial_Statements[[#This Row],[Column2]]/'Raw Financial Data'!C$70</f>
        <v>0.27542809321488348</v>
      </c>
      <c r="C87" s="17">
        <f>Financial_Statements[[#This Row],[Column3]]/'Raw Financial Data'!D$70</f>
        <v>0.31383872013199376</v>
      </c>
      <c r="D87" s="17">
        <f>Financial_Statements[[#This Row],[Column4]]/'Raw Financial Data'!E$70</f>
        <v>0.40433195542340511</v>
      </c>
      <c r="E87" s="17">
        <f>Financial_Statements[[#This Row],[Column5]]/'Raw Financial Data'!F$70</f>
        <v>0.41581691505559915</v>
      </c>
      <c r="F87" s="17">
        <f>Financial_Statements[[#This Row],[Column6]]/'Raw Financial Data'!G$70</f>
        <v>0.42771113593317467</v>
      </c>
      <c r="G87" s="17">
        <f t="shared" si="4"/>
        <v>0.41595333547072633</v>
      </c>
    </row>
    <row r="88" spans="1:7" x14ac:dyDescent="0.2">
      <c r="A88" s="4"/>
      <c r="B88" s="17"/>
      <c r="C88" s="17"/>
      <c r="D88" s="17"/>
      <c r="E88" s="17"/>
      <c r="F88" s="17"/>
      <c r="G88" s="17"/>
    </row>
    <row r="89" spans="1:7" x14ac:dyDescent="0.2">
      <c r="A89" s="1" t="s">
        <v>104</v>
      </c>
      <c r="B89" s="17"/>
      <c r="C89" s="17"/>
      <c r="D89" s="17"/>
      <c r="E89" s="17"/>
      <c r="F89" s="17"/>
      <c r="G89" s="17"/>
    </row>
    <row r="90" spans="1:7" x14ac:dyDescent="0.2">
      <c r="A90" t="s">
        <v>105</v>
      </c>
      <c r="B90" s="17">
        <f>Financial_Statements[[#This Row],[Column2]]/'Raw Financial Data'!C$70</f>
        <v>7.8601776747779059E-2</v>
      </c>
      <c r="C90" s="17">
        <f>Financial_Statements[[#This Row],[Column3]]/'Raw Financial Data'!D$70</f>
        <v>6.7617335965351646E-2</v>
      </c>
      <c r="D90" s="17">
        <f>Financial_Statements[[#This Row],[Column4]]/'Raw Financial Data'!E$70</f>
        <v>5.8017260134890128E-2</v>
      </c>
      <c r="E90" s="17">
        <f>Financial_Statements[[#This Row],[Column5]]/'Raw Financial Data'!F$70</f>
        <v>8.0261154431781473E-2</v>
      </c>
      <c r="F90" s="17">
        <f>Financial_Statements[[#This Row],[Column6]]/'Raw Financial Data'!G$70</f>
        <v>4.9681899859161771E-2</v>
      </c>
      <c r="G90" s="17">
        <f t="shared" si="4"/>
        <v>6.2653438141944462E-2</v>
      </c>
    </row>
    <row r="91" spans="1:7" x14ac:dyDescent="0.2">
      <c r="A91" t="s">
        <v>106</v>
      </c>
      <c r="B91" s="17">
        <f>Financial_Statements[[#This Row],[Column2]]/'Raw Financial Data'!C$70</f>
        <v>2.1726535341830822E-2</v>
      </c>
      <c r="C91" s="17">
        <f>Financial_Statements[[#This Row],[Column3]]/'Raw Financial Data'!D$70</f>
        <v>2.3923867888394568E-2</v>
      </c>
      <c r="D91" s="17">
        <f>Financial_Statements[[#This Row],[Column4]]/'Raw Financial Data'!E$70</f>
        <v>2.1369690816351199E-2</v>
      </c>
      <c r="E91" s="17">
        <f>Financial_Statements[[#This Row],[Column5]]/'Raw Financial Data'!F$70</f>
        <v>2.4246758639782217E-2</v>
      </c>
      <c r="F91" s="17">
        <f>Financial_Statements[[#This Row],[Column6]]/'Raw Financial Data'!G$70</f>
        <v>2.865329512893983E-2</v>
      </c>
      <c r="G91" s="17">
        <f t="shared" si="4"/>
        <v>2.4756581528357746E-2</v>
      </c>
    </row>
    <row r="92" spans="1:7" x14ac:dyDescent="0.2">
      <c r="A92" t="s">
        <v>107</v>
      </c>
      <c r="B92" s="17">
        <f>Financial_Statements[[#This Row],[Column2]]/'Raw Financial Data'!C$70</f>
        <v>2.3915282605896742E-2</v>
      </c>
      <c r="C92" s="17">
        <f>Financial_Statements[[#This Row],[Column3]]/'Raw Financial Data'!D$70</f>
        <v>1.9533897056657139E-2</v>
      </c>
      <c r="D92" s="17">
        <f>Financial_Statements[[#This Row],[Column4]]/'Raw Financial Data'!E$70</f>
        <v>1.4214228733048081E-2</v>
      </c>
      <c r="E92" s="17">
        <f>Financial_Statements[[#This Row],[Column5]]/'Raw Financial Data'!F$70</f>
        <v>7.9130715636967653E-3</v>
      </c>
      <c r="F92" s="17">
        <f>Financial_Statements[[#This Row],[Column6]]/'Raw Financial Data'!G$70</f>
        <v>4.1280170948472632E-3</v>
      </c>
      <c r="G92" s="17">
        <f t="shared" si="4"/>
        <v>8.7517724638640371E-3</v>
      </c>
    </row>
    <row r="93" spans="1:7" x14ac:dyDescent="0.2">
      <c r="A93" t="s">
        <v>108</v>
      </c>
      <c r="B93" s="17">
        <f>Financial_Statements[[#This Row],[Column2]]/'Raw Financial Data'!C$70</f>
        <v>5.6070554911806361E-2</v>
      </c>
      <c r="C93" s="17">
        <f>Financial_Statements[[#This Row],[Column3]]/'Raw Financial Data'!D$70</f>
        <v>6.6674523437730185E-2</v>
      </c>
      <c r="D93" s="17">
        <f>Financial_Statements[[#This Row],[Column4]]/'Raw Financial Data'!E$70</f>
        <v>5.3182488456982618E-2</v>
      </c>
      <c r="E93" s="17">
        <f>Financial_Statements[[#This Row],[Column5]]/'Raw Financial Data'!F$70</f>
        <v>4.8401236561620452E-2</v>
      </c>
      <c r="F93" s="17">
        <f>Financial_Statements[[#This Row],[Column6]]/'Raw Financial Data'!G$70</f>
        <v>4.6088096741294743E-2</v>
      </c>
      <c r="G93" s="17">
        <f t="shared" si="4"/>
        <v>4.9223940586632604E-2</v>
      </c>
    </row>
    <row r="94" spans="1:7" x14ac:dyDescent="0.2">
      <c r="A94" t="s">
        <v>109</v>
      </c>
      <c r="B94" s="17">
        <f>Financial_Statements[[#This Row],[Column2]]/'Raw Financial Data'!C$70</f>
        <v>3.8624951718810351E-4</v>
      </c>
      <c r="C94" s="17">
        <f>Financial_Statements[[#This Row],[Column3]]/'Raw Financial Data'!D$70</f>
        <v>3.5355469785804778E-4</v>
      </c>
      <c r="D94" s="17">
        <f>Financial_Statements[[#This Row],[Column4]]/'Raw Financial Data'!E$70</f>
        <v>2.9008630067445067E-4</v>
      </c>
      <c r="E94" s="17">
        <f>Financial_Statements[[#This Row],[Column5]]/'Raw Financial Data'!F$70</f>
        <v>2.9991233331795321E-4</v>
      </c>
      <c r="F94" s="17">
        <f>Financial_Statements[[#This Row],[Column6]]/'Raw Financial Data'!G$70</f>
        <v>3.1567189548832011E-4</v>
      </c>
      <c r="G94" s="17">
        <f t="shared" si="4"/>
        <v>3.0189017649357466E-4</v>
      </c>
    </row>
    <row r="95" spans="1:7" x14ac:dyDescent="0.2">
      <c r="A95" t="s">
        <v>110</v>
      </c>
      <c r="B95" s="17">
        <f>Financial_Statements[[#This Row],[Column2]]/'Raw Financial Data'!C$70</f>
        <v>4.4418694476631906E-3</v>
      </c>
      <c r="C95" s="17">
        <f>Financial_Statements[[#This Row],[Column3]]/'Raw Financial Data'!D$70</f>
        <v>4.9497657700126691E-3</v>
      </c>
      <c r="D95" s="17">
        <f>Financial_Statements[[#This Row],[Column4]]/'Raw Financial Data'!E$70</f>
        <v>3.9403389174946209E-3</v>
      </c>
      <c r="E95" s="17">
        <f>Financial_Statements[[#This Row],[Column5]]/'Raw Financial Data'!F$70</f>
        <v>4.4064042818253123E-3</v>
      </c>
      <c r="F95" s="17">
        <f>Financial_Statements[[#This Row],[Column6]]/'Raw Financial Data'!G$70</f>
        <v>4.5165363508328877E-3</v>
      </c>
      <c r="G95" s="17">
        <f t="shared" si="4"/>
        <v>4.2877598500509406E-3</v>
      </c>
    </row>
    <row r="96" spans="1:7" x14ac:dyDescent="0.2">
      <c r="A96" t="s">
        <v>111</v>
      </c>
      <c r="B96" s="17">
        <f>Financial_Statements[[#This Row],[Column2]]/'Raw Financial Data'!C$70</f>
        <v>3.6951203810995238E-2</v>
      </c>
      <c r="C96" s="17">
        <f>Financial_Statements[[#This Row],[Column3]]/'Raw Financial Data'!D$70</f>
        <v>1.6705459473792757E-2</v>
      </c>
      <c r="D96" s="17">
        <f>Financial_Statements[[#This Row],[Column4]]/'Raw Financial Data'!E$70</f>
        <v>1.295718809679213E-2</v>
      </c>
      <c r="E96" s="17">
        <f>Financial_Statements[[#This Row],[Column5]]/'Raw Financial Data'!F$70</f>
        <v>1.2181054768606099E-2</v>
      </c>
      <c r="F96" s="17">
        <f>Financial_Statements[[#This Row],[Column6]]/'Raw Financial Data'!G$70</f>
        <v>1.2602593366033704E-2</v>
      </c>
      <c r="G96" s="17">
        <f t="shared" si="4"/>
        <v>1.2580278743810645E-2</v>
      </c>
    </row>
    <row r="97" spans="1:7" x14ac:dyDescent="0.2">
      <c r="A97" t="s">
        <v>112</v>
      </c>
      <c r="B97" s="17">
        <f>Financial_Statements[[#This Row],[Column2]]/'Raw Financial Data'!C$70</f>
        <v>5.8774301532123083E-2</v>
      </c>
      <c r="C97" s="17">
        <f>Financial_Statements[[#This Row],[Column3]]/'Raw Financial Data'!D$70</f>
        <v>5.0852950708582541E-2</v>
      </c>
      <c r="D97" s="17">
        <f>Financial_Statements[[#This Row],[Column4]]/'Raw Financial Data'!E$70</f>
        <v>4.4673290303865403E-2</v>
      </c>
      <c r="E97" s="17">
        <f>Financial_Statements[[#This Row],[Column5]]/'Raw Financial Data'!F$70</f>
        <v>4.3579569049047202E-2</v>
      </c>
      <c r="F97" s="17">
        <f>Financial_Statements[[#This Row],[Column6]]/'Raw Financial Data'!G$70</f>
        <v>4.1668690204458257E-2</v>
      </c>
      <c r="G97" s="17">
        <f t="shared" si="4"/>
        <v>4.3307183185790292E-2</v>
      </c>
    </row>
    <row r="98" spans="1:7" x14ac:dyDescent="0.2">
      <c r="A98" s="4" t="s">
        <v>113</v>
      </c>
      <c r="B98" s="17">
        <f>Financial_Statements[[#This Row],[Column2]]/'Raw Financial Data'!C$70</f>
        <v>0.28086777391528261</v>
      </c>
      <c r="C98" s="17">
        <f>Financial_Statements[[#This Row],[Column3]]/'Raw Financial Data'!D$70</f>
        <v>0.25061135499837955</v>
      </c>
      <c r="D98" s="17">
        <f>Financial_Statements[[#This Row],[Column4]]/'Raw Financial Data'!E$70</f>
        <v>0.20864457176009862</v>
      </c>
      <c r="E98" s="17">
        <f>Financial_Statements[[#This Row],[Column5]]/'Raw Financial Data'!F$70</f>
        <v>0.22128916162967749</v>
      </c>
      <c r="F98" s="17">
        <f>Financial_Statements[[#This Row],[Column6]]/'Raw Financial Data'!G$70</f>
        <v>0.18765480064105677</v>
      </c>
      <c r="G98" s="17">
        <f t="shared" si="4"/>
        <v>0.2058628446769443</v>
      </c>
    </row>
    <row r="99" spans="1:7" x14ac:dyDescent="0.2">
      <c r="A99" s="4" t="s">
        <v>114</v>
      </c>
      <c r="B99" s="17">
        <f>Financial_Statements[[#This Row],[Column2]]/'Raw Financial Data'!C$70</f>
        <v>1.5771855285180894E-3</v>
      </c>
      <c r="C99" s="17">
        <v>0</v>
      </c>
      <c r="D99" s="17">
        <v>0</v>
      </c>
      <c r="E99" s="17">
        <v>0</v>
      </c>
      <c r="F99" s="17">
        <f>Financial_Statements[[#This Row],[Column6]]/'Raw Financial Data'!G$70</f>
        <v>7.8917973872080042E-3</v>
      </c>
      <c r="G99" s="17">
        <f t="shared" si="4"/>
        <v>2.6305991290693346E-3</v>
      </c>
    </row>
    <row r="100" spans="1:7" x14ac:dyDescent="0.2">
      <c r="A100" s="4"/>
      <c r="B100" s="17"/>
      <c r="C100" s="17"/>
      <c r="D100" s="17"/>
      <c r="E100" s="17"/>
      <c r="F100" s="17"/>
      <c r="G100" s="17"/>
    </row>
    <row r="101" spans="1:7" x14ac:dyDescent="0.2">
      <c r="A101" s="4" t="s">
        <v>115</v>
      </c>
      <c r="B101" s="17">
        <f>Financial_Statements[[#This Row],[Column2]]/'Raw Financial Data'!C$70</f>
        <v>1</v>
      </c>
      <c r="C101" s="17">
        <f>Financial_Statements[[#This Row],[Column3]]/'Raw Financial Data'!D$70</f>
        <v>1</v>
      </c>
      <c r="D101" s="17">
        <f>Financial_Statements[[#This Row],[Column4]]/'Raw Financial Data'!E$70</f>
        <v>1</v>
      </c>
      <c r="E101" s="17">
        <f>Financial_Statements[[#This Row],[Column5]]/'Raw Financial Data'!F$70</f>
        <v>1</v>
      </c>
      <c r="F101" s="17">
        <f>Financial_Statements[[#This Row],[Column6]]/'Raw Financial Data'!G$70</f>
        <v>1</v>
      </c>
      <c r="G101" s="17">
        <f t="shared" si="4"/>
        <v>1</v>
      </c>
    </row>
    <row r="102" spans="1:7" x14ac:dyDescent="0.2">
      <c r="A102" s="7"/>
      <c r="B102" s="7"/>
      <c r="C102" s="7"/>
      <c r="D102" s="7"/>
      <c r="E102" s="64"/>
      <c r="F102" s="64"/>
      <c r="G102" s="65"/>
    </row>
  </sheetData>
  <sheetProtection algorithmName="SHA-512" hashValue="WSbNdBMUXiUSuYJEz53eXq7dakavvtr8l5wt+xrJpRBVlckndiJ+udTnQ2aa+XjPiPVZ8LuF42iGoOqjTIoQvA==" saltValue="OYyrfoQL5GhS1nvZP6LEFA==" spinCount="100000" sheet="1" objects="1" scenarios="1"/>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FC22-E6A6-974B-9D9E-07A990E4A7AB}">
  <sheetPr>
    <tabColor theme="5" tint="0.79998168889431442"/>
  </sheetPr>
  <dimension ref="A1:M34"/>
  <sheetViews>
    <sheetView showGridLines="0" zoomScaleNormal="100" workbookViewId="0">
      <selection activeCell="S1" sqref="S1"/>
    </sheetView>
  </sheetViews>
  <sheetFormatPr baseColWidth="10" defaultRowHeight="16" x14ac:dyDescent="0.2"/>
  <cols>
    <col min="1" max="1" width="38.83203125" bestFit="1" customWidth="1"/>
    <col min="2" max="6" width="15.83203125" customWidth="1"/>
    <col min="7" max="7" width="10.83203125" customWidth="1"/>
    <col min="10" max="13" width="10.83203125" customWidth="1"/>
  </cols>
  <sheetData>
    <row r="1" spans="1:13" ht="19" x14ac:dyDescent="0.25">
      <c r="A1" s="231" t="s">
        <v>221</v>
      </c>
      <c r="B1" s="231"/>
      <c r="C1" s="231"/>
      <c r="D1" s="231"/>
      <c r="E1" s="231"/>
      <c r="F1" s="231"/>
    </row>
    <row r="2" spans="1:13" ht="19" x14ac:dyDescent="0.25">
      <c r="A2" s="162" t="s">
        <v>231</v>
      </c>
      <c r="B2" s="162">
        <v>2021</v>
      </c>
      <c r="C2" s="162">
        <v>2022</v>
      </c>
      <c r="D2" s="162">
        <v>2023</v>
      </c>
      <c r="E2" s="162">
        <v>2024</v>
      </c>
      <c r="F2" s="162">
        <v>2025</v>
      </c>
    </row>
    <row r="3" spans="1:13" ht="19" x14ac:dyDescent="0.25">
      <c r="A3" s="163" t="s">
        <v>234</v>
      </c>
      <c r="B3" s="164">
        <f>'Raw Financial Data'!C148/'Raw Financial Data'!$C$6</f>
        <v>0.55148767356191553</v>
      </c>
      <c r="C3" s="164">
        <f>'Raw Financial Data'!D148/'Raw Financial Data'!$D$6</f>
        <v>0.51530637315119654</v>
      </c>
      <c r="D3" s="164">
        <f>'Raw Financial Data'!E148/'Raw Financial Data'!$E$6</f>
        <v>0.5045998160073597</v>
      </c>
      <c r="E3" s="164">
        <f>'Raw Financial Data'!F148/'Raw Financial Data'!$F$6</f>
        <v>0.45336019912291098</v>
      </c>
      <c r="F3" s="164">
        <f>'Raw Financial Data'!G148/'Raw Financial Data'!$G$6</f>
        <v>0.40831345826235094</v>
      </c>
    </row>
    <row r="4" spans="1:13" ht="19" x14ac:dyDescent="0.25">
      <c r="A4" s="163" t="s">
        <v>235</v>
      </c>
      <c r="B4" s="165">
        <f>'Raw Financial Data'!C149/'Raw Financial Data'!$C$6</f>
        <v>0.14287333522244261</v>
      </c>
      <c r="C4" s="165">
        <f>'Raw Financial Data'!D149/'Raw Financial Data'!$D$6</f>
        <v>0.16215419389710578</v>
      </c>
      <c r="D4" s="165">
        <f>'Raw Financial Data'!E149/'Raw Financial Data'!$E$6</f>
        <v>0.16247572319329448</v>
      </c>
      <c r="E4" s="165">
        <f>'Raw Financial Data'!F149/'Raw Financial Data'!$F$6</f>
        <v>0.17073604361739955</v>
      </c>
      <c r="F4" s="165">
        <f>'Raw Financial Data'!G149/'Raw Financial Data'!$G$6</f>
        <v>0.18010221465076662</v>
      </c>
    </row>
    <row r="5" spans="1:13" ht="19" x14ac:dyDescent="0.25">
      <c r="A5" s="163" t="s">
        <v>236</v>
      </c>
      <c r="B5" s="165">
        <f>'Raw Financial Data'!C150/'Raw Financial Data'!$C$6</f>
        <v>8.5179937659393593E-2</v>
      </c>
      <c r="C5" s="165">
        <f>'Raw Financial Data'!D150/'Raw Financial Data'!$D$6</f>
        <v>8.5499484054837593E-2</v>
      </c>
      <c r="D5" s="165">
        <f>'Raw Financial Data'!E150/'Raw Financial Data'!$E$6</f>
        <v>8.4074414801185729E-2</v>
      </c>
      <c r="E5" s="165">
        <f>'Raw Financial Data'!F150/'Raw Financial Data'!$F$6</f>
        <v>0.10151712694085575</v>
      </c>
      <c r="F5" s="165">
        <f>'Raw Financial Data'!G150/'Raw Financial Data'!$G$6</f>
        <v>0.11625212947189097</v>
      </c>
    </row>
    <row r="6" spans="1:13" ht="19" x14ac:dyDescent="0.25">
      <c r="A6" s="163" t="s">
        <v>224</v>
      </c>
      <c r="B6" s="165">
        <f>'Raw Financial Data'!C151/'Raw Financial Data'!$C$6</f>
        <v>0.18617172003400398</v>
      </c>
      <c r="C6" s="165">
        <f>'Raw Financial Data'!D151/'Raw Financial Data'!$D$6</f>
        <v>0.19035919610829935</v>
      </c>
      <c r="D6" s="165">
        <f>'Raw Financial Data'!E151/'Raw Financial Data'!$E$6</f>
        <v>0.17959726055402228</v>
      </c>
      <c r="E6" s="165">
        <f>'Raw Financial Data'!F151/'Raw Financial Data'!$F$6</f>
        <v>0.19088538580064005</v>
      </c>
      <c r="F6" s="165">
        <f>'Raw Financial Data'!G151/'Raw Financial Data'!$G$6</f>
        <v>0.19761499148211242</v>
      </c>
    </row>
    <row r="7" spans="1:13" ht="19" x14ac:dyDescent="0.25">
      <c r="A7" s="163" t="s">
        <v>237</v>
      </c>
      <c r="B7" s="165">
        <f>'Raw Financial Data'!C152/'Raw Financial Data'!$C$6</f>
        <v>4.1541513176537266E-2</v>
      </c>
      <c r="C7" s="165">
        <f>'Raw Financial Data'!D152/'Raw Financial Data'!$D$6</f>
        <v>5.5967765711758634E-2</v>
      </c>
      <c r="D7" s="165">
        <f>'Raw Financial Data'!E152/'Raw Financial Data'!$E$6</f>
        <v>8.0139016661555762E-2</v>
      </c>
      <c r="E7" s="165">
        <f>'Raw Financial Data'!F152/'Raw Financial Data'!$F$6</f>
        <v>9.5887163683773854E-2</v>
      </c>
      <c r="F7" s="165">
        <f>'Raw Financial Data'!G152/'Raw Financial Data'!$G$6</f>
        <v>0.11114139693356048</v>
      </c>
      <c r="H7" s="146"/>
      <c r="I7" s="146"/>
      <c r="J7" s="146"/>
      <c r="K7" s="146"/>
      <c r="L7" s="146"/>
    </row>
    <row r="8" spans="1:13" ht="19" x14ac:dyDescent="0.25">
      <c r="A8" s="166"/>
      <c r="B8" s="198"/>
      <c r="C8" s="198"/>
      <c r="D8" s="198"/>
      <c r="E8" s="198"/>
      <c r="F8" s="198"/>
      <c r="H8" s="146"/>
      <c r="I8" s="146"/>
      <c r="J8" s="146"/>
      <c r="K8" s="146"/>
      <c r="L8" s="146"/>
    </row>
    <row r="9" spans="1:13" ht="19" x14ac:dyDescent="0.25">
      <c r="A9" s="166"/>
      <c r="B9" s="166"/>
      <c r="C9" s="166"/>
      <c r="D9" s="166"/>
      <c r="E9" s="166"/>
      <c r="F9" s="166"/>
    </row>
    <row r="10" spans="1:13" ht="19" x14ac:dyDescent="0.25">
      <c r="A10" s="230" t="s">
        <v>222</v>
      </c>
      <c r="B10" s="230"/>
      <c r="C10" s="230"/>
      <c r="D10" s="230"/>
      <c r="E10" s="230"/>
      <c r="F10" s="230"/>
    </row>
    <row r="11" spans="1:13" ht="19" x14ac:dyDescent="0.25">
      <c r="A11" s="205" t="s">
        <v>232</v>
      </c>
      <c r="B11" s="167">
        <v>2021</v>
      </c>
      <c r="C11" s="167">
        <v>2022</v>
      </c>
      <c r="D11" s="167">
        <v>2023</v>
      </c>
      <c r="E11" s="167">
        <v>2024</v>
      </c>
      <c r="F11" s="168">
        <v>2025</v>
      </c>
    </row>
    <row r="12" spans="1:13" ht="19" x14ac:dyDescent="0.25">
      <c r="A12" s="163" t="s">
        <v>238</v>
      </c>
      <c r="B12" s="169">
        <f>'Raw Financial Data'!C159/'Raw Financial Data'!C$165</f>
        <v>0.74048235997608136</v>
      </c>
      <c r="C12" s="169">
        <f>'Raw Financial Data'!D159/'Raw Financial Data'!D$165</f>
        <v>0.667740203972088</v>
      </c>
      <c r="D12" s="169">
        <f>'Raw Financial Data'!E159/'Raw Financial Data'!E$165</f>
        <v>0.68773704171934258</v>
      </c>
      <c r="E12" s="169">
        <f>'Raw Financial Data'!F159/'Raw Financial Data'!F$165</f>
        <v>0.65778688524590168</v>
      </c>
      <c r="F12" s="170">
        <f>'Raw Financial Data'!G159/'Raw Financial Data'!G$165</f>
        <v>0.59227467811158796</v>
      </c>
    </row>
    <row r="13" spans="1:13" ht="19" x14ac:dyDescent="0.25">
      <c r="A13" s="163" t="s">
        <v>241</v>
      </c>
      <c r="B13" s="169">
        <f>'Raw Financial Data'!C160/'Raw Financial Data'!C$165</f>
        <v>0.14251544747857287</v>
      </c>
      <c r="C13" s="169">
        <f>'Raw Financial Data'!D160/'Raw Financial Data'!D$165</f>
        <v>0.18232241903739488</v>
      </c>
      <c r="D13" s="169">
        <f>'Raw Financial Data'!E160/'Raw Financial Data'!E$165</f>
        <v>0.20417193426042984</v>
      </c>
      <c r="E13" s="169">
        <f>'Raw Financial Data'!F160/'Raw Financial Data'!F$165</f>
        <v>0.24303278688524591</v>
      </c>
      <c r="F13" s="171">
        <f>'Raw Financial Data'!G160/'Raw Financial Data'!G$165</f>
        <v>0.32434089515634579</v>
      </c>
    </row>
    <row r="14" spans="1:13" ht="19" x14ac:dyDescent="0.25">
      <c r="A14" s="163" t="s">
        <v>239</v>
      </c>
      <c r="B14" s="169">
        <f>'Raw Financial Data'!C161/'Raw Financial Data'!C$165</f>
        <v>5.7006178991429138E-2</v>
      </c>
      <c r="C14" s="169">
        <f>'Raw Financial Data'!D161/'Raw Financial Data'!D$165</f>
        <v>6.5485775630703166E-2</v>
      </c>
      <c r="D14" s="169">
        <f>'Raw Financial Data'!E161/'Raw Financial Data'!E$165</f>
        <v>6.5739570164348921E-2</v>
      </c>
      <c r="E14" s="169">
        <f>'Raw Financial Data'!F161/'Raw Financial Data'!F$165</f>
        <v>0.10450819672131148</v>
      </c>
      <c r="F14" s="171">
        <f>'Raw Financial Data'!G161/'Raw Financial Data'!G$165</f>
        <v>0.16370324954015941</v>
      </c>
    </row>
    <row r="15" spans="1:13" ht="19" x14ac:dyDescent="0.25">
      <c r="A15" s="163" t="s">
        <v>240</v>
      </c>
      <c r="B15" s="169">
        <f>'Raw Financial Data'!C162/'Raw Financial Data'!C$165</f>
        <v>9.1488937612118792E-2</v>
      </c>
      <c r="C15" s="169">
        <f>'Raw Financial Data'!D162/'Raw Financial Data'!D$165</f>
        <v>9.9838969404186795E-2</v>
      </c>
      <c r="D15" s="169">
        <f>'Raw Financial Data'!E162/'Raw Financial Data'!E$165</f>
        <v>4.4669195111672985E-2</v>
      </c>
      <c r="E15" s="169">
        <f>'Raw Financial Data'!F162/'Raw Financial Data'!F$165</f>
        <v>-3.6885245901639345E-3</v>
      </c>
      <c r="F15" s="171">
        <f>'Raw Financial Data'!G162/'Raw Financial Data'!G$165</f>
        <v>-6.8669527896995708E-2</v>
      </c>
    </row>
    <row r="16" spans="1:13" ht="19" x14ac:dyDescent="0.25">
      <c r="A16" s="172" t="s">
        <v>237</v>
      </c>
      <c r="B16" s="173">
        <f>'Raw Financial Data'!C163/'Raw Financial Data'!C$165</f>
        <v>-3.2688857883197128E-2</v>
      </c>
      <c r="C16" s="173">
        <f>'Raw Financial Data'!D163/'Raw Financial Data'!D$165</f>
        <v>-1.5745213812846662E-2</v>
      </c>
      <c r="D16" s="173">
        <f>'Raw Financial Data'!E163/'Raw Financial Data'!E$165</f>
        <v>-1.4749262536873156E-3</v>
      </c>
      <c r="E16" s="173">
        <f>'Raw Financial Data'!F163/'Raw Financial Data'!F$165</f>
        <v>-8.1967213114754098E-4</v>
      </c>
      <c r="F16" s="174">
        <f>'Raw Financial Data'!G163/'Raw Financial Data'!G$165</f>
        <v>-1.0423053341508276E-2</v>
      </c>
      <c r="H16" s="17"/>
      <c r="I16" s="17"/>
      <c r="J16" s="17"/>
      <c r="K16" s="17"/>
      <c r="L16" s="17"/>
      <c r="M16" s="17"/>
    </row>
    <row r="17" spans="1:13" x14ac:dyDescent="0.2">
      <c r="B17" s="17"/>
      <c r="C17" s="17"/>
      <c r="D17" s="17"/>
      <c r="E17" s="17"/>
      <c r="F17" s="17"/>
      <c r="G17" s="17"/>
    </row>
    <row r="18" spans="1:13" ht="19" x14ac:dyDescent="0.25">
      <c r="A18" s="166"/>
      <c r="B18" s="166"/>
      <c r="C18" s="166"/>
      <c r="D18" s="166"/>
      <c r="E18" s="166"/>
      <c r="F18" s="166"/>
      <c r="H18" s="17"/>
      <c r="I18" s="17"/>
      <c r="J18" s="17"/>
      <c r="K18" s="17"/>
      <c r="L18" s="17"/>
      <c r="M18" s="17"/>
    </row>
    <row r="19" spans="1:13" ht="19" x14ac:dyDescent="0.25">
      <c r="A19" s="231" t="s">
        <v>386</v>
      </c>
      <c r="B19" s="231"/>
      <c r="C19" s="231"/>
      <c r="D19" s="231"/>
      <c r="E19" s="231"/>
      <c r="F19" s="166"/>
    </row>
    <row r="20" spans="1:13" ht="19" x14ac:dyDescent="0.25">
      <c r="A20" s="175" t="s">
        <v>383</v>
      </c>
      <c r="B20" s="176">
        <v>2021</v>
      </c>
      <c r="C20" s="176">
        <v>2025</v>
      </c>
      <c r="D20" s="177" t="s">
        <v>384</v>
      </c>
      <c r="E20" s="178" t="s">
        <v>388</v>
      </c>
      <c r="F20" s="166"/>
    </row>
    <row r="21" spans="1:13" ht="19" x14ac:dyDescent="0.25">
      <c r="A21" s="179" t="s">
        <v>297</v>
      </c>
      <c r="B21" s="180">
        <f>'Raw Financial Data'!C159</f>
        <v>3715</v>
      </c>
      <c r="C21" s="181">
        <f>'Raw Financial Data'!G159</f>
        <v>966</v>
      </c>
      <c r="D21" s="182">
        <f>Operating_Income_Decline_Attribution[[#This Row],[Column3]]-Operating_Income_Decline_Attribution[[#This Row],[Column2]]</f>
        <v>-2749</v>
      </c>
      <c r="E21" s="183">
        <f>Operating_Income_Decline_Attribution[[#This Row],[Column4]]/D23</f>
        <v>0.73306666666666664</v>
      </c>
      <c r="F21" s="166"/>
    </row>
    <row r="22" spans="1:13" ht="19" x14ac:dyDescent="0.25">
      <c r="A22" s="184" t="s">
        <v>387</v>
      </c>
      <c r="B22" s="185">
        <f>B23-B21</f>
        <v>1082</v>
      </c>
      <c r="C22" s="185">
        <f>C23-C21</f>
        <v>81</v>
      </c>
      <c r="D22" s="186">
        <f>Operating_Income_Decline_Attribution[[#This Row],[Column3]]-Operating_Income_Decline_Attribution[[#This Row],[Column2]]</f>
        <v>-1001</v>
      </c>
      <c r="E22" s="187">
        <f>Operating_Income_Decline_Attribution[[#This Row],[Column4]]/D23</f>
        <v>0.26693333333333336</v>
      </c>
      <c r="F22" s="166"/>
    </row>
    <row r="23" spans="1:13" ht="19" x14ac:dyDescent="0.25">
      <c r="A23" s="191" t="s">
        <v>385</v>
      </c>
      <c r="B23" s="192">
        <f>'Raw Financial Data'!C13</f>
        <v>4797</v>
      </c>
      <c r="C23" s="192">
        <f>'Raw Financial Data'!G13</f>
        <v>1047</v>
      </c>
      <c r="D23" s="193">
        <f>Operating_Income_Decline_Attribution[[#This Row],[Column3]]-Operating_Income_Decline_Attribution[[#This Row],[Column2]]</f>
        <v>-3750</v>
      </c>
      <c r="E23" s="194"/>
      <c r="F23" s="166"/>
    </row>
    <row r="24" spans="1:13" ht="19" x14ac:dyDescent="0.25">
      <c r="A24" s="166"/>
    </row>
    <row r="25" spans="1:13" ht="19" x14ac:dyDescent="0.25">
      <c r="A25" s="166"/>
      <c r="B25" s="195"/>
      <c r="C25" s="195"/>
      <c r="D25" s="196"/>
      <c r="E25" s="197"/>
      <c r="F25" s="166"/>
    </row>
    <row r="26" spans="1:13" ht="19" x14ac:dyDescent="0.25">
      <c r="A26" s="230" t="s">
        <v>223</v>
      </c>
      <c r="B26" s="230"/>
      <c r="C26" s="230"/>
      <c r="D26" s="230"/>
      <c r="E26" s="230"/>
      <c r="F26" s="230"/>
    </row>
    <row r="27" spans="1:13" ht="19" x14ac:dyDescent="0.25">
      <c r="A27" s="167" t="s">
        <v>233</v>
      </c>
      <c r="B27" s="167">
        <v>2021</v>
      </c>
      <c r="C27" s="167">
        <v>2022</v>
      </c>
      <c r="D27" s="167">
        <v>2023</v>
      </c>
      <c r="E27" s="167">
        <v>2024</v>
      </c>
      <c r="F27" s="168">
        <v>2025</v>
      </c>
    </row>
    <row r="28" spans="1:13" ht="19" x14ac:dyDescent="0.25">
      <c r="A28" s="163" t="s">
        <v>225</v>
      </c>
      <c r="B28" s="188">
        <f>'Raw Financial Data'!C159/'Raw Financial Data'!C148</f>
        <v>0.3817696023019217</v>
      </c>
      <c r="C28" s="188">
        <f>'Raw Financial Data'!D159/'Raw Financial Data'!D148</f>
        <v>0.35586917135501095</v>
      </c>
      <c r="D28" s="188">
        <f>'Raw Financial Data'!E159/'Raw Financial Data'!E148</f>
        <v>0.33059860224855669</v>
      </c>
      <c r="E28" s="188">
        <f>'Raw Financial Data'!F159/'Raw Financial Data'!F148</f>
        <v>0.20980392156862746</v>
      </c>
      <c r="F28" s="170">
        <f>'Raw Financial Data'!G159/'Raw Financial Data'!G148</f>
        <v>0.16121495327102803</v>
      </c>
    </row>
    <row r="29" spans="1:13" ht="19" x14ac:dyDescent="0.25">
      <c r="A29" s="163" t="s">
        <v>242</v>
      </c>
      <c r="B29" s="169">
        <f>'Raw Financial Data'!C160/'Raw Financial Data'!C149</f>
        <v>0.28361761205870684</v>
      </c>
      <c r="C29" s="169">
        <f>'Raw Financial Data'!D160/'Raw Financial Data'!D149</f>
        <v>0.30878787878787878</v>
      </c>
      <c r="D29" s="169">
        <f>'Raw Financial Data'!E160/'Raw Financial Data'!E149</f>
        <v>0.30481283422459893</v>
      </c>
      <c r="E29" s="169">
        <f>'Raw Financial Data'!F160/'Raw Financial Data'!F149</f>
        <v>0.205831308573412</v>
      </c>
      <c r="F29" s="171">
        <f>'Raw Financial Data'!G160/'Raw Financial Data'!G149</f>
        <v>0.20015134317063943</v>
      </c>
    </row>
    <row r="30" spans="1:13" ht="19" x14ac:dyDescent="0.25">
      <c r="A30" s="163" t="s">
        <v>226</v>
      </c>
      <c r="B30" s="169">
        <f>'Raw Financial Data'!C161/'Raw Financial Data'!C150</f>
        <v>0.19028609447771125</v>
      </c>
      <c r="C30" s="169">
        <f>'Raw Financial Data'!D161/'Raw Financial Data'!D150</f>
        <v>0.2103448275862069</v>
      </c>
      <c r="D30" s="169">
        <f>'Raw Financial Data'!E161/'Raw Financial Data'!E150</f>
        <v>0.18966565349544073</v>
      </c>
      <c r="E30" s="169">
        <f>'Raw Financial Data'!F161/'Raw Financial Data'!F150</f>
        <v>0.14886164623467601</v>
      </c>
      <c r="F30" s="171">
        <f>'Raw Financial Data'!G161/'Raw Financial Data'!G150</f>
        <v>0.15650644783118406</v>
      </c>
    </row>
    <row r="31" spans="1:13" ht="19" x14ac:dyDescent="0.25">
      <c r="A31" s="163" t="s">
        <v>227</v>
      </c>
      <c r="B31" s="173">
        <f>'Raw Financial Data'!C162/'Raw Financial Data'!C151</f>
        <v>0.13972602739726028</v>
      </c>
      <c r="C31" s="173">
        <f>'Raw Financial Data'!D162/'Raw Financial Data'!D151</f>
        <v>0.14403717088280846</v>
      </c>
      <c r="D31" s="173">
        <f>'Raw Financial Data'!E162/'Raw Financial Data'!E151</f>
        <v>6.033010813887308E-2</v>
      </c>
      <c r="E31" s="173">
        <f>'Raw Financial Data'!F162/'Raw Financial Data'!F151</f>
        <v>-2.7941633033219497E-3</v>
      </c>
      <c r="F31" s="174">
        <f>'Raw Financial Data'!G162/'Raw Financial Data'!G151</f>
        <v>-3.8620689655172416E-2</v>
      </c>
    </row>
    <row r="32" spans="1:13" ht="19" x14ac:dyDescent="0.25">
      <c r="A32" s="189" t="s">
        <v>259</v>
      </c>
      <c r="B32" s="190">
        <f>'Raw Financial Data'!C13/'Raw Financial Data'!C6</f>
        <v>0.27186171720034003</v>
      </c>
      <c r="C32" s="190">
        <f>'Raw Financial Data'!D13/'Raw Financial Data'!D6</f>
        <v>0.26509753820451082</v>
      </c>
      <c r="D32" s="190">
        <f>'Raw Financial Data'!E13/'Raw Financial Data'!E6</f>
        <v>0.23729939691301236</v>
      </c>
      <c r="E32" s="190">
        <f>'Raw Financial Data'!F13/'Raw Financial Data'!F6</f>
        <v>0.13025957093753704</v>
      </c>
      <c r="F32" s="190">
        <f>'Raw Financial Data'!G13/'Raw Financial Data'!G6</f>
        <v>7.1345826235093696E-2</v>
      </c>
    </row>
    <row r="34" spans="9:9" x14ac:dyDescent="0.2">
      <c r="I34" s="4"/>
    </row>
  </sheetData>
  <sheetProtection algorithmName="SHA-512" hashValue="k2nLiuYqX269Es61kTKzi9DbbnofHyooPOtlmYosjgb8zYLNgfIztXhgf4fTo96ilATgksOK6dHjDKnq8rbb0Q==" saltValue="/nR00ZCfeSnz2m7F8CQbSQ==" spinCount="100000" sheet="1" objects="1" scenarios="1"/>
  <mergeCells count="4">
    <mergeCell ref="A26:F26"/>
    <mergeCell ref="A10:F10"/>
    <mergeCell ref="A1:F1"/>
    <mergeCell ref="A19:E19"/>
  </mergeCells>
  <conditionalFormatting sqref="B3:F8">
    <cfRule type="dataBar" priority="9">
      <dataBar>
        <cfvo type="num" val="0"/>
        <cfvo type="num" val="1"/>
        <color theme="5" tint="0.59999389629810485"/>
      </dataBar>
      <extLst>
        <ext xmlns:x14="http://schemas.microsoft.com/office/spreadsheetml/2009/9/main" uri="{B025F937-C7B1-47D3-B67F-A62EFF666E3E}">
          <x14:id>{2CE760CE-BCDF-5342-B438-B423D43102A2}</x14:id>
        </ext>
      </extLst>
    </cfRule>
  </conditionalFormatting>
  <conditionalFormatting sqref="B12:F16">
    <cfRule type="dataBar" priority="8">
      <dataBar>
        <cfvo type="num" val="0"/>
        <cfvo type="num" val="1"/>
        <color theme="5" tint="0.59999389629810485"/>
      </dataBar>
      <extLst>
        <ext xmlns:x14="http://schemas.microsoft.com/office/spreadsheetml/2009/9/main" uri="{B025F937-C7B1-47D3-B67F-A62EFF666E3E}">
          <x14:id>{AB6EF049-2E5A-A441-AA9D-E4ADE69744EF}</x14:id>
        </ext>
      </extLst>
    </cfRule>
  </conditionalFormatting>
  <conditionalFormatting sqref="B28:F32">
    <cfRule type="dataBar" priority="7">
      <dataBar>
        <cfvo type="num" val="0"/>
        <cfvo type="num" val="1"/>
        <color theme="5" tint="0.59999389629810485"/>
      </dataBar>
      <extLst>
        <ext xmlns:x14="http://schemas.microsoft.com/office/spreadsheetml/2009/9/main" uri="{B025F937-C7B1-47D3-B67F-A62EFF666E3E}">
          <x14:id>{B853E0DE-BCE6-1543-B046-91AC5A4DE802}</x14:id>
        </ext>
      </extLst>
    </cfRule>
  </conditionalFormatting>
  <conditionalFormatting sqref="E20">
    <cfRule type="dataBar" priority="5">
      <dataBar>
        <cfvo type="num" val="0"/>
        <cfvo type="num" val="1"/>
        <color theme="5" tint="0.59999389629810485"/>
      </dataBar>
      <extLst>
        <ext xmlns:x14="http://schemas.microsoft.com/office/spreadsheetml/2009/9/main" uri="{B025F937-C7B1-47D3-B67F-A62EFF666E3E}">
          <x14:id>{272E72B3-8DED-E04D-874B-433EAB4E8EFD}</x14:id>
        </ext>
      </extLst>
    </cfRule>
  </conditionalFormatting>
  <conditionalFormatting sqref="E21">
    <cfRule type="dataBar" priority="4">
      <dataBar>
        <cfvo type="num" val="0"/>
        <cfvo type="num" val="1"/>
        <color theme="5" tint="0.59999389629810485"/>
      </dataBar>
      <extLst>
        <ext xmlns:x14="http://schemas.microsoft.com/office/spreadsheetml/2009/9/main" uri="{B025F937-C7B1-47D3-B67F-A62EFF666E3E}">
          <x14:id>{42376654-53F0-3049-ADF8-5E32F3738CD0}</x14:id>
        </ext>
      </extLst>
    </cfRule>
  </conditionalFormatting>
  <conditionalFormatting sqref="E22">
    <cfRule type="dataBar" priority="3">
      <dataBar>
        <cfvo type="num" val="0"/>
        <cfvo type="num" val="1"/>
        <color theme="5" tint="0.59999389629810485"/>
      </dataBar>
      <extLst>
        <ext xmlns:x14="http://schemas.microsoft.com/office/spreadsheetml/2009/9/main" uri="{B025F937-C7B1-47D3-B67F-A62EFF666E3E}">
          <x14:id>{9D12C847-017B-7E48-8355-C168782EA722}</x14:id>
        </ext>
      </extLst>
    </cfRule>
  </conditionalFormatting>
  <conditionalFormatting sqref="E23:E25">
    <cfRule type="dataBar" priority="2">
      <dataBar>
        <cfvo type="num" val="0"/>
        <cfvo type="num" val="1"/>
        <color theme="5" tint="0.59999389629810485"/>
      </dataBar>
      <extLst>
        <ext xmlns:x14="http://schemas.microsoft.com/office/spreadsheetml/2009/9/main" uri="{B025F937-C7B1-47D3-B67F-A62EFF666E3E}">
          <x14:id>{941AE02F-CB1B-CE45-914D-48361438DA37}</x14:id>
        </ext>
      </extLst>
    </cfRule>
  </conditionalFormatting>
  <pageMargins left="0.7" right="0.7" top="0.75" bottom="0.75" header="0.3" footer="0.3"/>
  <pageSetup paperSize="9" orientation="portrait" horizontalDpi="0" verticalDpi="0"/>
  <drawing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2CE760CE-BCDF-5342-B438-B423D43102A2}">
            <x14:dataBar minLength="0" maxLength="100" border="1" direction="leftToRight">
              <x14:cfvo type="num">
                <xm:f>0</xm:f>
              </x14:cfvo>
              <x14:cfvo type="num">
                <xm:f>1</xm:f>
              </x14:cfvo>
              <x14:borderColor theme="5" tint="0.39997558519241921"/>
              <x14:negativeFillColor theme="0"/>
              <x14:axisColor rgb="FF000000"/>
            </x14:dataBar>
          </x14:cfRule>
          <xm:sqref>B3:F8</xm:sqref>
        </x14:conditionalFormatting>
        <x14:conditionalFormatting xmlns:xm="http://schemas.microsoft.com/office/excel/2006/main">
          <x14:cfRule type="dataBar" id="{AB6EF049-2E5A-A441-AA9D-E4ADE69744EF}">
            <x14:dataBar minLength="0" maxLength="100" border="1" direction="leftToRight">
              <x14:cfvo type="num">
                <xm:f>0</xm:f>
              </x14:cfvo>
              <x14:cfvo type="num">
                <xm:f>1</xm:f>
              </x14:cfvo>
              <x14:borderColor theme="5" tint="0.39997558519241921"/>
              <x14:negativeFillColor theme="0"/>
              <x14:axisColor rgb="FF000000"/>
            </x14:dataBar>
          </x14:cfRule>
          <xm:sqref>B12:F16</xm:sqref>
        </x14:conditionalFormatting>
        <x14:conditionalFormatting xmlns:xm="http://schemas.microsoft.com/office/excel/2006/main">
          <x14:cfRule type="dataBar" id="{B853E0DE-BCE6-1543-B046-91AC5A4DE802}">
            <x14:dataBar minLength="0" maxLength="100" border="1" direction="leftToRight">
              <x14:cfvo type="num">
                <xm:f>0</xm:f>
              </x14:cfvo>
              <x14:cfvo type="num">
                <xm:f>1</xm:f>
              </x14:cfvo>
              <x14:borderColor theme="5" tint="0.39997558519241921"/>
              <x14:negativeFillColor theme="0"/>
              <x14:axisColor rgb="FF000000"/>
            </x14:dataBar>
          </x14:cfRule>
          <xm:sqref>B28:F32</xm:sqref>
        </x14:conditionalFormatting>
        <x14:conditionalFormatting xmlns:xm="http://schemas.microsoft.com/office/excel/2006/main">
          <x14:cfRule type="dataBar" id="{272E72B3-8DED-E04D-874B-433EAB4E8EFD}">
            <x14:dataBar minLength="0" maxLength="100" border="1" direction="leftToRight">
              <x14:cfvo type="num">
                <xm:f>0</xm:f>
              </x14:cfvo>
              <x14:cfvo type="num">
                <xm:f>1</xm:f>
              </x14:cfvo>
              <x14:borderColor theme="5" tint="0.39997558519241921"/>
              <x14:negativeFillColor theme="0"/>
              <x14:axisColor rgb="FF000000"/>
            </x14:dataBar>
          </x14:cfRule>
          <xm:sqref>E20</xm:sqref>
        </x14:conditionalFormatting>
        <x14:conditionalFormatting xmlns:xm="http://schemas.microsoft.com/office/excel/2006/main">
          <x14:cfRule type="dataBar" id="{42376654-53F0-3049-ADF8-5E32F3738CD0}">
            <x14:dataBar minLength="0" maxLength="100" border="1" direction="leftToRight">
              <x14:cfvo type="num">
                <xm:f>0</xm:f>
              </x14:cfvo>
              <x14:cfvo type="num">
                <xm:f>1</xm:f>
              </x14:cfvo>
              <x14:borderColor theme="5" tint="0.39997558519241921"/>
              <x14:negativeFillColor theme="0"/>
              <x14:axisColor rgb="FF000000"/>
            </x14:dataBar>
          </x14:cfRule>
          <xm:sqref>E21</xm:sqref>
        </x14:conditionalFormatting>
        <x14:conditionalFormatting xmlns:xm="http://schemas.microsoft.com/office/excel/2006/main">
          <x14:cfRule type="dataBar" id="{9D12C847-017B-7E48-8355-C168782EA722}">
            <x14:dataBar minLength="0" maxLength="100" border="1" direction="leftToRight">
              <x14:cfvo type="num">
                <xm:f>0</xm:f>
              </x14:cfvo>
              <x14:cfvo type="num">
                <xm:f>1</xm:f>
              </x14:cfvo>
              <x14:borderColor theme="5" tint="0.39997558519241921"/>
              <x14:negativeFillColor theme="0"/>
              <x14:axisColor rgb="FF000000"/>
            </x14:dataBar>
          </x14:cfRule>
          <xm:sqref>E22</xm:sqref>
        </x14:conditionalFormatting>
        <x14:conditionalFormatting xmlns:xm="http://schemas.microsoft.com/office/excel/2006/main">
          <x14:cfRule type="dataBar" id="{941AE02F-CB1B-CE45-914D-48361438DA37}">
            <x14:dataBar minLength="0" maxLength="100" border="1" direction="leftToRight">
              <x14:cfvo type="num">
                <xm:f>0</xm:f>
              </x14:cfvo>
              <x14:cfvo type="num">
                <xm:f>1</xm:f>
              </x14:cfvo>
              <x14:borderColor theme="5" tint="0.39997558519241921"/>
              <x14:negativeFillColor theme="0"/>
              <x14:axisColor rgb="FF000000"/>
            </x14:dataBar>
          </x14:cfRule>
          <xm:sqref>E23:E25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FFC9-D119-6F48-8F02-51C699A3DB82}">
  <sheetPr>
    <tabColor theme="5" tint="0.79998168889431442"/>
  </sheetPr>
  <dimension ref="A1:M23"/>
  <sheetViews>
    <sheetView showGridLines="0" workbookViewId="0">
      <selection sqref="A1:F1"/>
    </sheetView>
  </sheetViews>
  <sheetFormatPr baseColWidth="10" defaultRowHeight="16" x14ac:dyDescent="0.2"/>
  <cols>
    <col min="1" max="1" width="52" customWidth="1"/>
    <col min="2" max="4" width="11.83203125" customWidth="1"/>
    <col min="6" max="6" width="11.6640625" customWidth="1"/>
    <col min="7" max="7" width="11.83203125" customWidth="1"/>
    <col min="8" max="8" width="51.83203125" customWidth="1"/>
    <col min="9" max="13" width="11.83203125" customWidth="1"/>
  </cols>
  <sheetData>
    <row r="1" spans="1:13" ht="22" customHeight="1" x14ac:dyDescent="0.3">
      <c r="A1" s="228" t="s">
        <v>294</v>
      </c>
      <c r="B1" s="228"/>
      <c r="C1" s="228"/>
      <c r="D1" s="228"/>
      <c r="E1" s="228"/>
      <c r="F1" s="228"/>
      <c r="H1" s="228" t="s">
        <v>296</v>
      </c>
      <c r="I1" s="228"/>
      <c r="J1" s="228"/>
      <c r="K1" s="228"/>
      <c r="L1" s="228"/>
      <c r="M1" s="228"/>
    </row>
    <row r="2" spans="1:13" ht="19" x14ac:dyDescent="0.25">
      <c r="A2" s="149"/>
      <c r="B2" s="150">
        <v>2021</v>
      </c>
      <c r="C2" s="150">
        <v>2022</v>
      </c>
      <c r="D2" s="150">
        <v>2023</v>
      </c>
      <c r="E2" s="150">
        <v>2024</v>
      </c>
      <c r="F2" s="151">
        <v>2025</v>
      </c>
      <c r="H2" s="149"/>
      <c r="I2" s="150">
        <v>2021</v>
      </c>
      <c r="J2" s="150">
        <v>2022</v>
      </c>
      <c r="K2" s="150">
        <v>2023</v>
      </c>
      <c r="L2" s="150">
        <v>2024</v>
      </c>
      <c r="M2" s="151">
        <v>2025</v>
      </c>
    </row>
    <row r="3" spans="1:13" ht="19" x14ac:dyDescent="0.25">
      <c r="A3" s="152" t="s">
        <v>330</v>
      </c>
      <c r="B3" s="60">
        <f>'Raw Financial Data'!C6</f>
        <v>17645</v>
      </c>
      <c r="C3" s="60">
        <f>'Raw Financial Data'!D6</f>
        <v>20351</v>
      </c>
      <c r="D3" s="60">
        <f>'Raw Financial Data'!E6</f>
        <v>19566</v>
      </c>
      <c r="E3" s="60">
        <f>'Raw Financial Data'!F6</f>
        <v>16874</v>
      </c>
      <c r="F3" s="60">
        <f>'Raw Financial Data'!G6</f>
        <v>14675</v>
      </c>
      <c r="H3" s="152" t="s">
        <v>331</v>
      </c>
      <c r="I3" s="60">
        <f>'Raw Financial Data'!C13</f>
        <v>4797</v>
      </c>
      <c r="J3" s="60">
        <f>'Raw Financial Data'!D13</f>
        <v>5395</v>
      </c>
      <c r="K3" s="60">
        <f>'Raw Financial Data'!E13</f>
        <v>4643</v>
      </c>
      <c r="L3" s="60">
        <f>'Raw Financial Data'!F13</f>
        <v>2198</v>
      </c>
      <c r="M3" s="60">
        <f>'Raw Financial Data'!G13</f>
        <v>1047</v>
      </c>
    </row>
    <row r="4" spans="1:13" ht="19" x14ac:dyDescent="0.25">
      <c r="A4" s="152" t="s">
        <v>260</v>
      </c>
      <c r="B4" s="60">
        <f>'Raw Financial Data'!C148</f>
        <v>9731</v>
      </c>
      <c r="C4" s="60">
        <f>'Raw Financial Data'!D148</f>
        <v>10487</v>
      </c>
      <c r="D4" s="60">
        <f>'Raw Financial Data'!E148</f>
        <v>9873</v>
      </c>
      <c r="E4" s="60">
        <f>'Raw Financial Data'!F148</f>
        <v>7650</v>
      </c>
      <c r="F4" s="60">
        <f>'Raw Financial Data'!G148</f>
        <v>5992</v>
      </c>
      <c r="H4" s="152" t="s">
        <v>297</v>
      </c>
      <c r="I4" s="60">
        <f>'Raw Financial Data'!C159</f>
        <v>3715</v>
      </c>
      <c r="J4" s="60">
        <f>'Raw Financial Data'!D159</f>
        <v>3732</v>
      </c>
      <c r="K4" s="60">
        <f>'Raw Financial Data'!E159</f>
        <v>3264</v>
      </c>
      <c r="L4" s="60">
        <f>'Raw Financial Data'!F159</f>
        <v>1605</v>
      </c>
      <c r="M4" s="60">
        <f>'Raw Financial Data'!G159</f>
        <v>966</v>
      </c>
    </row>
    <row r="5" spans="1:13" ht="19" x14ac:dyDescent="0.25">
      <c r="A5" s="153" t="s">
        <v>295</v>
      </c>
      <c r="B5" s="154">
        <f>'Brand Contribution Analysis'!B3</f>
        <v>0.55148767356191553</v>
      </c>
      <c r="C5" s="154">
        <f>'Brand Contribution Analysis'!C3</f>
        <v>0.51530637315119654</v>
      </c>
      <c r="D5" s="154">
        <f>'Brand Contribution Analysis'!D3</f>
        <v>0.5045998160073597</v>
      </c>
      <c r="E5" s="154">
        <f>'Brand Contribution Analysis'!E3</f>
        <v>0.45336019912291098</v>
      </c>
      <c r="F5" s="155">
        <f>'Brand Contribution Analysis'!F3</f>
        <v>0.40831345826235094</v>
      </c>
      <c r="H5" s="153" t="s">
        <v>298</v>
      </c>
      <c r="I5" s="154">
        <f>'Brand Contribution Analysis'!B12</f>
        <v>0.74048235997608136</v>
      </c>
      <c r="J5" s="154">
        <f>'Brand Contribution Analysis'!C12</f>
        <v>0.667740203972088</v>
      </c>
      <c r="K5" s="154">
        <f>'Brand Contribution Analysis'!D12</f>
        <v>0.68773704171934258</v>
      </c>
      <c r="L5" s="154">
        <f>'Brand Contribution Analysis'!E12</f>
        <v>0.65778688524590168</v>
      </c>
      <c r="M5" s="155">
        <f>'Brand Contribution Analysis'!F12</f>
        <v>0.59227467811158796</v>
      </c>
    </row>
    <row r="19" spans="1:13" ht="21" customHeight="1" x14ac:dyDescent="0.2"/>
    <row r="20" spans="1:13" ht="22" customHeight="1" x14ac:dyDescent="0.3">
      <c r="A20" s="228" t="s">
        <v>300</v>
      </c>
      <c r="B20" s="228"/>
      <c r="C20" s="228"/>
      <c r="D20" s="228"/>
      <c r="E20" s="228"/>
      <c r="F20" s="228"/>
      <c r="H20" s="229" t="s">
        <v>327</v>
      </c>
      <c r="I20" s="229"/>
      <c r="J20" s="229"/>
      <c r="K20" s="229"/>
      <c r="L20" s="229"/>
      <c r="M20" s="229"/>
    </row>
    <row r="21" spans="1:13" ht="19" x14ac:dyDescent="0.25">
      <c r="A21" s="149"/>
      <c r="B21" s="150">
        <v>2021</v>
      </c>
      <c r="C21" s="150">
        <v>2022</v>
      </c>
      <c r="D21" s="150">
        <v>2023</v>
      </c>
      <c r="E21" s="150">
        <v>2024</v>
      </c>
      <c r="F21" s="151">
        <v>2025</v>
      </c>
      <c r="H21" s="159"/>
      <c r="I21" s="160">
        <v>2021</v>
      </c>
      <c r="J21" s="160">
        <v>2022</v>
      </c>
      <c r="K21" s="160">
        <v>2023</v>
      </c>
      <c r="L21" s="160">
        <v>2024</v>
      </c>
      <c r="M21" s="160">
        <v>2025</v>
      </c>
    </row>
    <row r="22" spans="1:13" ht="19" x14ac:dyDescent="0.25">
      <c r="A22" s="156" t="s">
        <v>259</v>
      </c>
      <c r="B22" s="157">
        <f t="shared" ref="B22:F23" si="0">I3/B3</f>
        <v>0.27186171720034003</v>
      </c>
      <c r="C22" s="157">
        <f t="shared" si="0"/>
        <v>0.26509753820451082</v>
      </c>
      <c r="D22" s="157">
        <f t="shared" si="0"/>
        <v>0.23729939691301236</v>
      </c>
      <c r="E22" s="157">
        <f t="shared" si="0"/>
        <v>0.13025957093753704</v>
      </c>
      <c r="F22" s="158">
        <f t="shared" si="0"/>
        <v>7.1345826235093696E-2</v>
      </c>
      <c r="H22" s="161" t="s">
        <v>328</v>
      </c>
      <c r="I22" s="157">
        <f>ABS('Raw Financial Data'!C7/'Raw Financial Data'!C6)</f>
        <v>0.25939359591952393</v>
      </c>
      <c r="J22" s="157">
        <f>ABS('Raw Financial Data'!D7/'Raw Financial Data'!D6)</f>
        <v>0.25320623065205639</v>
      </c>
      <c r="K22" s="157">
        <f>ABS('Raw Financial Data'!E7/'Raw Financial Data'!E6)</f>
        <v>0.23709496064601859</v>
      </c>
      <c r="L22" s="157">
        <f>ABS('Raw Financial Data'!F7/'Raw Financial Data'!F6)</f>
        <v>0.26549721464975701</v>
      </c>
      <c r="M22" s="157">
        <f>ABS('Raw Financial Data'!G7/'Raw Financial Data'!G6)</f>
        <v>0.27359454855195914</v>
      </c>
    </row>
    <row r="23" spans="1:13" ht="19" x14ac:dyDescent="0.25">
      <c r="A23" s="153" t="s">
        <v>299</v>
      </c>
      <c r="B23" s="154">
        <f t="shared" si="0"/>
        <v>0.3817696023019217</v>
      </c>
      <c r="C23" s="154">
        <f t="shared" si="0"/>
        <v>0.35586917135501095</v>
      </c>
      <c r="D23" s="154">
        <f t="shared" si="0"/>
        <v>0.33059860224855669</v>
      </c>
      <c r="E23" s="154">
        <f t="shared" si="0"/>
        <v>0.20980392156862746</v>
      </c>
      <c r="F23" s="155">
        <f t="shared" si="0"/>
        <v>0.16121495327102803</v>
      </c>
      <c r="H23" s="161" t="s">
        <v>329</v>
      </c>
      <c r="I23" s="157">
        <f>ABS(('Raw Financial Data'!C9+'Raw Financial Data'!C10)/'Raw Financial Data'!C6)</f>
        <v>0.45627656559931989</v>
      </c>
      <c r="J23" s="157">
        <f>ABS(('Raw Financial Data'!D9+'Raw Financial Data'!D10)/'Raw Financial Data'!D6)</f>
        <v>0.47216353004766348</v>
      </c>
      <c r="K23" s="157">
        <f>ABS(('Raw Financial Data'!E9+'Raw Financial Data'!E10)/'Raw Financial Data'!E6)</f>
        <v>0.52034140856587963</v>
      </c>
      <c r="L23" s="157">
        <f>ABS(('Raw Financial Data'!F9+'Raw Financial Data'!F10)/'Raw Financial Data'!F6)</f>
        <v>0.58990162379992883</v>
      </c>
      <c r="M23" s="157">
        <f>ABS(('Raw Financial Data'!G9+'Raw Financial Data'!G10)/'Raw Financial Data'!G6)</f>
        <v>0.61526405451448041</v>
      </c>
    </row>
  </sheetData>
  <sheetProtection algorithmName="SHA-512" hashValue="OT+9nc08l5e80ICiVDlufZ4JpJx15wqcGqr2YL93+ijaJULrk+zhHtqsNqBGX4crP8DBxhdTbS9w6xigZ78GNQ==" saltValue="4bfy1QYxndygoNUCxPfVWg==" spinCount="100000" sheet="1" objects="1" scenarios="1"/>
  <mergeCells count="4">
    <mergeCell ref="A1:F1"/>
    <mergeCell ref="H1:M1"/>
    <mergeCell ref="A20:F20"/>
    <mergeCell ref="H20:M20"/>
  </mergeCells>
  <pageMargins left="0.7" right="0.7" top="0.75" bottom="0.75" header="0.3" footer="0.3"/>
  <pageSetup paperSize="9" orientation="portrait" horizontalDpi="0" verticalDpi="0"/>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8639C-D178-2143-B0CA-A0E2AA0FB221}">
  <sheetPr>
    <tabColor theme="5" tint="0.79998168889431442"/>
  </sheetPr>
  <dimension ref="A2:H30"/>
  <sheetViews>
    <sheetView showGridLines="0" zoomScaleNormal="100" workbookViewId="0">
      <selection activeCell="T2" sqref="T2"/>
    </sheetView>
  </sheetViews>
  <sheetFormatPr baseColWidth="10" defaultRowHeight="16" x14ac:dyDescent="0.2"/>
  <cols>
    <col min="1" max="1" width="37.5" bestFit="1" customWidth="1"/>
    <col min="2" max="6" width="12.83203125" customWidth="1"/>
    <col min="7" max="7" width="10.5" customWidth="1"/>
    <col min="8" max="8" width="10.83203125" customWidth="1"/>
    <col min="11" max="11" width="11.5" customWidth="1"/>
  </cols>
  <sheetData>
    <row r="2" spans="1:8" ht="22" x14ac:dyDescent="0.3">
      <c r="A2" s="55" t="s">
        <v>326</v>
      </c>
      <c r="B2" s="56">
        <v>2021</v>
      </c>
      <c r="C2" s="56">
        <v>2022</v>
      </c>
      <c r="D2" s="56">
        <v>2023</v>
      </c>
      <c r="E2" s="56">
        <v>2024</v>
      </c>
      <c r="F2" s="57">
        <v>2025</v>
      </c>
      <c r="H2" s="19"/>
    </row>
    <row r="3" spans="1:8" ht="19" x14ac:dyDescent="0.25">
      <c r="A3" s="29"/>
      <c r="B3" s="30"/>
      <c r="C3" s="30"/>
      <c r="D3" s="30"/>
      <c r="E3" s="30"/>
      <c r="F3" s="31"/>
    </row>
    <row r="4" spans="1:8" ht="19" x14ac:dyDescent="0.25">
      <c r="A4" s="29" t="s">
        <v>243</v>
      </c>
      <c r="B4" s="32"/>
      <c r="C4" s="32"/>
      <c r="D4" s="32"/>
      <c r="E4" s="32"/>
      <c r="F4" s="33"/>
    </row>
    <row r="5" spans="1:8" ht="19" x14ac:dyDescent="0.25">
      <c r="A5" s="34" t="s">
        <v>244</v>
      </c>
      <c r="B5" s="35">
        <f>'Raw Financial Data'!C31/AVERAGE(11821,'Raw Financial Data'!C75)</f>
        <v>0.25238397965670695</v>
      </c>
      <c r="C5" s="35">
        <f>'Raw Financial Data'!D31/AVERAGE('Raw Financial Data'!C75:D75)</f>
        <v>0.26432620223075515</v>
      </c>
      <c r="D5" s="35">
        <f>'Raw Financial Data'!E31/AVERAGE('Raw Financial Data'!D75:E75)</f>
        <v>0.20424512153372132</v>
      </c>
      <c r="E5" s="35">
        <f>'Raw Financial Data'!F31/AVERAGE('Raw Financial Data'!E75:F75)</f>
        <v>7.5242396068535E-2</v>
      </c>
      <c r="F5" s="36">
        <f>'Raw Financial Data'!G31/AVERAGE('Raw Financial Data'!F75:G75)</f>
        <v>4.8632218844984806E-3</v>
      </c>
    </row>
    <row r="6" spans="1:8" ht="19" x14ac:dyDescent="0.25">
      <c r="A6" s="34"/>
      <c r="B6" s="32"/>
      <c r="C6" s="32"/>
      <c r="D6" s="32"/>
      <c r="E6" s="32"/>
      <c r="F6" s="33"/>
    </row>
    <row r="7" spans="1:8" ht="19" x14ac:dyDescent="0.25">
      <c r="A7" s="29" t="s">
        <v>245</v>
      </c>
      <c r="B7" s="32"/>
      <c r="C7" s="32"/>
      <c r="D7" s="32"/>
      <c r="E7" s="32"/>
      <c r="F7" s="33"/>
    </row>
    <row r="8" spans="1:8" ht="19" x14ac:dyDescent="0.25">
      <c r="A8" s="34" t="s">
        <v>246</v>
      </c>
      <c r="B8" s="35">
        <f>'Raw Financial Data'!C31/'Raw Financial Data'!C6</f>
        <v>0.1799943326721451</v>
      </c>
      <c r="C8" s="35">
        <f>'Raw Financial Data'!D31/'Raw Financial Data'!D6</f>
        <v>0.17758341113458798</v>
      </c>
      <c r="D8" s="35">
        <f>'Raw Financial Data'!E31/'Raw Financial Data'!E6</f>
        <v>0.15245834611060002</v>
      </c>
      <c r="E8" s="35">
        <f>'Raw Financial Data'!F31/'Raw Financial Data'!F6</f>
        <v>6.7144719687092569E-2</v>
      </c>
      <c r="F8" s="36">
        <f>'Raw Financial Data'!G31/'Raw Financial Data'!G6</f>
        <v>4.9063032367972744E-3</v>
      </c>
    </row>
    <row r="9" spans="1:8" ht="19" x14ac:dyDescent="0.25">
      <c r="A9" s="34" t="s">
        <v>247</v>
      </c>
      <c r="B9" s="37">
        <f>'Raw Financial Data'!C6/AVERAGE('Raw Financial Data'!B70:C70)</f>
        <v>0.59739239657781673</v>
      </c>
      <c r="C9" s="37">
        <f>'Raw Financial Data'!D6/AVERAGE('Raw Financial Data'!C70:D70)</f>
        <v>0.62609792490270577</v>
      </c>
      <c r="D9" s="37">
        <f>'Raw Financial Data'!E6/AVERAGE('Raw Financial Data'!D70:E70)</f>
        <v>0.51962606894353858</v>
      </c>
      <c r="E9" s="37">
        <f>'Raw Financial Data'!F6/AVERAGE('Raw Financial Data'!E70:F70)</f>
        <v>0.39838041386800138</v>
      </c>
      <c r="F9" s="38">
        <f>'Raw Financial Data'!G6/AVERAGE('Raw Financial Data'!F70:G70)</f>
        <v>0.34722222222222221</v>
      </c>
    </row>
    <row r="10" spans="1:8" ht="19" x14ac:dyDescent="0.25">
      <c r="A10" s="34" t="s">
        <v>248</v>
      </c>
      <c r="B10" s="37">
        <f>AVERAGE('Raw Financial Data'!B70:C70)/AVERAGE('Raw Financial Data'!B75:C75)</f>
        <v>2.3471723902272337</v>
      </c>
      <c r="C10" s="37">
        <f>AVERAGE('Raw Financial Data'!C70:D70)/AVERAGE('Raw Financial Data'!C75:D75)</f>
        <v>2.3773633205339184</v>
      </c>
      <c r="D10" s="37">
        <f>AVERAGE('Raw Financial Data'!D70:E70)/AVERAGE('Raw Financial Data'!D75:E75)</f>
        <v>2.578158165011982</v>
      </c>
      <c r="E10" s="37">
        <f>AVERAGE('Raw Financial Data'!E70:F70)/AVERAGE('Raw Financial Data'!E75:F75)</f>
        <v>2.8128901580555188</v>
      </c>
      <c r="F10" s="38">
        <f>AVERAGE('Raw Financial Data'!F70:G70)/AVERAGE('Raw Financial Data'!F75:G75)</f>
        <v>2.8547112462006079</v>
      </c>
    </row>
    <row r="11" spans="1:8" ht="19" x14ac:dyDescent="0.25">
      <c r="A11" s="34" t="s">
        <v>249</v>
      </c>
      <c r="B11" s="35">
        <f>B8*B9*B10</f>
        <v>0.25238498245781332</v>
      </c>
      <c r="C11" s="35">
        <f t="shared" ref="C11:F11" si="0">C8*C9*C10</f>
        <v>0.26432620223075515</v>
      </c>
      <c r="D11" s="35">
        <f t="shared" si="0"/>
        <v>0.20424512153372132</v>
      </c>
      <c r="E11" s="35">
        <f t="shared" si="0"/>
        <v>7.5242396068535E-2</v>
      </c>
      <c r="F11" s="36">
        <f t="shared" si="0"/>
        <v>4.8632218844984806E-3</v>
      </c>
    </row>
    <row r="12" spans="1:8" ht="19" x14ac:dyDescent="0.25">
      <c r="A12" s="34"/>
      <c r="B12" s="32"/>
      <c r="C12" s="32"/>
      <c r="D12" s="32"/>
      <c r="E12" s="32"/>
      <c r="F12" s="33"/>
    </row>
    <row r="13" spans="1:8" ht="19" x14ac:dyDescent="0.25">
      <c r="A13" s="29" t="s">
        <v>250</v>
      </c>
      <c r="B13" s="32"/>
      <c r="C13" s="32"/>
      <c r="D13" s="32"/>
      <c r="E13" s="32"/>
      <c r="F13" s="33"/>
    </row>
    <row r="14" spans="1:8" ht="19" x14ac:dyDescent="0.25">
      <c r="A14" s="34" t="s">
        <v>22</v>
      </c>
      <c r="B14" s="35">
        <f>ABS('Raw Financial Data'!C8/'Raw Financial Data'!C6)</f>
        <v>0.74060640408047607</v>
      </c>
      <c r="C14" s="35">
        <f>ABS('Raw Financial Data'!D8/'Raw Financial Data'!D6)</f>
        <v>0.74679376934794361</v>
      </c>
      <c r="D14" s="35">
        <f>ABS('Raw Financial Data'!E8/'Raw Financial Data'!E6)</f>
        <v>0.76290503935398135</v>
      </c>
      <c r="E14" s="35">
        <f>ABS('Raw Financial Data'!F8/'Raw Financial Data'!F6)</f>
        <v>0.73450278535024294</v>
      </c>
      <c r="F14" s="36">
        <f>ABS('Raw Financial Data'!G8/'Raw Financial Data'!G6)</f>
        <v>0.72640545144804092</v>
      </c>
    </row>
    <row r="15" spans="1:8" ht="19" x14ac:dyDescent="0.25">
      <c r="A15" s="34" t="s">
        <v>258</v>
      </c>
      <c r="B15" s="39">
        <f>ABS('Raw Financial Data'!C9+'Raw Financial Data'!C10)/'Raw Financial Data'!C6</f>
        <v>0.45627656559931989</v>
      </c>
      <c r="C15" s="39">
        <f>ABS('Raw Financial Data'!D9+'Raw Financial Data'!D10)/'Raw Financial Data'!D6</f>
        <v>0.47216353004766348</v>
      </c>
      <c r="D15" s="39">
        <f>ABS('Raw Financial Data'!E9+'Raw Financial Data'!E10)/'Raw Financial Data'!E6</f>
        <v>0.52034140856587963</v>
      </c>
      <c r="E15" s="39">
        <f>ABS('Raw Financial Data'!F9+'Raw Financial Data'!F10)/'Raw Financial Data'!F6</f>
        <v>0.58990162379992883</v>
      </c>
      <c r="F15" s="40">
        <f>ABS('Raw Financial Data'!G9+'Raw Financial Data'!G10)/'Raw Financial Data'!G6</f>
        <v>0.61526405451448041</v>
      </c>
    </row>
    <row r="16" spans="1:8" ht="19" x14ac:dyDescent="0.25">
      <c r="A16" s="34" t="s">
        <v>251</v>
      </c>
      <c r="B16" s="35">
        <f>'Raw Financial Data'!C13/'Raw Financial Data'!C6</f>
        <v>0.27186171720034003</v>
      </c>
      <c r="C16" s="35">
        <f>'Raw Financial Data'!D13/'Raw Financial Data'!D6</f>
        <v>0.26509753820451082</v>
      </c>
      <c r="D16" s="35">
        <f>'Raw Financial Data'!E13/'Raw Financial Data'!E6</f>
        <v>0.23729939691301236</v>
      </c>
      <c r="E16" s="35">
        <f>'Raw Financial Data'!F13/'Raw Financial Data'!F6</f>
        <v>0.13025957093753704</v>
      </c>
      <c r="F16" s="36">
        <f>'Raw Financial Data'!G13/'Raw Financial Data'!G6</f>
        <v>7.1345826235093696E-2</v>
      </c>
    </row>
    <row r="17" spans="1:6" ht="19" x14ac:dyDescent="0.25">
      <c r="A17" s="34" t="s">
        <v>252</v>
      </c>
      <c r="B17" s="39">
        <f>ABS('Raw Financial Data'!C14/'Raw Financial Data'!C6)</f>
        <v>1.5471805043921791E-2</v>
      </c>
      <c r="C17" s="39">
        <f>ABS('Raw Financial Data'!D14/'Raw Financial Data'!D6)</f>
        <v>1.2775784973711365E-2</v>
      </c>
      <c r="D17" s="39">
        <f>ABS('Raw Financial Data'!E14/'Raw Financial Data'!E6)</f>
        <v>2.095471736686088E-2</v>
      </c>
      <c r="E17" s="39">
        <f>ABS('Raw Financial Data'!F14/'Raw Financial Data'!F6)</f>
        <v>3.6387341472087234E-2</v>
      </c>
      <c r="F17" s="40">
        <f>ABS('Raw Financial Data'!G14/'Raw Financial Data'!G6)</f>
        <v>4.0477001703577514E-2</v>
      </c>
    </row>
    <row r="18" spans="1:6" ht="19" x14ac:dyDescent="0.25">
      <c r="A18" s="34" t="s">
        <v>253</v>
      </c>
      <c r="B18" s="39">
        <f>ABS('Raw Financial Data'!C16/'Raw Financial Data'!C15)</f>
        <v>0.28293545534924847</v>
      </c>
      <c r="C18" s="39">
        <f>ABS('Raw Financial Data'!D16/'Raw Financial Data'!D15)</f>
        <v>0.2765335929892892</v>
      </c>
      <c r="D18" s="39">
        <f>ABS('Raw Financial Data'!E16/'Raw Financial Data'!E15)</f>
        <v>0.27474604299551147</v>
      </c>
      <c r="E18" s="39">
        <f>ABS('Raw Financial Data'!F16/'Raw Financial Data'!F15)</f>
        <v>0.28724747474747475</v>
      </c>
      <c r="F18" s="40">
        <f>ABS('Raw Financial Data'!G16/'Raw Financial Data'!G15)</f>
        <v>0.7814569536423841</v>
      </c>
    </row>
    <row r="19" spans="1:6" ht="19" x14ac:dyDescent="0.25">
      <c r="A19" s="34"/>
      <c r="B19" s="32"/>
      <c r="C19" s="32"/>
      <c r="D19" s="32"/>
      <c r="E19" s="32"/>
      <c r="F19" s="33"/>
    </row>
    <row r="20" spans="1:6" ht="19" x14ac:dyDescent="0.25">
      <c r="A20" s="29" t="s">
        <v>254</v>
      </c>
      <c r="B20" s="32"/>
      <c r="C20" s="32"/>
      <c r="D20" s="32"/>
      <c r="E20" s="32"/>
      <c r="F20" s="33"/>
    </row>
    <row r="21" spans="1:6" ht="19" x14ac:dyDescent="0.25">
      <c r="A21" s="34" t="s">
        <v>255</v>
      </c>
      <c r="B21" s="60">
        <f>'Raw Financial Data'!C13*(1-'Returns &amp; Efficiency Analysis'!B18)</f>
        <v>3439.7586206896549</v>
      </c>
      <c r="C21" s="60">
        <f>'Raw Financial Data'!D13*(1-'Returns &amp; Efficiency Analysis'!C18)</f>
        <v>3903.1012658227851</v>
      </c>
      <c r="D21" s="60">
        <f>'Raw Financial Data'!E13*(1-'Returns &amp; Efficiency Analysis'!D18)</f>
        <v>3367.3541223718398</v>
      </c>
      <c r="E21" s="60">
        <f>'Raw Financial Data'!F13*(1-'Returns &amp; Efficiency Analysis'!E18)</f>
        <v>1566.6300505050506</v>
      </c>
      <c r="F21" s="60">
        <f>'Raw Financial Data'!G13*(1-'Returns &amp; Efficiency Analysis'!F18)</f>
        <v>228.81456953642385</v>
      </c>
    </row>
    <row r="22" spans="1:6" ht="19" x14ac:dyDescent="0.25">
      <c r="A22" s="34" t="s">
        <v>257</v>
      </c>
      <c r="B22" s="60">
        <f>AVERAGE(('Raw Financial Data'!B77+'Raw Financial Data'!B80+'Raw Financial Data'!B90-'Raw Financial Data'!B66),('Raw Financial Data'!C77+'Raw Financial Data'!C80+'Raw Financial Data'!C90-'Raw Financial Data'!C66))</f>
        <v>14044.35</v>
      </c>
      <c r="C22" s="60">
        <f>AVERAGE(('Raw Financial Data'!C77+'Raw Financial Data'!C80+'Raw Financial Data'!C90-'Raw Financial Data'!C66),('Raw Financial Data'!D77+'Raw Financial Data'!D80+'Raw Financial Data'!D90-'Raw Financial Data'!D66))</f>
        <v>15497</v>
      </c>
      <c r="D22" s="60">
        <f>AVERAGE(('Raw Financial Data'!D77+'Raw Financial Data'!D80+'Raw Financial Data'!D90-'Raw Financial Data'!D66),('Raw Financial Data'!E77+'Raw Financial Data'!E80+'Raw Financial Data'!E90-'Raw Financial Data'!E66))</f>
        <v>20801.5</v>
      </c>
      <c r="E22" s="60">
        <f>AVERAGE(('Raw Financial Data'!E77+'Raw Financial Data'!E80+'Raw Financial Data'!E90-'Raw Financial Data'!E66),('Raw Financial Data'!F77+'Raw Financial Data'!F80+'Raw Financial Data'!F90-'Raw Financial Data'!F66))</f>
        <v>25380.5</v>
      </c>
      <c r="F22" s="60">
        <f>AVERAGE(('Raw Financial Data'!F77+'Raw Financial Data'!F80+'Raw Financial Data'!F90-'Raw Financial Data'!F66),('Raw Financial Data'!G77+'Raw Financial Data'!G80+'Raw Financial Data'!G90-'Raw Financial Data'!G66))</f>
        <v>24900.5</v>
      </c>
    </row>
    <row r="23" spans="1:6" ht="19" x14ac:dyDescent="0.25">
      <c r="A23" s="34" t="s">
        <v>256</v>
      </c>
      <c r="B23" s="35">
        <f>B21/B22</f>
        <v>0.24492116906013128</v>
      </c>
      <c r="C23" s="35">
        <f>C21/C22</f>
        <v>0.25186173232385528</v>
      </c>
      <c r="D23" s="35">
        <f>D21/D22</f>
        <v>0.16188035105025309</v>
      </c>
      <c r="E23" s="35">
        <f>E21/E22</f>
        <v>6.1725736313510395E-2</v>
      </c>
      <c r="F23" s="36">
        <f>F21/F22</f>
        <v>9.1891556208278484E-3</v>
      </c>
    </row>
    <row r="24" spans="1:6" ht="19" x14ac:dyDescent="0.25">
      <c r="A24" s="41"/>
      <c r="B24" s="42"/>
      <c r="C24" s="42"/>
      <c r="D24" s="42"/>
      <c r="E24" s="42"/>
      <c r="F24" s="43"/>
    </row>
    <row r="25" spans="1:6" ht="19" x14ac:dyDescent="0.25">
      <c r="A25" s="44" t="s">
        <v>320</v>
      </c>
      <c r="B25" s="45"/>
      <c r="C25" s="45"/>
      <c r="D25" s="45"/>
      <c r="E25" s="45"/>
      <c r="F25" s="46"/>
    </row>
    <row r="26" spans="1:6" ht="19" x14ac:dyDescent="0.25">
      <c r="A26" s="41" t="s">
        <v>321</v>
      </c>
      <c r="B26" s="47">
        <f>ABS('Raw Financial Data'!C7/AVERAGE('Raw Financial Data'!B61,'Raw Financial Data'!C61))</f>
        <v>1.4730066779306461</v>
      </c>
      <c r="C26" s="47">
        <f>ABS('Raw Financial Data'!D7/AVERAGE('Raw Financial Data'!C61,'Raw Financial Data'!D61))</f>
        <v>1.315547612969109</v>
      </c>
      <c r="D26" s="47">
        <f>ABS('Raw Financial Data'!E7/AVERAGE('Raw Financial Data'!D61,'Raw Financial Data'!E61))</f>
        <v>1.0291735995562952</v>
      </c>
      <c r="E26" s="47">
        <f>ABS('Raw Financial Data'!F7/AVERAGE('Raw Financial Data'!E61,'Raw Financial Data'!F61))</f>
        <v>1.048934675719972</v>
      </c>
      <c r="F26" s="47">
        <f>ABS('Raw Financial Data'!G7/AVERAGE('Raw Financial Data'!F61,'Raw Financial Data'!G61))</f>
        <v>1.0470726300691093</v>
      </c>
    </row>
    <row r="27" spans="1:6" ht="19" x14ac:dyDescent="0.25">
      <c r="A27" s="41" t="s">
        <v>322</v>
      </c>
      <c r="B27" s="47">
        <f>365/B26</f>
        <v>247.79249508411624</v>
      </c>
      <c r="C27" s="47">
        <f t="shared" ref="C27:F27" si="1">365/C26</f>
        <v>277.45099941781484</v>
      </c>
      <c r="D27" s="47">
        <f t="shared" si="1"/>
        <v>354.65348135374001</v>
      </c>
      <c r="E27" s="47">
        <f t="shared" si="1"/>
        <v>347.97209821428567</v>
      </c>
      <c r="F27" s="48">
        <f t="shared" si="1"/>
        <v>348.59090909090912</v>
      </c>
    </row>
    <row r="28" spans="1:6" ht="19" x14ac:dyDescent="0.25">
      <c r="A28" s="41" t="s">
        <v>323</v>
      </c>
      <c r="B28" s="49">
        <f>(AVERAGE('Raw Financial Data'!B62,'Raw Financial Data'!C62)/'Raw Financial Data'!C6)*365</f>
        <v>19.521139132898838</v>
      </c>
      <c r="C28" s="49">
        <f>(AVERAGE('Raw Financial Data'!C62,'Raw Financial Data'!D62)/'Raw Financial Data'!D6)*365</f>
        <v>19.343152670630438</v>
      </c>
      <c r="D28" s="49">
        <f>(AVERAGE('Raw Financial Data'!D62,'Raw Financial Data'!E62)/'Raw Financial Data'!E6)*365</f>
        <v>21.74218031278749</v>
      </c>
      <c r="E28" s="49">
        <f>(AVERAGE('Raw Financial Data'!E62,'Raw Financial Data'!F62)/'Raw Financial Data'!F6)*365</f>
        <v>23.29649164394927</v>
      </c>
      <c r="F28" s="50">
        <f>(AVERAGE('Raw Financial Data'!F62,'Raw Financial Data'!G62)/'Raw Financial Data'!G6)*365</f>
        <v>22.720783645655878</v>
      </c>
    </row>
    <row r="29" spans="1:6" ht="19" x14ac:dyDescent="0.25">
      <c r="A29" s="41" t="s">
        <v>324</v>
      </c>
      <c r="B29" s="49">
        <f>ABS(AVERAGE('Raw Financial Data'!B93,'Raw Financial Data'!C93)/'Raw Financial Data'!C7)*365</f>
        <v>128.85448984050689</v>
      </c>
      <c r="C29" s="49">
        <f>ABS(AVERAGE('Raw Financial Data'!C93,'Raw Financial Data'!D93)/'Raw Financial Data'!D7)*365</f>
        <v>141.84213079759365</v>
      </c>
      <c r="D29" s="49">
        <f>ABS(AVERAGE('Raw Financial Data'!D93,'Raw Financial Data'!E93)/'Raw Financial Data'!E7)*365</f>
        <v>175.57609398577279</v>
      </c>
      <c r="E29" s="49">
        <f>ABS(AVERAGE('Raw Financial Data'!E93,'Raw Financial Data'!F93)/'Raw Financial Data'!F7)*365</f>
        <v>175.0859375</v>
      </c>
      <c r="F29" s="50">
        <f>ABS(AVERAGE('Raw Financial Data'!F93,'Raw Financial Data'!G93)/'Raw Financial Data'!G7)*365</f>
        <v>181.63636363636363</v>
      </c>
    </row>
    <row r="30" spans="1:6" ht="19" x14ac:dyDescent="0.25">
      <c r="A30" s="51" t="s">
        <v>325</v>
      </c>
      <c r="B30" s="47">
        <f>B27+B28-B29</f>
        <v>138.45914437650819</v>
      </c>
      <c r="C30" s="47">
        <f t="shared" ref="C30:F30" si="2">C27+C28-C29</f>
        <v>154.95202129085163</v>
      </c>
      <c r="D30" s="47">
        <f t="shared" si="2"/>
        <v>200.81956768075469</v>
      </c>
      <c r="E30" s="47">
        <f t="shared" si="2"/>
        <v>196.18265235823492</v>
      </c>
      <c r="F30" s="48">
        <f t="shared" si="2"/>
        <v>189.6753291002014</v>
      </c>
    </row>
  </sheetData>
  <sheetProtection algorithmName="SHA-512" hashValue="k2TUFgFY9oAp8Jtqt89hmSWdcD9vHfLtVx/rlIy+zdULVf1aoa+ak6Bzc8rrFfe40NJfmio/ucAjUz/AF1PBZA==" saltValue="J841UJ2KQrZBRrov9H4vXQ==" spinCount="100000" sheet="1" objects="1" scenarios="1"/>
  <conditionalFormatting sqref="B5:F5">
    <cfRule type="colorScale" priority="17">
      <colorScale>
        <cfvo type="min"/>
        <cfvo type="percentile" val="50"/>
        <cfvo type="max"/>
        <color rgb="FFF1968D"/>
        <color rgb="FFFBFCAA"/>
        <color rgb="FFA8EFB7"/>
      </colorScale>
    </cfRule>
  </conditionalFormatting>
  <conditionalFormatting sqref="B8:F8">
    <cfRule type="colorScale" priority="7">
      <colorScale>
        <cfvo type="min"/>
        <cfvo type="percentile" val="50"/>
        <cfvo type="max"/>
        <color rgb="FFF1968D"/>
        <color rgb="FFFBFCAA"/>
        <color rgb="FFA8EFB7"/>
      </colorScale>
    </cfRule>
  </conditionalFormatting>
  <conditionalFormatting sqref="B9:F9">
    <cfRule type="colorScale" priority="18">
      <colorScale>
        <cfvo type="min"/>
        <cfvo type="percentile" val="50"/>
        <cfvo type="max"/>
        <color rgb="FFF1968D"/>
        <color rgb="FFFBFCAA"/>
        <color rgb="FFA8EFB7"/>
      </colorScale>
    </cfRule>
  </conditionalFormatting>
  <conditionalFormatting sqref="B16:F16">
    <cfRule type="colorScale" priority="14">
      <colorScale>
        <cfvo type="min"/>
        <cfvo type="percentile" val="50"/>
        <cfvo type="max"/>
        <color rgb="FFF1968D"/>
        <color rgb="FFFBFCAA"/>
        <color rgb="FFA8EFB7"/>
      </colorScale>
    </cfRule>
  </conditionalFormatting>
  <conditionalFormatting sqref="B23:F24">
    <cfRule type="colorScale" priority="13">
      <colorScale>
        <cfvo type="min"/>
        <cfvo type="percentile" val="50"/>
        <cfvo type="max"/>
        <color rgb="FFF1968D"/>
        <color rgb="FFFBFCAA"/>
        <color rgb="FFA8EFB7"/>
      </colorScale>
    </cfRule>
  </conditionalFormatting>
  <conditionalFormatting sqref="B30:F30">
    <cfRule type="colorScale" priority="1">
      <colorScale>
        <cfvo type="min"/>
        <cfvo type="percentile" val="50"/>
        <cfvo type="max"/>
        <color rgb="FFA8EFB7"/>
        <color rgb="FFFBFCAA"/>
        <color rgb="FFF1968D"/>
      </colorScale>
    </cfRule>
  </conditionalFormatting>
  <pageMargins left="0.7" right="0.7" top="0.75" bottom="0.75" header="0.3" footer="0.3"/>
  <pageSetup paperSize="9" orientation="portrait" horizontalDpi="0" verticalDpi="0"/>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F3817-A904-F046-921D-D255C2A9DC80}">
  <sheetPr>
    <tabColor theme="5" tint="0.79998168889431442"/>
  </sheetPr>
  <dimension ref="A1:W113"/>
  <sheetViews>
    <sheetView showGridLines="0" zoomScaleNormal="125" workbookViewId="0"/>
  </sheetViews>
  <sheetFormatPr baseColWidth="10" defaultRowHeight="16" x14ac:dyDescent="0.2"/>
  <cols>
    <col min="1" max="1" width="28.6640625" customWidth="1"/>
    <col min="2" max="6" width="13.5" customWidth="1"/>
    <col min="7" max="7" width="25.83203125" customWidth="1"/>
    <col min="8" max="8" width="13.6640625" customWidth="1"/>
    <col min="9" max="9" width="25.83203125" customWidth="1"/>
    <col min="10" max="10" width="13.33203125" customWidth="1"/>
    <col min="11" max="11" width="25.83203125" customWidth="1"/>
    <col min="12" max="12" width="13.33203125" customWidth="1"/>
    <col min="13" max="13" width="14.83203125" customWidth="1"/>
    <col min="14" max="15" width="11.6640625" customWidth="1"/>
    <col min="16" max="16" width="12.1640625" customWidth="1"/>
    <col min="17" max="17" width="11.6640625" customWidth="1"/>
    <col min="18" max="18" width="11.1640625" customWidth="1"/>
  </cols>
  <sheetData>
    <row r="1" spans="1:23" ht="24" x14ac:dyDescent="0.3">
      <c r="A1" s="21" t="s">
        <v>314</v>
      </c>
    </row>
    <row r="2" spans="1:23" ht="19" customHeight="1" x14ac:dyDescent="0.3">
      <c r="B2" s="23"/>
    </row>
    <row r="3" spans="1:23" ht="19" x14ac:dyDescent="0.25">
      <c r="A3" s="232" t="s">
        <v>312</v>
      </c>
      <c r="B3" s="233"/>
      <c r="C3" s="233"/>
      <c r="D3" s="233"/>
      <c r="E3" s="233"/>
      <c r="F3" s="233"/>
      <c r="G3" s="233"/>
      <c r="H3" s="233"/>
      <c r="I3" s="233"/>
      <c r="J3" s="233"/>
      <c r="K3" s="233"/>
      <c r="L3" s="234"/>
    </row>
    <row r="4" spans="1:23" ht="17" customHeight="1" x14ac:dyDescent="0.2">
      <c r="A4" s="113" t="s">
        <v>309</v>
      </c>
      <c r="B4" s="238" t="s">
        <v>310</v>
      </c>
      <c r="C4" s="239"/>
      <c r="D4" s="239"/>
      <c r="E4" s="239"/>
      <c r="F4" s="239"/>
      <c r="G4" s="240"/>
      <c r="H4" s="238" t="s">
        <v>311</v>
      </c>
      <c r="I4" s="239"/>
      <c r="J4" s="239"/>
      <c r="K4" s="239"/>
      <c r="L4" s="239"/>
    </row>
    <row r="5" spans="1:23" ht="40" customHeight="1" x14ac:dyDescent="0.2">
      <c r="A5" s="112" t="s">
        <v>344</v>
      </c>
      <c r="B5" s="241" t="s">
        <v>351</v>
      </c>
      <c r="C5" s="242"/>
      <c r="D5" s="242"/>
      <c r="E5" s="242"/>
      <c r="F5" s="242"/>
      <c r="G5" s="243"/>
      <c r="H5" s="235" t="s">
        <v>362</v>
      </c>
      <c r="I5" s="236"/>
      <c r="J5" s="236"/>
      <c r="K5" s="236"/>
      <c r="L5" s="237"/>
      <c r="P5" s="1"/>
      <c r="Q5" s="1"/>
      <c r="R5" s="1"/>
      <c r="S5" s="1"/>
      <c r="T5" s="1"/>
      <c r="U5" s="1"/>
      <c r="V5" s="1"/>
      <c r="W5" s="1"/>
    </row>
    <row r="6" spans="1:23" ht="40" customHeight="1" x14ac:dyDescent="0.2">
      <c r="A6" s="112" t="s">
        <v>345</v>
      </c>
      <c r="B6" s="241" t="s">
        <v>352</v>
      </c>
      <c r="C6" s="242"/>
      <c r="D6" s="242"/>
      <c r="E6" s="242"/>
      <c r="F6" s="242"/>
      <c r="G6" s="243"/>
      <c r="H6" s="235" t="s">
        <v>363</v>
      </c>
      <c r="I6" s="236"/>
      <c r="J6" s="236"/>
      <c r="K6" s="236"/>
      <c r="L6" s="237"/>
      <c r="Q6" s="1"/>
      <c r="S6" s="1"/>
      <c r="U6" s="1"/>
      <c r="W6" s="111"/>
    </row>
    <row r="7" spans="1:23" ht="51" customHeight="1" x14ac:dyDescent="0.2">
      <c r="A7" s="112" t="s">
        <v>346</v>
      </c>
      <c r="B7" s="241" t="s">
        <v>353</v>
      </c>
      <c r="C7" s="242"/>
      <c r="D7" s="242"/>
      <c r="E7" s="242"/>
      <c r="F7" s="242"/>
      <c r="G7" s="243"/>
      <c r="H7" s="235" t="s">
        <v>368</v>
      </c>
      <c r="I7" s="236"/>
      <c r="J7" s="236"/>
      <c r="K7" s="236"/>
      <c r="L7" s="237"/>
      <c r="Q7" s="1"/>
      <c r="S7" s="1"/>
      <c r="U7" s="1"/>
      <c r="W7" s="111"/>
    </row>
    <row r="8" spans="1:23" ht="40" customHeight="1" x14ac:dyDescent="0.2">
      <c r="A8" s="112" t="s">
        <v>347</v>
      </c>
      <c r="B8" s="241" t="s">
        <v>354</v>
      </c>
      <c r="C8" s="242"/>
      <c r="D8" s="242"/>
      <c r="E8" s="242"/>
      <c r="F8" s="242"/>
      <c r="G8" s="243"/>
      <c r="H8" s="235" t="s">
        <v>348</v>
      </c>
      <c r="I8" s="236"/>
      <c r="J8" s="236"/>
      <c r="K8" s="236"/>
      <c r="L8" s="237"/>
      <c r="Q8" s="1"/>
      <c r="S8" s="1"/>
      <c r="U8" s="1"/>
      <c r="W8" s="111"/>
    </row>
    <row r="9" spans="1:23" ht="40" customHeight="1" x14ac:dyDescent="0.2">
      <c r="A9" s="112" t="s">
        <v>349</v>
      </c>
      <c r="B9" s="241" t="s">
        <v>355</v>
      </c>
      <c r="C9" s="242"/>
      <c r="D9" s="242"/>
      <c r="E9" s="242"/>
      <c r="F9" s="242"/>
      <c r="G9" s="243"/>
      <c r="H9" s="235" t="s">
        <v>364</v>
      </c>
      <c r="I9" s="236"/>
      <c r="J9" s="236"/>
      <c r="K9" s="236"/>
      <c r="L9" s="237"/>
      <c r="Q9" s="1"/>
      <c r="S9" s="1"/>
      <c r="U9" s="1"/>
      <c r="W9" s="111"/>
    </row>
    <row r="10" spans="1:23" ht="40" customHeight="1" x14ac:dyDescent="0.2">
      <c r="A10" s="112" t="s">
        <v>343</v>
      </c>
      <c r="B10" s="241" t="s">
        <v>356</v>
      </c>
      <c r="C10" s="242"/>
      <c r="D10" s="242"/>
      <c r="E10" s="242"/>
      <c r="F10" s="242"/>
      <c r="G10" s="243"/>
      <c r="H10" s="235" t="s">
        <v>369</v>
      </c>
      <c r="I10" s="236"/>
      <c r="J10" s="236"/>
      <c r="K10" s="236"/>
      <c r="L10" s="237"/>
      <c r="Q10" s="1"/>
      <c r="S10" s="1"/>
      <c r="U10" s="1"/>
      <c r="W10" s="111"/>
    </row>
    <row r="11" spans="1:23" ht="40" customHeight="1" x14ac:dyDescent="0.2">
      <c r="A11" s="112" t="s">
        <v>207</v>
      </c>
      <c r="B11" s="241" t="s">
        <v>357</v>
      </c>
      <c r="C11" s="242"/>
      <c r="D11" s="242"/>
      <c r="E11" s="242"/>
      <c r="F11" s="242"/>
      <c r="G11" s="243"/>
      <c r="H11" s="235" t="s">
        <v>370</v>
      </c>
      <c r="I11" s="236"/>
      <c r="J11" s="236"/>
      <c r="K11" s="236"/>
      <c r="L11" s="237"/>
      <c r="P11" s="1"/>
      <c r="Q11" s="1"/>
      <c r="R11" s="1"/>
      <c r="S11" s="1"/>
      <c r="T11" s="1"/>
      <c r="U11" s="1"/>
      <c r="V11" s="1"/>
      <c r="W11" s="111"/>
    </row>
    <row r="12" spans="1:23" ht="40" customHeight="1" x14ac:dyDescent="0.2">
      <c r="A12" s="112" t="s">
        <v>199</v>
      </c>
      <c r="B12" s="241" t="s">
        <v>358</v>
      </c>
      <c r="C12" s="242"/>
      <c r="D12" s="242"/>
      <c r="E12" s="242"/>
      <c r="F12" s="242"/>
      <c r="G12" s="243"/>
      <c r="H12" s="235" t="s">
        <v>371</v>
      </c>
      <c r="I12" s="236"/>
      <c r="J12" s="236"/>
      <c r="K12" s="236"/>
      <c r="L12" s="237"/>
    </row>
    <row r="13" spans="1:23" ht="51" customHeight="1" x14ac:dyDescent="0.2">
      <c r="A13" s="112" t="s">
        <v>200</v>
      </c>
      <c r="B13" s="241" t="s">
        <v>359</v>
      </c>
      <c r="C13" s="242"/>
      <c r="D13" s="242"/>
      <c r="E13" s="242"/>
      <c r="F13" s="242"/>
      <c r="G13" s="243"/>
      <c r="H13" s="235" t="s">
        <v>367</v>
      </c>
      <c r="I13" s="236"/>
      <c r="J13" s="236"/>
      <c r="K13" s="236"/>
      <c r="L13" s="237"/>
    </row>
    <row r="14" spans="1:23" ht="40" customHeight="1" x14ac:dyDescent="0.2">
      <c r="A14" s="112" t="s">
        <v>307</v>
      </c>
      <c r="B14" s="241" t="s">
        <v>360</v>
      </c>
      <c r="C14" s="242"/>
      <c r="D14" s="242"/>
      <c r="E14" s="242"/>
      <c r="F14" s="242"/>
      <c r="G14" s="243"/>
      <c r="H14" s="235" t="s">
        <v>366</v>
      </c>
      <c r="I14" s="236"/>
      <c r="J14" s="236"/>
      <c r="K14" s="236"/>
      <c r="L14" s="237"/>
    </row>
    <row r="15" spans="1:23" ht="51" customHeight="1" x14ac:dyDescent="0.2">
      <c r="A15" s="112" t="s">
        <v>350</v>
      </c>
      <c r="B15" s="241" t="s">
        <v>361</v>
      </c>
      <c r="C15" s="242"/>
      <c r="D15" s="242"/>
      <c r="E15" s="242"/>
      <c r="F15" s="242"/>
      <c r="G15" s="243"/>
      <c r="H15" s="235" t="s">
        <v>365</v>
      </c>
      <c r="I15" s="236"/>
      <c r="J15" s="236"/>
      <c r="K15" s="236"/>
      <c r="L15" s="237"/>
    </row>
    <row r="17" spans="1:13" ht="19" x14ac:dyDescent="0.25">
      <c r="A17" s="126" t="s">
        <v>313</v>
      </c>
      <c r="B17" s="126"/>
      <c r="C17" s="126"/>
      <c r="D17" s="126"/>
      <c r="E17" s="126"/>
      <c r="F17" s="126"/>
      <c r="G17" s="126"/>
      <c r="H17" s="126"/>
      <c r="I17" s="126"/>
      <c r="J17" s="126"/>
      <c r="K17" s="126"/>
      <c r="L17" s="126"/>
    </row>
    <row r="18" spans="1:13" ht="16" customHeight="1" x14ac:dyDescent="0.2">
      <c r="A18" s="121"/>
      <c r="B18" s="122">
        <v>2021</v>
      </c>
      <c r="C18" s="122">
        <v>2022</v>
      </c>
      <c r="D18" s="122">
        <v>2023</v>
      </c>
      <c r="E18" s="122">
        <v>2024</v>
      </c>
      <c r="F18" s="122">
        <v>2025</v>
      </c>
      <c r="G18" s="123" t="s">
        <v>304</v>
      </c>
      <c r="H18" s="124" t="s">
        <v>301</v>
      </c>
      <c r="I18" s="124" t="s">
        <v>305</v>
      </c>
      <c r="J18" s="124" t="s">
        <v>302</v>
      </c>
      <c r="K18" s="124" t="s">
        <v>306</v>
      </c>
      <c r="L18" s="125" t="s">
        <v>303</v>
      </c>
    </row>
    <row r="19" spans="1:13" s="114" customFormat="1" ht="16" customHeight="1" x14ac:dyDescent="0.2">
      <c r="A19" s="117" t="s">
        <v>198</v>
      </c>
      <c r="B19" s="118">
        <v>9731</v>
      </c>
      <c r="C19" s="118">
        <v>10487</v>
      </c>
      <c r="D19" s="118">
        <v>9873</v>
      </c>
      <c r="E19" s="118">
        <v>7650</v>
      </c>
      <c r="F19" s="118">
        <v>5992</v>
      </c>
      <c r="G19" s="133">
        <v>-0.03</v>
      </c>
      <c r="H19" s="119">
        <f>Forcasting_Revenue[[#This Row],[Column6]]*(1+Forcasting_Revenue[[#This Row],[Column7]])</f>
        <v>5812.24</v>
      </c>
      <c r="I19" s="134">
        <v>0.03</v>
      </c>
      <c r="J19" s="119">
        <f>Forcasting_Revenue[[#This Row],[Column8]]*(1+Forcasting_Revenue[[#This Row],[Column9]])</f>
        <v>5986.6072000000004</v>
      </c>
      <c r="K19" s="134">
        <v>0.05</v>
      </c>
      <c r="L19" s="120">
        <f>Forcasting_Revenue[[#This Row],[Column10]]*(1+Forcasting_Revenue[[#This Row],[Column11]])</f>
        <v>6285.9375600000003</v>
      </c>
    </row>
    <row r="20" spans="1:13" ht="16" customHeight="1" x14ac:dyDescent="0.2">
      <c r="A20" s="117" t="s">
        <v>207</v>
      </c>
      <c r="B20" s="118">
        <v>2521</v>
      </c>
      <c r="C20" s="118">
        <v>3300</v>
      </c>
      <c r="D20" s="118">
        <v>3179</v>
      </c>
      <c r="E20" s="118">
        <v>2881</v>
      </c>
      <c r="F20" s="118">
        <v>2643</v>
      </c>
      <c r="G20" s="133">
        <v>0.01</v>
      </c>
      <c r="H20" s="119">
        <f>Forcasting_Revenue[[#This Row],[Column6]]*(1+Forcasting_Revenue[[#This Row],[Column7]])</f>
        <v>2669.43</v>
      </c>
      <c r="I20" s="134">
        <v>2.5000000000000001E-2</v>
      </c>
      <c r="J20" s="119">
        <f>Forcasting_Revenue[[#This Row],[Column8]]*(1+Forcasting_Revenue[[#This Row],[Column9]])</f>
        <v>2736.1657499999997</v>
      </c>
      <c r="K20" s="134">
        <v>3.5000000000000003E-2</v>
      </c>
      <c r="L20" s="120">
        <f>Forcasting_Revenue[[#This Row],[Column10]]*(1+Forcasting_Revenue[[#This Row],[Column11]])</f>
        <v>2831.9315512499993</v>
      </c>
    </row>
    <row r="21" spans="1:13" ht="16" customHeight="1" x14ac:dyDescent="0.2">
      <c r="A21" s="117" t="s">
        <v>199</v>
      </c>
      <c r="B21" s="118">
        <v>1503</v>
      </c>
      <c r="C21" s="118">
        <v>1740</v>
      </c>
      <c r="D21" s="118">
        <v>1645</v>
      </c>
      <c r="E21" s="118">
        <v>1713</v>
      </c>
      <c r="F21" s="118">
        <v>1706</v>
      </c>
      <c r="G21" s="133">
        <v>0.03</v>
      </c>
      <c r="H21" s="119">
        <f>Forcasting_Revenue[[#This Row],[Column6]]*(1+Forcasting_Revenue[[#This Row],[Column7]])</f>
        <v>1757.18</v>
      </c>
      <c r="I21" s="134">
        <v>0.04</v>
      </c>
      <c r="J21" s="119">
        <f>Forcasting_Revenue[[#This Row],[Column8]]*(1+Forcasting_Revenue[[#This Row],[Column9]])</f>
        <v>1827.4672</v>
      </c>
      <c r="K21" s="134">
        <v>0.05</v>
      </c>
      <c r="L21" s="120">
        <f>Forcasting_Revenue[[#This Row],[Column10]]*(1+Forcasting_Revenue[[#This Row],[Column11]])</f>
        <v>1918.8405600000001</v>
      </c>
    </row>
    <row r="22" spans="1:13" ht="16" customHeight="1" x14ac:dyDescent="0.2">
      <c r="A22" s="117" t="s">
        <v>200</v>
      </c>
      <c r="B22" s="118">
        <v>3285</v>
      </c>
      <c r="C22" s="118">
        <v>3874</v>
      </c>
      <c r="D22" s="118">
        <v>3514</v>
      </c>
      <c r="E22" s="118">
        <v>3221</v>
      </c>
      <c r="F22" s="118">
        <v>2900</v>
      </c>
      <c r="G22" s="133">
        <v>-0.02</v>
      </c>
      <c r="H22" s="119">
        <f>Forcasting_Revenue[[#This Row],[Column6]]*(1+Forcasting_Revenue[[#This Row],[Column7]])</f>
        <v>2842</v>
      </c>
      <c r="I22" s="134">
        <v>0.01</v>
      </c>
      <c r="J22" s="119">
        <f>Forcasting_Revenue[[#This Row],[Column8]]*(1+Forcasting_Revenue[[#This Row],[Column9]])</f>
        <v>2870.42</v>
      </c>
      <c r="K22" s="134">
        <v>0.02</v>
      </c>
      <c r="L22" s="120">
        <f>Forcasting_Revenue[[#This Row],[Column10]]*(1+Forcasting_Revenue[[#This Row],[Column11]])</f>
        <v>2927.8284000000003</v>
      </c>
    </row>
    <row r="23" spans="1:13" x14ac:dyDescent="0.2">
      <c r="A23" s="117" t="s">
        <v>307</v>
      </c>
      <c r="B23" s="118">
        <v>733</v>
      </c>
      <c r="C23" s="118">
        <v>1139</v>
      </c>
      <c r="D23" s="118">
        <v>1568</v>
      </c>
      <c r="E23" s="118">
        <v>1618</v>
      </c>
      <c r="F23" s="118">
        <v>1631</v>
      </c>
      <c r="G23" s="133">
        <v>0.03</v>
      </c>
      <c r="H23" s="119">
        <f>Forcasting_Revenue[[#This Row],[Column6]]*(1+Forcasting_Revenue[[#This Row],[Column7]])</f>
        <v>1679.93</v>
      </c>
      <c r="I23" s="134">
        <v>0.04</v>
      </c>
      <c r="J23" s="119">
        <f>Forcasting_Revenue[[#This Row],[Column8]]*(1+Forcasting_Revenue[[#This Row],[Column9]])</f>
        <v>1747.1272000000001</v>
      </c>
      <c r="K23" s="134">
        <v>0.04</v>
      </c>
      <c r="L23" s="120">
        <f>Forcasting_Revenue[[#This Row],[Column10]]*(1+Forcasting_Revenue[[#This Row],[Column11]])</f>
        <v>1817.0122880000001</v>
      </c>
    </row>
    <row r="24" spans="1:13" x14ac:dyDescent="0.2">
      <c r="A24" s="131" t="s">
        <v>308</v>
      </c>
      <c r="B24" s="132">
        <v>17645</v>
      </c>
      <c r="C24" s="132">
        <v>20351</v>
      </c>
      <c r="D24" s="132">
        <v>19566</v>
      </c>
      <c r="E24" s="132">
        <v>16874</v>
      </c>
      <c r="F24" s="132">
        <v>14675</v>
      </c>
      <c r="G24" s="127">
        <f>(Forcasting_Revenue[[#This Row],[Column8]]-Forcasting_Revenue[[#This Row],[Column6]])/Forcasting_Revenue[[#This Row],[Column6]]</f>
        <v>5.845315161839908E-3</v>
      </c>
      <c r="H24" s="129">
        <f>SUM(H19:H23)</f>
        <v>14760.78</v>
      </c>
      <c r="I24" s="128">
        <f>(Forcasting_Revenue[[#This Row],[Column10]]-Forcasting_Revenue[[#This Row],[Column8]])/Forcasting_Revenue[[#This Row],[Column8]]</f>
        <v>2.757356657304029E-2</v>
      </c>
      <c r="J24" s="129">
        <f>SUM(J19:J23)</f>
        <v>15167.787350000002</v>
      </c>
      <c r="K24" s="128">
        <f>(Forcasting_Revenue[[#This Row],[Column12]]-Forcasting_Revenue[[#This Row],[Column10]])/Forcasting_Revenue[[#This Row],[Column10]]</f>
        <v>4.0464900719352347E-2</v>
      </c>
      <c r="L24" s="130">
        <f>SUM(L19:L23)</f>
        <v>15781.550359250001</v>
      </c>
    </row>
    <row r="25" spans="1:13" x14ac:dyDescent="0.2">
      <c r="A25" s="114"/>
      <c r="B25" s="115"/>
      <c r="C25" s="115"/>
      <c r="D25" s="115"/>
      <c r="E25" s="115"/>
      <c r="F25" s="115"/>
      <c r="G25" s="116"/>
      <c r="H25" s="115"/>
      <c r="I25" s="116"/>
      <c r="J25" s="115"/>
      <c r="K25" s="116"/>
      <c r="L25" s="115"/>
    </row>
    <row r="26" spans="1:13" ht="19" customHeight="1" x14ac:dyDescent="0.2">
      <c r="G26" s="245"/>
      <c r="H26" s="246"/>
      <c r="I26" s="246"/>
      <c r="J26" s="246"/>
      <c r="K26" s="246"/>
      <c r="L26" s="246"/>
    </row>
    <row r="27" spans="1:13" x14ac:dyDescent="0.2">
      <c r="B27" s="22"/>
    </row>
    <row r="30" spans="1:13" x14ac:dyDescent="0.2">
      <c r="M30" s="1"/>
    </row>
    <row r="31" spans="1:13" x14ac:dyDescent="0.2">
      <c r="H31" s="17"/>
      <c r="I31" s="17"/>
      <c r="J31" s="17"/>
      <c r="K31" s="17"/>
      <c r="L31" s="17"/>
    </row>
    <row r="32" spans="1:13" x14ac:dyDescent="0.2">
      <c r="H32" s="17"/>
      <c r="I32" s="17"/>
      <c r="J32" s="17"/>
      <c r="K32" s="17"/>
      <c r="L32" s="17"/>
    </row>
    <row r="33" spans="1:13" x14ac:dyDescent="0.2">
      <c r="H33" s="17"/>
      <c r="I33" s="17"/>
      <c r="J33" s="17"/>
      <c r="K33" s="17"/>
      <c r="L33" s="17"/>
    </row>
    <row r="34" spans="1:13" x14ac:dyDescent="0.2">
      <c r="H34" s="17"/>
      <c r="I34" s="17"/>
      <c r="J34" s="17"/>
      <c r="K34" s="17"/>
      <c r="L34" s="17"/>
    </row>
    <row r="35" spans="1:13" x14ac:dyDescent="0.2">
      <c r="H35" s="17"/>
      <c r="I35" s="17"/>
      <c r="J35" s="17"/>
      <c r="K35" s="17"/>
      <c r="L35" s="17"/>
    </row>
    <row r="36" spans="1:13" x14ac:dyDescent="0.2">
      <c r="L36" s="1"/>
      <c r="M36" s="1"/>
    </row>
    <row r="41" spans="1:13" hidden="1" x14ac:dyDescent="0.2">
      <c r="A41" s="24"/>
      <c r="B41" s="24">
        <v>2021</v>
      </c>
      <c r="C41" s="24">
        <v>2022</v>
      </c>
      <c r="D41" s="24">
        <v>2023</v>
      </c>
      <c r="E41" s="24">
        <v>2024</v>
      </c>
      <c r="F41" s="24">
        <v>2025</v>
      </c>
      <c r="G41" s="27" t="s">
        <v>301</v>
      </c>
      <c r="H41" s="27" t="s">
        <v>302</v>
      </c>
      <c r="I41" s="27" t="s">
        <v>303</v>
      </c>
    </row>
    <row r="42" spans="1:13" hidden="1" x14ac:dyDescent="0.2">
      <c r="A42" s="24" t="s">
        <v>261</v>
      </c>
      <c r="B42" s="25">
        <v>0.34692600112975369</v>
      </c>
      <c r="C42" s="25">
        <v>0.15335789175403797</v>
      </c>
      <c r="D42" s="25">
        <v>-3.8573043093705468E-2</v>
      </c>
      <c r="E42" s="25">
        <v>-0.13758560768680364</v>
      </c>
      <c r="F42" s="25">
        <v>-0.13031883370866421</v>
      </c>
      <c r="G42" s="26">
        <f>G24</f>
        <v>5.845315161839908E-3</v>
      </c>
      <c r="H42" s="26">
        <f>I24</f>
        <v>2.757356657304029E-2</v>
      </c>
      <c r="I42" s="26">
        <f>K24</f>
        <v>4.0464900719352347E-2</v>
      </c>
    </row>
    <row r="43" spans="1:13" x14ac:dyDescent="0.2">
      <c r="B43" s="17"/>
      <c r="C43" s="17"/>
      <c r="D43" s="17"/>
      <c r="E43" s="17"/>
      <c r="F43" s="17"/>
      <c r="G43" s="146"/>
      <c r="H43" s="146"/>
      <c r="I43" s="146"/>
    </row>
    <row r="44" spans="1:13" ht="24" x14ac:dyDescent="0.3">
      <c r="A44" s="94" t="s">
        <v>382</v>
      </c>
    </row>
    <row r="46" spans="1:13" ht="22" x14ac:dyDescent="0.3">
      <c r="A46" s="62" t="s">
        <v>332</v>
      </c>
      <c r="B46" s="62"/>
      <c r="C46" s="62"/>
      <c r="D46" s="62"/>
      <c r="E46" s="62"/>
      <c r="F46" s="62"/>
      <c r="G46" s="62"/>
      <c r="H46" s="62"/>
      <c r="I46" s="62"/>
    </row>
    <row r="47" spans="1:13" x14ac:dyDescent="0.2">
      <c r="A47" s="53" t="s">
        <v>8</v>
      </c>
      <c r="B47" s="54">
        <v>2021</v>
      </c>
      <c r="C47" s="54">
        <v>2022</v>
      </c>
      <c r="D47" s="59">
        <v>2023</v>
      </c>
      <c r="E47" s="59">
        <v>2024</v>
      </c>
      <c r="F47" s="59">
        <v>2025</v>
      </c>
      <c r="G47" s="59" t="s">
        <v>301</v>
      </c>
      <c r="H47" s="59" t="s">
        <v>302</v>
      </c>
      <c r="I47" s="59" t="s">
        <v>303</v>
      </c>
    </row>
    <row r="48" spans="1:13" x14ac:dyDescent="0.2">
      <c r="A48" s="52" t="s">
        <v>0</v>
      </c>
      <c r="B48" s="71">
        <f>'Raw Financial Data'!C6</f>
        <v>17645</v>
      </c>
      <c r="C48" s="71">
        <f>'Raw Financial Data'!D6</f>
        <v>20351</v>
      </c>
      <c r="D48" s="71">
        <f>'Raw Financial Data'!E6</f>
        <v>19566</v>
      </c>
      <c r="E48" s="71">
        <f>'Raw Financial Data'!F6</f>
        <v>16874</v>
      </c>
      <c r="F48" s="71">
        <f>'Raw Financial Data'!G6</f>
        <v>14675</v>
      </c>
      <c r="G48" s="72">
        <f>H24</f>
        <v>14760.78</v>
      </c>
      <c r="H48" s="72">
        <f>J24</f>
        <v>15167.787350000002</v>
      </c>
      <c r="I48" s="72">
        <f>L24</f>
        <v>15781.550359250001</v>
      </c>
    </row>
    <row r="49" spans="1:9" x14ac:dyDescent="0.2">
      <c r="A49" s="52" t="s">
        <v>315</v>
      </c>
      <c r="B49" s="71">
        <f>ABS('Raw Financial Data'!C7)</f>
        <v>4577</v>
      </c>
      <c r="C49" s="71">
        <f>ABS('Raw Financial Data'!D7)</f>
        <v>5153</v>
      </c>
      <c r="D49" s="71">
        <f>ABS('Raw Financial Data'!E7)</f>
        <v>4639</v>
      </c>
      <c r="E49" s="71">
        <f>ABS('Raw Financial Data'!F7)</f>
        <v>4480</v>
      </c>
      <c r="F49" s="71">
        <f>ABS('Raw Financial Data'!G7)</f>
        <v>4015</v>
      </c>
      <c r="G49" s="72">
        <f>ABS('Common Size Financial Statement'!$G$7*G48)</f>
        <v>3819.0404898790557</v>
      </c>
      <c r="H49" s="72">
        <f>ABS('Common Size Financial Statement'!$G$7*H48)</f>
        <v>3924.3450570718719</v>
      </c>
      <c r="I49" s="72">
        <f>ABS('Common Size Financial Statement'!$G$7*I48)</f>
        <v>4083.1432901947665</v>
      </c>
    </row>
    <row r="50" spans="1:9" x14ac:dyDescent="0.2">
      <c r="A50" s="52" t="s">
        <v>317</v>
      </c>
      <c r="B50" s="71">
        <f>B48-B49</f>
        <v>13068</v>
      </c>
      <c r="C50" s="71">
        <f t="shared" ref="C50:F50" si="0">C48-C49</f>
        <v>15198</v>
      </c>
      <c r="D50" s="71">
        <f t="shared" si="0"/>
        <v>14927</v>
      </c>
      <c r="E50" s="71">
        <f t="shared" si="0"/>
        <v>12394</v>
      </c>
      <c r="F50" s="71">
        <f t="shared" si="0"/>
        <v>10660</v>
      </c>
      <c r="G50" s="72">
        <f>G48-G49</f>
        <v>10941.739510120944</v>
      </c>
      <c r="H50" s="72">
        <f t="shared" ref="H50" si="1">H48-H49</f>
        <v>11243.44229292813</v>
      </c>
      <c r="I50" s="72">
        <f t="shared" ref="I50" si="2">I48-I49</f>
        <v>11698.407069055234</v>
      </c>
    </row>
    <row r="51" spans="1:9" x14ac:dyDescent="0.2">
      <c r="A51" s="52" t="s">
        <v>316</v>
      </c>
      <c r="B51" s="71">
        <f>ABS('Raw Financial Data'!B9+'Raw Financial Data'!B10)</f>
        <v>6374.4</v>
      </c>
      <c r="C51" s="71">
        <f>ABS('Raw Financial Data'!C9+'Raw Financial Data'!C10)</f>
        <v>8051</v>
      </c>
      <c r="D51" s="71">
        <f>ABS('Raw Financial Data'!D9+'Raw Financial Data'!D10)</f>
        <v>9609</v>
      </c>
      <c r="E51" s="71">
        <f>ABS('Raw Financial Data'!E9+'Raw Financial Data'!E10)</f>
        <v>10181</v>
      </c>
      <c r="F51" s="71">
        <f>ABS('Raw Financial Data'!F9+'Raw Financial Data'!F10)</f>
        <v>9954</v>
      </c>
      <c r="G51" s="72">
        <f>ABS(('Common Size Financial Statement'!$G$9*'Forecast &amp; Scenario Analysis'!G48)+('Common Size Financial Statement'!$G$10*'Forecast &amp; Scenario Analysis'!G48))</f>
        <v>8489.9434992936112</v>
      </c>
      <c r="H51" s="72">
        <f>ABS(('Common Size Financial Statement'!$G$9*'Forecast &amp; Scenario Analysis'!H48)+('Common Size Financial Statement'!$G$10*'Forecast &amp; Scenario Analysis'!H48))</f>
        <v>8724.0415215727335</v>
      </c>
      <c r="I51" s="72">
        <f>ABS(('Common Size Financial Statement'!$G$9*'Forecast &amp; Scenario Analysis'!I48)+('Common Size Financial Statement'!$G$10*'Forecast &amp; Scenario Analysis'!I48))</f>
        <v>9077.0589956146814</v>
      </c>
    </row>
    <row r="52" spans="1:9" x14ac:dyDescent="0.2">
      <c r="A52" s="73" t="s">
        <v>318</v>
      </c>
      <c r="B52" s="108">
        <f>'Raw Financial Data'!C13</f>
        <v>4797</v>
      </c>
      <c r="C52" s="108">
        <f>'Raw Financial Data'!D13</f>
        <v>5395</v>
      </c>
      <c r="D52" s="108">
        <f>'Raw Financial Data'!E13</f>
        <v>4643</v>
      </c>
      <c r="E52" s="108">
        <f>'Raw Financial Data'!F13</f>
        <v>2198</v>
      </c>
      <c r="F52" s="108">
        <f>'Raw Financial Data'!G13</f>
        <v>1047</v>
      </c>
      <c r="G52" s="110">
        <f>'Common Size Financial Statement'!$G$13*G48</f>
        <v>2159.5257021478265</v>
      </c>
      <c r="H52" s="110">
        <f>'Common Size Financial Statement'!$G$13*H48</f>
        <v>2219.071527862191</v>
      </c>
      <c r="I52" s="110">
        <f>'Common Size Financial Statement'!$G$13*I48</f>
        <v>2308.8660369262761</v>
      </c>
    </row>
    <row r="53" spans="1:9" x14ac:dyDescent="0.2">
      <c r="A53" s="135" t="s">
        <v>319</v>
      </c>
      <c r="B53" s="136">
        <f>'Raw Financial Data'!C31</f>
        <v>3176</v>
      </c>
      <c r="C53" s="136">
        <f>'Raw Financial Data'!D31</f>
        <v>3614</v>
      </c>
      <c r="D53" s="136">
        <f>'Raw Financial Data'!E31</f>
        <v>2983</v>
      </c>
      <c r="E53" s="136">
        <f>'Raw Financial Data'!F31</f>
        <v>1133</v>
      </c>
      <c r="F53" s="136">
        <f>'Raw Financial Data'!G31</f>
        <v>72</v>
      </c>
      <c r="G53" s="137">
        <f>'Common Size Financial Statement'!$G$31*'Forecast &amp; Scenario Analysis'!G48</f>
        <v>1104.6444680856391</v>
      </c>
      <c r="H53" s="137">
        <f>'Common Size Financial Statement'!$G$31*'Forecast &amp; Scenario Analysis'!H48</f>
        <v>1135.1034558659392</v>
      </c>
      <c r="I53" s="137">
        <f>'Common Size Financial Statement'!$G$31*'Forecast &amp; Scenario Analysis'!I48</f>
        <v>1181.0353045137481</v>
      </c>
    </row>
    <row r="56" spans="1:9" ht="22" x14ac:dyDescent="0.3">
      <c r="A56" s="140" t="s">
        <v>373</v>
      </c>
      <c r="B56" s="63"/>
      <c r="C56" s="63"/>
      <c r="D56" s="63"/>
      <c r="E56" s="63"/>
      <c r="F56" s="63"/>
      <c r="G56" s="63"/>
      <c r="H56" s="63"/>
      <c r="I56" s="63"/>
    </row>
    <row r="57" spans="1:9" x14ac:dyDescent="0.2">
      <c r="A57" s="53" t="s">
        <v>334</v>
      </c>
      <c r="B57" s="54">
        <v>2021</v>
      </c>
      <c r="C57" s="54">
        <v>2022</v>
      </c>
      <c r="D57" s="59">
        <v>2023</v>
      </c>
      <c r="E57" s="59">
        <v>2024</v>
      </c>
      <c r="F57" s="59">
        <v>2025</v>
      </c>
      <c r="G57" s="59" t="s">
        <v>301</v>
      </c>
      <c r="H57" s="59" t="s">
        <v>302</v>
      </c>
      <c r="I57" s="59" t="s">
        <v>303</v>
      </c>
    </row>
    <row r="58" spans="1:9" x14ac:dyDescent="0.2">
      <c r="A58" s="52" t="s">
        <v>336</v>
      </c>
      <c r="B58" s="58">
        <f>ABS('Raw Financial Data'!C16)</f>
        <v>1280</v>
      </c>
      <c r="C58" s="58">
        <f>ABS('Raw Financial Data'!D16)</f>
        <v>1420</v>
      </c>
      <c r="D58" s="58">
        <f>ABS('Raw Financial Data'!E16)</f>
        <v>1163</v>
      </c>
      <c r="E58" s="58">
        <f>ABS('Raw Financial Data'!F16)</f>
        <v>455</v>
      </c>
      <c r="F58" s="58">
        <f>ABS('Raw Financial Data'!G16)</f>
        <v>354</v>
      </c>
      <c r="G58" s="61">
        <f>ABS('Common Size Financial Statement'!$G$16*'Forecast &amp; Scenario Analysis'!G48)</f>
        <v>543.82188735173577</v>
      </c>
      <c r="H58" s="61">
        <f>ABS('Common Size Financial Statement'!$G$16*'Forecast &amp; Scenario Analysis'!H48)</f>
        <v>558.81699636650524</v>
      </c>
      <c r="I58" s="61">
        <f>ABS('Common Size Financial Statement'!$G$16*'Forecast &amp; Scenario Analysis'!I48)</f>
        <v>581.42947064476255</v>
      </c>
    </row>
    <row r="59" spans="1:9" x14ac:dyDescent="0.2">
      <c r="A59" s="52" t="s">
        <v>337</v>
      </c>
      <c r="B59" s="58">
        <f>'Raw Financial Data'!C15</f>
        <v>4524</v>
      </c>
      <c r="C59" s="58">
        <f>'Raw Financial Data'!D15</f>
        <v>5135</v>
      </c>
      <c r="D59" s="58">
        <f>'Raw Financial Data'!E15</f>
        <v>4233</v>
      </c>
      <c r="E59" s="58">
        <f>'Raw Financial Data'!F15</f>
        <v>1584</v>
      </c>
      <c r="F59" s="58">
        <f>'Raw Financial Data'!G15</f>
        <v>453</v>
      </c>
      <c r="G59" s="61">
        <f>'Common Size Financial Statement'!$G$15*'Forecast &amp; Scenario Analysis'!G48</f>
        <v>1678.2304913228595</v>
      </c>
      <c r="H59" s="61">
        <f>'Common Size Financial Statement'!$G$15*'Forecast &amp; Scenario Analysis'!H48</f>
        <v>1724.5052915002564</v>
      </c>
      <c r="I59" s="61">
        <f>'Common Size Financial Statement'!$G$15*'Forecast &amp; Scenario Analysis'!I48</f>
        <v>1794.287226910812</v>
      </c>
    </row>
    <row r="60" spans="1:9" x14ac:dyDescent="0.2">
      <c r="A60" s="52" t="s">
        <v>335</v>
      </c>
      <c r="B60" s="68">
        <f>B58/B59</f>
        <v>0.28293545534924847</v>
      </c>
      <c r="C60" s="68">
        <f t="shared" ref="C60:I60" si="3">C58/C59</f>
        <v>0.2765335929892892</v>
      </c>
      <c r="D60" s="68">
        <f t="shared" si="3"/>
        <v>0.27474604299551147</v>
      </c>
      <c r="E60" s="68">
        <f t="shared" si="3"/>
        <v>0.28724747474747475</v>
      </c>
      <c r="F60" s="68">
        <f t="shared" si="3"/>
        <v>0.7814569536423841</v>
      </c>
      <c r="G60" s="69">
        <f t="shared" si="3"/>
        <v>0.32404481396537493</v>
      </c>
      <c r="H60" s="69">
        <f t="shared" si="3"/>
        <v>0.32404481396537493</v>
      </c>
      <c r="I60" s="69">
        <f t="shared" si="3"/>
        <v>0.32404481396537493</v>
      </c>
    </row>
    <row r="61" spans="1:9" x14ac:dyDescent="0.2">
      <c r="A61" s="52" t="s">
        <v>255</v>
      </c>
      <c r="B61" s="58">
        <f t="shared" ref="B61:I61" si="4">B52*(1-B60)</f>
        <v>3439.7586206896549</v>
      </c>
      <c r="C61" s="58">
        <f t="shared" si="4"/>
        <v>3903.1012658227851</v>
      </c>
      <c r="D61" s="58">
        <f t="shared" si="4"/>
        <v>3367.3541223718398</v>
      </c>
      <c r="E61" s="58">
        <f t="shared" si="4"/>
        <v>1566.6300505050506</v>
      </c>
      <c r="F61" s="58">
        <f t="shared" si="4"/>
        <v>228.81456953642385</v>
      </c>
      <c r="G61" s="61">
        <f t="shared" si="4"/>
        <v>1459.7425977418884</v>
      </c>
      <c r="H61" s="61">
        <f t="shared" si="4"/>
        <v>1499.9929074402271</v>
      </c>
      <c r="I61" s="61">
        <f t="shared" si="4"/>
        <v>1560.6899715195286</v>
      </c>
    </row>
    <row r="62" spans="1:9" x14ac:dyDescent="0.2">
      <c r="A62" s="73" t="s">
        <v>338</v>
      </c>
      <c r="B62" s="68">
        <f>'Raw Financial Data'!C6/AVERAGE('Raw Financial Data'!B70,'Raw Financial Data'!C70)</f>
        <v>0.59739239657781673</v>
      </c>
      <c r="C62" s="68">
        <f>'Raw Financial Data'!D6/AVERAGE('Raw Financial Data'!C70,'Raw Financial Data'!D70)</f>
        <v>0.62609792490270577</v>
      </c>
      <c r="D62" s="68">
        <f>'Raw Financial Data'!E6/AVERAGE('Raw Financial Data'!D70,'Raw Financial Data'!E70)</f>
        <v>0.51962606894353858</v>
      </c>
      <c r="E62" s="68">
        <f>'Raw Financial Data'!F6/AVERAGE('Raw Financial Data'!E70,'Raw Financial Data'!F70)</f>
        <v>0.39838041386800138</v>
      </c>
      <c r="F62" s="68">
        <f>'Raw Financial Data'!G6/AVERAGE('Raw Financial Data'!F70,'Raw Financial Data'!G70)</f>
        <v>0.34722222222222221</v>
      </c>
      <c r="G62" s="69">
        <f>G48/AVERAGE(F63,G63)</f>
        <v>0.34722222222222221</v>
      </c>
      <c r="H62" s="69">
        <f>H48/AVERAGE(G63,H63)</f>
        <v>0.34722222222222221</v>
      </c>
      <c r="I62" s="69">
        <f>I48/AVERAGE(H63,I63)</f>
        <v>0.34722222222222221</v>
      </c>
    </row>
    <row r="63" spans="1:9" x14ac:dyDescent="0.2">
      <c r="A63" s="73" t="s">
        <v>339</v>
      </c>
      <c r="B63" s="107">
        <f>'Raw Financial Data'!C70</f>
        <v>31068</v>
      </c>
      <c r="C63" s="107">
        <f>'Raw Financial Data'!D70</f>
        <v>33941</v>
      </c>
      <c r="D63" s="107">
        <f>'Raw Financial Data'!E70</f>
        <v>41367</v>
      </c>
      <c r="E63" s="107">
        <f>'Raw Financial Data'!F70</f>
        <v>43346</v>
      </c>
      <c r="F63" s="107">
        <f>'Raw Financial Data'!G70</f>
        <v>41182</v>
      </c>
      <c r="G63" s="109">
        <f>((2*G48)/F62-F63)</f>
        <v>43840.092800000013</v>
      </c>
      <c r="H63" s="109">
        <f>((2*H48)/G62-G63)</f>
        <v>43526.362336000006</v>
      </c>
      <c r="I63" s="109">
        <f>((2*I48)/H62-H63)</f>
        <v>47375.36773328</v>
      </c>
    </row>
    <row r="64" spans="1:9" x14ac:dyDescent="0.2">
      <c r="A64" s="52" t="s">
        <v>342</v>
      </c>
      <c r="B64" s="58">
        <f>'Raw Financial Data'!C75</f>
        <v>13347</v>
      </c>
      <c r="C64" s="58">
        <f>'Raw Financial Data'!D75</f>
        <v>13998</v>
      </c>
      <c r="D64" s="58">
        <f>'Raw Financial Data'!E75</f>
        <v>15212</v>
      </c>
      <c r="E64" s="58">
        <f>'Raw Financial Data'!F75</f>
        <v>14904</v>
      </c>
      <c r="F64" s="58">
        <f>'Raw Financial Data'!G75</f>
        <v>14706</v>
      </c>
      <c r="G64" s="61">
        <f>'Common Size Financial Statement'!$G$75*'Forecast &amp; Scenario Analysis'!G63</f>
        <v>15616.841340709934</v>
      </c>
      <c r="H64" s="61">
        <f>'Common Size Financial Statement'!$G$75*'Forecast &amp; Scenario Analysis'!H63</f>
        <v>15505.083391145661</v>
      </c>
      <c r="I64" s="61">
        <f>'Common Size Financial Statement'!$G$75*'Forecast &amp; Scenario Analysis'!I63</f>
        <v>16876.186935179627</v>
      </c>
    </row>
    <row r="65" spans="1:9" x14ac:dyDescent="0.2">
      <c r="A65" s="52" t="s">
        <v>94</v>
      </c>
      <c r="B65" s="58">
        <f>'Raw Financial Data'!C77</f>
        <v>13736</v>
      </c>
      <c r="C65" s="58">
        <f>'Raw Financial Data'!D77</f>
        <v>14783</v>
      </c>
      <c r="D65" s="58">
        <f>'Raw Financial Data'!E77</f>
        <v>16010</v>
      </c>
      <c r="E65" s="58">
        <f>'Raw Financial Data'!F77</f>
        <v>15730</v>
      </c>
      <c r="F65" s="58">
        <f>'Raw Financial Data'!G77</f>
        <v>15515</v>
      </c>
      <c r="G65" s="61">
        <f>'Common Size Financial Statement'!$G$77*'Forecast &amp; Scenario Analysis'!G63</f>
        <v>16464.288047846607</v>
      </c>
      <c r="H65" s="61">
        <f>'Common Size Financial Statement'!$G$77*'Forecast &amp; Scenario Analysis'!H63</f>
        <v>16346.4655616524</v>
      </c>
      <c r="I65" s="61">
        <f>'Common Size Financial Statement'!$G$77*'Forecast &amp; Scenario Analysis'!I63</f>
        <v>17791.971935182111</v>
      </c>
    </row>
    <row r="66" spans="1:9" x14ac:dyDescent="0.2">
      <c r="A66" s="52" t="s">
        <v>340</v>
      </c>
      <c r="B66" s="58">
        <f>'Raw Financial Data'!C80+'Raw Financial Data'!C90</f>
        <v>5418</v>
      </c>
      <c r="C66" s="58">
        <f>'Raw Financial Data'!D80+'Raw Financial Data'!D90</f>
        <v>6642</v>
      </c>
      <c r="D66" s="58">
        <f>'Raw Financial Data'!E80+'Raw Financial Data'!E90</f>
        <v>12426</v>
      </c>
      <c r="E66" s="58">
        <f>'Raw Financial Data'!F80+'Raw Financial Data'!F90</f>
        <v>14035</v>
      </c>
      <c r="F66" s="58">
        <f>'Raw Financial Data'!G80+'Raw Financial Data'!G90</f>
        <v>12352</v>
      </c>
      <c r="G66" s="61">
        <f>'Common Size Financial Statement'!$G$80*'Forecast &amp; Scenario Analysis'!G63+'Common Size Financial Statement'!$G$90*'Forecast &amp; Scenario Analysis'!G63</f>
        <v>13504.373574700559</v>
      </c>
      <c r="H66" s="61">
        <f>'Common Size Financial Statement'!$G$80*'Forecast &amp; Scenario Analysis'!H63+'Common Size Financial Statement'!$G$90*'Forecast &amp; Scenario Analysis'!H63</f>
        <v>13407.732962944823</v>
      </c>
      <c r="I66" s="61">
        <f>'Common Size Financial Statement'!$G$80*'Forecast &amp; Scenario Analysis'!I63+'Common Size Financial Statement'!$G$90*'Forecast &amp; Scenario Analysis'!I63</f>
        <v>14593.369293895012</v>
      </c>
    </row>
    <row r="67" spans="1:9" x14ac:dyDescent="0.2">
      <c r="A67" s="52" t="s">
        <v>341</v>
      </c>
      <c r="B67" s="58">
        <f>'Raw Financial Data'!C66</f>
        <v>5249</v>
      </c>
      <c r="C67" s="58">
        <f>'Raw Financial Data'!D66</f>
        <v>4336</v>
      </c>
      <c r="D67" s="58">
        <f>'Raw Financial Data'!E66</f>
        <v>3922</v>
      </c>
      <c r="E67" s="58">
        <f>'Raw Financial Data'!F66</f>
        <v>3518</v>
      </c>
      <c r="F67" s="58">
        <f>'Raw Financial Data'!G66</f>
        <v>4313</v>
      </c>
      <c r="G67" s="61">
        <f>'Common Size Financial Statement'!$G$66*'Forecast &amp; Scenario Analysis'!G63</f>
        <v>4101.9857580962444</v>
      </c>
      <c r="H67" s="61">
        <f>'Common Size Financial Statement'!$G$66*'Forecast &amp; Scenario Analysis'!H63</f>
        <v>4072.6309412376236</v>
      </c>
      <c r="I67" s="61">
        <f>'Common Size Financial Statement'!$G$66*'Forecast &amp; Scenario Analysis'!I63</f>
        <v>4432.7708112535493</v>
      </c>
    </row>
    <row r="68" spans="1:9" x14ac:dyDescent="0.2">
      <c r="A68" s="73" t="s">
        <v>372</v>
      </c>
      <c r="B68" s="58">
        <f>AVERAGE(('Raw Financial Data'!B77+'Raw Financial Data'!B80+'Raw Financial Data'!B90-'Raw Financial Data'!B66),(B65+B66-B67))</f>
        <v>14044.35</v>
      </c>
      <c r="C68" s="58">
        <f>AVERAGE((B65+B66-B67),(C65+C66-C67))</f>
        <v>15497</v>
      </c>
      <c r="D68" s="58">
        <f t="shared" ref="D68:E68" si="5">AVERAGE((C65+C66-C67),(D65+D66-D67))</f>
        <v>20801.5</v>
      </c>
      <c r="E68" s="58">
        <f t="shared" si="5"/>
        <v>25380.5</v>
      </c>
      <c r="F68" s="58">
        <f>AVERAGE((E65+E66-E67),(F65+F66-F67))</f>
        <v>24900.5</v>
      </c>
      <c r="G68" s="109">
        <f>AVERAGE((F65+F66-F67),(G65+G66-G67))</f>
        <v>24710.337932225462</v>
      </c>
      <c r="H68" s="109">
        <f t="shared" ref="H68:I68" si="6">AVERAGE((G65+G66-G67),(H65+H66-H67))</f>
        <v>25774.12172390526</v>
      </c>
      <c r="I68" s="109">
        <f t="shared" si="6"/>
        <v>26817.069000591589</v>
      </c>
    </row>
    <row r="69" spans="1:9" x14ac:dyDescent="0.2">
      <c r="A69" s="54" t="s">
        <v>244</v>
      </c>
      <c r="B69" s="76">
        <f>'Raw Financial Data'!C31/AVERAGE(11821,'Raw Financial Data'!C75)</f>
        <v>0.25238397965670695</v>
      </c>
      <c r="C69" s="76">
        <f t="shared" ref="C69:I69" si="7">C53/AVERAGE(B64,C64)</f>
        <v>0.26432620223075515</v>
      </c>
      <c r="D69" s="76">
        <f t="shared" si="7"/>
        <v>0.20424512153372132</v>
      </c>
      <c r="E69" s="76">
        <f t="shared" si="7"/>
        <v>7.5242396068535E-2</v>
      </c>
      <c r="F69" s="76">
        <f t="shared" si="7"/>
        <v>4.8632218844984806E-3</v>
      </c>
      <c r="G69" s="77">
        <f t="shared" si="7"/>
        <v>7.2858902348481344E-2</v>
      </c>
      <c r="H69" s="77">
        <f t="shared" si="7"/>
        <v>7.2945581974502807E-2</v>
      </c>
      <c r="I69" s="77">
        <f t="shared" si="7"/>
        <v>7.2945581974502793E-2</v>
      </c>
    </row>
    <row r="70" spans="1:9" x14ac:dyDescent="0.2">
      <c r="A70" s="135" t="s">
        <v>256</v>
      </c>
      <c r="B70" s="138">
        <f>B61/B68</f>
        <v>0.24492116906013128</v>
      </c>
      <c r="C70" s="138">
        <f t="shared" ref="C70:I70" si="8">C61/C68</f>
        <v>0.25186173232385528</v>
      </c>
      <c r="D70" s="138">
        <f t="shared" si="8"/>
        <v>0.16188035105025309</v>
      </c>
      <c r="E70" s="138">
        <f t="shared" si="8"/>
        <v>6.1725736313510395E-2</v>
      </c>
      <c r="F70" s="138">
        <f t="shared" si="8"/>
        <v>9.1891556208278484E-3</v>
      </c>
      <c r="G70" s="139">
        <f>G61/G68</f>
        <v>5.9074165709332375E-2</v>
      </c>
      <c r="H70" s="139">
        <f t="shared" si="8"/>
        <v>5.8197634181613937E-2</v>
      </c>
      <c r="I70" s="139">
        <f t="shared" si="8"/>
        <v>5.8197634181613937E-2</v>
      </c>
    </row>
    <row r="71" spans="1:9" x14ac:dyDescent="0.2">
      <c r="A71" s="1"/>
      <c r="B71" s="1"/>
      <c r="C71" s="1"/>
      <c r="D71" s="1"/>
      <c r="E71" s="1"/>
      <c r="F71" s="1"/>
      <c r="G71" s="1"/>
      <c r="H71" s="1"/>
      <c r="I71" s="1"/>
    </row>
    <row r="72" spans="1:9" x14ac:dyDescent="0.2">
      <c r="B72" s="2"/>
      <c r="C72" s="2"/>
      <c r="D72" s="2"/>
      <c r="E72" s="2"/>
      <c r="F72" s="2"/>
      <c r="G72" s="2"/>
      <c r="H72" s="2"/>
      <c r="I72" s="2"/>
    </row>
    <row r="73" spans="1:9" x14ac:dyDescent="0.2">
      <c r="E73" s="2"/>
      <c r="G73" s="2"/>
      <c r="H73" s="2"/>
      <c r="I73" s="2"/>
    </row>
    <row r="74" spans="1:9" ht="17" customHeight="1" x14ac:dyDescent="0.2">
      <c r="E74" s="2"/>
      <c r="G74" s="2"/>
      <c r="H74" s="2"/>
      <c r="I74" s="2"/>
    </row>
    <row r="75" spans="1:9" ht="19" x14ac:dyDescent="0.25">
      <c r="F75" s="199"/>
      <c r="G75" s="1"/>
      <c r="H75" s="1"/>
      <c r="I75" s="1"/>
    </row>
    <row r="76" spans="1:9" x14ac:dyDescent="0.2">
      <c r="E76" s="1"/>
      <c r="G76" s="1"/>
      <c r="H76" s="1"/>
      <c r="I76" s="1"/>
    </row>
    <row r="77" spans="1:9" x14ac:dyDescent="0.2">
      <c r="E77" s="1"/>
      <c r="G77" s="2"/>
      <c r="H77" s="2"/>
      <c r="I77" s="2"/>
    </row>
    <row r="78" spans="1:9" x14ac:dyDescent="0.2">
      <c r="E78" s="2"/>
      <c r="G78" s="2"/>
      <c r="H78" s="2"/>
      <c r="I78" s="2"/>
    </row>
    <row r="79" spans="1:9" x14ac:dyDescent="0.2">
      <c r="E79" s="2"/>
      <c r="G79" s="2"/>
      <c r="H79" s="2"/>
      <c r="I79" s="2"/>
    </row>
    <row r="80" spans="1:9" x14ac:dyDescent="0.2">
      <c r="E80" s="2"/>
      <c r="G80" s="2"/>
      <c r="H80" s="2"/>
      <c r="I80" s="2"/>
    </row>
    <row r="81" spans="1:9" x14ac:dyDescent="0.2">
      <c r="E81" s="2"/>
      <c r="G81" s="2"/>
      <c r="H81" s="2"/>
      <c r="I81" s="2"/>
    </row>
    <row r="82" spans="1:9" x14ac:dyDescent="0.2">
      <c r="E82" s="2"/>
    </row>
    <row r="83" spans="1:9" x14ac:dyDescent="0.2">
      <c r="G83" s="1"/>
      <c r="H83" s="1"/>
      <c r="I83" s="1"/>
    </row>
    <row r="84" spans="1:9" x14ac:dyDescent="0.2">
      <c r="E84" s="1"/>
      <c r="G84" s="2"/>
      <c r="H84" s="2"/>
      <c r="I84" s="2"/>
    </row>
    <row r="86" spans="1:9" ht="24" x14ac:dyDescent="0.3">
      <c r="A86" s="94" t="s">
        <v>380</v>
      </c>
      <c r="B86" s="2"/>
      <c r="C86" s="2"/>
      <c r="D86" s="2"/>
      <c r="E86" s="2"/>
    </row>
    <row r="87" spans="1:9" ht="24" x14ac:dyDescent="0.3">
      <c r="A87" s="94"/>
      <c r="B87" s="2"/>
      <c r="C87" s="2"/>
      <c r="D87" s="2"/>
    </row>
    <row r="88" spans="1:9" ht="22" x14ac:dyDescent="0.3">
      <c r="A88" s="141" t="s">
        <v>381</v>
      </c>
      <c r="B88" s="141"/>
      <c r="C88" s="141"/>
      <c r="D88" s="141"/>
    </row>
    <row r="89" spans="1:9" x14ac:dyDescent="0.2">
      <c r="A89" s="53" t="s">
        <v>8</v>
      </c>
      <c r="B89" s="53" t="s">
        <v>301</v>
      </c>
      <c r="C89" s="53" t="s">
        <v>302</v>
      </c>
      <c r="D89" s="53" t="s">
        <v>303</v>
      </c>
    </row>
    <row r="90" spans="1:9" x14ac:dyDescent="0.2">
      <c r="A90" s="147" t="s">
        <v>378</v>
      </c>
      <c r="B90" s="145">
        <f>F19*(1+CHOOSE($B$95,B98,B99,B100))</f>
        <v>6111.84</v>
      </c>
      <c r="C90" s="145">
        <f>B90*(1+CHOOSE($B$95,C98,C99,C100))</f>
        <v>6600.7872000000007</v>
      </c>
      <c r="D90" s="145">
        <f>C90*(1+CHOOSE($B$95,D98,D99,D100))</f>
        <v>7260.8659200000011</v>
      </c>
    </row>
    <row r="91" spans="1:9" x14ac:dyDescent="0.2">
      <c r="A91" s="147" t="s">
        <v>0</v>
      </c>
      <c r="B91" s="142">
        <f>SUM(H20:H23,B90)</f>
        <v>15060.38</v>
      </c>
      <c r="C91" s="142">
        <f>SUM(J20:J23,C90)</f>
        <v>15781.967350000001</v>
      </c>
      <c r="D91" s="142">
        <f>SUM(L20:L23,D90)</f>
        <v>16756.478719250001</v>
      </c>
    </row>
    <row r="92" spans="1:9" x14ac:dyDescent="0.2">
      <c r="A92" s="147" t="s">
        <v>318</v>
      </c>
      <c r="B92" s="142">
        <f>'Common Size Financial Statement'!$G$13*B91</f>
        <v>2203.3576609171791</v>
      </c>
      <c r="C92" s="142">
        <f>'Common Size Financial Statement'!$G$13*C91</f>
        <v>2308.9270433393644</v>
      </c>
      <c r="D92" s="142">
        <f>'Common Size Financial Statement'!$G$13*D91</f>
        <v>2451.4996139576274</v>
      </c>
    </row>
    <row r="93" spans="1:9" x14ac:dyDescent="0.2">
      <c r="A93" s="147" t="s">
        <v>319</v>
      </c>
      <c r="B93" s="142">
        <f>'Common Size Financial Statement'!$G$31*B91</f>
        <v>1127.06547040655</v>
      </c>
      <c r="C93" s="142">
        <f>'Common Size Financial Statement'!$G$31*C91</f>
        <v>1181.0665106238066</v>
      </c>
      <c r="D93" s="142">
        <f>'Common Size Financial Statement'!$G$31*D91</f>
        <v>1253.9954881662247</v>
      </c>
    </row>
    <row r="94" spans="1:9" ht="17" thickBot="1" x14ac:dyDescent="0.25">
      <c r="B94" s="2"/>
      <c r="C94" s="2"/>
      <c r="D94" s="2"/>
    </row>
    <row r="95" spans="1:9" ht="17" thickBot="1" x14ac:dyDescent="0.25">
      <c r="A95" s="148" t="s">
        <v>379</v>
      </c>
      <c r="B95" s="227">
        <v>1</v>
      </c>
      <c r="C95" s="2"/>
      <c r="D95" s="2"/>
    </row>
    <row r="97" spans="1:7" x14ac:dyDescent="0.2">
      <c r="A97" s="1" t="s">
        <v>377</v>
      </c>
      <c r="B97" s="1"/>
      <c r="C97" s="1"/>
      <c r="D97" s="1"/>
    </row>
    <row r="98" spans="1:7" x14ac:dyDescent="0.2">
      <c r="A98" s="147" t="s">
        <v>375</v>
      </c>
      <c r="B98" s="143">
        <v>0.02</v>
      </c>
      <c r="C98" s="144">
        <v>0.08</v>
      </c>
      <c r="D98" s="144">
        <v>0.1</v>
      </c>
    </row>
    <row r="99" spans="1:7" x14ac:dyDescent="0.2">
      <c r="A99" s="147" t="s">
        <v>374</v>
      </c>
      <c r="B99" s="144">
        <f>G19</f>
        <v>-0.03</v>
      </c>
      <c r="C99" s="144">
        <f>I19</f>
        <v>0.03</v>
      </c>
      <c r="D99" s="144">
        <f>K19</f>
        <v>0.05</v>
      </c>
    </row>
    <row r="100" spans="1:7" x14ac:dyDescent="0.2">
      <c r="A100" s="147" t="s">
        <v>376</v>
      </c>
      <c r="B100" s="144">
        <v>-0.12</v>
      </c>
      <c r="C100" s="144">
        <v>-0.03</v>
      </c>
      <c r="D100" s="144">
        <v>0.01</v>
      </c>
    </row>
    <row r="102" spans="1:7" ht="15" customHeight="1" x14ac:dyDescent="0.25">
      <c r="A102" s="244"/>
      <c r="B102" s="244"/>
      <c r="C102" s="244"/>
      <c r="G102" s="207"/>
    </row>
    <row r="103" spans="1:7" hidden="1" x14ac:dyDescent="0.2">
      <c r="A103" s="4" t="s">
        <v>400</v>
      </c>
      <c r="B103" s="216" t="s">
        <v>396</v>
      </c>
      <c r="C103" s="216" t="s">
        <v>301</v>
      </c>
      <c r="D103" s="216" t="s">
        <v>302</v>
      </c>
      <c r="E103" s="216" t="s">
        <v>303</v>
      </c>
    </row>
    <row r="104" spans="1:7" hidden="1" x14ac:dyDescent="0.2">
      <c r="A104" s="218" t="s">
        <v>397</v>
      </c>
      <c r="B104" s="217">
        <v>1047</v>
      </c>
      <c r="C104" s="217">
        <v>2203</v>
      </c>
      <c r="D104" s="217">
        <v>2309</v>
      </c>
      <c r="E104" s="217">
        <v>2451</v>
      </c>
    </row>
    <row r="105" spans="1:7" hidden="1" x14ac:dyDescent="0.2">
      <c r="A105" s="218" t="s">
        <v>398</v>
      </c>
      <c r="B105" s="217">
        <v>1047</v>
      </c>
      <c r="C105" s="81">
        <v>2159.5257021478265</v>
      </c>
      <c r="D105" s="81">
        <v>2219.071527862191</v>
      </c>
      <c r="E105" s="81">
        <v>2308.8660369262761</v>
      </c>
    </row>
    <row r="106" spans="1:7" hidden="1" x14ac:dyDescent="0.2">
      <c r="A106" s="218" t="s">
        <v>399</v>
      </c>
      <c r="B106" s="217">
        <v>1047</v>
      </c>
      <c r="C106" s="217">
        <v>2080.6281763629909</v>
      </c>
      <c r="D106" s="217">
        <v>2091.5205278433737</v>
      </c>
      <c r="E106" s="217">
        <v>2145.0055189021027</v>
      </c>
    </row>
    <row r="107" spans="1:7" hidden="1" x14ac:dyDescent="0.2">
      <c r="A107" s="4" t="s">
        <v>401</v>
      </c>
      <c r="B107">
        <v>0</v>
      </c>
      <c r="C107">
        <v>123</v>
      </c>
      <c r="D107">
        <v>217</v>
      </c>
      <c r="E107">
        <v>306</v>
      </c>
    </row>
    <row r="113" spans="9:9" x14ac:dyDescent="0.2">
      <c r="I113" s="208"/>
    </row>
  </sheetData>
  <sheetProtection algorithmName="SHA-512" hashValue="WnTjDALk7wz6FWdFuxLRdZfGvfOQAWal+DwdgiX6atyItPatwne1pNC023p9pChBHVqdnRKyBFB+EaHBGp+zdw==" saltValue="piPlLYqesMy+kEG1UE/+kA==" spinCount="100000" sheet="1" objects="1" scenarios="1"/>
  <mergeCells count="27">
    <mergeCell ref="A102:C102"/>
    <mergeCell ref="H10:L10"/>
    <mergeCell ref="H11:L11"/>
    <mergeCell ref="H12:L12"/>
    <mergeCell ref="H13:L13"/>
    <mergeCell ref="G26:L26"/>
    <mergeCell ref="H5:L5"/>
    <mergeCell ref="H6:L6"/>
    <mergeCell ref="H7:L7"/>
    <mergeCell ref="H8:L8"/>
    <mergeCell ref="H9:L9"/>
    <mergeCell ref="A3:L3"/>
    <mergeCell ref="H14:L14"/>
    <mergeCell ref="H15:L15"/>
    <mergeCell ref="B4:G4"/>
    <mergeCell ref="H4:L4"/>
    <mergeCell ref="B5:G5"/>
    <mergeCell ref="B6:G6"/>
    <mergeCell ref="B7:G7"/>
    <mergeCell ref="B8:G8"/>
    <mergeCell ref="B9:G9"/>
    <mergeCell ref="B10:G10"/>
    <mergeCell ref="B11:G11"/>
    <mergeCell ref="B12:G12"/>
    <mergeCell ref="B13:G13"/>
    <mergeCell ref="B14:G14"/>
    <mergeCell ref="B15:G15"/>
  </mergeCells>
  <pageMargins left="0.7" right="0.7" top="0.75" bottom="0.75" header="0.3" footer="0.3"/>
  <pageSetup paperSize="9" orientation="portrait" horizontalDpi="0" verticalDpi="0"/>
  <drawing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1F35-16CE-8C47-8CBF-FD70D4C9635F}">
  <sheetPr>
    <tabColor theme="2" tint="-9.9978637043366805E-2"/>
  </sheetPr>
  <dimension ref="A2:P113"/>
  <sheetViews>
    <sheetView showGridLines="0" zoomScaleNormal="100" workbookViewId="0">
      <selection activeCell="W2" sqref="W2"/>
    </sheetView>
  </sheetViews>
  <sheetFormatPr baseColWidth="10" defaultRowHeight="16" x14ac:dyDescent="0.2"/>
  <cols>
    <col min="1" max="11" width="10.83203125" style="200"/>
    <col min="12" max="12" width="12.33203125" style="200" customWidth="1"/>
    <col min="13" max="13" width="14.83203125" style="200" bestFit="1" customWidth="1"/>
    <col min="14" max="14" width="12.6640625" style="200" bestFit="1" customWidth="1"/>
    <col min="15" max="16384" width="10.83203125" style="200"/>
  </cols>
  <sheetData>
    <row r="2" spans="1:4" ht="25" x14ac:dyDescent="0.25">
      <c r="A2" s="203" t="s">
        <v>390</v>
      </c>
      <c r="B2" s="204"/>
      <c r="C2" s="204"/>
      <c r="D2" s="204"/>
    </row>
    <row r="3" spans="1:4" ht="20" x14ac:dyDescent="0.2">
      <c r="A3" s="201" t="s">
        <v>389</v>
      </c>
      <c r="B3" s="204"/>
      <c r="C3" s="204"/>
      <c r="D3" s="204"/>
    </row>
    <row r="4" spans="1:4" ht="20" x14ac:dyDescent="0.2">
      <c r="A4" s="201"/>
    </row>
    <row r="15" spans="1:4" ht="22" x14ac:dyDescent="0.3">
      <c r="A15" s="202" t="s">
        <v>391</v>
      </c>
    </row>
    <row r="36" spans="1:9" x14ac:dyDescent="0.2">
      <c r="I36" s="226"/>
    </row>
    <row r="37" spans="1:9" x14ac:dyDescent="0.2">
      <c r="I37" s="226"/>
    </row>
    <row r="39" spans="1:9" ht="22" x14ac:dyDescent="0.3">
      <c r="A39" s="202" t="s">
        <v>392</v>
      </c>
    </row>
    <row r="59" spans="1:10" ht="19" x14ac:dyDescent="0.25">
      <c r="J59" s="206" t="s">
        <v>406</v>
      </c>
    </row>
    <row r="63" spans="1:10" ht="22" x14ac:dyDescent="0.3">
      <c r="A63" s="202" t="s">
        <v>407</v>
      </c>
    </row>
    <row r="86" spans="1:14" ht="22" x14ac:dyDescent="0.3">
      <c r="A86" s="202" t="s">
        <v>394</v>
      </c>
    </row>
    <row r="89" spans="1:14" ht="27" customHeight="1" x14ac:dyDescent="0.2">
      <c r="K89" s="251" t="s">
        <v>393</v>
      </c>
      <c r="L89" s="251"/>
      <c r="M89" s="251"/>
      <c r="N89" s="251"/>
    </row>
    <row r="90" spans="1:14" ht="27" x14ac:dyDescent="0.35">
      <c r="K90" s="209"/>
      <c r="L90" s="210"/>
      <c r="M90" s="210"/>
      <c r="N90" s="210"/>
    </row>
    <row r="91" spans="1:14" ht="19" x14ac:dyDescent="0.25">
      <c r="K91" s="247"/>
      <c r="L91" s="248"/>
      <c r="M91" s="219">
        <v>2021</v>
      </c>
      <c r="N91" s="219">
        <v>2025</v>
      </c>
    </row>
    <row r="92" spans="1:14" ht="19" x14ac:dyDescent="0.25">
      <c r="K92" s="249" t="s">
        <v>246</v>
      </c>
      <c r="L92" s="250"/>
      <c r="M92" s="211">
        <v>0.1799943326721451</v>
      </c>
      <c r="N92" s="212">
        <v>4.9063032367972744E-3</v>
      </c>
    </row>
    <row r="93" spans="1:14" ht="19" x14ac:dyDescent="0.25">
      <c r="K93" s="249" t="s">
        <v>247</v>
      </c>
      <c r="L93" s="250"/>
      <c r="M93" s="213">
        <v>0.59739239657781673</v>
      </c>
      <c r="N93" s="214">
        <v>0.34722222222222221</v>
      </c>
    </row>
    <row r="94" spans="1:14" ht="19" x14ac:dyDescent="0.25">
      <c r="K94" s="249" t="s">
        <v>248</v>
      </c>
      <c r="L94" s="250"/>
      <c r="M94" s="215">
        <v>2.3471723902272337</v>
      </c>
      <c r="N94" s="215">
        <v>2.8547112462006079</v>
      </c>
    </row>
    <row r="106" spans="1:1" ht="22" x14ac:dyDescent="0.3">
      <c r="A106" s="202" t="s">
        <v>395</v>
      </c>
    </row>
    <row r="113" spans="16:16" ht="19" x14ac:dyDescent="0.2">
      <c r="P113" s="220" t="s">
        <v>402</v>
      </c>
    </row>
  </sheetData>
  <sheetProtection algorithmName="SHA-512" hashValue="Jd6zZN8ZOlSOFsY/7WUNDt9osmzY7xiIbo1PPXZLfCygXrXIHLH0048O1yv4im0WDHYpypbKzR9KclKxaxeseA==" saltValue="SH+nkfSLRI1OUi4fJQpjbA==" spinCount="100000" sheet="1" objects="1" scenarios="1" selectLockedCells="1" selectUnlockedCells="1"/>
  <mergeCells count="5">
    <mergeCell ref="K91:L91"/>
    <mergeCell ref="K92:L92"/>
    <mergeCell ref="K93:L93"/>
    <mergeCell ref="K94:L94"/>
    <mergeCell ref="K89:N89"/>
  </mergeCells>
  <pageMargins left="0.7" right="0.7" top="0.75" bottom="0.75" header="0.3" footer="0.3"/>
  <pageSetup paperSize="9"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F6F4A-88E2-F643-848E-6B9340061D25}">
  <sheetPr>
    <tabColor theme="2" tint="-9.9978637043366805E-2"/>
  </sheetPr>
  <dimension ref="A3:M18"/>
  <sheetViews>
    <sheetView showGridLines="0" zoomScaleNormal="100" workbookViewId="0">
      <selection activeCell="N22" sqref="N22"/>
    </sheetView>
  </sheetViews>
  <sheetFormatPr baseColWidth="10" defaultRowHeight="19" x14ac:dyDescent="0.25"/>
  <cols>
    <col min="1" max="1" width="7.1640625" style="221" customWidth="1"/>
    <col min="2" max="16384" width="10.83203125" style="221"/>
  </cols>
  <sheetData>
    <row r="3" spans="1:13" ht="24" x14ac:dyDescent="0.3">
      <c r="A3" s="222" t="s">
        <v>404</v>
      </c>
      <c r="B3" s="223" t="s">
        <v>403</v>
      </c>
      <c r="L3" s="224" t="s">
        <v>405</v>
      </c>
      <c r="M3" s="225"/>
    </row>
    <row r="18" spans="2:2" ht="24" x14ac:dyDescent="0.3">
      <c r="B18" s="223"/>
    </row>
  </sheetData>
  <sheetProtection algorithmName="SHA-512" hashValue="zmcyKrpcy2/x7LvTSNAeQyMtHL1qSajgZ9/Fu4m5wlkERTMIwwmM268krt+3WbP2Q3pQsCUzpZPlNprBksk4mw==" saltValue="YK4yELG+3boqLpauJhBJow==" spinCount="100000" sheet="1" objects="1" scenarios="1" selectLockedCells="1" selectUnlockedCell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About</vt:lpstr>
      <vt:lpstr>Raw Financial Data</vt:lpstr>
      <vt:lpstr>Common Size Financial Statement</vt:lpstr>
      <vt:lpstr>Brand Contribution Analysis</vt:lpstr>
      <vt:lpstr>Financial Trend Analysis</vt:lpstr>
      <vt:lpstr>Returns &amp; Efficiency Analysis</vt:lpstr>
      <vt:lpstr>Forecast &amp; Scenario Analysis</vt:lpstr>
      <vt:lpstr>Core Findings</vt:lpstr>
      <vt:lpstr>Strategic Conclusions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Nitya</dc:creator>
  <cp:lastModifiedBy>Arya, Nitya</cp:lastModifiedBy>
  <dcterms:created xsi:type="dcterms:W3CDTF">2026-02-24T14:00:23Z</dcterms:created>
  <dcterms:modified xsi:type="dcterms:W3CDTF">2026-03-23T15:19:28Z</dcterms:modified>
</cp:coreProperties>
</file>