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niveditabiswas/Downloads/"/>
    </mc:Choice>
  </mc:AlternateContent>
  <xr:revisionPtr revIDLastSave="0" documentId="13_ncr:1_{1E41F9CE-133D-5C45-8961-449FC077F542}" xr6:coauthVersionLast="47" xr6:coauthVersionMax="47" xr10:uidLastSave="{00000000-0000-0000-0000-000000000000}"/>
  <bookViews>
    <workbookView xWindow="0" yWindow="660" windowWidth="25600" windowHeight="14640" xr2:uid="{00000000-000D-0000-FFFF-FFFF00000000}"/>
  </bookViews>
  <sheets>
    <sheet name="STOCK EXC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" i="1" l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J7" i="1"/>
  <c r="I7" i="1"/>
  <c r="H7" i="1"/>
  <c r="G7" i="1"/>
  <c r="F7" i="1"/>
  <c r="E7" i="1"/>
  <c r="D7" i="1"/>
  <c r="C7" i="1"/>
  <c r="J6" i="1"/>
  <c r="I6" i="1"/>
  <c r="H6" i="1"/>
  <c r="G6" i="1"/>
  <c r="F6" i="1"/>
  <c r="E6" i="1"/>
  <c r="D6" i="1"/>
  <c r="C6" i="1"/>
  <c r="J5" i="1"/>
  <c r="I5" i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  <c r="J3" i="1"/>
  <c r="I3" i="1"/>
  <c r="H3" i="1"/>
  <c r="G3" i="1"/>
  <c r="F3" i="1"/>
  <c r="E3" i="1"/>
  <c r="C3" i="1"/>
</calcChain>
</file>

<file path=xl/sharedStrings.xml><?xml version="1.0" encoding="utf-8"?>
<sst xmlns="http://schemas.openxmlformats.org/spreadsheetml/2006/main" count="59" uniqueCount="53">
  <si>
    <t>ticker</t>
  </si>
  <si>
    <t>company</t>
  </si>
  <si>
    <t>price</t>
  </si>
  <si>
    <t>change</t>
  </si>
  <si>
    <t>change persentage</t>
  </si>
  <si>
    <t>market cap</t>
  </si>
  <si>
    <t>PE</t>
  </si>
  <si>
    <t>volume</t>
  </si>
  <si>
    <t>average volume</t>
  </si>
  <si>
    <t>MSFT</t>
  </si>
  <si>
    <t>AAPL</t>
  </si>
  <si>
    <t>TSLA</t>
  </si>
  <si>
    <t>JNJ</t>
  </si>
  <si>
    <t>WMT</t>
  </si>
  <si>
    <t>KO</t>
  </si>
  <si>
    <t>PEP</t>
  </si>
  <si>
    <t>MRK</t>
  </si>
  <si>
    <t>AMZN</t>
  </si>
  <si>
    <t>ORCL</t>
  </si>
  <si>
    <t>MA</t>
  </si>
  <si>
    <t>PG</t>
  </si>
  <si>
    <t>V</t>
  </si>
  <si>
    <t>GOOG</t>
  </si>
  <si>
    <t>F</t>
  </si>
  <si>
    <t>tcs</t>
  </si>
  <si>
    <t>VC</t>
  </si>
  <si>
    <t>M&amp;M</t>
  </si>
  <si>
    <t>INFY</t>
  </si>
  <si>
    <t>SBIN</t>
  </si>
  <si>
    <t>RELIANCE</t>
  </si>
  <si>
    <t>NVDA</t>
  </si>
  <si>
    <t xml:space="preserve">NFLX </t>
  </si>
  <si>
    <t xml:space="preserve">DIS </t>
  </si>
  <si>
    <t xml:space="preserve">BRK.B </t>
  </si>
  <si>
    <t>JPM</t>
  </si>
  <si>
    <t xml:space="preserve">BAC </t>
  </si>
  <si>
    <t xml:space="preserve">XOM </t>
  </si>
  <si>
    <t xml:space="preserve">CVX </t>
  </si>
  <si>
    <t>INTC</t>
  </si>
  <si>
    <t>SBUX</t>
  </si>
  <si>
    <t>IBM</t>
  </si>
  <si>
    <t>FDX</t>
  </si>
  <si>
    <t xml:space="preserve">GE </t>
  </si>
  <si>
    <t xml:space="preserve">UPS </t>
  </si>
  <si>
    <t>BA</t>
  </si>
  <si>
    <t>CSCO</t>
  </si>
  <si>
    <t>SHOP</t>
  </si>
  <si>
    <t>PYPL</t>
  </si>
  <si>
    <t>ADBE</t>
  </si>
  <si>
    <t>META</t>
  </si>
  <si>
    <t>NFLX</t>
  </si>
  <si>
    <t>DIS</t>
  </si>
  <si>
    <t>BRK.B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</si>
</sst>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J52"/>
  <sheetViews>
    <sheetView tabSelected="1" workbookViewId="0">
      <selection activeCell="C7" sqref="C7"/>
    </sheetView>
  </sheetViews>
  <sheetFormatPr baseColWidth="10" defaultColWidth="12.6640625" defaultRowHeight="15.75" customHeight="1" x14ac:dyDescent="0.15"/>
  <cols>
    <col min="3" max="3" width="30.1640625" customWidth="1"/>
    <col min="6" max="6" width="16.6640625" customWidth="1"/>
    <col min="7" max="7" width="17.1640625" customWidth="1"/>
  </cols>
  <sheetData>
    <row r="2" spans="2:10" ht="15.75" customHeight="1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0" ht="15.75" customHeight="1" x14ac:dyDescent="0.15">
      <c r="B3" s="2" t="s">
        <v>9</v>
      </c>
      <c r="C3" s="2" t="str">
        <f ca="1">IFERROR(__xludf.DUMMYFUNCTION("googlefinance(B3,""name"")"),"Microsoft Corp")</f>
        <v>Microsoft Corp</v>
      </c>
      <c r="D3" s="2"/>
      <c r="E3" s="2">
        <f ca="1">IFERROR(__xludf.DUMMYFUNCTION("googlefinance(B3,""change"")"),1.79)</f>
        <v>1.79</v>
      </c>
      <c r="F3" s="2">
        <f ca="1">IFERROR(__xludf.DUMMYFUNCTION("googlefinance(B3,""changepct"")/100"),0.0043)</f>
        <v>4.3E-3</v>
      </c>
      <c r="G3" s="2">
        <f ca="1">IFERROR(__xludf.DUMMYFUNCTION("googlefinance(B3,""marketcap"")"),3113653458730)</f>
        <v>3113653458730</v>
      </c>
      <c r="H3" s="2">
        <f ca="1">IFERROR(__xludf.DUMMYFUNCTION("googlefinance(B3,""PE"")"),34.57)</f>
        <v>34.57</v>
      </c>
      <c r="I3" s="2">
        <f ca="1">IFERROR(__xludf.DUMMYFUNCTION("googlefinance(B3,""volume"")"),0)</f>
        <v>0</v>
      </c>
      <c r="J3" s="2">
        <f ca="1">IFERROR(__xludf.DUMMYFUNCTION("googlefinance(B3,""volumeavg"")"),21522128)</f>
        <v>21522128</v>
      </c>
    </row>
    <row r="4" spans="2:10" ht="15.75" customHeight="1" x14ac:dyDescent="0.15">
      <c r="B4" s="2" t="s">
        <v>10</v>
      </c>
      <c r="C4" s="2" t="str">
        <f ca="1">IFERROR(__xludf.DUMMYFUNCTION("googlefinance(B4,""name"")"),"Apple Inc")</f>
        <v>Apple Inc</v>
      </c>
      <c r="D4" s="2">
        <f ca="1">IFERROR(__xludf.DUMMYFUNCTION("googlefinance(B4,""price"")"),232.87)</f>
        <v>232.87</v>
      </c>
      <c r="E4" s="2">
        <f ca="1">IFERROR(__xludf.DUMMYFUNCTION("googlefinance(B4,""change"")"),3)</f>
        <v>3</v>
      </c>
      <c r="F4" s="2">
        <f ca="1">IFERROR(__xludf.DUMMYFUNCTION("googlefinance(B4,""changepct"")/100"),0.0131)</f>
        <v>1.3100000000000001E-2</v>
      </c>
      <c r="G4" s="2">
        <f ca="1">IFERROR(__xludf.DUMMYFUNCTION("googlefinance(B4,""marketcap"")"),3520020929592)</f>
        <v>3520020929592</v>
      </c>
      <c r="H4" s="2">
        <f ca="1">IFERROR(__xludf.DUMMYFUNCTION("googlefinance(B4,""PE"")"),38.28)</f>
        <v>38.28</v>
      </c>
      <c r="I4" s="2">
        <f ca="1">IFERROR(__xludf.DUMMYFUNCTION("googlefinance(B4,""volume"")"),0)</f>
        <v>0</v>
      </c>
      <c r="J4" s="2">
        <f ca="1">IFERROR(__xludf.DUMMYFUNCTION("googlefinance(B4,""volumeavg"")"),43063578)</f>
        <v>43063578</v>
      </c>
    </row>
    <row r="5" spans="2:10" ht="15.75" customHeight="1" x14ac:dyDescent="0.15">
      <c r="B5" s="2" t="s">
        <v>11</v>
      </c>
      <c r="C5" s="2" t="str">
        <f ca="1">IFERROR(__xludf.DUMMYFUNCTION("googlefinance(B5,""name"")"),"Tesla Inc")</f>
        <v>Tesla Inc</v>
      </c>
      <c r="D5" s="2">
        <f ca="1">IFERROR(__xludf.DUMMYFUNCTION("googlefinance(B5,""price"")"),338.59)</f>
        <v>338.59</v>
      </c>
      <c r="E5" s="2">
        <f ca="1">IFERROR(__xludf.DUMMYFUNCTION("googlefinance(B5,""change"")"),-13.97)</f>
        <v>-13.97</v>
      </c>
      <c r="F5" s="2">
        <f ca="1">IFERROR(__xludf.DUMMYFUNCTION("googlefinance(B5,""changepct"")/100"),-0.0395999999999999)</f>
        <v>-3.9599999999999899E-2</v>
      </c>
      <c r="G5" s="2">
        <f ca="1">IFERROR(__xludf.DUMMYFUNCTION("googlefinance(B5,""marketcap"")"),1060961595824)</f>
        <v>1060961595824</v>
      </c>
      <c r="H5" s="2">
        <f ca="1">IFERROR(__xludf.DUMMYFUNCTION("googlefinance(B5,""PE"")"),92.84)</f>
        <v>92.84</v>
      </c>
      <c r="I5" s="2">
        <f ca="1">IFERROR(__xludf.DUMMYFUNCTION("googlefinance(B5,""volume"")"),0)</f>
        <v>0</v>
      </c>
      <c r="J5" s="2">
        <f ca="1">IFERROR(__xludf.DUMMYFUNCTION("googlefinance(B5,""volumeavg"")"),99478792)</f>
        <v>99478792</v>
      </c>
    </row>
    <row r="6" spans="2:10" ht="15.75" customHeight="1" x14ac:dyDescent="0.15">
      <c r="B6" s="2" t="s">
        <v>12</v>
      </c>
      <c r="C6" s="2" t="str">
        <f ca="1">IFERROR(__xludf.DUMMYFUNCTION("googlefinance(B6,""name"")"),"Johnson &amp; Johnson")</f>
        <v>Johnson &amp; Johnson</v>
      </c>
      <c r="D6" s="2">
        <f ca="1">IFERROR(__xludf.DUMMYFUNCTION("googlefinance(B6,""price"")"),155.78)</f>
        <v>155.78</v>
      </c>
      <c r="E6" s="2">
        <f ca="1">IFERROR(__xludf.DUMMYFUNCTION("googlefinance(B6,""change"")"),0.61)</f>
        <v>0.61</v>
      </c>
      <c r="F6" s="2">
        <f ca="1">IFERROR(__xludf.DUMMYFUNCTION("googlefinance(B6,""changepct"")/100"),0.0039)</f>
        <v>3.8999999999999998E-3</v>
      </c>
      <c r="G6" s="2">
        <f ca="1">IFERROR(__xludf.DUMMYFUNCTION("googlefinance(B6,""marketcap"")"),375059352221)</f>
        <v>375059352221</v>
      </c>
      <c r="H6" s="2">
        <f ca="1">IFERROR(__xludf.DUMMYFUNCTION("googlefinance(B6,""PE"")"),25.75)</f>
        <v>25.75</v>
      </c>
      <c r="I6" s="2">
        <f ca="1">IFERROR(__xludf.DUMMYFUNCTION("googlefinance(B6,""volume"")"),0)</f>
        <v>0</v>
      </c>
      <c r="J6" s="2">
        <f ca="1">IFERROR(__xludf.DUMMYFUNCTION("googlefinance(B6,""volumeavg"")"),7142049)</f>
        <v>7142049</v>
      </c>
    </row>
    <row r="7" spans="2:10" ht="15.75" customHeight="1" x14ac:dyDescent="0.15">
      <c r="B7" s="2" t="s">
        <v>13</v>
      </c>
      <c r="C7" s="2" t="str">
        <f ca="1">IFERROR(__xludf.DUMMYFUNCTION("googlefinance(B7,""name"")"),"Walmart Inc")</f>
        <v>Walmart Inc</v>
      </c>
      <c r="D7" s="2">
        <f ca="1">IFERROR(__xludf.DUMMYFUNCTION("googlefinance(B7,""price"")"),89.5)</f>
        <v>89.5</v>
      </c>
      <c r="E7" s="2">
        <f ca="1">IFERROR(__xludf.DUMMYFUNCTION("googlefinance(B7,""change"")"),-0.94)</f>
        <v>-0.94</v>
      </c>
      <c r="F7" s="2">
        <f ca="1">IFERROR(__xludf.DUMMYFUNCTION("googlefinance(B7,""changepct"")/100"),-0.0104)</f>
        <v>-1.04E-2</v>
      </c>
      <c r="G7" s="2">
        <f ca="1">IFERROR(__xludf.DUMMYFUNCTION("googlefinance(B7,""marketcap"")"),719423375000)</f>
        <v>719423375000</v>
      </c>
      <c r="H7" s="2">
        <f ca="1">IFERROR(__xludf.DUMMYFUNCTION("googlefinance(B7,""PE"")"),46.56)</f>
        <v>46.56</v>
      </c>
      <c r="I7" s="2">
        <f ca="1">IFERROR(__xludf.DUMMYFUNCTION("googlefinance(B7,""volume"")"),0)</f>
        <v>0</v>
      </c>
      <c r="J7" s="2">
        <f ca="1">IFERROR(__xludf.DUMMYFUNCTION("googlefinance(B7,""volumeavg"")"),14249610)</f>
        <v>14249610</v>
      </c>
    </row>
    <row r="8" spans="2:10" ht="15.75" customHeight="1" x14ac:dyDescent="0.15">
      <c r="B8" s="2" t="s">
        <v>14</v>
      </c>
      <c r="C8" s="2" t="str">
        <f ca="1">IFERROR(__xludf.DUMMYFUNCTION("googlefinance(B8,""name"")"),"Coca-Cola Co")</f>
        <v>Coca-Cola Co</v>
      </c>
      <c r="D8" s="2">
        <f ca="1">IFERROR(__xludf.DUMMYFUNCTION("googlefinance(B8,""price"")"),64.38)</f>
        <v>64.38</v>
      </c>
      <c r="E8" s="2">
        <f ca="1">IFERROR(__xludf.DUMMYFUNCTION("googlefinance(B8,""change"")"),0.46)</f>
        <v>0.46</v>
      </c>
      <c r="F8" s="2">
        <f ca="1">IFERROR(__xludf.DUMMYFUNCTION("googlefinance(B8,""changepct"")/100"),0.0072)</f>
        <v>7.1999999999999998E-3</v>
      </c>
      <c r="G8" s="2">
        <f ca="1">IFERROR(__xludf.DUMMYFUNCTION("googlefinance(B8,""marketcap"")"),277335959028)</f>
        <v>277335959028</v>
      </c>
      <c r="H8" s="2">
        <f ca="1">IFERROR(__xludf.DUMMYFUNCTION("googlefinance(B8,""PE"")"),26.74)</f>
        <v>26.74</v>
      </c>
      <c r="I8" s="2">
        <f ca="1">IFERROR(__xludf.DUMMYFUNCTION("googlefinance(B8,""volume"")"),0)</f>
        <v>0</v>
      </c>
      <c r="J8" s="2">
        <f ca="1">IFERROR(__xludf.DUMMYFUNCTION("googlefinance(B8,""volumeavg"")"),15046122)</f>
        <v>15046122</v>
      </c>
    </row>
    <row r="9" spans="2:10" ht="15.75" customHeight="1" x14ac:dyDescent="0.15">
      <c r="B9" s="2" t="s">
        <v>15</v>
      </c>
      <c r="C9" s="2" t="str">
        <f ca="1">IFERROR(__xludf.DUMMYFUNCTION("googlefinance(B9,""name"")"),"PepsiCo Inc")</f>
        <v>PepsiCo Inc</v>
      </c>
      <c r="D9" s="2">
        <f ca="1">IFERROR(__xludf.DUMMYFUNCTION("googlefinance(B9,""price"")"),163.05)</f>
        <v>163.05000000000001</v>
      </c>
      <c r="E9" s="2">
        <f ca="1">IFERROR(__xludf.DUMMYFUNCTION("googlefinance(B9,""change"")"),1.05)</f>
        <v>1.05</v>
      </c>
      <c r="F9" s="2">
        <f ca="1">IFERROR(__xludf.DUMMYFUNCTION("googlefinance(B9,""changepct"")/100"),0.0065)</f>
        <v>6.4999999999999997E-3</v>
      </c>
      <c r="G9" s="2">
        <f ca="1">IFERROR(__xludf.DUMMYFUNCTION("googlefinance(B9,""marketcap"")"),223702647586)</f>
        <v>223702647586</v>
      </c>
      <c r="H9" s="2">
        <f ca="1">IFERROR(__xludf.DUMMYFUNCTION("googlefinance(B9,""PE"")"),24.03)</f>
        <v>24.03</v>
      </c>
      <c r="I9" s="2">
        <f ca="1">IFERROR(__xludf.DUMMYFUNCTION("googlefinance(B9,""volume"")"),0)</f>
        <v>0</v>
      </c>
      <c r="J9" s="2">
        <f ca="1">IFERROR(__xludf.DUMMYFUNCTION("googlefinance(B9,""volumeavg"")"),5334581)</f>
        <v>5334581</v>
      </c>
    </row>
    <row r="10" spans="2:10" ht="15.75" customHeight="1" x14ac:dyDescent="0.15">
      <c r="B10" s="2" t="s">
        <v>16</v>
      </c>
      <c r="C10" s="2" t="str">
        <f ca="1">IFERROR(__xludf.DUMMYFUNCTION("googlefinance(B10,""name"")"),"Merck &amp; Co Inc")</f>
        <v>Merck &amp; Co Inc</v>
      </c>
      <c r="D10" s="2">
        <f ca="1">IFERROR(__xludf.DUMMYFUNCTION("googlefinance(B10,""price"")"),101.16)</f>
        <v>101.16</v>
      </c>
      <c r="E10" s="2">
        <f ca="1">IFERROR(__xludf.DUMMYFUNCTION("googlefinance(B10,""change"")"),1.98)</f>
        <v>1.98</v>
      </c>
      <c r="F10" s="2">
        <f ca="1">IFERROR(__xludf.DUMMYFUNCTION("googlefinance(B10,""changepct"")/100"),0.02)</f>
        <v>0.02</v>
      </c>
      <c r="G10" s="2">
        <f ca="1">IFERROR(__xludf.DUMMYFUNCTION("googlefinance(B10,""marketcap"")"),255897987023)</f>
        <v>255897987023</v>
      </c>
      <c r="H10" s="2">
        <f ca="1">IFERROR(__xludf.DUMMYFUNCTION("googlefinance(B10,""PE"")"),21.21)</f>
        <v>21.21</v>
      </c>
      <c r="I10" s="2">
        <f ca="1">IFERROR(__xludf.DUMMYFUNCTION("googlefinance(B10,""volume"")"),0)</f>
        <v>0</v>
      </c>
      <c r="J10" s="2">
        <f ca="1">IFERROR(__xludf.DUMMYFUNCTION("googlefinance(B10,""volumeavg"")"),10661082)</f>
        <v>10661082</v>
      </c>
    </row>
    <row r="11" spans="2:10" ht="15.75" customHeight="1" x14ac:dyDescent="0.15">
      <c r="B11" s="2" t="s">
        <v>17</v>
      </c>
      <c r="C11" s="2" t="str">
        <f ca="1">IFERROR(__xludf.DUMMYFUNCTION("googlefinance(B11,""name"")"),"Amazon.com Inc")</f>
        <v>Amazon.com Inc</v>
      </c>
      <c r="D11" s="2">
        <f ca="1">IFERROR(__xludf.DUMMYFUNCTION("googlefinance(B11,""price"")"),201.45)</f>
        <v>201.45</v>
      </c>
      <c r="E11" s="2">
        <f ca="1">IFERROR(__xludf.DUMMYFUNCTION("googlefinance(B11,""change"")"),4.33)</f>
        <v>4.33</v>
      </c>
      <c r="F11" s="2">
        <f ca="1">IFERROR(__xludf.DUMMYFUNCTION("googlefinance(B11,""changepct"")/100"),0.022)</f>
        <v>2.1999999999999999E-2</v>
      </c>
      <c r="G11" s="2">
        <f ca="1">IFERROR(__xludf.DUMMYFUNCTION("googlefinance(B11,""marketcap"")"),2118248732410)</f>
        <v>2118248732410</v>
      </c>
      <c r="H11" s="2">
        <f ca="1">IFERROR(__xludf.DUMMYFUNCTION("googlefinance(B11,""PE"")"),43.17)</f>
        <v>43.17</v>
      </c>
      <c r="I11" s="2">
        <f ca="1">IFERROR(__xludf.DUMMYFUNCTION("googlefinance(B11,""volume"")"),0)</f>
        <v>0</v>
      </c>
      <c r="J11" s="2">
        <f ca="1">IFERROR(__xludf.DUMMYFUNCTION("googlefinance(B11,""volumeavg"")"),40834772)</f>
        <v>40834772</v>
      </c>
    </row>
    <row r="12" spans="2:10" ht="15.75" customHeight="1" x14ac:dyDescent="0.15">
      <c r="B12" s="2" t="s">
        <v>18</v>
      </c>
      <c r="C12" s="2" t="str">
        <f ca="1">IFERROR(__xludf.DUMMYFUNCTION("googlefinance(B12,""name"")"),"Oracle Corp")</f>
        <v>Oracle Corp</v>
      </c>
      <c r="D12" s="2">
        <f ca="1">IFERROR(__xludf.DUMMYFUNCTION("googlefinance(B12,""price"")"),187.99)</f>
        <v>187.99</v>
      </c>
      <c r="E12" s="2">
        <f ca="1">IFERROR(__xludf.DUMMYFUNCTION("googlefinance(B12,""change"")"),-4.3)</f>
        <v>-4.3</v>
      </c>
      <c r="F12" s="2">
        <f ca="1">IFERROR(__xludf.DUMMYFUNCTION("googlefinance(B12,""changepct"")/100"),-0.0224)</f>
        <v>-2.24E-2</v>
      </c>
      <c r="G12" s="2">
        <f ca="1">IFERROR(__xludf.DUMMYFUNCTION("googlefinance(B12,""marketcap"")"),520932148591)</f>
        <v>520932148591</v>
      </c>
      <c r="H12" s="2">
        <f ca="1">IFERROR(__xludf.DUMMYFUNCTION("googlefinance(B12,""PE"")"),48.48)</f>
        <v>48.48</v>
      </c>
      <c r="I12" s="2">
        <f ca="1">IFERROR(__xludf.DUMMYFUNCTION("googlefinance(B12,""volume"")"),0)</f>
        <v>0</v>
      </c>
      <c r="J12" s="2">
        <f ca="1">IFERROR(__xludf.DUMMYFUNCTION("googlefinance(B12,""volumeavg"")"),6292946)</f>
        <v>6292946</v>
      </c>
    </row>
    <row r="13" spans="2:10" ht="15.75" customHeight="1" x14ac:dyDescent="0.15">
      <c r="B13" s="2" t="s">
        <v>19</v>
      </c>
      <c r="C13" s="2" t="str">
        <f ca="1">IFERROR(__xludf.DUMMYFUNCTION("googlefinance(B13,""name"")"),"Mastercard Inc")</f>
        <v>Mastercard Inc</v>
      </c>
      <c r="D13" s="2">
        <f ca="1">IFERROR(__xludf.DUMMYFUNCTION("googlefinance(B13,""price"")"),526.6)</f>
        <v>526.6</v>
      </c>
      <c r="E13" s="2">
        <f ca="1">IFERROR(__xludf.DUMMYFUNCTION("googlefinance(B13,""change"")"),5.74)</f>
        <v>5.74</v>
      </c>
      <c r="F13" s="2">
        <f ca="1">IFERROR(__xludf.DUMMYFUNCTION("googlefinance(B13,""changepct"")/100"),0.011)</f>
        <v>1.0999999999999999E-2</v>
      </c>
      <c r="G13" s="2">
        <f ca="1">IFERROR(__xludf.DUMMYFUNCTION("googlefinance(B13,""marketcap"")"),483329782192)</f>
        <v>483329782192</v>
      </c>
      <c r="H13" s="2">
        <f ca="1">IFERROR(__xludf.DUMMYFUNCTION("googlefinance(B13,""PE"")"),39.8)</f>
        <v>39.799999999999997</v>
      </c>
      <c r="I13" s="2">
        <f ca="1">IFERROR(__xludf.DUMMYFUNCTION("googlefinance(B13,""volume"")"),0)</f>
        <v>0</v>
      </c>
      <c r="J13" s="2">
        <f ca="1">IFERROR(__xludf.DUMMYFUNCTION("googlefinance(B13,""volumeavg"")"),2584682)</f>
        <v>2584682</v>
      </c>
    </row>
    <row r="14" spans="2:10" ht="15.75" customHeight="1" x14ac:dyDescent="0.15">
      <c r="B14" s="2" t="s">
        <v>20</v>
      </c>
      <c r="C14" s="2" t="str">
        <f ca="1">IFERROR(__xludf.DUMMYFUNCTION("googlefinance(B14,""name"")"),"Procter &amp; Gamble Co")</f>
        <v>Procter &amp; Gamble Co</v>
      </c>
      <c r="D14" s="2">
        <f ca="1">IFERROR(__xludf.DUMMYFUNCTION("googlefinance(B14,""price"")"),177.39)</f>
        <v>177.39</v>
      </c>
      <c r="E14" s="2">
        <f ca="1">IFERROR(__xludf.DUMMYFUNCTION("googlefinance(B14,""change"")"),1.11)</f>
        <v>1.1100000000000001</v>
      </c>
      <c r="F14" s="2">
        <f ca="1">IFERROR(__xludf.DUMMYFUNCTION("googlefinance(B14,""changepct"")/100"),0.0063)</f>
        <v>6.3E-3</v>
      </c>
      <c r="G14" s="2">
        <f ca="1">IFERROR(__xludf.DUMMYFUNCTION("googlefinance(B14,""marketcap"")"),417760721552)</f>
        <v>417760721552</v>
      </c>
      <c r="H14" s="2">
        <f ca="1">IFERROR(__xludf.DUMMYFUNCTION("googlefinance(B14,""PE"")"),30.6)</f>
        <v>30.6</v>
      </c>
      <c r="I14" s="2">
        <f ca="1">IFERROR(__xludf.DUMMYFUNCTION("googlefinance(B14,""volume"")"),0)</f>
        <v>0</v>
      </c>
      <c r="J14" s="2">
        <f ca="1">IFERROR(__xludf.DUMMYFUNCTION("googlefinance(B14,""volumeavg"")"),6707409)</f>
        <v>6707409</v>
      </c>
    </row>
    <row r="15" spans="2:10" ht="15.75" customHeight="1" x14ac:dyDescent="0.15">
      <c r="B15" s="2" t="s">
        <v>21</v>
      </c>
      <c r="C15" s="2" t="str">
        <f ca="1">IFERROR(__xludf.DUMMYFUNCTION("googlefinance(B15,""name"")"),"Visa Inc")</f>
        <v>Visa Inc</v>
      </c>
      <c r="D15" s="2">
        <f ca="1">IFERROR(__xludf.DUMMYFUNCTION("googlefinance(B15,""price"")"),313.19)</f>
        <v>313.19</v>
      </c>
      <c r="E15" s="2">
        <f ca="1">IFERROR(__xludf.DUMMYFUNCTION("googlefinance(B15,""change"")"),3.27)</f>
        <v>3.27</v>
      </c>
      <c r="F15" s="2">
        <f ca="1">IFERROR(__xludf.DUMMYFUNCTION("googlefinance(B15,""changepct"")/100"),0.0106)</f>
        <v>1.06E-2</v>
      </c>
      <c r="G15" s="2">
        <f ca="1">IFERROR(__xludf.DUMMYFUNCTION("googlefinance(B15,""marketcap"")"),613770662194)</f>
        <v>613770662194</v>
      </c>
      <c r="H15" s="2">
        <f ca="1">IFERROR(__xludf.DUMMYFUNCTION("googlefinance(B15,""PE"")"),32.19)</f>
        <v>32.19</v>
      </c>
      <c r="I15" s="2">
        <f ca="1">IFERROR(__xludf.DUMMYFUNCTION("googlefinance(B15,""volume"")"),0)</f>
        <v>0</v>
      </c>
      <c r="J15" s="2">
        <f ca="1">IFERROR(__xludf.DUMMYFUNCTION("googlefinance(B15,""volumeavg"")"),5863932)</f>
        <v>5863932</v>
      </c>
    </row>
    <row r="16" spans="2:10" ht="15.75" customHeight="1" x14ac:dyDescent="0.15">
      <c r="B16" s="2" t="s">
        <v>22</v>
      </c>
      <c r="C16" s="2" t="str">
        <f ca="1">IFERROR(__xludf.DUMMYFUNCTION("googlefinance(B16,""name"")"),"Alphabet Inc Class C")</f>
        <v>Alphabet Inc Class C</v>
      </c>
      <c r="D16" s="2">
        <f ca="1">IFERROR(__xludf.DUMMYFUNCTION("googlefinance(B16,""price"")"),169.43)</f>
        <v>169.43</v>
      </c>
      <c r="E16" s="2">
        <f ca="1">IFERROR(__xludf.DUMMYFUNCTION("googlefinance(B16,""change"")"),2.86)</f>
        <v>2.86</v>
      </c>
      <c r="F16" s="2">
        <f ca="1">IFERROR(__xludf.DUMMYFUNCTION("googlefinance(B16,""changepct"")/100"),0.0172)</f>
        <v>1.72E-2</v>
      </c>
      <c r="G16" s="2">
        <f ca="1">IFERROR(__xludf.DUMMYFUNCTION("googlefinance(B16,""marketcap"")"),2062395018415)</f>
        <v>2062395018415</v>
      </c>
      <c r="H16" s="2">
        <f ca="1">IFERROR(__xludf.DUMMYFUNCTION("googlefinance(B16,""PE"")"),22.48)</f>
        <v>22.48</v>
      </c>
      <c r="I16" s="2">
        <f ca="1">IFERROR(__xludf.DUMMYFUNCTION("googlefinance(B16,""volume"")"),0)</f>
        <v>0</v>
      </c>
      <c r="J16" s="2">
        <f ca="1">IFERROR(__xludf.DUMMYFUNCTION("googlefinance(B16,""volumeavg"")"),18710740)</f>
        <v>18710740</v>
      </c>
    </row>
    <row r="17" spans="2:10" ht="15.75" customHeight="1" x14ac:dyDescent="0.15">
      <c r="B17" s="2" t="s">
        <v>23</v>
      </c>
      <c r="C17" s="2" t="str">
        <f ca="1">IFERROR(__xludf.DUMMYFUNCTION("googlefinance(B17,""name"")"),"Ford Motor Co")</f>
        <v>Ford Motor Co</v>
      </c>
      <c r="D17" s="2">
        <f ca="1">IFERROR(__xludf.DUMMYFUNCTION("googlefinance(B17,""price"")"),11.4)</f>
        <v>11.4</v>
      </c>
      <c r="E17" s="2">
        <f ca="1">IFERROR(__xludf.DUMMYFUNCTION("googlefinance(B17,""change"")"),0.22)</f>
        <v>0.22</v>
      </c>
      <c r="F17" s="2">
        <f ca="1">IFERROR(__xludf.DUMMYFUNCTION("googlefinance(B17,""changepct"")/100"),0.0197)</f>
        <v>1.9699999999999999E-2</v>
      </c>
      <c r="G17" s="2">
        <f ca="1">IFERROR(__xludf.DUMMYFUNCTION("googlefinance(B17,""marketcap"")"),45306881683)</f>
        <v>45306881683</v>
      </c>
      <c r="H17" s="2">
        <f ca="1">IFERROR(__xludf.DUMMYFUNCTION("googlefinance(B17,""PE"")"),13)</f>
        <v>13</v>
      </c>
      <c r="I17" s="2">
        <f ca="1">IFERROR(__xludf.DUMMYFUNCTION("googlefinance(B17,""volume"")"),0)</f>
        <v>0</v>
      </c>
      <c r="J17" s="2">
        <f ca="1">IFERROR(__xludf.DUMMYFUNCTION("googlefinance(B17,""volumeavg"")"),57414801)</f>
        <v>57414801</v>
      </c>
    </row>
    <row r="18" spans="2:10" ht="15.75" customHeight="1" x14ac:dyDescent="0.15">
      <c r="B18" s="2" t="s">
        <v>24</v>
      </c>
      <c r="C18" s="2" t="str">
        <f ca="1">IFERROR(__xludf.DUMMYFUNCTION("googlefinance(B18,""name"")"),"Container Store Group Inc")</f>
        <v>Container Store Group Inc</v>
      </c>
      <c r="D18" s="2">
        <f ca="1">IFERROR(__xludf.DUMMYFUNCTION("googlefinance(B18,""price"")"),3.81)</f>
        <v>3.81</v>
      </c>
      <c r="E18" s="2">
        <f ca="1">IFERROR(__xludf.DUMMYFUNCTION("googlefinance(B18,""change"")"),-0.16)</f>
        <v>-0.16</v>
      </c>
      <c r="F18" s="2">
        <f ca="1">IFERROR(__xludf.DUMMYFUNCTION("googlefinance(B18,""changepct"")/100"),-0.0403)</f>
        <v>-4.0300000000000002E-2</v>
      </c>
      <c r="G18" s="2">
        <f ca="1">IFERROR(__xludf.DUMMYFUNCTION("googlefinance(B18,""marketcap"")"),13149258)</f>
        <v>13149258</v>
      </c>
      <c r="H18" s="2" t="str">
        <f ca="1">IFERROR(__xludf.DUMMYFUNCTION("googlefinance(B18,""PE"")"),"#N/A")</f>
        <v>#N/A</v>
      </c>
      <c r="I18" s="2">
        <f ca="1">IFERROR(__xludf.DUMMYFUNCTION("googlefinance(B18,""volume"")"),0)</f>
        <v>0</v>
      </c>
      <c r="J18" s="2">
        <f ca="1">IFERROR(__xludf.DUMMYFUNCTION("googlefinance(B18,""volumeavg"")"),207854)</f>
        <v>207854</v>
      </c>
    </row>
    <row r="19" spans="2:10" ht="15.75" customHeight="1" x14ac:dyDescent="0.15">
      <c r="B19" s="2" t="s">
        <v>25</v>
      </c>
      <c r="C19" s="2" t="str">
        <f ca="1">IFERROR(__xludf.DUMMYFUNCTION("googlefinance(B19,""name"")"),"Visteon Corp")</f>
        <v>Visteon Corp</v>
      </c>
      <c r="D19" s="2">
        <f ca="1">IFERROR(__xludf.DUMMYFUNCTION("googlefinance(B19,""price"")"),95.86)</f>
        <v>95.86</v>
      </c>
      <c r="E19" s="2">
        <f ca="1">IFERROR(__xludf.DUMMYFUNCTION("googlefinance(B19,""change"")"),3.85)</f>
        <v>3.85</v>
      </c>
      <c r="F19" s="2">
        <f ca="1">IFERROR(__xludf.DUMMYFUNCTION("googlefinance(B19,""changepct"")/100"),0.0418)</f>
        <v>4.1799999999999997E-2</v>
      </c>
      <c r="G19" s="2">
        <f ca="1">IFERROR(__xludf.DUMMYFUNCTION("googlefinance(B19,""marketcap"")"),2647545853)</f>
        <v>2647545853</v>
      </c>
      <c r="H19" s="2">
        <f ca="1">IFERROR(__xludf.DUMMYFUNCTION("googlefinance(B19,""PE"")"),5.2)</f>
        <v>5.2</v>
      </c>
      <c r="I19" s="2">
        <f ca="1">IFERROR(__xludf.DUMMYFUNCTION("googlefinance(B19,""volume"")"),0)</f>
        <v>0</v>
      </c>
      <c r="J19" s="2">
        <f ca="1">IFERROR(__xludf.DUMMYFUNCTION("googlefinance(B19,""volumeavg"")"),328355)</f>
        <v>328355</v>
      </c>
    </row>
    <row r="20" spans="2:10" ht="15.75" customHeight="1" x14ac:dyDescent="0.15">
      <c r="B20" s="2" t="s">
        <v>26</v>
      </c>
      <c r="C20" s="2" t="str">
        <f ca="1">IFERROR(__xludf.DUMMYFUNCTION("googlefinance(B20,""name"")"),"Mahindra And Mahindra Ltd")</f>
        <v>Mahindra And Mahindra Ltd</v>
      </c>
      <c r="D20" s="2">
        <f ca="1">IFERROR(__xludf.DUMMYFUNCTION("googlefinance(B20,""price"")"),2957.55)</f>
        <v>2957.55</v>
      </c>
      <c r="E20" s="2">
        <f ca="1">IFERROR(__xludf.DUMMYFUNCTION("googlefinance(B20,""change"")"),-88.05)</f>
        <v>-88.05</v>
      </c>
      <c r="F20" s="2">
        <f ca="1">IFERROR(__xludf.DUMMYFUNCTION("googlefinance(B20,""changepct"")/100"),-0.0289)</f>
        <v>-2.8899999999999999E-2</v>
      </c>
      <c r="G20" s="2">
        <f ca="1">IFERROR(__xludf.DUMMYFUNCTION("googlefinance(B20,""marketcap"")"),3545170880279)</f>
        <v>3545170880279</v>
      </c>
      <c r="H20" s="2">
        <f ca="1">IFERROR(__xludf.DUMMYFUNCTION("googlefinance(B20,""PE"")"),27.89)</f>
        <v>27.89</v>
      </c>
      <c r="I20" s="2">
        <f ca="1">IFERROR(__xludf.DUMMYFUNCTION("googlefinance(B20,""volume"")"),1340818)</f>
        <v>1340818</v>
      </c>
      <c r="J20" s="2">
        <f ca="1">IFERROR(__xludf.DUMMYFUNCTION("googlefinance(B20,""volumeavg"")"),3675740)</f>
        <v>3675740</v>
      </c>
    </row>
    <row r="21" spans="2:10" ht="15.75" customHeight="1" x14ac:dyDescent="0.15">
      <c r="B21" s="2" t="s">
        <v>27</v>
      </c>
      <c r="C21" s="2" t="str">
        <f ca="1">IFERROR(__xludf.DUMMYFUNCTION("googlefinance(B21,""name"")"),"Infosys Ltd ADR")</f>
        <v>Infosys Ltd ADR</v>
      </c>
      <c r="D21" s="2">
        <f ca="1">IFERROR(__xludf.DUMMYFUNCTION("googlefinance(B21,""price"")"),22.84)</f>
        <v>22.84</v>
      </c>
      <c r="E21" s="2">
        <f ca="1">IFERROR(__xludf.DUMMYFUNCTION("googlefinance(B21,""change"")"),0.05)</f>
        <v>0.05</v>
      </c>
      <c r="F21" s="2">
        <f ca="1">IFERROR(__xludf.DUMMYFUNCTION("googlefinance(B21,""changepct"")/100"),0.0022)</f>
        <v>2.2000000000000001E-3</v>
      </c>
      <c r="G21" s="2">
        <f ca="1">IFERROR(__xludf.DUMMYFUNCTION("googlefinance(B21,""marketcap"")"),7965497406776)</f>
        <v>7965497406776</v>
      </c>
      <c r="H21" s="2">
        <f ca="1">IFERROR(__xludf.DUMMYFUNCTION("googlefinance(B21,""PE"")"),29.68)</f>
        <v>29.68</v>
      </c>
      <c r="I21" s="2">
        <f ca="1">IFERROR(__xludf.DUMMYFUNCTION("googlefinance(B21,""volume"")"),0)</f>
        <v>0</v>
      </c>
      <c r="J21" s="2">
        <f ca="1">IFERROR(__xludf.DUMMYFUNCTION("googlefinance(B21,""volumeavg"")"),8496928)</f>
        <v>8496928</v>
      </c>
    </row>
    <row r="22" spans="2:10" ht="15.75" customHeight="1" x14ac:dyDescent="0.15">
      <c r="B22" s="2" t="s">
        <v>28</v>
      </c>
      <c r="C22" s="2" t="str">
        <f ca="1">IFERROR(__xludf.DUMMYFUNCTION("googlefinance(B22,""name"")"),"State Bank of India")</f>
        <v>State Bank of India</v>
      </c>
      <c r="D22" s="2">
        <f ca="1">IFERROR(__xludf.DUMMYFUNCTION("googlefinance(B22,""price"")"),836.9)</f>
        <v>836.9</v>
      </c>
      <c r="E22" s="2">
        <f ca="1">IFERROR(__xludf.DUMMYFUNCTION("googlefinance(B22,""change"")"),-7.55)</f>
        <v>-7.55</v>
      </c>
      <c r="F22" s="2">
        <f ca="1">IFERROR(__xludf.DUMMYFUNCTION("googlefinance(B22,""changepct"")/100"),-0.0089)</f>
        <v>-8.8999999999999999E-3</v>
      </c>
      <c r="G22" s="2">
        <f ca="1">IFERROR(__xludf.DUMMYFUNCTION("googlefinance(B22,""marketcap"")"),7453967058750)</f>
        <v>7453967058750</v>
      </c>
      <c r="H22" s="2">
        <f ca="1">IFERROR(__xludf.DUMMYFUNCTION("googlefinance(B22,""PE"")"),10.43)</f>
        <v>10.43</v>
      </c>
      <c r="I22" s="2">
        <f ca="1">IFERROR(__xludf.DUMMYFUNCTION("googlefinance(B22,""volume"")"),6437014)</f>
        <v>6437014</v>
      </c>
      <c r="J22" s="2">
        <f ca="1">IFERROR(__xludf.DUMMYFUNCTION("googlefinance(B22,""volumeavg"")"),13774368)</f>
        <v>13774368</v>
      </c>
    </row>
    <row r="23" spans="2:10" ht="15.75" customHeight="1" x14ac:dyDescent="0.15">
      <c r="B23" s="2" t="s">
        <v>29</v>
      </c>
      <c r="C23" s="2" t="str">
        <f ca="1">IFERROR(__xludf.DUMMYFUNCTION("googlefinance(B23,""name"")"),"Reliance Industries Ltd")</f>
        <v>Reliance Industries Ltd</v>
      </c>
      <c r="D23" s="2">
        <f ca="1">IFERROR(__xludf.DUMMYFUNCTION("googlefinance(B23,""price"")"),1287.05)</f>
        <v>1287.05</v>
      </c>
      <c r="E23" s="2">
        <f ca="1">IFERROR(__xludf.DUMMYFUNCTION("googlefinance(B23,""change"")"),0.05)</f>
        <v>0.05</v>
      </c>
      <c r="F23" s="2">
        <f ca="1">IFERROR(__xludf.DUMMYFUNCTION("googlefinance(B23,""changepct"")/100"),0)</f>
        <v>0</v>
      </c>
      <c r="G23" s="2">
        <f ca="1">IFERROR(__xludf.DUMMYFUNCTION("googlefinance(B23,""marketcap"")"),17418047635527)</f>
        <v>17418047635527</v>
      </c>
      <c r="H23" s="2">
        <f ca="1">IFERROR(__xludf.DUMMYFUNCTION("googlefinance(B23,""PE"")"),25.7)</f>
        <v>25.7</v>
      </c>
      <c r="I23" s="2">
        <f ca="1">IFERROR(__xludf.DUMMYFUNCTION("googlefinance(B23,""volume"")"),5745341)</f>
        <v>5745341</v>
      </c>
      <c r="J23" s="2">
        <f ca="1">IFERROR(__xludf.DUMMYFUNCTION("googlefinance(B23,""volumeavg"")"),14876346)</f>
        <v>14876346</v>
      </c>
    </row>
    <row r="24" spans="2:10" ht="15.75" customHeight="1" x14ac:dyDescent="0.15">
      <c r="B24" s="2" t="s">
        <v>30</v>
      </c>
      <c r="C24" s="2" t="str">
        <f ca="1">IFERROR(__xludf.DUMMYFUNCTION("googlefinance(B24,""name"")"),"NVIDIA Corp")</f>
        <v>NVIDIA Corp</v>
      </c>
      <c r="D24" s="2">
        <f ca="1">IFERROR(__xludf.DUMMYFUNCTION("googlefinance(B24,""price"")"),136.02)</f>
        <v>136.02000000000001</v>
      </c>
      <c r="E24" s="2">
        <f ca="1">IFERROR(__xludf.DUMMYFUNCTION("googlefinance(B24,""change"")"),-5.93)</f>
        <v>-5.93</v>
      </c>
      <c r="F24" s="2">
        <f ca="1">IFERROR(__xludf.DUMMYFUNCTION("googlefinance(B24,""changepct"")/100"),-0.0418)</f>
        <v>-4.1799999999999997E-2</v>
      </c>
      <c r="G24" s="2">
        <f ca="1">IFERROR(__xludf.DUMMYFUNCTION("googlefinance(B24,""marketcap"")"),3336570704803)</f>
        <v>3336570704803</v>
      </c>
      <c r="H24" s="2">
        <f ca="1">IFERROR(__xludf.DUMMYFUNCTION("googlefinance(B24,""PE"")"),53.6)</f>
        <v>53.6</v>
      </c>
      <c r="I24" s="2">
        <f ca="1">IFERROR(__xludf.DUMMYFUNCTION("googlefinance(B24,""volume"")"),0)</f>
        <v>0</v>
      </c>
      <c r="J24" s="2">
        <f ca="1">IFERROR(__xludf.DUMMYFUNCTION("googlefinance(B24,""volumeavg"")"),229570202)</f>
        <v>229570202</v>
      </c>
    </row>
    <row r="25" spans="2:10" ht="15.75" customHeight="1" x14ac:dyDescent="0.15">
      <c r="B25" s="2" t="s">
        <v>31</v>
      </c>
      <c r="C25" s="2" t="str">
        <f ca="1">IFERROR(__xludf.DUMMYFUNCTION("googlefinance(B25,""name"")"),"Netflix Inc")</f>
        <v>Netflix Inc</v>
      </c>
      <c r="D25" s="2">
        <f ca="1">IFERROR(__xludf.DUMMYFUNCTION("googlefinance(B25,""price"")"),865.59)</f>
        <v>865.59</v>
      </c>
      <c r="E25" s="2">
        <f ca="1">IFERROR(__xludf.DUMMYFUNCTION("googlefinance(B25,""change"")"),-32.2)</f>
        <v>-32.200000000000003</v>
      </c>
      <c r="F25" s="2">
        <f ca="1">IFERROR(__xludf.DUMMYFUNCTION("googlefinance(B25,""changepct"")/100"),-0.0359)</f>
        <v>-3.5900000000000001E-2</v>
      </c>
      <c r="G25" s="2">
        <f ca="1">IFERROR(__xludf.DUMMYFUNCTION("googlefinance(B25,""marketcap"")"),370003381699)</f>
        <v>370003381699</v>
      </c>
      <c r="H25" s="2">
        <f ca="1">IFERROR(__xludf.DUMMYFUNCTION("googlefinance(B25,""PE"")"),48.98)</f>
        <v>48.98</v>
      </c>
      <c r="I25" s="2">
        <f ca="1">IFERROR(__xludf.DUMMYFUNCTION("googlefinance(B25,""volume"")"),0)</f>
        <v>0</v>
      </c>
      <c r="J25" s="2">
        <f ca="1">IFERROR(__xludf.DUMMYFUNCTION("googlefinance(B25,""volumeavg"")"),3769648)</f>
        <v>3769648</v>
      </c>
    </row>
    <row r="26" spans="2:10" ht="15.75" customHeight="1" x14ac:dyDescent="0.15">
      <c r="B26" s="2" t="s">
        <v>32</v>
      </c>
      <c r="C26" s="2" t="str">
        <f ca="1">IFERROR(__xludf.DUMMYFUNCTION("googlefinance(B26,""name"")"),"Walt Disney Co")</f>
        <v>Walt Disney Co</v>
      </c>
      <c r="D26" s="2">
        <f ca="1">IFERROR(__xludf.DUMMYFUNCTION("googlefinance(B26,""price"")"),116)</f>
        <v>116</v>
      </c>
      <c r="E26" s="2">
        <f ca="1">IFERROR(__xludf.DUMMYFUNCTION("googlefinance(B26,""change"")"),0.35)</f>
        <v>0.35</v>
      </c>
      <c r="F26" s="2">
        <f ca="1">IFERROR(__xludf.DUMMYFUNCTION("googlefinance(B26,""changepct"")/100"),0.003)</f>
        <v>3.0000000000000001E-3</v>
      </c>
      <c r="G26" s="2">
        <f ca="1">IFERROR(__xludf.DUMMYFUNCTION("googlefinance(B26,""marketcap"")"),210068924000)</f>
        <v>210068924000</v>
      </c>
      <c r="H26" s="2">
        <f ca="1">IFERROR(__xludf.DUMMYFUNCTION("googlefinance(B26,""PE"")"),42.72)</f>
        <v>42.72</v>
      </c>
      <c r="I26" s="2">
        <f ca="1">IFERROR(__xludf.DUMMYFUNCTION("googlefinance(B26,""volume"")"),0)</f>
        <v>0</v>
      </c>
      <c r="J26" s="2">
        <f ca="1">IFERROR(__xludf.DUMMYFUNCTION("googlefinance(B26,""volumeavg"")"),10726237)</f>
        <v>10726237</v>
      </c>
    </row>
    <row r="27" spans="2:10" ht="15.75" customHeight="1" x14ac:dyDescent="0.15">
      <c r="B27" s="2" t="s">
        <v>33</v>
      </c>
      <c r="C27" s="2" t="str">
        <f ca="1">IFERROR(__xludf.DUMMYFUNCTION("googlefinance(B27,""name"")"),"Berkshire Hathaway Inc Class B")</f>
        <v>Berkshire Hathaway Inc Class B</v>
      </c>
      <c r="D27" s="2">
        <f ca="1">IFERROR(__xludf.DUMMYFUNCTION("googlefinance(B27,""price"")"),477.43)</f>
        <v>477.43</v>
      </c>
      <c r="E27" s="2">
        <f ca="1">IFERROR(__xludf.DUMMYFUNCTION("googlefinance(B27,""change"")"),0.86)</f>
        <v>0.86</v>
      </c>
      <c r="F27" s="2">
        <f ca="1">IFERROR(__xludf.DUMMYFUNCTION("googlefinance(B27,""changepct"")/100"),0.0018)</f>
        <v>1.8E-3</v>
      </c>
      <c r="G27" s="2">
        <f ca="1">IFERROR(__xludf.DUMMYFUNCTION("googlefinance(B27,""marketcap"")"),1030411726079)</f>
        <v>1030411726079</v>
      </c>
      <c r="H27" s="2">
        <f ca="1">IFERROR(__xludf.DUMMYFUNCTION("googlefinance(B27,""PE"")"),0.01)</f>
        <v>0.01</v>
      </c>
      <c r="I27" s="2">
        <f ca="1">IFERROR(__xludf.DUMMYFUNCTION("googlefinance(B27,""volume"")"),0)</f>
        <v>0</v>
      </c>
      <c r="J27" s="2">
        <f ca="1">IFERROR(__xludf.DUMMYFUNCTION("googlefinance(B27,""volumeavg"")"),3831827)</f>
        <v>3831827</v>
      </c>
    </row>
    <row r="28" spans="2:10" ht="15.75" customHeight="1" x14ac:dyDescent="0.15">
      <c r="B28" s="2" t="s">
        <v>34</v>
      </c>
      <c r="C28" s="2" t="str">
        <f ca="1">IFERROR(__xludf.DUMMYFUNCTION("googlefinance(B28,""name"")"),"JPMorgan Chase &amp; Co")</f>
        <v>JPMorgan Chase &amp; Co</v>
      </c>
      <c r="D28" s="2">
        <f ca="1">IFERROR(__xludf.DUMMYFUNCTION("googlefinance(B28,""price"")"),250.29)</f>
        <v>250.29</v>
      </c>
      <c r="E28" s="2">
        <f ca="1">IFERROR(__xludf.DUMMYFUNCTION("googlefinance(B28,""change"")"),1.74)</f>
        <v>1.74</v>
      </c>
      <c r="F28" s="2">
        <f ca="1">IFERROR(__xludf.DUMMYFUNCTION("googlefinance(B28,""changepct"")/100"),0.00699999999999999)</f>
        <v>6.9999999999999897E-3</v>
      </c>
      <c r="G28" s="2">
        <f ca="1">IFERROR(__xludf.DUMMYFUNCTION("googlefinance(B28,""marketcap"")"),704651429698)</f>
        <v>704651429698</v>
      </c>
      <c r="H28" s="2">
        <f ca="1">IFERROR(__xludf.DUMMYFUNCTION("googlefinance(B28,""PE"")"),13.92)</f>
        <v>13.92</v>
      </c>
      <c r="I28" s="2">
        <f ca="1">IFERROR(__xludf.DUMMYFUNCTION("googlefinance(B28,""volume"")"),0)</f>
        <v>0</v>
      </c>
      <c r="J28" s="2">
        <f ca="1">IFERROR(__xludf.DUMMYFUNCTION("googlefinance(B28,""volumeavg"")"),8729622)</f>
        <v>8729622</v>
      </c>
    </row>
    <row r="29" spans="2:10" ht="15.75" customHeight="1" x14ac:dyDescent="0.15">
      <c r="B29" s="2" t="s">
        <v>35</v>
      </c>
      <c r="C29" s="2" t="str">
        <f ca="1">IFERROR(__xludf.DUMMYFUNCTION("googlefinance(B29,""name"")"),"Bank of America Corp")</f>
        <v>Bank of America Corp</v>
      </c>
      <c r="D29" s="2">
        <f ca="1">IFERROR(__xludf.DUMMYFUNCTION("googlefinance(B29,""price"")"),47.5)</f>
        <v>47.5</v>
      </c>
      <c r="E29" s="2">
        <f ca="1">IFERROR(__xludf.DUMMYFUNCTION("googlefinance(B29,""change"")"),0.5)</f>
        <v>0.5</v>
      </c>
      <c r="F29" s="2">
        <f ca="1">IFERROR(__xludf.DUMMYFUNCTION("googlefinance(B29,""changepct"")/100"),0.0106)</f>
        <v>1.06E-2</v>
      </c>
      <c r="G29" s="2">
        <f ca="1">IFERROR(__xludf.DUMMYFUNCTION("googlefinance(B29,""marketcap"")"),364461705000)</f>
        <v>364461705000</v>
      </c>
      <c r="H29" s="2">
        <f ca="1">IFERROR(__xludf.DUMMYFUNCTION("googlefinance(B29,""PE"")"),17.27)</f>
        <v>17.27</v>
      </c>
      <c r="I29" s="2">
        <f ca="1">IFERROR(__xludf.DUMMYFUNCTION("googlefinance(B29,""volume"")"),0)</f>
        <v>0</v>
      </c>
      <c r="J29" s="2">
        <f ca="1">IFERROR(__xludf.DUMMYFUNCTION("googlefinance(B29,""volumeavg"")"),37076847)</f>
        <v>37076847</v>
      </c>
    </row>
    <row r="30" spans="2:10" ht="15.75" customHeight="1" x14ac:dyDescent="0.15">
      <c r="B30" s="2" t="s">
        <v>36</v>
      </c>
      <c r="C30" s="2" t="str">
        <f ca="1">IFERROR(__xludf.DUMMYFUNCTION("googlefinance(B30,""name"")"),"Exxon Mobil Corp")</f>
        <v>Exxon Mobil Corp</v>
      </c>
      <c r="D30" s="2">
        <f ca="1">IFERROR(__xludf.DUMMYFUNCTION("googlefinance(B30,""price"")"),119.97)</f>
        <v>119.97</v>
      </c>
      <c r="E30" s="2">
        <f ca="1">IFERROR(__xludf.DUMMYFUNCTION("googlefinance(B30,""change"")"),-1.82)</f>
        <v>-1.82</v>
      </c>
      <c r="F30" s="2">
        <f ca="1">IFERROR(__xludf.DUMMYFUNCTION("googlefinance(B30,""changepct"")/100"),-0.0149)</f>
        <v>-1.49E-2</v>
      </c>
      <c r="G30" s="2">
        <f ca="1">IFERROR(__xludf.DUMMYFUNCTION("googlefinance(B30,""marketcap"")"),527279432545)</f>
        <v>527279432545</v>
      </c>
      <c r="H30" s="2">
        <f ca="1">IFERROR(__xludf.DUMMYFUNCTION("googlefinance(B30,""PE"")"),14.95)</f>
        <v>14.95</v>
      </c>
      <c r="I30" s="2">
        <f ca="1">IFERROR(__xludf.DUMMYFUNCTION("googlefinance(B30,""volume"")"),0)</f>
        <v>0</v>
      </c>
      <c r="J30" s="2">
        <f ca="1">IFERROR(__xludf.DUMMYFUNCTION("googlefinance(B30,""volumeavg"")"),13144733)</f>
        <v>13144733</v>
      </c>
    </row>
    <row r="31" spans="2:10" ht="15.75" customHeight="1" x14ac:dyDescent="0.15">
      <c r="B31" s="2" t="s">
        <v>37</v>
      </c>
      <c r="C31" s="2" t="str">
        <f ca="1">IFERROR(__xludf.DUMMYFUNCTION("googlefinance(B31,""name"")"),"Chevron Corp")</f>
        <v>Chevron Corp</v>
      </c>
      <c r="D31" s="2">
        <f ca="1">IFERROR(__xludf.DUMMYFUNCTION("googlefinance(B31,""price"")"),160.36)</f>
        <v>160.36000000000001</v>
      </c>
      <c r="E31" s="2">
        <f ca="1">IFERROR(__xludf.DUMMYFUNCTION("googlefinance(B31,""change"")"),-2)</f>
        <v>-2</v>
      </c>
      <c r="F31" s="2">
        <f ca="1">IFERROR(__xludf.DUMMYFUNCTION("googlefinance(B31,""changepct"")/100"),-0.0123)</f>
        <v>-1.23E-2</v>
      </c>
      <c r="G31" s="2">
        <f ca="1">IFERROR(__xludf.DUMMYFUNCTION("googlefinance(B31,""marketcap"")"),288181513856)</f>
        <v>288181513856</v>
      </c>
      <c r="H31" s="2">
        <f ca="1">IFERROR(__xludf.DUMMYFUNCTION("googlefinance(B31,""PE"")"),17.65)</f>
        <v>17.649999999999999</v>
      </c>
      <c r="I31" s="2">
        <f ca="1">IFERROR(__xludf.DUMMYFUNCTION("googlefinance(B31,""volume"")"),0)</f>
        <v>0</v>
      </c>
      <c r="J31" s="2">
        <f ca="1">IFERROR(__xludf.DUMMYFUNCTION("googlefinance(B31,""volumeavg"")"),6893801)</f>
        <v>6893801</v>
      </c>
    </row>
    <row r="32" spans="2:10" ht="15.75" customHeight="1" x14ac:dyDescent="0.15">
      <c r="B32" s="2" t="s">
        <v>38</v>
      </c>
      <c r="C32" s="2" t="str">
        <f ca="1">IFERROR(__xludf.DUMMYFUNCTION("googlefinance(B32,""name"")"),"Intel Corp")</f>
        <v>Intel Corp</v>
      </c>
      <c r="D32" s="2">
        <f ca="1">IFERROR(__xludf.DUMMYFUNCTION("googlefinance(B32,""price"")"),24.87)</f>
        <v>24.87</v>
      </c>
      <c r="E32" s="2">
        <f ca="1">IFERROR(__xludf.DUMMYFUNCTION("googlefinance(B32,""change"")"),0.37)</f>
        <v>0.37</v>
      </c>
      <c r="F32" s="2">
        <f ca="1">IFERROR(__xludf.DUMMYFUNCTION("googlefinance(B32,""changepct"")/100"),0.0151)</f>
        <v>1.5100000000000001E-2</v>
      </c>
      <c r="G32" s="2">
        <f ca="1">IFERROR(__xludf.DUMMYFUNCTION("googlefinance(B32,""marketcap"")"),107264313619)</f>
        <v>107264313619</v>
      </c>
      <c r="H32" s="2" t="str">
        <f ca="1">IFERROR(__xludf.DUMMYFUNCTION("googlefinance(B32,""PE"")"),"#N/A")</f>
        <v>#N/A</v>
      </c>
      <c r="I32" s="2">
        <f ca="1">IFERROR(__xludf.DUMMYFUNCTION("googlefinance(B32,""volume"")"),0)</f>
        <v>0</v>
      </c>
      <c r="J32" s="2">
        <f ca="1">IFERROR(__xludf.DUMMYFUNCTION("googlefinance(B32,""volumeavg"")"),65556902)</f>
        <v>65556902</v>
      </c>
    </row>
    <row r="33" spans="2:10" ht="15.75" customHeight="1" x14ac:dyDescent="0.15">
      <c r="B33" s="2" t="s">
        <v>39</v>
      </c>
      <c r="C33" s="2" t="str">
        <f ca="1">IFERROR(__xludf.DUMMYFUNCTION("googlefinance(B33,""name"")"),"Starbucks Corp")</f>
        <v>Starbucks Corp</v>
      </c>
      <c r="D33" s="2">
        <f ca="1">IFERROR(__xludf.DUMMYFUNCTION("googlefinance(B33,""price"")"),101.84)</f>
        <v>101.84</v>
      </c>
      <c r="E33" s="2">
        <f ca="1">IFERROR(__xludf.DUMMYFUNCTION("googlefinance(B33,""change"")"),-0.66)</f>
        <v>-0.66</v>
      </c>
      <c r="F33" s="2">
        <f ca="1">IFERROR(__xludf.DUMMYFUNCTION("googlefinance(B33,""changepct"")/100"),-0.0064)</f>
        <v>-6.4000000000000003E-3</v>
      </c>
      <c r="G33" s="2">
        <f ca="1">IFERROR(__xludf.DUMMYFUNCTION("googlefinance(B33,""marketcap"")"),115435635848)</f>
        <v>115435635848</v>
      </c>
      <c r="H33" s="2">
        <f ca="1">IFERROR(__xludf.DUMMYFUNCTION("googlefinance(B33,""PE"")"),30.8)</f>
        <v>30.8</v>
      </c>
      <c r="I33" s="2">
        <f ca="1">IFERROR(__xludf.DUMMYFUNCTION("googlefinance(B33,""volume"")"),0)</f>
        <v>0</v>
      </c>
      <c r="J33" s="2">
        <f ca="1">IFERROR(__xludf.DUMMYFUNCTION("googlefinance(B33,""volumeavg"")"),7927815)</f>
        <v>7927815</v>
      </c>
    </row>
    <row r="34" spans="2:10" ht="15.75" customHeight="1" x14ac:dyDescent="0.15">
      <c r="B34" s="2" t="s">
        <v>40</v>
      </c>
      <c r="C34" s="2" t="str">
        <f ca="1">IFERROR(__xludf.DUMMYFUNCTION("googlefinance(B34,""name"")"),"IBM Common Stock")</f>
        <v>IBM Common Stock</v>
      </c>
      <c r="D34" s="2">
        <f ca="1">IFERROR(__xludf.DUMMYFUNCTION("googlefinance(B34,""price"")"),226.13)</f>
        <v>226.13</v>
      </c>
      <c r="E34" s="2">
        <f ca="1">IFERROR(__xludf.DUMMYFUNCTION("googlefinance(B34,""change"")"),3.16)</f>
        <v>3.16</v>
      </c>
      <c r="F34" s="2">
        <f ca="1">IFERROR(__xludf.DUMMYFUNCTION("googlefinance(B34,""changepct"")/100"),0.0141999999999999)</f>
        <v>1.41999999999999E-2</v>
      </c>
      <c r="G34" s="2">
        <f ca="1">IFERROR(__xludf.DUMMYFUNCTION("googlefinance(B34,""marketcap"")"),209089978364)</f>
        <v>209089978364</v>
      </c>
      <c r="H34" s="2">
        <f ca="1">IFERROR(__xludf.DUMMYFUNCTION("googlefinance(B34,""PE"")"),32.91)</f>
        <v>32.909999999999997</v>
      </c>
      <c r="I34" s="2">
        <f ca="1">IFERROR(__xludf.DUMMYFUNCTION("googlefinance(B34,""volume"")"),0)</f>
        <v>0</v>
      </c>
      <c r="J34" s="2">
        <f ca="1">IFERROR(__xludf.DUMMYFUNCTION("googlefinance(B34,""volumeavg"")"),4433274)</f>
        <v>4433274</v>
      </c>
    </row>
    <row r="35" spans="2:10" ht="15.75" customHeight="1" x14ac:dyDescent="0.15">
      <c r="B35" s="2" t="s">
        <v>41</v>
      </c>
      <c r="C35" s="2" t="str">
        <f ca="1">IFERROR(__xludf.DUMMYFUNCTION("googlefinance(B35,""name"")"),"FedEx Corp")</f>
        <v>FedEx Corp</v>
      </c>
      <c r="D35" s="2">
        <f ca="1">IFERROR(__xludf.DUMMYFUNCTION("googlefinance(B35,""price"")"),305.15)</f>
        <v>305.14999999999998</v>
      </c>
      <c r="E35" s="2">
        <f ca="1">IFERROR(__xludf.DUMMYFUNCTION("googlefinance(B35,""change"")"),5.18)</f>
        <v>5.18</v>
      </c>
      <c r="F35" s="2">
        <f ca="1">IFERROR(__xludf.DUMMYFUNCTION("googlefinance(B35,""changepct"")/100"),0.0173)</f>
        <v>1.7299999999999999E-2</v>
      </c>
      <c r="G35" s="2">
        <f ca="1">IFERROR(__xludf.DUMMYFUNCTION("googlefinance(B35,""marketcap"")"),74555284018)</f>
        <v>74555284018</v>
      </c>
      <c r="H35" s="2">
        <f ca="1">IFERROR(__xludf.DUMMYFUNCTION("googlefinance(B35,""PE"")"),18.83)</f>
        <v>18.829999999999998</v>
      </c>
      <c r="I35" s="2">
        <f ca="1">IFERROR(__xludf.DUMMYFUNCTION("googlefinance(B35,""volume"")"),0)</f>
        <v>0</v>
      </c>
      <c r="J35" s="2">
        <f ca="1">IFERROR(__xludf.DUMMYFUNCTION("googlefinance(B35,""volumeavg"")"),1393613)</f>
        <v>1393613</v>
      </c>
    </row>
    <row r="36" spans="2:10" ht="15.75" customHeight="1" x14ac:dyDescent="0.15">
      <c r="B36" s="2" t="s">
        <v>42</v>
      </c>
      <c r="C36" s="2" t="str">
        <f ca="1">IFERROR(__xludf.DUMMYFUNCTION("googlefinance(B36,""name"")"),"General Electric Co")</f>
        <v>General Electric Co</v>
      </c>
      <c r="D36" s="2">
        <f ca="1">IFERROR(__xludf.DUMMYFUNCTION("googlefinance(B36,""price"")"),180.21)</f>
        <v>180.21</v>
      </c>
      <c r="E36" s="2">
        <f ca="1">IFERROR(__xludf.DUMMYFUNCTION("googlefinance(B36,""change"")"),-0.94)</f>
        <v>-0.94</v>
      </c>
      <c r="F36" s="2">
        <f ca="1">IFERROR(__xludf.DUMMYFUNCTION("googlefinance(B36,""changepct"")/100"),-0.0052)</f>
        <v>-5.1999999999999998E-3</v>
      </c>
      <c r="G36" s="2">
        <f ca="1">IFERROR(__xludf.DUMMYFUNCTION("googlefinance(B36,""marketcap"")"),195040209006)</f>
        <v>195040209006</v>
      </c>
      <c r="H36" s="2">
        <f ca="1">IFERROR(__xludf.DUMMYFUNCTION("googlefinance(B36,""PE"")"),31.68)</f>
        <v>31.68</v>
      </c>
      <c r="I36" s="2">
        <f ca="1">IFERROR(__xludf.DUMMYFUNCTION("googlefinance(B36,""volume"")"),0)</f>
        <v>0</v>
      </c>
      <c r="J36" s="2">
        <f ca="1">IFERROR(__xludf.DUMMYFUNCTION("googlefinance(B36,""volumeavg"")"),4646990)</f>
        <v>4646990</v>
      </c>
    </row>
    <row r="37" spans="2:10" ht="15.75" customHeight="1" x14ac:dyDescent="0.15">
      <c r="B37" s="2" t="s">
        <v>43</v>
      </c>
      <c r="C37" s="2" t="str">
        <f ca="1">IFERROR(__xludf.DUMMYFUNCTION("googlefinance(B37,""name"")"),"United Parcel Service, Inc.")</f>
        <v>United Parcel Service, Inc.</v>
      </c>
      <c r="D37" s="2">
        <f ca="1">IFERROR(__xludf.DUMMYFUNCTION("googlefinance(B37,""price"")"),137.54)</f>
        <v>137.54</v>
      </c>
      <c r="E37" s="2">
        <f ca="1">IFERROR(__xludf.DUMMYFUNCTION("googlefinance(B37,""change"")"),2.72)</f>
        <v>2.72</v>
      </c>
      <c r="F37" s="2">
        <f ca="1">IFERROR(__xludf.DUMMYFUNCTION("googlefinance(B37,""changepct"")/100"),0.0202)</f>
        <v>2.0199999999999999E-2</v>
      </c>
      <c r="G37" s="2">
        <f ca="1">IFERROR(__xludf.DUMMYFUNCTION("googlefinance(B37,""marketcap"")"),117372449054)</f>
        <v>117372449054</v>
      </c>
      <c r="H37" s="2">
        <f ca="1">IFERROR(__xludf.DUMMYFUNCTION("googlefinance(B37,""PE"")"),20.79)</f>
        <v>20.79</v>
      </c>
      <c r="I37" s="2">
        <f ca="1">IFERROR(__xludf.DUMMYFUNCTION("googlefinance(B37,""volume"")"),0)</f>
        <v>0</v>
      </c>
      <c r="J37" s="2">
        <f ca="1">IFERROR(__xludf.DUMMYFUNCTION("googlefinance(B37,""volumeavg"")"),3820742)</f>
        <v>3820742</v>
      </c>
    </row>
    <row r="38" spans="2:10" ht="15.75" customHeight="1" x14ac:dyDescent="0.15">
      <c r="B38" s="2" t="s">
        <v>44</v>
      </c>
      <c r="C38" s="2" t="str">
        <f ca="1">IFERROR(__xludf.DUMMYFUNCTION("googlefinance(B38,""name"")"),"Boeing Co")</f>
        <v>Boeing Co</v>
      </c>
      <c r="D38" s="2">
        <f ca="1">IFERROR(__xludf.DUMMYFUNCTION("googlefinance(B38,""price"")"),153.1)</f>
        <v>153.1</v>
      </c>
      <c r="E38" s="2">
        <f ca="1">IFERROR(__xludf.DUMMYFUNCTION("googlefinance(B38,""change"")"),3.81)</f>
        <v>3.81</v>
      </c>
      <c r="F38" s="2">
        <f ca="1">IFERROR(__xludf.DUMMYFUNCTION("googlefinance(B38,""changepct"")/100"),0.0255)</f>
        <v>2.5499999999999998E-2</v>
      </c>
      <c r="G38" s="2">
        <f ca="1">IFERROR(__xludf.DUMMYFUNCTION("googlefinance(B38,""marketcap"")"),114391823420)</f>
        <v>114391823420</v>
      </c>
      <c r="H38" s="2" t="str">
        <f ca="1">IFERROR(__xludf.DUMMYFUNCTION("googlefinance(B38,""PE"")"),"#N/A")</f>
        <v>#N/A</v>
      </c>
      <c r="I38" s="2">
        <f ca="1">IFERROR(__xludf.DUMMYFUNCTION("googlefinance(B38,""volume"")"),0)</f>
        <v>0</v>
      </c>
      <c r="J38" s="2">
        <f ca="1">IFERROR(__xludf.DUMMYFUNCTION("googlefinance(B38,""volumeavg"")"),16708909)</f>
        <v>16708909</v>
      </c>
    </row>
    <row r="39" spans="2:10" ht="15.75" customHeight="1" x14ac:dyDescent="0.15">
      <c r="B39" s="2" t="s">
        <v>45</v>
      </c>
      <c r="C39" s="2" t="str">
        <f ca="1">IFERROR(__xludf.DUMMYFUNCTION("googlefinance(B39,""name"")"),"Cisco Systems Inc")</f>
        <v>Cisco Systems Inc</v>
      </c>
      <c r="D39" s="2">
        <f ca="1">IFERROR(__xludf.DUMMYFUNCTION("googlefinance(B39,""price"")"),58.74)</f>
        <v>58.74</v>
      </c>
      <c r="E39" s="2">
        <f ca="1">IFERROR(__xludf.DUMMYFUNCTION("googlefinance(B39,""change"")"),0.19)</f>
        <v>0.19</v>
      </c>
      <c r="F39" s="2">
        <f ca="1">IFERROR(__xludf.DUMMYFUNCTION("googlefinance(B39,""changepct"")/100"),0.0032)</f>
        <v>3.2000000000000002E-3</v>
      </c>
      <c r="G39" s="2">
        <f ca="1">IFERROR(__xludf.DUMMYFUNCTION("googlefinance(B39,""marketcap"")"),233947211604)</f>
        <v>233947211604</v>
      </c>
      <c r="H39" s="2">
        <f ca="1">IFERROR(__xludf.DUMMYFUNCTION("googlefinance(B39,""PE"")"),25.29)</f>
        <v>25.29</v>
      </c>
      <c r="I39" s="2">
        <f ca="1">IFERROR(__xludf.DUMMYFUNCTION("googlefinance(B39,""volume"")"),0)</f>
        <v>0</v>
      </c>
      <c r="J39" s="2">
        <f ca="1">IFERROR(__xludf.DUMMYFUNCTION("googlefinance(B39,""volumeavg"")"),18770602)</f>
        <v>18770602</v>
      </c>
    </row>
    <row r="40" spans="2:10" ht="15.75" customHeight="1" x14ac:dyDescent="0.15">
      <c r="B40" s="2" t="s">
        <v>46</v>
      </c>
      <c r="C40" s="2" t="str">
        <f ca="1">IFERROR(__xludf.DUMMYFUNCTION("googlefinance(B40,""name"")"),"Shopify Inc")</f>
        <v>Shopify Inc</v>
      </c>
      <c r="D40" s="2">
        <f ca="1">IFERROR(__xludf.DUMMYFUNCTION("googlefinance(B40,""price"")"),111)</f>
        <v>111</v>
      </c>
      <c r="E40" s="2">
        <f ca="1">IFERROR(__xludf.DUMMYFUNCTION("googlefinance(B40,""change"")"),4.04)</f>
        <v>4.04</v>
      </c>
      <c r="F40" s="2">
        <f ca="1">IFERROR(__xludf.DUMMYFUNCTION("googlefinance(B40,""changepct"")/100"),0.0378)</f>
        <v>3.78E-2</v>
      </c>
      <c r="G40" s="2">
        <f ca="1">IFERROR(__xludf.DUMMYFUNCTION("googlefinance(B40,""marketcap"")"),143422767000)</f>
        <v>143422767000</v>
      </c>
      <c r="H40" s="2">
        <f ca="1">IFERROR(__xludf.DUMMYFUNCTION("googlefinance(B40,""PE"")"),106.1)</f>
        <v>106.1</v>
      </c>
      <c r="I40" s="2">
        <f ca="1">IFERROR(__xludf.DUMMYFUNCTION("googlefinance(B40,""volume"")"),0)</f>
        <v>0</v>
      </c>
      <c r="J40" s="2">
        <f ca="1">IFERROR(__xludf.DUMMYFUNCTION("googlefinance(B40,""volumeavg"")"),8843119)</f>
        <v>8843119</v>
      </c>
    </row>
    <row r="41" spans="2:10" ht="13" x14ac:dyDescent="0.15">
      <c r="B41" s="2" t="s">
        <v>47</v>
      </c>
      <c r="C41" s="2" t="str">
        <f ca="1">IFERROR(__xludf.DUMMYFUNCTION("googlefinance(B41,""name"")"),"PayPal Holdings Inc")</f>
        <v>PayPal Holdings Inc</v>
      </c>
      <c r="D41" s="2">
        <f ca="1">IFERROR(__xludf.DUMMYFUNCTION("googlefinance(B41,""price"")"),87.77)</f>
        <v>87.77</v>
      </c>
      <c r="E41" s="2">
        <f ca="1">IFERROR(__xludf.DUMMYFUNCTION("googlefinance(B41,""change"")"),1)</f>
        <v>1</v>
      </c>
      <c r="F41" s="2">
        <f ca="1">IFERROR(__xludf.DUMMYFUNCTION("googlefinance(B41,""changepct"")/100"),0.0115)</f>
        <v>1.15E-2</v>
      </c>
      <c r="G41" s="2">
        <f ca="1">IFERROR(__xludf.DUMMYFUNCTION("googlefinance(B41,""marketcap"")"),87992756894)</f>
        <v>87992756894</v>
      </c>
      <c r="H41" s="2">
        <f ca="1">IFERROR(__xludf.DUMMYFUNCTION("googlefinance(B41,""PE"")"),20.96)</f>
        <v>20.96</v>
      </c>
      <c r="I41" s="2">
        <f ca="1">IFERROR(__xludf.DUMMYFUNCTION("googlefinance(B41,""volume"")"),0)</f>
        <v>0</v>
      </c>
      <c r="J41" s="2">
        <f ca="1">IFERROR(__xludf.DUMMYFUNCTION("googlefinance(B41,""volumeavg"")"),10254149)</f>
        <v>10254149</v>
      </c>
    </row>
    <row r="42" spans="2:10" ht="13" x14ac:dyDescent="0.15">
      <c r="B42" s="2" t="s">
        <v>48</v>
      </c>
      <c r="C42" s="2" t="str">
        <f ca="1">IFERROR(__xludf.DUMMYFUNCTION("googlefinance(B42,""name"")"),"Adobe Inc")</f>
        <v>Adobe Inc</v>
      </c>
      <c r="D42" s="2">
        <f ca="1">IFERROR(__xludf.DUMMYFUNCTION("googlefinance(B42,""price"")"),518.73)</f>
        <v>518.73</v>
      </c>
      <c r="E42" s="2">
        <f ca="1">IFERROR(__xludf.DUMMYFUNCTION("googlefinance(B42,""change"")"),6.58)</f>
        <v>6.58</v>
      </c>
      <c r="F42" s="2">
        <f ca="1">IFERROR(__xludf.DUMMYFUNCTION("googlefinance(B42,""changepct"")/100"),0.0128)</f>
        <v>1.2800000000000001E-2</v>
      </c>
      <c r="G42" s="2">
        <f ca="1">IFERROR(__xludf.DUMMYFUNCTION("googlefinance(B42,""marketcap"")"),228344885529)</f>
        <v>228344885529</v>
      </c>
      <c r="H42" s="2">
        <f ca="1">IFERROR(__xludf.DUMMYFUNCTION("googlefinance(B42,""PE"")"),43.81)</f>
        <v>43.81</v>
      </c>
      <c r="I42" s="2">
        <f ca="1">IFERROR(__xludf.DUMMYFUNCTION("googlefinance(B42,""volume"")"),0)</f>
        <v>0</v>
      </c>
      <c r="J42" s="2">
        <f ca="1">IFERROR(__xludf.DUMMYFUNCTION("googlefinance(B42,""volumeavg"")"),2615465)</f>
        <v>2615465</v>
      </c>
    </row>
    <row r="43" spans="2:10" ht="13" x14ac:dyDescent="0.15">
      <c r="B43" s="2" t="s">
        <v>49</v>
      </c>
      <c r="C43" s="2" t="str">
        <f ca="1">IFERROR(__xludf.DUMMYFUNCTION("googlefinance(B43,""name"")"),"Meta Platforms Inc")</f>
        <v>Meta Platforms Inc</v>
      </c>
      <c r="D43" s="2">
        <f ca="1">IFERROR(__xludf.DUMMYFUNCTION("googlefinance(B43,""price"")"),565.11)</f>
        <v>565.11</v>
      </c>
      <c r="E43" s="2">
        <f ca="1">IFERROR(__xludf.DUMMYFUNCTION("googlefinance(B43,""change"")"),5.97)</f>
        <v>5.97</v>
      </c>
      <c r="F43" s="2">
        <f ca="1">IFERROR(__xludf.DUMMYFUNCTION("googlefinance(B43,""changepct"")/100"),0.0107)</f>
        <v>1.0699999999999999E-2</v>
      </c>
      <c r="G43" s="2">
        <f ca="1">IFERROR(__xludf.DUMMYFUNCTION("googlefinance(B43,""marketcap"")"),1426613941810)</f>
        <v>1426613941810</v>
      </c>
      <c r="H43" s="2">
        <f ca="1">IFERROR(__xludf.DUMMYFUNCTION("googlefinance(B43,""PE"")"),26.66)</f>
        <v>26.66</v>
      </c>
      <c r="I43" s="2">
        <f ca="1">IFERROR(__xludf.DUMMYFUNCTION("googlefinance(B43,""volume"")"),0)</f>
        <v>0</v>
      </c>
      <c r="J43" s="2">
        <f ca="1">IFERROR(__xludf.DUMMYFUNCTION("googlefinance(B43,""volumeavg"")"),12404623)</f>
        <v>12404623</v>
      </c>
    </row>
    <row r="44" spans="2:10" ht="13" x14ac:dyDescent="0.15">
      <c r="B44" s="2" t="s">
        <v>30</v>
      </c>
      <c r="C44" s="2" t="str">
        <f ca="1">IFERROR(__xludf.DUMMYFUNCTION("googlefinance(B44,""name"")"),"NVIDIA Corp")</f>
        <v>NVIDIA Corp</v>
      </c>
      <c r="D44" s="2">
        <f ca="1">IFERROR(__xludf.DUMMYFUNCTION("googlefinance(B44,""price"")"),136.02)</f>
        <v>136.02000000000001</v>
      </c>
      <c r="E44" s="2">
        <f ca="1">IFERROR(__xludf.DUMMYFUNCTION("googlefinance(B44,""change"")"),-5.93)</f>
        <v>-5.93</v>
      </c>
      <c r="F44" s="2">
        <f ca="1">IFERROR(__xludf.DUMMYFUNCTION("googlefinance(B44,""changepct"")/100"),-0.0418)</f>
        <v>-4.1799999999999997E-2</v>
      </c>
      <c r="G44" s="2">
        <f ca="1">IFERROR(__xludf.DUMMYFUNCTION("googlefinance(B44,""marketcap"")"),3336570704803)</f>
        <v>3336570704803</v>
      </c>
      <c r="H44" s="2">
        <f ca="1">IFERROR(__xludf.DUMMYFUNCTION("googlefinance(B44,""PE"")"),53.6)</f>
        <v>53.6</v>
      </c>
      <c r="I44" s="2">
        <f ca="1">IFERROR(__xludf.DUMMYFUNCTION("googlefinance(B44,""volume"")"),0)</f>
        <v>0</v>
      </c>
      <c r="J44" s="2">
        <f ca="1">IFERROR(__xludf.DUMMYFUNCTION("googlefinance(B44,""volumeavg"")"),229570202)</f>
        <v>229570202</v>
      </c>
    </row>
    <row r="45" spans="2:10" ht="13" x14ac:dyDescent="0.15">
      <c r="B45" s="2" t="s">
        <v>50</v>
      </c>
      <c r="C45" s="2" t="str">
        <f ca="1">IFERROR(__xludf.DUMMYFUNCTION("googlefinance(B45,""name"")"),"Netflix Inc")</f>
        <v>Netflix Inc</v>
      </c>
      <c r="D45" s="2">
        <f ca="1">IFERROR(__xludf.DUMMYFUNCTION("googlefinance(B45,""price"")"),865.59)</f>
        <v>865.59</v>
      </c>
      <c r="E45" s="2">
        <f ca="1">IFERROR(__xludf.DUMMYFUNCTION("googlefinance(B45,""change"")"),-32.2)</f>
        <v>-32.200000000000003</v>
      </c>
      <c r="F45" s="2">
        <f ca="1">IFERROR(__xludf.DUMMYFUNCTION("googlefinance(B45,""changepct"")/100"),-0.0359)</f>
        <v>-3.5900000000000001E-2</v>
      </c>
      <c r="G45" s="2">
        <f ca="1">IFERROR(__xludf.DUMMYFUNCTION("googlefinance(B45,""marketcap"")"),370003381699)</f>
        <v>370003381699</v>
      </c>
      <c r="H45" s="2">
        <f ca="1">IFERROR(__xludf.DUMMYFUNCTION("googlefinance(B45,""PE"")"),48.98)</f>
        <v>48.98</v>
      </c>
      <c r="I45" s="2">
        <f ca="1">IFERROR(__xludf.DUMMYFUNCTION("googlefinance(B45,""volume"")"),0)</f>
        <v>0</v>
      </c>
      <c r="J45" s="2">
        <f ca="1">IFERROR(__xludf.DUMMYFUNCTION("googlefinance(B45,""volumeavg"")"),3769648)</f>
        <v>3769648</v>
      </c>
    </row>
    <row r="46" spans="2:10" ht="13" x14ac:dyDescent="0.15">
      <c r="B46" s="2" t="s">
        <v>51</v>
      </c>
      <c r="C46" s="2" t="str">
        <f ca="1">IFERROR(__xludf.DUMMYFUNCTION("googlefinance(B46,""name"")"),"Walt Disney Co")</f>
        <v>Walt Disney Co</v>
      </c>
      <c r="D46" s="2">
        <f ca="1">IFERROR(__xludf.DUMMYFUNCTION("googlefinance(B46,""price"")"),116)</f>
        <v>116</v>
      </c>
      <c r="E46" s="2">
        <f ca="1">IFERROR(__xludf.DUMMYFUNCTION("googlefinance(B46,""change"")"),0.35)</f>
        <v>0.35</v>
      </c>
      <c r="F46" s="2">
        <f ca="1">IFERROR(__xludf.DUMMYFUNCTION("googlefinance(B46,""changepct"")/100"),0.003)</f>
        <v>3.0000000000000001E-3</v>
      </c>
      <c r="G46" s="2">
        <f ca="1">IFERROR(__xludf.DUMMYFUNCTION("googlefinance(B46,""marketcap"")"),210068924000)</f>
        <v>210068924000</v>
      </c>
      <c r="H46" s="2">
        <f ca="1">IFERROR(__xludf.DUMMYFUNCTION("googlefinance(B46,""PE"")"),42.72)</f>
        <v>42.72</v>
      </c>
      <c r="I46" s="2">
        <f ca="1">IFERROR(__xludf.DUMMYFUNCTION("googlefinance(B46,""volume"")"),0)</f>
        <v>0</v>
      </c>
      <c r="J46" s="2">
        <f ca="1">IFERROR(__xludf.DUMMYFUNCTION("googlefinance(B46,""volumeavg"")"),10726237)</f>
        <v>10726237</v>
      </c>
    </row>
    <row r="47" spans="2:10" ht="13" x14ac:dyDescent="0.15">
      <c r="B47" s="2" t="s">
        <v>52</v>
      </c>
      <c r="C47" s="2" t="str">
        <f ca="1">IFERROR(__xludf.DUMMYFUNCTION("googlefinance(B47,""name"")"),"Berkshire Hathaway Inc Class B")</f>
        <v>Berkshire Hathaway Inc Class B</v>
      </c>
      <c r="D47" s="2">
        <f ca="1">IFERROR(__xludf.DUMMYFUNCTION("googlefinance(B47,""price"")"),477.43)</f>
        <v>477.43</v>
      </c>
      <c r="E47" s="2">
        <f ca="1">IFERROR(__xludf.DUMMYFUNCTION("googlefinance(B47,""change"")"),0.86)</f>
        <v>0.86</v>
      </c>
      <c r="F47" s="2">
        <f ca="1">IFERROR(__xludf.DUMMYFUNCTION("googlefinance(B47,""changepct"")/100"),0.0018)</f>
        <v>1.8E-3</v>
      </c>
      <c r="G47" s="2">
        <f ca="1">IFERROR(__xludf.DUMMYFUNCTION("googlefinance(B47,""marketcap"")"),1030411726079)</f>
        <v>1030411726079</v>
      </c>
      <c r="H47" s="2">
        <f ca="1">IFERROR(__xludf.DUMMYFUNCTION("googlefinance(B47,""PE"")"),0.01)</f>
        <v>0.01</v>
      </c>
      <c r="I47" s="2">
        <f ca="1">IFERROR(__xludf.DUMMYFUNCTION("googlefinance(B47,""volume"")"),0)</f>
        <v>0</v>
      </c>
      <c r="J47" s="2">
        <f ca="1">IFERROR(__xludf.DUMMYFUNCTION("googlefinance(B47,""volumeavg"")"),3831827)</f>
        <v>3831827</v>
      </c>
    </row>
    <row r="48" spans="2:10" ht="13" x14ac:dyDescent="0.15">
      <c r="B48" s="2" t="s">
        <v>34</v>
      </c>
      <c r="C48" s="2" t="str">
        <f ca="1">IFERROR(__xludf.DUMMYFUNCTION("googlefinance(B48,""name"")"),"JPMorgan Chase &amp; Co")</f>
        <v>JPMorgan Chase &amp; Co</v>
      </c>
      <c r="D48" s="2">
        <f ca="1">IFERROR(__xludf.DUMMYFUNCTION("googlefinance(B48,""price"")"),250.29)</f>
        <v>250.29</v>
      </c>
      <c r="E48" s="2">
        <f ca="1">IFERROR(__xludf.DUMMYFUNCTION("googlefinance(B48,""change"")"),1.74)</f>
        <v>1.74</v>
      </c>
      <c r="F48" s="2">
        <f ca="1">IFERROR(__xludf.DUMMYFUNCTION("googlefinance(B48,""changepct"")/100"),0.00699999999999999)</f>
        <v>6.9999999999999897E-3</v>
      </c>
      <c r="G48" s="2">
        <f ca="1">IFERROR(__xludf.DUMMYFUNCTION("googlefinance(B48,""marketcap"")"),704651429698)</f>
        <v>704651429698</v>
      </c>
      <c r="H48" s="2">
        <f ca="1">IFERROR(__xludf.DUMMYFUNCTION("googlefinance(B48,""PE"")"),13.92)</f>
        <v>13.92</v>
      </c>
      <c r="I48" s="2">
        <f ca="1">IFERROR(__xludf.DUMMYFUNCTION("googlefinance(B48,""volume"")"),0)</f>
        <v>0</v>
      </c>
      <c r="J48" s="2">
        <f ca="1">IFERROR(__xludf.DUMMYFUNCTION("googlefinance(B48,""volumeavg"")"),8729622)</f>
        <v>8729622</v>
      </c>
    </row>
    <row r="49" spans="2:10" ht="13" x14ac:dyDescent="0.15">
      <c r="B49" s="2" t="s">
        <v>35</v>
      </c>
      <c r="C49" s="2" t="str">
        <f ca="1">IFERROR(__xludf.DUMMYFUNCTION("googlefinance(B49,""name"")"),"Bank of America Corp")</f>
        <v>Bank of America Corp</v>
      </c>
      <c r="D49" s="2">
        <f ca="1">IFERROR(__xludf.DUMMYFUNCTION("googlefinance(B49,""price"")"),47.5)</f>
        <v>47.5</v>
      </c>
      <c r="E49" s="2">
        <f ca="1">IFERROR(__xludf.DUMMYFUNCTION("googlefinance(B49,""change"")"),0.5)</f>
        <v>0.5</v>
      </c>
      <c r="F49" s="2">
        <f ca="1">IFERROR(__xludf.DUMMYFUNCTION("googlefinance(B49,""changepct"")/100"),0.0106)</f>
        <v>1.06E-2</v>
      </c>
      <c r="G49" s="2">
        <f ca="1">IFERROR(__xludf.DUMMYFUNCTION("googlefinance(B49,""marketcap"")"),364461705000)</f>
        <v>364461705000</v>
      </c>
      <c r="H49" s="2">
        <f ca="1">IFERROR(__xludf.DUMMYFUNCTION("googlefinance(B49,""PE"")"),17.27)</f>
        <v>17.27</v>
      </c>
      <c r="I49" s="2">
        <f ca="1">IFERROR(__xludf.DUMMYFUNCTION("googlefinance(B49,""volume"")"),0)</f>
        <v>0</v>
      </c>
      <c r="J49" s="2">
        <f ca="1">IFERROR(__xludf.DUMMYFUNCTION("googlefinance(B49,""volumeavg"")"),37076847)</f>
        <v>37076847</v>
      </c>
    </row>
    <row r="50" spans="2:10" ht="13" x14ac:dyDescent="0.15">
      <c r="B50" s="2" t="s">
        <v>36</v>
      </c>
      <c r="C50" s="2" t="str">
        <f ca="1">IFERROR(__xludf.DUMMYFUNCTION("googlefinance(B50,""name"")"),"Exxon Mobil Corp")</f>
        <v>Exxon Mobil Corp</v>
      </c>
      <c r="D50" s="2">
        <f ca="1">IFERROR(__xludf.DUMMYFUNCTION("googlefinance(B50,""price"")"),119.97)</f>
        <v>119.97</v>
      </c>
      <c r="E50" s="2">
        <f ca="1">IFERROR(__xludf.DUMMYFUNCTION("googlefinance(B50,""change"")"),-1.82)</f>
        <v>-1.82</v>
      </c>
      <c r="F50" s="2">
        <f ca="1">IFERROR(__xludf.DUMMYFUNCTION("googlefinance(B50,""changepct"")/100"),-0.0149)</f>
        <v>-1.49E-2</v>
      </c>
      <c r="G50" s="2">
        <f ca="1">IFERROR(__xludf.DUMMYFUNCTION("googlefinance(B50,""marketcap"")"),527279432545)</f>
        <v>527279432545</v>
      </c>
      <c r="H50" s="2">
        <f ca="1">IFERROR(__xludf.DUMMYFUNCTION("googlefinance(B50,""PE"")"),14.95)</f>
        <v>14.95</v>
      </c>
      <c r="I50" s="2">
        <f ca="1">IFERROR(__xludf.DUMMYFUNCTION("googlefinance(B50,""volume"")"),0)</f>
        <v>0</v>
      </c>
      <c r="J50" s="2">
        <f ca="1">IFERROR(__xludf.DUMMYFUNCTION("googlefinance(B50,""volumeavg"")"),13144733)</f>
        <v>13144733</v>
      </c>
    </row>
    <row r="51" spans="2:10" ht="13" x14ac:dyDescent="0.15">
      <c r="B51" s="2" t="s">
        <v>37</v>
      </c>
      <c r="C51" s="2" t="str">
        <f ca="1">IFERROR(__xludf.DUMMYFUNCTION("googlefinance(B51,""name"")"),"Chevron Corp")</f>
        <v>Chevron Corp</v>
      </c>
      <c r="D51" s="2">
        <f ca="1">IFERROR(__xludf.DUMMYFUNCTION("googlefinance(B51,""price"")"),160.36)</f>
        <v>160.36000000000001</v>
      </c>
      <c r="E51" s="2">
        <f ca="1">IFERROR(__xludf.DUMMYFUNCTION("googlefinance(B51,""change"")"),-2)</f>
        <v>-2</v>
      </c>
      <c r="F51" s="2">
        <f ca="1">IFERROR(__xludf.DUMMYFUNCTION("googlefinance(B51,""changepct"")/100"),-0.0123)</f>
        <v>-1.23E-2</v>
      </c>
      <c r="G51" s="2">
        <f ca="1">IFERROR(__xludf.DUMMYFUNCTION("googlefinance(B51,""marketcap"")"),288181513856)</f>
        <v>288181513856</v>
      </c>
      <c r="H51" s="2">
        <f ca="1">IFERROR(__xludf.DUMMYFUNCTION("googlefinance(B51,""PE"")"),17.65)</f>
        <v>17.649999999999999</v>
      </c>
      <c r="I51" s="2">
        <f ca="1">IFERROR(__xludf.DUMMYFUNCTION("googlefinance(B51,""volume"")"),0)</f>
        <v>0</v>
      </c>
      <c r="J51" s="2">
        <f ca="1">IFERROR(__xludf.DUMMYFUNCTION("googlefinance(B51,""volumeavg"")"),6893801)</f>
        <v>6893801</v>
      </c>
    </row>
    <row r="52" spans="2:10" ht="13" x14ac:dyDescent="0.15">
      <c r="B52" s="2" t="s">
        <v>38</v>
      </c>
      <c r="C52" s="2" t="str">
        <f ca="1">IFERROR(__xludf.DUMMYFUNCTION("googlefinance(B52,""name"")"),"Intel Corp")</f>
        <v>Intel Corp</v>
      </c>
      <c r="D52" s="2">
        <f ca="1">IFERROR(__xludf.DUMMYFUNCTION("googlefinance(B52,""price"")"),24.87)</f>
        <v>24.87</v>
      </c>
      <c r="E52" s="2">
        <f ca="1">IFERROR(__xludf.DUMMYFUNCTION("googlefinance(B52,""change"")"),0.37)</f>
        <v>0.37</v>
      </c>
      <c r="F52" s="2">
        <f ca="1">IFERROR(__xludf.DUMMYFUNCTION("googlefinance(B52,""changepct"")/100"),0.0151)</f>
        <v>1.5100000000000001E-2</v>
      </c>
      <c r="G52" s="2">
        <f ca="1">IFERROR(__xludf.DUMMYFUNCTION("googlefinance(B52,""marketcap"")"),107264313619)</f>
        <v>107264313619</v>
      </c>
      <c r="H52" s="2" t="str">
        <f ca="1">IFERROR(__xludf.DUMMYFUNCTION("googlefinance(B52,""PE"")"),"#N/A")</f>
        <v>#N/A</v>
      </c>
      <c r="I52" s="2">
        <f ca="1">IFERROR(__xludf.DUMMYFUNCTION("googlefinance(B52,""volume"")"),0)</f>
        <v>0</v>
      </c>
      <c r="J52" s="2">
        <f ca="1">IFERROR(__xludf.DUMMYFUNCTION("googlefinance(B52,""volumeavg"")"),65556902)</f>
        <v>65556902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Nivedita Biswas</cp:lastModifiedBy>
  <dcterms:modified xsi:type="dcterms:W3CDTF">2024-12-18T16:37:19Z</dcterms:modified>
</cp:coreProperties>
</file>