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6.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mc:AlternateContent xmlns:mc="http://schemas.openxmlformats.org/markup-compatibility/2006">
    <mc:Choice Requires="x15">
      <x15ac:absPath xmlns:x15ac="http://schemas.microsoft.com/office/spreadsheetml/2010/11/ac" url="C:\Users\Xiaofei\Documents\BAN630 Exercise and Homework\"/>
    </mc:Choice>
  </mc:AlternateContent>
  <xr:revisionPtr revIDLastSave="0" documentId="13_ncr:1_{43D10C8B-B42C-4F91-AF68-04F10B844746}" xr6:coauthVersionLast="36" xr6:coauthVersionMax="36" xr10:uidLastSave="{00000000-0000-0000-0000-000000000000}"/>
  <bookViews>
    <workbookView xWindow="0" yWindow="0" windowWidth="10680" windowHeight="5903" tabRatio="861" activeTab="6" xr2:uid="{00000000-000D-0000-FFFF-FFFF00000000}"/>
  </bookViews>
  <sheets>
    <sheet name="Investment_Portfolio" sheetId="24" r:id="rId1"/>
    <sheet name="Investment_Sensitivity" sheetId="26" r:id="rId2"/>
    <sheet name="Ad" sheetId="2" r:id="rId3"/>
    <sheet name="Ad_Sensitivity" sheetId="9" r:id="rId4"/>
    <sheet name="Sensitivity Report 1" sheetId="32" r:id="rId5"/>
    <sheet name="Ad_Exposures" sheetId="19" r:id="rId6"/>
    <sheet name="401K" sheetId="16" r:id="rId7"/>
    <sheet name="401K_Sensitivity" sheetId="20" r:id="rId8"/>
    <sheet name="Investment_Portfolio_STS" sheetId="27" state="veryHidden" r:id="rId9"/>
    <sheet name="SolverTableSheet" sheetId="3" state="veryHidden" r:id="rId10"/>
    <sheet name="STS_1" sheetId="29" r:id="rId11"/>
    <sheet name="Ad_STS" sheetId="30" state="veryHidden" r:id="rId12"/>
    <sheet name="STS_2" sheetId="31" r:id="rId13"/>
    <sheet name="Ad_Exposures_STS" sheetId="33" state="veryHidden" r:id="rId14"/>
    <sheet name="STS_3" sheetId="34" r:id="rId15"/>
    <sheet name="STS_4" sheetId="36" r:id="rId16"/>
  </sheets>
  <definedNames>
    <definedName name="ChartData" localSheetId="10">STS_1!$K$5:$K$15</definedName>
    <definedName name="ChartData" localSheetId="12">STS_2!$K$5:$K$15</definedName>
    <definedName name="ChartData" localSheetId="14">STS_3!$K$5:$K$25</definedName>
    <definedName name="ChartData1" localSheetId="15">STS_4!$R$5:$R$19</definedName>
    <definedName name="ChartData2" localSheetId="15">STS_4!$V$5:$V$25</definedName>
    <definedName name="InputValues" localSheetId="10">STS_1!$A$5:$A$15</definedName>
    <definedName name="InputValues" localSheetId="12">STS_2!$A$5:$A$15</definedName>
    <definedName name="InputValues" localSheetId="14">STS_3!$A$5:$A$25</definedName>
    <definedName name="InputValues1" localSheetId="15">STS_4!$A$5:$A$25</definedName>
    <definedName name="InputValues2" localSheetId="15">STS_4!$B$4:$P$4</definedName>
    <definedName name="OutputAddresses" localSheetId="10">STS_1!$B$4:$G$4</definedName>
    <definedName name="OutputAddresses" localSheetId="12">STS_2!$B$4:$G$4</definedName>
    <definedName name="OutputAddresses" localSheetId="14">STS_3!$B$4:$I$4</definedName>
    <definedName name="OutputAddresses" localSheetId="15">STS_4!$AZ$2</definedName>
    <definedName name="OutputValues" localSheetId="10">STS_1!$B$5:$G$15</definedName>
    <definedName name="OutputValues" localSheetId="12">STS_2!$B$5:$G$15</definedName>
    <definedName name="OutputValues" localSheetId="14">STS_3!$B$5:$I$25</definedName>
    <definedName name="OutputValues_1" localSheetId="15">STS_4!$B$5:$P$25</definedName>
    <definedName name="solver_adj" localSheetId="6" hidden="1">'401K'!$C$4:$C$11</definedName>
    <definedName name="solver_adj" localSheetId="2" hidden="1">Ad!$B$19:$I$19</definedName>
    <definedName name="solver_adj" localSheetId="5" hidden="1">Ad_Exposures!$B$19:$I$19</definedName>
    <definedName name="solver_adj" localSheetId="0" hidden="1">Investment_Portfolio!$C$3:$C$7</definedName>
    <definedName name="solver_cvg" localSheetId="6" hidden="1">0.0001</definedName>
    <definedName name="solver_cvg" localSheetId="2" hidden="1">0.0001</definedName>
    <definedName name="solver_cvg" localSheetId="5" hidden="1">0.0001</definedName>
    <definedName name="solver_cvg" localSheetId="0" hidden="1">0.0001</definedName>
    <definedName name="solver_cvg" localSheetId="1" hidden="1">0.0001</definedName>
    <definedName name="solver_drv" localSheetId="6" hidden="1">1</definedName>
    <definedName name="solver_drv" localSheetId="2" hidden="1">1</definedName>
    <definedName name="solver_drv" localSheetId="5" hidden="1">1</definedName>
    <definedName name="solver_drv" localSheetId="0" hidden="1">1</definedName>
    <definedName name="solver_drv" localSheetId="1" hidden="1">1</definedName>
    <definedName name="solver_eng" localSheetId="6" hidden="1">2</definedName>
    <definedName name="solver_eng" localSheetId="2" hidden="1">2</definedName>
    <definedName name="solver_eng" localSheetId="5" hidden="1">2</definedName>
    <definedName name="solver_eng" localSheetId="0" hidden="1">2</definedName>
    <definedName name="solver_eng" localSheetId="1" hidden="1">1</definedName>
    <definedName name="solver_est" localSheetId="6" hidden="1">1</definedName>
    <definedName name="solver_est" localSheetId="2" hidden="1">1</definedName>
    <definedName name="solver_est" localSheetId="5" hidden="1">1</definedName>
    <definedName name="solver_est" localSheetId="0" hidden="1">1</definedName>
    <definedName name="solver_est" localSheetId="1" hidden="1">1</definedName>
    <definedName name="solver_ibd" localSheetId="2" hidden="1">2</definedName>
    <definedName name="solver_ibd" localSheetId="5" hidden="1">2</definedName>
    <definedName name="solver_itr" localSheetId="6" hidden="1">100</definedName>
    <definedName name="solver_itr" localSheetId="2" hidden="1">100</definedName>
    <definedName name="solver_itr" localSheetId="5" hidden="1">100</definedName>
    <definedName name="solver_itr" localSheetId="0" hidden="1">2147483647</definedName>
    <definedName name="solver_itr" localSheetId="1" hidden="1">2147483647</definedName>
    <definedName name="solver_lhs1" localSheetId="6" hidden="1">'401K'!$B$19:$B$22</definedName>
    <definedName name="solver_lhs1" localSheetId="2" hidden="1">Ad!$B$26:$B$31</definedName>
    <definedName name="solver_lhs1" localSheetId="5" hidden="1">Ad_Exposures!$B$25:$B$30</definedName>
    <definedName name="solver_lhs1" localSheetId="0" hidden="1">Investment_Portfolio!$B$17:$B$18</definedName>
    <definedName name="solver_lhs2" localSheetId="6" hidden="1">'401K'!$B$23</definedName>
    <definedName name="solver_lhs2" localSheetId="2" hidden="1">Ad!$B$19:$I$19</definedName>
    <definedName name="solver_lhs2" localSheetId="5" hidden="1">Ad_Exposures!$B$31</definedName>
    <definedName name="solver_lhs2" localSheetId="0" hidden="1">Investment_Portfolio!$B$19</definedName>
    <definedName name="solver_lhs3" localSheetId="6" hidden="1">'401K'!$B$24</definedName>
    <definedName name="solver_lhs3" localSheetId="5" hidden="1">Ad_Exposures!$B$32</definedName>
    <definedName name="solver_lhs3" localSheetId="0" hidden="1">Investment_Portfolio!$B$20:$B$21</definedName>
    <definedName name="solver_lhs4" localSheetId="0" hidden="1">Investment_Portfolio!$D$20:$D$21</definedName>
    <definedName name="solver_lhs5" localSheetId="0" hidden="1">Investment_Portfolio!$B$21</definedName>
    <definedName name="solver_lin" localSheetId="6" hidden="1">1</definedName>
    <definedName name="solver_lin" localSheetId="2" hidden="1">1</definedName>
    <definedName name="solver_lin" localSheetId="5" hidden="1">1</definedName>
    <definedName name="solver_lin" localSheetId="0" hidden="1">1</definedName>
    <definedName name="solver_loc" localSheetId="2" hidden="1">1</definedName>
    <definedName name="solver_loc" localSheetId="5" hidden="1">1</definedName>
    <definedName name="solver_lva" localSheetId="2" hidden="1">2</definedName>
    <definedName name="solver_lva" localSheetId="5" hidden="1">2</definedName>
    <definedName name="solver_mip" localSheetId="6" hidden="1">2147483647</definedName>
    <definedName name="solver_mip" localSheetId="2" hidden="1">5000</definedName>
    <definedName name="solver_mip" localSheetId="5" hidden="1">5000</definedName>
    <definedName name="solver_mip" localSheetId="0" hidden="1">2147483647</definedName>
    <definedName name="solver_mip" localSheetId="1" hidden="1">2147483647</definedName>
    <definedName name="solver_mni" localSheetId="6" hidden="1">30</definedName>
    <definedName name="solver_mni" localSheetId="2" hidden="1">30</definedName>
    <definedName name="solver_mni" localSheetId="5" hidden="1">30</definedName>
    <definedName name="solver_mni" localSheetId="0" hidden="1">30</definedName>
    <definedName name="solver_mni" localSheetId="1" hidden="1">30</definedName>
    <definedName name="solver_mrt" localSheetId="6" hidden="1">0.075</definedName>
    <definedName name="solver_mrt" localSheetId="2" hidden="1">0.075</definedName>
    <definedName name="solver_mrt" localSheetId="5" hidden="1">0.075</definedName>
    <definedName name="solver_mrt" localSheetId="0" hidden="1">0.075</definedName>
    <definedName name="solver_mrt" localSheetId="1" hidden="1">0.075</definedName>
    <definedName name="solver_msl" localSheetId="6" hidden="1">2</definedName>
    <definedName name="solver_msl" localSheetId="2" hidden="1">2</definedName>
    <definedName name="solver_msl" localSheetId="5" hidden="1">2</definedName>
    <definedName name="solver_msl" localSheetId="0" hidden="1">2</definedName>
    <definedName name="solver_msl" localSheetId="1" hidden="1">2</definedName>
    <definedName name="solver_neg" localSheetId="6" hidden="1">1</definedName>
    <definedName name="solver_neg" localSheetId="2" hidden="1">1</definedName>
    <definedName name="solver_neg" localSheetId="5" hidden="1">1</definedName>
    <definedName name="solver_neg" localSheetId="0" hidden="1">1</definedName>
    <definedName name="solver_neg" localSheetId="1" hidden="1">1</definedName>
    <definedName name="solver_nod" localSheetId="6" hidden="1">2147483647</definedName>
    <definedName name="solver_nod" localSheetId="2" hidden="1">5000</definedName>
    <definedName name="solver_nod" localSheetId="5" hidden="1">5000</definedName>
    <definedName name="solver_nod" localSheetId="0" hidden="1">2147483647</definedName>
    <definedName name="solver_nod" localSheetId="1" hidden="1">2147483647</definedName>
    <definedName name="solver_num" localSheetId="6" hidden="1">3</definedName>
    <definedName name="solver_num" localSheetId="2" hidden="1">1</definedName>
    <definedName name="solver_num" localSheetId="5" hidden="1">2</definedName>
    <definedName name="solver_num" localSheetId="0" hidden="1">3</definedName>
    <definedName name="solver_num" localSheetId="1" hidden="1">0</definedName>
    <definedName name="solver_nwt" localSheetId="6" hidden="1">1</definedName>
    <definedName name="solver_nwt" localSheetId="2" hidden="1">1</definedName>
    <definedName name="solver_nwt" localSheetId="5" hidden="1">1</definedName>
    <definedName name="solver_nwt" localSheetId="0" hidden="1">1</definedName>
    <definedName name="solver_nwt" localSheetId="1" hidden="1">1</definedName>
    <definedName name="solver_ofx" localSheetId="2" hidden="1">2</definedName>
    <definedName name="solver_ofx" localSheetId="5" hidden="1">2</definedName>
    <definedName name="solver_opt" localSheetId="6" hidden="1">'401K'!$C$16</definedName>
    <definedName name="solver_opt" localSheetId="2" hidden="1">Ad!$B$22</definedName>
    <definedName name="solver_opt" localSheetId="5" hidden="1">Ad_Exposures!$B$21</definedName>
    <definedName name="solver_opt" localSheetId="0" hidden="1">Investment_Portfolio!$C$14</definedName>
    <definedName name="solver_piv" localSheetId="2" hidden="1">0.000001</definedName>
    <definedName name="solver_piv" localSheetId="5" hidden="1">0.000001</definedName>
    <definedName name="solver_pre" localSheetId="6" hidden="1">0.000001</definedName>
    <definedName name="solver_pre" localSheetId="2" hidden="1">0.000001</definedName>
    <definedName name="solver_pre" localSheetId="5" hidden="1">0.000001</definedName>
    <definedName name="solver_pre" localSheetId="0" hidden="1">0.000001</definedName>
    <definedName name="solver_pre" localSheetId="1" hidden="1">0.000001</definedName>
    <definedName name="solver_pro" localSheetId="2" hidden="1">2</definedName>
    <definedName name="solver_pro" localSheetId="5" hidden="1">2</definedName>
    <definedName name="solver_rbv" localSheetId="6" hidden="1">1</definedName>
    <definedName name="solver_rbv" localSheetId="2" hidden="1">1</definedName>
    <definedName name="solver_rbv" localSheetId="5" hidden="1">1</definedName>
    <definedName name="solver_rbv" localSheetId="0" hidden="1">1</definedName>
    <definedName name="solver_rbv" localSheetId="1" hidden="1">1</definedName>
    <definedName name="solver_red" localSheetId="2" hidden="1">0.000001</definedName>
    <definedName name="solver_red" localSheetId="5" hidden="1">0.000001</definedName>
    <definedName name="solver_rel1" localSheetId="6" hidden="1">3</definedName>
    <definedName name="solver_rel1" localSheetId="2" hidden="1">3</definedName>
    <definedName name="solver_rel1" localSheetId="5" hidden="1">3</definedName>
    <definedName name="solver_rel1" localSheetId="0" hidden="1">1</definedName>
    <definedName name="solver_rel2" localSheetId="6" hidden="1">1</definedName>
    <definedName name="solver_rel2" localSheetId="2" hidden="1">4</definedName>
    <definedName name="solver_rel2" localSheetId="5" hidden="1">1</definedName>
    <definedName name="solver_rel2" localSheetId="0" hidden="1">3</definedName>
    <definedName name="solver_rel3" localSheetId="6" hidden="1">2</definedName>
    <definedName name="solver_rel3" localSheetId="5" hidden="1">3</definedName>
    <definedName name="solver_rel3" localSheetId="0" hidden="1">1</definedName>
    <definedName name="solver_rel4" localSheetId="0" hidden="1">1</definedName>
    <definedName name="solver_rel5" localSheetId="0" hidden="1">2</definedName>
    <definedName name="solver_reo" localSheetId="2" hidden="1">2</definedName>
    <definedName name="solver_reo" localSheetId="5" hidden="1">2</definedName>
    <definedName name="solver_rep" localSheetId="2" hidden="1">2</definedName>
    <definedName name="solver_rep" localSheetId="5" hidden="1">2</definedName>
    <definedName name="solver_rhs1" localSheetId="6" hidden="1">'401K'!$D$19:$D$22</definedName>
    <definedName name="solver_rhs1" localSheetId="2" hidden="1">Ad!$D$26:$D$31</definedName>
    <definedName name="solver_rhs1" localSheetId="5" hidden="1">Ad_Exposures!$D$25:$D$30</definedName>
    <definedName name="solver_rhs1" localSheetId="0" hidden="1">Investment_Portfolio!$D$17:$D$18</definedName>
    <definedName name="solver_rhs2" localSheetId="6" hidden="1">'401K'!$D$23</definedName>
    <definedName name="solver_rhs2" localSheetId="2" hidden="1">integer</definedName>
    <definedName name="solver_rhs2" localSheetId="5" hidden="1">Ad_Exposures!$D$31</definedName>
    <definedName name="solver_rhs2" localSheetId="0" hidden="1">Investment_Portfolio!$D$19</definedName>
    <definedName name="solver_rhs3" localSheetId="6" hidden="1">'401K'!$D$24</definedName>
    <definedName name="solver_rhs3" localSheetId="5" hidden="1">Ad_Exposures!$D$32</definedName>
    <definedName name="solver_rhs3" localSheetId="0" hidden="1">Investment_Portfolio!$D$20:$D$21</definedName>
    <definedName name="solver_rhs4" localSheetId="0" hidden="1">Investment_Portfolio!$D$20</definedName>
    <definedName name="solver_rhs5" localSheetId="0" hidden="1">Investment_Portfolio!$D$21</definedName>
    <definedName name="solver_rlx" localSheetId="6" hidden="1">1</definedName>
    <definedName name="solver_rlx" localSheetId="2" hidden="1">2</definedName>
    <definedName name="solver_rlx" localSheetId="5" hidden="1">2</definedName>
    <definedName name="solver_rlx" localSheetId="0" hidden="1">2</definedName>
    <definedName name="solver_rlx" localSheetId="1" hidden="1">2</definedName>
    <definedName name="solver_rsd" localSheetId="6" hidden="1">0</definedName>
    <definedName name="solver_rsd" localSheetId="2" hidden="1">0</definedName>
    <definedName name="solver_rsd" localSheetId="5" hidden="1">0</definedName>
    <definedName name="solver_rsd" localSheetId="0" hidden="1">0</definedName>
    <definedName name="solver_rsd" localSheetId="1" hidden="1">0</definedName>
    <definedName name="solver_scl" localSheetId="6" hidden="1">2</definedName>
    <definedName name="solver_scl" localSheetId="2" hidden="1">2</definedName>
    <definedName name="solver_scl" localSheetId="5" hidden="1">2</definedName>
    <definedName name="solver_scl" localSheetId="0" hidden="1">1</definedName>
    <definedName name="solver_scl" localSheetId="1" hidden="1">1</definedName>
    <definedName name="solver_sho" localSheetId="6" hidden="1">2</definedName>
    <definedName name="solver_sho" localSheetId="2" hidden="1">2</definedName>
    <definedName name="solver_sho" localSheetId="5" hidden="1">2</definedName>
    <definedName name="solver_sho" localSheetId="0" hidden="1">2</definedName>
    <definedName name="solver_sho" localSheetId="1" hidden="1">2</definedName>
    <definedName name="solver_ssz" localSheetId="6" hidden="1">100</definedName>
    <definedName name="solver_ssz" localSheetId="2" hidden="1">100</definedName>
    <definedName name="solver_ssz" localSheetId="5" hidden="1">100</definedName>
    <definedName name="solver_ssz" localSheetId="0" hidden="1">100</definedName>
    <definedName name="solver_ssz" localSheetId="1" hidden="1">100</definedName>
    <definedName name="solver_std" localSheetId="2" hidden="1">1</definedName>
    <definedName name="solver_std" localSheetId="5" hidden="1">1</definedName>
    <definedName name="solver_tim" localSheetId="6" hidden="1">100</definedName>
    <definedName name="solver_tim" localSheetId="2" hidden="1">100</definedName>
    <definedName name="solver_tim" localSheetId="5" hidden="1">100</definedName>
    <definedName name="solver_tim" localSheetId="0" hidden="1">2147483647</definedName>
    <definedName name="solver_tim" localSheetId="1" hidden="1">2147483647</definedName>
    <definedName name="solver_tol" localSheetId="6" hidden="1">0.05</definedName>
    <definedName name="solver_tol" localSheetId="2" hidden="1">0.0005</definedName>
    <definedName name="solver_tol" localSheetId="5" hidden="1">0.0005</definedName>
    <definedName name="solver_tol" localSheetId="0" hidden="1">0.01</definedName>
    <definedName name="solver_tol" localSheetId="1" hidden="1">0.01</definedName>
    <definedName name="solver_typ" localSheetId="6" hidden="1">1</definedName>
    <definedName name="solver_typ" localSheetId="2" hidden="1">2</definedName>
    <definedName name="solver_typ" localSheetId="5" hidden="1">1</definedName>
    <definedName name="solver_typ" localSheetId="0" hidden="1">1</definedName>
    <definedName name="solver_typ" localSheetId="1" hidden="1">1</definedName>
    <definedName name="solver_val" localSheetId="6" hidden="1">0</definedName>
    <definedName name="solver_val" localSheetId="2" hidden="1">0</definedName>
    <definedName name="solver_val" localSheetId="5" hidden="1">0</definedName>
    <definedName name="solver_val" localSheetId="0" hidden="1">0</definedName>
    <definedName name="solver_val" localSheetId="1" hidden="1">0</definedName>
    <definedName name="solver_ver" localSheetId="6" hidden="1">3</definedName>
    <definedName name="solver_ver" localSheetId="2" hidden="1">3</definedName>
    <definedName name="solver_ver" localSheetId="5" hidden="1">3</definedName>
    <definedName name="solver_ver" localSheetId="0" hidden="1">3</definedName>
    <definedName name="solver_ver" localSheetId="1" hidden="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V1" i="36" l="1"/>
  <c r="R1" i="36"/>
  <c r="X4" i="36"/>
  <c r="U5" i="36"/>
  <c r="U4" i="36"/>
  <c r="T4" i="36"/>
  <c r="Q5" i="36"/>
  <c r="Q4" i="36"/>
  <c r="K1" i="34"/>
  <c r="J4" i="34"/>
  <c r="K25" i="34" s="1"/>
  <c r="V25" i="36"/>
  <c r="V24" i="36"/>
  <c r="V23" i="36"/>
  <c r="V22" i="36"/>
  <c r="V21" i="36"/>
  <c r="V20" i="36"/>
  <c r="V19" i="36"/>
  <c r="V18" i="36"/>
  <c r="V17" i="36"/>
  <c r="V16" i="36"/>
  <c r="V15" i="36"/>
  <c r="V14" i="36"/>
  <c r="V13" i="36"/>
  <c r="V12" i="36"/>
  <c r="V11" i="36"/>
  <c r="V10" i="36"/>
  <c r="V9" i="36"/>
  <c r="V8" i="36"/>
  <c r="V7" i="36"/>
  <c r="V6" i="36"/>
  <c r="V5" i="36"/>
  <c r="R19" i="36"/>
  <c r="R18" i="36"/>
  <c r="R17" i="36"/>
  <c r="R16" i="36"/>
  <c r="R15" i="36"/>
  <c r="R14" i="36"/>
  <c r="R13" i="36"/>
  <c r="R12" i="36"/>
  <c r="R11" i="36"/>
  <c r="R10" i="36"/>
  <c r="R9" i="36"/>
  <c r="R8" i="36"/>
  <c r="R7" i="36"/>
  <c r="R6" i="36"/>
  <c r="R5" i="36"/>
  <c r="K6" i="34" l="1"/>
  <c r="K10" i="34"/>
  <c r="K14" i="34"/>
  <c r="K18" i="34"/>
  <c r="K22" i="34"/>
  <c r="K7" i="34"/>
  <c r="K11" i="34"/>
  <c r="K15" i="34"/>
  <c r="K19" i="34"/>
  <c r="K23" i="34"/>
  <c r="K8" i="34"/>
  <c r="K12" i="34"/>
  <c r="K16" i="34"/>
  <c r="K20" i="34"/>
  <c r="K24" i="34"/>
  <c r="K5" i="34"/>
  <c r="K9" i="34"/>
  <c r="K13" i="34"/>
  <c r="K17" i="34"/>
  <c r="K21" i="34"/>
  <c r="K1" i="31"/>
  <c r="J4" i="31"/>
  <c r="K15" i="31" s="1"/>
  <c r="K1" i="29"/>
  <c r="J4" i="29"/>
  <c r="K13" i="29" s="1"/>
  <c r="K6" i="31" l="1"/>
  <c r="K10" i="31"/>
  <c r="K14" i="31"/>
  <c r="K8" i="31"/>
  <c r="K12" i="31"/>
  <c r="K5" i="31"/>
  <c r="K9" i="31"/>
  <c r="K13" i="31"/>
  <c r="K7" i="31"/>
  <c r="K11" i="31"/>
  <c r="K11" i="29"/>
  <c r="K6" i="29"/>
  <c r="K14" i="29"/>
  <c r="K7" i="29"/>
  <c r="K15" i="29"/>
  <c r="K10" i="29"/>
  <c r="K8" i="29"/>
  <c r="K12" i="29"/>
  <c r="K5" i="29"/>
  <c r="K9" i="29"/>
  <c r="D20" i="24" l="1"/>
  <c r="B20" i="24"/>
  <c r="D17" i="24"/>
  <c r="B21" i="24" l="1"/>
  <c r="D19" i="24"/>
  <c r="D18" i="24"/>
  <c r="B19" i="24" l="1"/>
  <c r="B18" i="24"/>
  <c r="B17" i="24"/>
  <c r="C14" i="24"/>
  <c r="C8" i="24"/>
  <c r="B12" i="19" l="1"/>
  <c r="B25" i="19"/>
  <c r="B22" i="2"/>
  <c r="B31" i="19" l="1"/>
  <c r="B30" i="19"/>
  <c r="B29" i="19"/>
  <c r="B28" i="19"/>
  <c r="B27" i="19"/>
  <c r="B26" i="19"/>
  <c r="I12" i="19"/>
  <c r="I15" i="19" s="1"/>
  <c r="H12" i="19"/>
  <c r="H15" i="19" s="1"/>
  <c r="G12" i="19"/>
  <c r="G15" i="19" s="1"/>
  <c r="F12" i="19"/>
  <c r="F15" i="19" s="1"/>
  <c r="E12" i="19"/>
  <c r="E15" i="19" s="1"/>
  <c r="D12" i="19"/>
  <c r="D15" i="19" s="1"/>
  <c r="C12" i="19"/>
  <c r="B15" i="19"/>
  <c r="C15" i="19" l="1"/>
  <c r="B21" i="19"/>
  <c r="B24" i="16"/>
  <c r="C16" i="16"/>
  <c r="B23" i="16"/>
  <c r="B22" i="16"/>
  <c r="B21" i="16"/>
  <c r="B20" i="16"/>
  <c r="B19" i="16"/>
  <c r="D23" i="16"/>
  <c r="D22" i="16"/>
  <c r="D21" i="16"/>
  <c r="D20" i="16"/>
  <c r="D19" i="16"/>
  <c r="B27" i="2" l="1"/>
  <c r="B28" i="2"/>
  <c r="B29" i="2"/>
  <c r="B30" i="2"/>
  <c r="B31" i="2"/>
  <c r="B26" i="2"/>
  <c r="I12" i="2" l="1"/>
  <c r="I15" i="2" s="1"/>
  <c r="H12" i="2"/>
  <c r="H15" i="2" s="1"/>
  <c r="G12" i="2"/>
  <c r="G15" i="2" s="1"/>
  <c r="F12" i="2"/>
  <c r="F15" i="2" s="1"/>
  <c r="E12" i="2"/>
  <c r="E15" i="2" s="1"/>
  <c r="D12" i="2"/>
  <c r="D15" i="2" s="1"/>
  <c r="C12" i="2"/>
  <c r="C15" i="2" s="1"/>
  <c r="B12" i="2"/>
  <c r="B1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Xiaofei</author>
  </authors>
  <commentList>
    <comment ref="B5" authorId="0" shapeId="0" xr:uid="{75C8DEBF-181E-496F-AF6B-4BC8A21DA32F}">
      <text>
        <r>
          <rPr>
            <sz val="9"/>
            <color indexed="81"/>
            <rFont val="Tahoma"/>
            <family val="2"/>
          </rPr>
          <t>Solver found a solution. All constraints and optimality conditions are satisfied.</t>
        </r>
      </text>
    </comment>
    <comment ref="B6" authorId="0" shapeId="0" xr:uid="{0511646D-A8F4-4977-9547-066AFBCB8BFB}">
      <text>
        <r>
          <rPr>
            <sz val="9"/>
            <color indexed="81"/>
            <rFont val="Tahoma"/>
            <family val="2"/>
          </rPr>
          <t>Solver found a solution. All constraints and optimality conditions are satisfied.</t>
        </r>
      </text>
    </comment>
    <comment ref="B7" authorId="0" shapeId="0" xr:uid="{8A2B81F9-B074-40CD-AFAB-422B5C95AB82}">
      <text>
        <r>
          <rPr>
            <sz val="9"/>
            <color indexed="81"/>
            <rFont val="Tahoma"/>
            <family val="2"/>
          </rPr>
          <t>Solver found a solution. All constraints and optimality conditions are satisfied.</t>
        </r>
      </text>
    </comment>
    <comment ref="B8" authorId="0" shapeId="0" xr:uid="{F54FB300-434B-4EF1-801D-82AA61E703B7}">
      <text>
        <r>
          <rPr>
            <sz val="9"/>
            <color indexed="81"/>
            <rFont val="Tahoma"/>
            <family val="2"/>
          </rPr>
          <t>Solver found a solution. All constraints and optimality conditions are satisfied.</t>
        </r>
      </text>
    </comment>
    <comment ref="B9" authorId="0" shapeId="0" xr:uid="{BCDE4CD7-714A-4A7E-BDDC-63855A854D5A}">
      <text>
        <r>
          <rPr>
            <sz val="9"/>
            <color indexed="81"/>
            <rFont val="Tahoma"/>
            <family val="2"/>
          </rPr>
          <t>Solver found a solution. All constraints and optimality conditions are satisfied.</t>
        </r>
      </text>
    </comment>
    <comment ref="B10" authorId="0" shapeId="0" xr:uid="{B116B9C3-3C9F-4595-BEDD-FA5669DBA390}">
      <text>
        <r>
          <rPr>
            <sz val="9"/>
            <color indexed="81"/>
            <rFont val="Tahoma"/>
            <family val="2"/>
          </rPr>
          <t>Solver found a solution. All constraints and optimality conditions are satisfied.</t>
        </r>
      </text>
    </comment>
    <comment ref="B11" authorId="0" shapeId="0" xr:uid="{B929E866-69D9-4BED-9035-AA2EE1E8C099}">
      <text>
        <r>
          <rPr>
            <sz val="9"/>
            <color indexed="81"/>
            <rFont val="Tahoma"/>
            <family val="2"/>
          </rPr>
          <t>Solver found a solution. All constraints and optimality conditions are satisfied.</t>
        </r>
      </text>
    </comment>
    <comment ref="B12" authorId="0" shapeId="0" xr:uid="{929FF82E-A8F3-4AB1-AB9C-D49981333282}">
      <text>
        <r>
          <rPr>
            <sz val="9"/>
            <color indexed="81"/>
            <rFont val="Tahoma"/>
            <family val="2"/>
          </rPr>
          <t>Solver found a solution. All constraints and optimality conditions are satisfied.</t>
        </r>
      </text>
    </comment>
    <comment ref="B13" authorId="0" shapeId="0" xr:uid="{C58B94E2-C7A8-4350-AF90-B46B70E922D0}">
      <text>
        <r>
          <rPr>
            <sz val="9"/>
            <color indexed="81"/>
            <rFont val="Tahoma"/>
            <family val="2"/>
          </rPr>
          <t>Solver found a solution. All constraints and optimality conditions are satisfied.</t>
        </r>
      </text>
    </comment>
    <comment ref="B14" authorId="0" shapeId="0" xr:uid="{42994C98-BE4B-4E7F-AB94-494FB7B418CA}">
      <text>
        <r>
          <rPr>
            <sz val="9"/>
            <color indexed="81"/>
            <rFont val="Tahoma"/>
            <family val="2"/>
          </rPr>
          <t>Solver found a solution. All constraints and optimality conditions are satisfied.</t>
        </r>
      </text>
    </comment>
    <comment ref="B15" authorId="0" shapeId="0" xr:uid="{81700A1B-2A0E-4FE0-9677-E7D20BAE39FE}">
      <text>
        <r>
          <rPr>
            <sz val="9"/>
            <color indexed="81"/>
            <rFont val="Tahoma"/>
            <family val="2"/>
          </rPr>
          <t>Solver found a solution. All constraints and optimality conditions are satisfied.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Xiaofei</author>
  </authors>
  <commentList>
    <comment ref="B5" authorId="0" shapeId="0" xr:uid="{120A9434-1578-4936-8117-D45CA86130E0}">
      <text>
        <r>
          <rPr>
            <sz val="9"/>
            <color indexed="81"/>
            <rFont val="Tahoma"/>
            <family val="2"/>
          </rPr>
          <t>Solver found a solution. All constraints and optimality conditions are satisfied.</t>
        </r>
      </text>
    </comment>
    <comment ref="B6" authorId="0" shapeId="0" xr:uid="{831A9896-4497-473D-B405-F2025230BD61}">
      <text>
        <r>
          <rPr>
            <sz val="9"/>
            <color indexed="81"/>
            <rFont val="Tahoma"/>
            <family val="2"/>
          </rPr>
          <t>Solver found a solution. All constraints and optimality conditions are satisfied.</t>
        </r>
      </text>
    </comment>
    <comment ref="B7" authorId="0" shapeId="0" xr:uid="{34691D72-E5D9-4D9E-BB0E-9A8DC86AB3E5}">
      <text>
        <r>
          <rPr>
            <sz val="9"/>
            <color indexed="81"/>
            <rFont val="Tahoma"/>
            <family val="2"/>
          </rPr>
          <t>Solver found a solution. All constraints and optimality conditions are satisfied.</t>
        </r>
      </text>
    </comment>
    <comment ref="B8" authorId="0" shapeId="0" xr:uid="{897DBC55-9898-4D95-82B7-D64F3EE57333}">
      <text>
        <r>
          <rPr>
            <sz val="9"/>
            <color indexed="81"/>
            <rFont val="Tahoma"/>
            <family val="2"/>
          </rPr>
          <t>Solver found a solution. All constraints and optimality conditions are satisfied.</t>
        </r>
      </text>
    </comment>
    <comment ref="B9" authorId="0" shapeId="0" xr:uid="{88E08D8C-D852-4576-8C6B-83504B2F12DA}">
      <text>
        <r>
          <rPr>
            <sz val="9"/>
            <color indexed="81"/>
            <rFont val="Tahoma"/>
            <family val="2"/>
          </rPr>
          <t>Solver found a solution. All constraints and optimality conditions are satisfied.</t>
        </r>
      </text>
    </comment>
    <comment ref="B10" authorId="0" shapeId="0" xr:uid="{050799CF-B394-479A-BF4A-6E67EE046EA5}">
      <text>
        <r>
          <rPr>
            <sz val="9"/>
            <color indexed="81"/>
            <rFont val="Tahoma"/>
            <family val="2"/>
          </rPr>
          <t>Solver found a solution. All constraints and optimality conditions are satisfied.</t>
        </r>
      </text>
    </comment>
    <comment ref="B11" authorId="0" shapeId="0" xr:uid="{58B34BEB-F91E-4F5A-A094-A90EEC97B541}">
      <text>
        <r>
          <rPr>
            <sz val="9"/>
            <color indexed="81"/>
            <rFont val="Tahoma"/>
            <family val="2"/>
          </rPr>
          <t>Solver found a solution. All constraints and optimality conditions are satisfied.</t>
        </r>
      </text>
    </comment>
    <comment ref="B12" authorId="0" shapeId="0" xr:uid="{E0C1BDD3-1F13-43A1-8549-7CDB1A1EDE4E}">
      <text>
        <r>
          <rPr>
            <sz val="9"/>
            <color indexed="81"/>
            <rFont val="Tahoma"/>
            <family val="2"/>
          </rPr>
          <t>Solver found a solution. All constraints and optimality conditions are satisfied.</t>
        </r>
      </text>
    </comment>
    <comment ref="B13" authorId="0" shapeId="0" xr:uid="{46FFE0BA-92D0-4628-9F06-C19FC0DA4447}">
      <text>
        <r>
          <rPr>
            <sz val="9"/>
            <color indexed="81"/>
            <rFont val="Tahoma"/>
            <family val="2"/>
          </rPr>
          <t>Solver found a solution. All constraints and optimality conditions are satisfied.</t>
        </r>
      </text>
    </comment>
    <comment ref="B14" authorId="0" shapeId="0" xr:uid="{7802DB36-6008-4000-B53E-85424593D351}">
      <text>
        <r>
          <rPr>
            <sz val="9"/>
            <color indexed="81"/>
            <rFont val="Tahoma"/>
            <family val="2"/>
          </rPr>
          <t>Solver found a solution. All constraints and optimality conditions are satisfied.</t>
        </r>
      </text>
    </comment>
    <comment ref="B15" authorId="0" shapeId="0" xr:uid="{CB466D6F-585F-4E3E-8650-AD53F63150BC}">
      <text>
        <r>
          <rPr>
            <sz val="9"/>
            <color indexed="81"/>
            <rFont val="Tahoma"/>
            <family val="2"/>
          </rPr>
          <t>Solver found a solution. All constraints and optimality conditions are satisfied.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Xiaofei</author>
  </authors>
  <commentList>
    <comment ref="B5" authorId="0" shapeId="0" xr:uid="{6E5E7A55-B170-4970-AD9E-67FE2CE43CE1}">
      <text>
        <r>
          <rPr>
            <sz val="9"/>
            <color indexed="81"/>
            <rFont val="Tahoma"/>
            <family val="2"/>
          </rPr>
          <t>Solver could not find a feasible solution.</t>
        </r>
      </text>
    </comment>
    <comment ref="B6" authorId="0" shapeId="0" xr:uid="{6387C282-6FE1-4A8C-9AE7-D316532A7773}">
      <text>
        <r>
          <rPr>
            <sz val="9"/>
            <color indexed="81"/>
            <rFont val="Tahoma"/>
            <family val="2"/>
          </rPr>
          <t>Solver could not find a feasible solution.</t>
        </r>
      </text>
    </comment>
    <comment ref="B7" authorId="0" shapeId="0" xr:uid="{5FA0C128-D6EF-43F2-A568-5EDDD6F3C27B}">
      <text>
        <r>
          <rPr>
            <sz val="9"/>
            <color indexed="81"/>
            <rFont val="Tahoma"/>
            <family val="2"/>
          </rPr>
          <t>Solver could not find a feasible solution.</t>
        </r>
      </text>
    </comment>
    <comment ref="B8" authorId="0" shapeId="0" xr:uid="{20E37E98-51CC-4DCE-B268-8022CD8B6094}">
      <text>
        <r>
          <rPr>
            <sz val="9"/>
            <color indexed="81"/>
            <rFont val="Tahoma"/>
            <family val="2"/>
          </rPr>
          <t>Solver could not find a feasible solution.</t>
        </r>
      </text>
    </comment>
    <comment ref="B9" authorId="0" shapeId="0" xr:uid="{A659193C-305E-4D99-9307-67778ACA8954}">
      <text>
        <r>
          <rPr>
            <sz val="9"/>
            <color indexed="81"/>
            <rFont val="Tahoma"/>
            <family val="2"/>
          </rPr>
          <t>Solver could not find a feasible solution.</t>
        </r>
      </text>
    </comment>
    <comment ref="B10" authorId="0" shapeId="0" xr:uid="{095C61F3-9D80-46E9-B2FD-B676240B1C2D}">
      <text>
        <r>
          <rPr>
            <sz val="9"/>
            <color indexed="81"/>
            <rFont val="Tahoma"/>
            <family val="2"/>
          </rPr>
          <t>Solver could not find a feasible solution.</t>
        </r>
      </text>
    </comment>
    <comment ref="B11" authorId="0" shapeId="0" xr:uid="{4094CB9B-B2A0-49B9-9D07-92F8C9EC5E33}">
      <text>
        <r>
          <rPr>
            <sz val="9"/>
            <color indexed="81"/>
            <rFont val="Tahoma"/>
            <family val="2"/>
          </rPr>
          <t>Solver could not find a feasible solution.</t>
        </r>
      </text>
    </comment>
    <comment ref="B12" authorId="0" shapeId="0" xr:uid="{6C871499-3C9B-4D56-A465-5273334E1101}">
      <text>
        <r>
          <rPr>
            <sz val="9"/>
            <color indexed="81"/>
            <rFont val="Tahoma"/>
            <family val="2"/>
          </rPr>
          <t>Solver could not find a feasible solution.</t>
        </r>
      </text>
    </comment>
    <comment ref="B13" authorId="0" shapeId="0" xr:uid="{8BD1304A-C3C1-4C06-A41B-4D473F1FC95F}">
      <text>
        <r>
          <rPr>
            <sz val="9"/>
            <color indexed="81"/>
            <rFont val="Tahoma"/>
            <family val="2"/>
          </rPr>
          <t>Solver could not find a feasible solution.</t>
        </r>
      </text>
    </comment>
    <comment ref="B14" authorId="0" shapeId="0" xr:uid="{C44E1407-4171-42CB-B927-1B5D99FCE70F}">
      <text>
        <r>
          <rPr>
            <sz val="9"/>
            <color indexed="81"/>
            <rFont val="Tahoma"/>
            <family val="2"/>
          </rPr>
          <t>Solver found a solution. All constraints and optimality conditions are satisfied.</t>
        </r>
      </text>
    </comment>
    <comment ref="B15" authorId="0" shapeId="0" xr:uid="{D4E8C02A-A70A-4C78-B096-FC65AE672727}">
      <text>
        <r>
          <rPr>
            <sz val="9"/>
            <color indexed="81"/>
            <rFont val="Tahoma"/>
            <family val="2"/>
          </rPr>
          <t>Solver found a solution. All constraints and optimality conditions are satisfied.</t>
        </r>
      </text>
    </comment>
    <comment ref="B16" authorId="0" shapeId="0" xr:uid="{DBD5A799-F3FC-432D-A646-AE41D9B0D41F}">
      <text>
        <r>
          <rPr>
            <sz val="9"/>
            <color indexed="81"/>
            <rFont val="Tahoma"/>
            <family val="2"/>
          </rPr>
          <t>Solver found a solution. All constraints and optimality conditions are satisfied.</t>
        </r>
      </text>
    </comment>
    <comment ref="B17" authorId="0" shapeId="0" xr:uid="{009F69D9-ACFF-4550-88D5-259DF78534FD}">
      <text>
        <r>
          <rPr>
            <sz val="9"/>
            <color indexed="81"/>
            <rFont val="Tahoma"/>
            <family val="2"/>
          </rPr>
          <t>Solver found a solution. All constraints and optimality conditions are satisfied.</t>
        </r>
      </text>
    </comment>
    <comment ref="B18" authorId="0" shapeId="0" xr:uid="{67967731-03E7-47EB-9C11-3F9D46C5404F}">
      <text>
        <r>
          <rPr>
            <sz val="9"/>
            <color indexed="81"/>
            <rFont val="Tahoma"/>
            <family val="2"/>
          </rPr>
          <t>Solver found a solution. All constraints and optimality conditions are satisfied.</t>
        </r>
      </text>
    </comment>
    <comment ref="B19" authorId="0" shapeId="0" xr:uid="{315AA8DE-C320-4FC3-8B0F-F093DD26E1DD}">
      <text>
        <r>
          <rPr>
            <sz val="9"/>
            <color indexed="81"/>
            <rFont val="Tahoma"/>
            <family val="2"/>
          </rPr>
          <t>Solver found a solution. All constraints and optimality conditions are satisfied.</t>
        </r>
      </text>
    </comment>
    <comment ref="B20" authorId="0" shapeId="0" xr:uid="{B815DB77-6FBA-4609-8054-F75B91F33B87}">
      <text>
        <r>
          <rPr>
            <sz val="9"/>
            <color indexed="81"/>
            <rFont val="Tahoma"/>
            <family val="2"/>
          </rPr>
          <t>Solver found a solution. All constraints and optimality conditions are satisfied.</t>
        </r>
      </text>
    </comment>
    <comment ref="B21" authorId="0" shapeId="0" xr:uid="{16923A87-D1B0-4C70-AA64-2128EB81C615}">
      <text>
        <r>
          <rPr>
            <sz val="9"/>
            <color indexed="81"/>
            <rFont val="Tahoma"/>
            <family val="2"/>
          </rPr>
          <t>Solver found a solution. All constraints and optimality conditions are satisfied.</t>
        </r>
      </text>
    </comment>
    <comment ref="B22" authorId="0" shapeId="0" xr:uid="{828E4358-00D5-4BA2-BD17-8FD2C858433B}">
      <text>
        <r>
          <rPr>
            <sz val="9"/>
            <color indexed="81"/>
            <rFont val="Tahoma"/>
            <family val="2"/>
          </rPr>
          <t>Solver found a solution. All constraints and optimality conditions are satisfied.</t>
        </r>
      </text>
    </comment>
    <comment ref="B23" authorId="0" shapeId="0" xr:uid="{4C219E3E-1047-4EDA-BD89-42D52E23C40C}">
      <text>
        <r>
          <rPr>
            <sz val="9"/>
            <color indexed="81"/>
            <rFont val="Tahoma"/>
            <family val="2"/>
          </rPr>
          <t>Solver found a solution. All constraints and optimality conditions are satisfied.</t>
        </r>
      </text>
    </comment>
    <comment ref="B24" authorId="0" shapeId="0" xr:uid="{36F6CED8-7A53-4E76-8434-DCA144877B6E}">
      <text>
        <r>
          <rPr>
            <sz val="9"/>
            <color indexed="81"/>
            <rFont val="Tahoma"/>
            <family val="2"/>
          </rPr>
          <t>Solver found a solution. All constraints and optimality conditions are satisfied.</t>
        </r>
      </text>
    </comment>
    <comment ref="B25" authorId="0" shapeId="0" xr:uid="{25DAA261-50CD-49E3-8A54-5B885591AE43}">
      <text>
        <r>
          <rPr>
            <sz val="9"/>
            <color indexed="81"/>
            <rFont val="Tahoma"/>
            <family val="2"/>
          </rPr>
          <t>Solver found a solution. All constraints and optimality conditions are satisfied.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Xiaofei</author>
  </authors>
  <commentList>
    <comment ref="B5" authorId="0" shapeId="0" xr:uid="{D712BDA9-55AB-4F56-B45A-524EE2A3B7E0}">
      <text>
        <r>
          <rPr>
            <sz val="9"/>
            <color indexed="81"/>
            <rFont val="Tahoma"/>
            <family val="2"/>
          </rPr>
          <t>Solver could not find a feasible solution.</t>
        </r>
      </text>
    </comment>
    <comment ref="C5" authorId="0" shapeId="0" xr:uid="{90022FA3-E7CF-4A7F-A5BB-681AAB7F4F08}">
      <text>
        <r>
          <rPr>
            <sz val="9"/>
            <color indexed="81"/>
            <rFont val="Tahoma"/>
            <family val="2"/>
          </rPr>
          <t>Solver could not find a feasible solution.</t>
        </r>
      </text>
    </comment>
    <comment ref="D5" authorId="0" shapeId="0" xr:uid="{A37F8A6C-E33D-4F5B-98F1-9383D67D3E88}">
      <text>
        <r>
          <rPr>
            <sz val="9"/>
            <color indexed="81"/>
            <rFont val="Tahoma"/>
            <family val="2"/>
          </rPr>
          <t>Solver could not find a feasible solution.</t>
        </r>
      </text>
    </comment>
    <comment ref="E5" authorId="0" shapeId="0" xr:uid="{97BE954F-732F-4D15-A9D2-D4A4EA89C12D}">
      <text>
        <r>
          <rPr>
            <sz val="9"/>
            <color indexed="81"/>
            <rFont val="Tahoma"/>
            <family val="2"/>
          </rPr>
          <t>Solver could not find a feasible solution.</t>
        </r>
      </text>
    </comment>
    <comment ref="F5" authorId="0" shapeId="0" xr:uid="{2072CD91-CD62-420F-A132-FDF5D7F02EA6}">
      <text>
        <r>
          <rPr>
            <sz val="9"/>
            <color indexed="81"/>
            <rFont val="Tahoma"/>
            <family val="2"/>
          </rPr>
          <t>Solver could not find a feasible solution.</t>
        </r>
      </text>
    </comment>
    <comment ref="G5" authorId="0" shapeId="0" xr:uid="{ED8FCBA5-D247-4328-B016-D3D717BBDC8D}">
      <text>
        <r>
          <rPr>
            <sz val="9"/>
            <color indexed="81"/>
            <rFont val="Tahoma"/>
            <family val="2"/>
          </rPr>
          <t>Solver could not find a feasible solution.</t>
        </r>
      </text>
    </comment>
    <comment ref="H5" authorId="0" shapeId="0" xr:uid="{2C625642-DA78-4193-820A-5BA3B1397BD7}">
      <text>
        <r>
          <rPr>
            <sz val="9"/>
            <color indexed="81"/>
            <rFont val="Tahoma"/>
            <family val="2"/>
          </rPr>
          <t>Solver could not find a feasible solution.</t>
        </r>
      </text>
    </comment>
    <comment ref="I5" authorId="0" shapeId="0" xr:uid="{516981AD-26DD-4760-8343-13DF329042B5}">
      <text>
        <r>
          <rPr>
            <sz val="9"/>
            <color indexed="81"/>
            <rFont val="Tahoma"/>
            <family val="2"/>
          </rPr>
          <t>Solver could not find a feasible solution.</t>
        </r>
      </text>
    </comment>
    <comment ref="J5" authorId="0" shapeId="0" xr:uid="{16C468D4-3600-4A8B-AC43-9A743A5D632B}">
      <text>
        <r>
          <rPr>
            <sz val="9"/>
            <color indexed="81"/>
            <rFont val="Tahoma"/>
            <family val="2"/>
          </rPr>
          <t>Solver could not find a feasible solution.</t>
        </r>
      </text>
    </comment>
    <comment ref="K5" authorId="0" shapeId="0" xr:uid="{E8B5FD19-083D-4F46-8E46-00820BB4522D}">
      <text>
        <r>
          <rPr>
            <sz val="9"/>
            <color indexed="81"/>
            <rFont val="Tahoma"/>
            <family val="2"/>
          </rPr>
          <t>Solver could not find a feasible solution.</t>
        </r>
      </text>
    </comment>
    <comment ref="L5" authorId="0" shapeId="0" xr:uid="{CE0EF360-E952-4758-99F5-938B6BDF9003}">
      <text>
        <r>
          <rPr>
            <sz val="9"/>
            <color indexed="81"/>
            <rFont val="Tahoma"/>
            <family val="2"/>
          </rPr>
          <t>Solver could not find a feasible solution.</t>
        </r>
      </text>
    </comment>
    <comment ref="M5" authorId="0" shapeId="0" xr:uid="{53BC0F1A-C34A-4A00-8191-F80214373B71}">
      <text>
        <r>
          <rPr>
            <sz val="9"/>
            <color indexed="81"/>
            <rFont val="Tahoma"/>
            <family val="2"/>
          </rPr>
          <t>Solver could not find a feasible solution.</t>
        </r>
      </text>
    </comment>
    <comment ref="N5" authorId="0" shapeId="0" xr:uid="{FA300148-C8D2-47A3-B4B6-4A8D1DB35203}">
      <text>
        <r>
          <rPr>
            <sz val="9"/>
            <color indexed="81"/>
            <rFont val="Tahoma"/>
            <family val="2"/>
          </rPr>
          <t>Solver could not find a feasible solution.</t>
        </r>
      </text>
    </comment>
    <comment ref="O5" authorId="0" shapeId="0" xr:uid="{F79EE7EF-80F0-4AEB-85A8-0E88CB0692C7}">
      <text>
        <r>
          <rPr>
            <sz val="9"/>
            <color indexed="81"/>
            <rFont val="Tahoma"/>
            <family val="2"/>
          </rPr>
          <t>Solver could not find a feasible solution.</t>
        </r>
      </text>
    </comment>
    <comment ref="P5" authorId="0" shapeId="0" xr:uid="{4E5B728A-1D07-47DD-B297-9F63EC78F00A}">
      <text>
        <r>
          <rPr>
            <sz val="9"/>
            <color indexed="81"/>
            <rFont val="Tahoma"/>
            <family val="2"/>
          </rPr>
          <t>Solver could not find a feasible solution.</t>
        </r>
      </text>
    </comment>
    <comment ref="B6" authorId="0" shapeId="0" xr:uid="{F76A2AC0-0F8B-4F3E-B2F0-303DD58D8565}">
      <text>
        <r>
          <rPr>
            <sz val="9"/>
            <color indexed="81"/>
            <rFont val="Tahoma"/>
            <family val="2"/>
          </rPr>
          <t>Solver could not find a feasible solution.</t>
        </r>
      </text>
    </comment>
    <comment ref="C6" authorId="0" shapeId="0" xr:uid="{7940E497-949F-4A16-867B-EB30EADD5005}">
      <text>
        <r>
          <rPr>
            <sz val="9"/>
            <color indexed="81"/>
            <rFont val="Tahoma"/>
            <family val="2"/>
          </rPr>
          <t>Solver could not find a feasible solution.</t>
        </r>
      </text>
    </comment>
    <comment ref="D6" authorId="0" shapeId="0" xr:uid="{FB7A9101-2E7B-4576-B120-6834B6D2FBE9}">
      <text>
        <r>
          <rPr>
            <sz val="9"/>
            <color indexed="81"/>
            <rFont val="Tahoma"/>
            <family val="2"/>
          </rPr>
          <t>Solver could not find a feasible solution.</t>
        </r>
      </text>
    </comment>
    <comment ref="E6" authorId="0" shapeId="0" xr:uid="{7B555CC1-BDD2-4B8B-A80F-FD3DA70DABDE}">
      <text>
        <r>
          <rPr>
            <sz val="9"/>
            <color indexed="81"/>
            <rFont val="Tahoma"/>
            <family val="2"/>
          </rPr>
          <t>Solver could not find a feasible solution.</t>
        </r>
      </text>
    </comment>
    <comment ref="F6" authorId="0" shapeId="0" xr:uid="{131B788F-68C4-4CD9-AB36-4BB58B9A09CF}">
      <text>
        <r>
          <rPr>
            <sz val="9"/>
            <color indexed="81"/>
            <rFont val="Tahoma"/>
            <family val="2"/>
          </rPr>
          <t>Solver could not find a feasible solution.</t>
        </r>
      </text>
    </comment>
    <comment ref="G6" authorId="0" shapeId="0" xr:uid="{7F8F2656-ADB4-499F-B9FF-04DAD2DE8901}">
      <text>
        <r>
          <rPr>
            <sz val="9"/>
            <color indexed="81"/>
            <rFont val="Tahoma"/>
            <family val="2"/>
          </rPr>
          <t>Solver could not find a feasible solution.</t>
        </r>
      </text>
    </comment>
    <comment ref="H6" authorId="0" shapeId="0" xr:uid="{EDFDE11B-4947-4EBD-82DF-25EBC144BBA7}">
      <text>
        <r>
          <rPr>
            <sz val="9"/>
            <color indexed="81"/>
            <rFont val="Tahoma"/>
            <family val="2"/>
          </rPr>
          <t>Solver could not find a feasible solution.</t>
        </r>
      </text>
    </comment>
    <comment ref="I6" authorId="0" shapeId="0" xr:uid="{606D75E3-1DEA-4B1C-813B-908D80963A00}">
      <text>
        <r>
          <rPr>
            <sz val="9"/>
            <color indexed="81"/>
            <rFont val="Tahoma"/>
            <family val="2"/>
          </rPr>
          <t>Solver could not find a feasible solution.</t>
        </r>
      </text>
    </comment>
    <comment ref="J6" authorId="0" shapeId="0" xr:uid="{03C491F7-D02C-4A78-A47E-EDC4BAB107D2}">
      <text>
        <r>
          <rPr>
            <sz val="9"/>
            <color indexed="81"/>
            <rFont val="Tahoma"/>
            <family val="2"/>
          </rPr>
          <t>Solver could not find a feasible solution.</t>
        </r>
      </text>
    </comment>
    <comment ref="K6" authorId="0" shapeId="0" xr:uid="{5A76AB30-C927-48C8-91AC-D35E4A760FBC}">
      <text>
        <r>
          <rPr>
            <sz val="9"/>
            <color indexed="81"/>
            <rFont val="Tahoma"/>
            <family val="2"/>
          </rPr>
          <t>Solver could not find a feasible solution.</t>
        </r>
      </text>
    </comment>
    <comment ref="L6" authorId="0" shapeId="0" xr:uid="{748EEB87-CF41-46D8-A806-B6D3591B0B9E}">
      <text>
        <r>
          <rPr>
            <sz val="9"/>
            <color indexed="81"/>
            <rFont val="Tahoma"/>
            <family val="2"/>
          </rPr>
          <t>Solver could not find a feasible solution.</t>
        </r>
      </text>
    </comment>
    <comment ref="M6" authorId="0" shapeId="0" xr:uid="{D5897470-CCC0-43C0-AD50-60E08683A39E}">
      <text>
        <r>
          <rPr>
            <sz val="9"/>
            <color indexed="81"/>
            <rFont val="Tahoma"/>
            <family val="2"/>
          </rPr>
          <t>Solver could not find a feasible solution.</t>
        </r>
      </text>
    </comment>
    <comment ref="N6" authorId="0" shapeId="0" xr:uid="{A822C783-B20E-45AB-AE91-FCA5ED4C6411}">
      <text>
        <r>
          <rPr>
            <sz val="9"/>
            <color indexed="81"/>
            <rFont val="Tahoma"/>
            <family val="2"/>
          </rPr>
          <t>Solver could not find a feasible solution.</t>
        </r>
      </text>
    </comment>
    <comment ref="O6" authorId="0" shapeId="0" xr:uid="{35B9E552-9723-464B-842B-71254F4E7E1B}">
      <text>
        <r>
          <rPr>
            <sz val="9"/>
            <color indexed="81"/>
            <rFont val="Tahoma"/>
            <family val="2"/>
          </rPr>
          <t>Solver could not find a feasible solution.</t>
        </r>
      </text>
    </comment>
    <comment ref="P6" authorId="0" shapeId="0" xr:uid="{B4D069F6-91DD-4117-B833-D487B36CB951}">
      <text>
        <r>
          <rPr>
            <sz val="9"/>
            <color indexed="81"/>
            <rFont val="Tahoma"/>
            <family val="2"/>
          </rPr>
          <t>Solver could not find a feasible solution.</t>
        </r>
      </text>
    </comment>
    <comment ref="B7" authorId="0" shapeId="0" xr:uid="{3CB38E42-E4CC-4939-8F6B-EAA1C51E0B62}">
      <text>
        <r>
          <rPr>
            <sz val="9"/>
            <color indexed="81"/>
            <rFont val="Tahoma"/>
            <family val="2"/>
          </rPr>
          <t>Solver could not find a feasible solution.</t>
        </r>
      </text>
    </comment>
    <comment ref="C7" authorId="0" shapeId="0" xr:uid="{461A1811-AED4-47AE-8043-E39B7145D8BC}">
      <text>
        <r>
          <rPr>
            <sz val="9"/>
            <color indexed="81"/>
            <rFont val="Tahoma"/>
            <family val="2"/>
          </rPr>
          <t>Solver could not find a feasible solution.</t>
        </r>
      </text>
    </comment>
    <comment ref="D7" authorId="0" shapeId="0" xr:uid="{3D9B24D5-9D37-401A-A0A4-ACBA60D3E208}">
      <text>
        <r>
          <rPr>
            <sz val="9"/>
            <color indexed="81"/>
            <rFont val="Tahoma"/>
            <family val="2"/>
          </rPr>
          <t>Solver could not find a feasible solution.</t>
        </r>
      </text>
    </comment>
    <comment ref="E7" authorId="0" shapeId="0" xr:uid="{AC1E27D1-4E37-4BC7-AD1E-44BDAFB3963A}">
      <text>
        <r>
          <rPr>
            <sz val="9"/>
            <color indexed="81"/>
            <rFont val="Tahoma"/>
            <family val="2"/>
          </rPr>
          <t>Solver could not find a feasible solution.</t>
        </r>
      </text>
    </comment>
    <comment ref="F7" authorId="0" shapeId="0" xr:uid="{2F7C1871-3490-4D1B-8DD0-449D66CE7FE4}">
      <text>
        <r>
          <rPr>
            <sz val="9"/>
            <color indexed="81"/>
            <rFont val="Tahoma"/>
            <family val="2"/>
          </rPr>
          <t>Solver could not find a feasible solution.</t>
        </r>
      </text>
    </comment>
    <comment ref="G7" authorId="0" shapeId="0" xr:uid="{B026EFF2-8338-4425-B693-47D2C0DE3954}">
      <text>
        <r>
          <rPr>
            <sz val="9"/>
            <color indexed="81"/>
            <rFont val="Tahoma"/>
            <family val="2"/>
          </rPr>
          <t>Solver could not find a feasible solution.</t>
        </r>
      </text>
    </comment>
    <comment ref="H7" authorId="0" shapeId="0" xr:uid="{28B1D281-EAE0-499B-8038-4DF8364A85F8}">
      <text>
        <r>
          <rPr>
            <sz val="9"/>
            <color indexed="81"/>
            <rFont val="Tahoma"/>
            <family val="2"/>
          </rPr>
          <t>Solver could not find a feasible solution.</t>
        </r>
      </text>
    </comment>
    <comment ref="I7" authorId="0" shapeId="0" xr:uid="{BC452000-3722-413D-893D-9AA644C46F81}">
      <text>
        <r>
          <rPr>
            <sz val="9"/>
            <color indexed="81"/>
            <rFont val="Tahoma"/>
            <family val="2"/>
          </rPr>
          <t>Solver could not find a feasible solution.</t>
        </r>
      </text>
    </comment>
    <comment ref="J7" authorId="0" shapeId="0" xr:uid="{B001DBB7-5BC9-4FC9-9995-AF8353DCE61E}">
      <text>
        <r>
          <rPr>
            <sz val="9"/>
            <color indexed="81"/>
            <rFont val="Tahoma"/>
            <family val="2"/>
          </rPr>
          <t>Solver could not find a feasible solution.</t>
        </r>
      </text>
    </comment>
    <comment ref="K7" authorId="0" shapeId="0" xr:uid="{0CB73DF0-3B5B-43A3-B2FC-45AC125B2F47}">
      <text>
        <r>
          <rPr>
            <sz val="9"/>
            <color indexed="81"/>
            <rFont val="Tahoma"/>
            <family val="2"/>
          </rPr>
          <t>Solver could not find a feasible solution.</t>
        </r>
      </text>
    </comment>
    <comment ref="L7" authorId="0" shapeId="0" xr:uid="{3BD4B5D4-8808-45DD-BBD7-47DEE758EE63}">
      <text>
        <r>
          <rPr>
            <sz val="9"/>
            <color indexed="81"/>
            <rFont val="Tahoma"/>
            <family val="2"/>
          </rPr>
          <t>Solver could not find a feasible solution.</t>
        </r>
      </text>
    </comment>
    <comment ref="M7" authorId="0" shapeId="0" xr:uid="{CBA28485-C677-45EA-B6A2-DDDA2672CBFC}">
      <text>
        <r>
          <rPr>
            <sz val="9"/>
            <color indexed="81"/>
            <rFont val="Tahoma"/>
            <family val="2"/>
          </rPr>
          <t>Solver could not find a feasible solution.</t>
        </r>
      </text>
    </comment>
    <comment ref="N7" authorId="0" shapeId="0" xr:uid="{9487A7A7-83F0-465D-BC01-204527F6474B}">
      <text>
        <r>
          <rPr>
            <sz val="9"/>
            <color indexed="81"/>
            <rFont val="Tahoma"/>
            <family val="2"/>
          </rPr>
          <t>Solver could not find a feasible solution.</t>
        </r>
      </text>
    </comment>
    <comment ref="O7" authorId="0" shapeId="0" xr:uid="{B154DA67-3374-46F4-A6A0-B39ECB4E9A5F}">
      <text>
        <r>
          <rPr>
            <sz val="9"/>
            <color indexed="81"/>
            <rFont val="Tahoma"/>
            <family val="2"/>
          </rPr>
          <t>Solver could not find a feasible solution.</t>
        </r>
      </text>
    </comment>
    <comment ref="P7" authorId="0" shapeId="0" xr:uid="{962786F9-A658-4542-A369-F98044C43944}">
      <text>
        <r>
          <rPr>
            <sz val="9"/>
            <color indexed="81"/>
            <rFont val="Tahoma"/>
            <family val="2"/>
          </rPr>
          <t>Solver could not find a feasible solution.</t>
        </r>
      </text>
    </comment>
    <comment ref="B8" authorId="0" shapeId="0" xr:uid="{67BEE936-EDB0-4198-9B6B-D2E5C82BF0E8}">
      <text>
        <r>
          <rPr>
            <sz val="9"/>
            <color indexed="81"/>
            <rFont val="Tahoma"/>
            <family val="2"/>
          </rPr>
          <t>Solver could not find a feasible solution.</t>
        </r>
      </text>
    </comment>
    <comment ref="C8" authorId="0" shapeId="0" xr:uid="{D66DCA8F-E558-418A-AA2F-103293EBB7D0}">
      <text>
        <r>
          <rPr>
            <sz val="9"/>
            <color indexed="81"/>
            <rFont val="Tahoma"/>
            <family val="2"/>
          </rPr>
          <t>Solver could not find a feasible solution.</t>
        </r>
      </text>
    </comment>
    <comment ref="D8" authorId="0" shapeId="0" xr:uid="{D1E4682E-549B-4421-8F52-E8ABEAF5D062}">
      <text>
        <r>
          <rPr>
            <sz val="9"/>
            <color indexed="81"/>
            <rFont val="Tahoma"/>
            <family val="2"/>
          </rPr>
          <t>Solver could not find a feasible solution.</t>
        </r>
      </text>
    </comment>
    <comment ref="E8" authorId="0" shapeId="0" xr:uid="{3B6F7603-9E37-4F82-A533-42D29BC1A77F}">
      <text>
        <r>
          <rPr>
            <sz val="9"/>
            <color indexed="81"/>
            <rFont val="Tahoma"/>
            <family val="2"/>
          </rPr>
          <t>Solver could not find a feasible solution.</t>
        </r>
      </text>
    </comment>
    <comment ref="F8" authorId="0" shapeId="0" xr:uid="{703AE839-66C6-4A12-9B1D-699922F3603F}">
      <text>
        <r>
          <rPr>
            <sz val="9"/>
            <color indexed="81"/>
            <rFont val="Tahoma"/>
            <family val="2"/>
          </rPr>
          <t>Solver could not find a feasible solution.</t>
        </r>
      </text>
    </comment>
    <comment ref="G8" authorId="0" shapeId="0" xr:uid="{5B301D07-8998-43BE-A50C-598B84C42E57}">
      <text>
        <r>
          <rPr>
            <sz val="9"/>
            <color indexed="81"/>
            <rFont val="Tahoma"/>
            <family val="2"/>
          </rPr>
          <t>Solver could not find a feasible solution.</t>
        </r>
      </text>
    </comment>
    <comment ref="H8" authorId="0" shapeId="0" xr:uid="{A3B6FA46-1B72-4D5A-98B8-3DC0600DF2E1}">
      <text>
        <r>
          <rPr>
            <sz val="9"/>
            <color indexed="81"/>
            <rFont val="Tahoma"/>
            <family val="2"/>
          </rPr>
          <t>Solver could not find a feasible solution.</t>
        </r>
      </text>
    </comment>
    <comment ref="I8" authorId="0" shapeId="0" xr:uid="{39C24E36-DBC5-4738-B671-EAE3CABCA2B8}">
      <text>
        <r>
          <rPr>
            <sz val="9"/>
            <color indexed="81"/>
            <rFont val="Tahoma"/>
            <family val="2"/>
          </rPr>
          <t>Solver could not find a feasible solution.</t>
        </r>
      </text>
    </comment>
    <comment ref="J8" authorId="0" shapeId="0" xr:uid="{39ED4409-7B72-4D18-AA18-4B247D2C382E}">
      <text>
        <r>
          <rPr>
            <sz val="9"/>
            <color indexed="81"/>
            <rFont val="Tahoma"/>
            <family val="2"/>
          </rPr>
          <t>Solver could not find a feasible solution.</t>
        </r>
      </text>
    </comment>
    <comment ref="K8" authorId="0" shapeId="0" xr:uid="{BB86256E-42EE-4989-A0EC-9DF07D28339E}">
      <text>
        <r>
          <rPr>
            <sz val="9"/>
            <color indexed="81"/>
            <rFont val="Tahoma"/>
            <family val="2"/>
          </rPr>
          <t>Solver could not find a feasible solution.</t>
        </r>
      </text>
    </comment>
    <comment ref="L8" authorId="0" shapeId="0" xr:uid="{5D5446BB-F6C4-437B-80CD-B4B5B9932C0F}">
      <text>
        <r>
          <rPr>
            <sz val="9"/>
            <color indexed="81"/>
            <rFont val="Tahoma"/>
            <family val="2"/>
          </rPr>
          <t>Solver could not find a feasible solution.</t>
        </r>
      </text>
    </comment>
    <comment ref="M8" authorId="0" shapeId="0" xr:uid="{069202F2-54D2-481C-A1F1-6EABA3C4C18A}">
      <text>
        <r>
          <rPr>
            <sz val="9"/>
            <color indexed="81"/>
            <rFont val="Tahoma"/>
            <family val="2"/>
          </rPr>
          <t>Solver could not find a feasible solution.</t>
        </r>
      </text>
    </comment>
    <comment ref="N8" authorId="0" shapeId="0" xr:uid="{0E25FBB1-E0CB-4103-82C3-C1F088151CB4}">
      <text>
        <r>
          <rPr>
            <sz val="9"/>
            <color indexed="81"/>
            <rFont val="Tahoma"/>
            <family val="2"/>
          </rPr>
          <t>Solver could not find a feasible solution.</t>
        </r>
      </text>
    </comment>
    <comment ref="O8" authorId="0" shapeId="0" xr:uid="{1139E738-87E9-4FAF-ADB1-864B45E0EB39}">
      <text>
        <r>
          <rPr>
            <sz val="9"/>
            <color indexed="81"/>
            <rFont val="Tahoma"/>
            <family val="2"/>
          </rPr>
          <t>Solver could not find a feasible solution.</t>
        </r>
      </text>
    </comment>
    <comment ref="P8" authorId="0" shapeId="0" xr:uid="{33BDD213-5063-473C-83F2-ADDD8F2CE438}">
      <text>
        <r>
          <rPr>
            <sz val="9"/>
            <color indexed="81"/>
            <rFont val="Tahoma"/>
            <family val="2"/>
          </rPr>
          <t>Solver could not find a feasible solution.</t>
        </r>
      </text>
    </comment>
    <comment ref="B9" authorId="0" shapeId="0" xr:uid="{0F023005-1316-4357-AE61-7A3FBB89B6A8}">
      <text>
        <r>
          <rPr>
            <sz val="9"/>
            <color indexed="81"/>
            <rFont val="Tahoma"/>
            <family val="2"/>
          </rPr>
          <t>Solver could not find a feasible solution.</t>
        </r>
      </text>
    </comment>
    <comment ref="C9" authorId="0" shapeId="0" xr:uid="{E960876B-16CB-48E0-8E11-F98E694AC8B7}">
      <text>
        <r>
          <rPr>
            <sz val="9"/>
            <color indexed="81"/>
            <rFont val="Tahoma"/>
            <family val="2"/>
          </rPr>
          <t>Solver could not find a feasible solution.</t>
        </r>
      </text>
    </comment>
    <comment ref="D9" authorId="0" shapeId="0" xr:uid="{CA91491B-A14A-4752-92E7-9B17CA0D0899}">
      <text>
        <r>
          <rPr>
            <sz val="9"/>
            <color indexed="81"/>
            <rFont val="Tahoma"/>
            <family val="2"/>
          </rPr>
          <t>Solver could not find a feasible solution.</t>
        </r>
      </text>
    </comment>
    <comment ref="E9" authorId="0" shapeId="0" xr:uid="{BA49EC4A-6DE5-4746-9B7A-8A78D60BD6C6}">
      <text>
        <r>
          <rPr>
            <sz val="9"/>
            <color indexed="81"/>
            <rFont val="Tahoma"/>
            <family val="2"/>
          </rPr>
          <t>Solver could not find a feasible solution.</t>
        </r>
      </text>
    </comment>
    <comment ref="F9" authorId="0" shapeId="0" xr:uid="{A3E63D48-3C34-404E-A83B-86871BAFA2F9}">
      <text>
        <r>
          <rPr>
            <sz val="9"/>
            <color indexed="81"/>
            <rFont val="Tahoma"/>
            <family val="2"/>
          </rPr>
          <t>Solver could not find a feasible solution.</t>
        </r>
      </text>
    </comment>
    <comment ref="G9" authorId="0" shapeId="0" xr:uid="{754C68C6-9920-47FB-A741-63EE83DF8E57}">
      <text>
        <r>
          <rPr>
            <sz val="9"/>
            <color indexed="81"/>
            <rFont val="Tahoma"/>
            <family val="2"/>
          </rPr>
          <t>Solver could not find a feasible solution.</t>
        </r>
      </text>
    </comment>
    <comment ref="H9" authorId="0" shapeId="0" xr:uid="{A34CA836-0CF0-4423-B68E-CE785C8D5F48}">
      <text>
        <r>
          <rPr>
            <sz val="9"/>
            <color indexed="81"/>
            <rFont val="Tahoma"/>
            <family val="2"/>
          </rPr>
          <t>Solver could not find a feasible solution.</t>
        </r>
      </text>
    </comment>
    <comment ref="I9" authorId="0" shapeId="0" xr:uid="{8646BA1C-A250-41AC-99E1-25880EFDD9FC}">
      <text>
        <r>
          <rPr>
            <sz val="9"/>
            <color indexed="81"/>
            <rFont val="Tahoma"/>
            <family val="2"/>
          </rPr>
          <t>Solver could not find a feasible solution.</t>
        </r>
      </text>
    </comment>
    <comment ref="J9" authorId="0" shapeId="0" xr:uid="{0841E215-88E8-4EA1-8125-E015A4782434}">
      <text>
        <r>
          <rPr>
            <sz val="9"/>
            <color indexed="81"/>
            <rFont val="Tahoma"/>
            <family val="2"/>
          </rPr>
          <t>Solver could not find a feasible solution.</t>
        </r>
      </text>
    </comment>
    <comment ref="K9" authorId="0" shapeId="0" xr:uid="{55585AE2-0C28-41F2-9689-F9E3A51789D7}">
      <text>
        <r>
          <rPr>
            <sz val="9"/>
            <color indexed="81"/>
            <rFont val="Tahoma"/>
            <family val="2"/>
          </rPr>
          <t>Solver could not find a feasible solution.</t>
        </r>
      </text>
    </comment>
    <comment ref="L9" authorId="0" shapeId="0" xr:uid="{B8417CF7-5A61-42BD-9D60-52AF43B66D66}">
      <text>
        <r>
          <rPr>
            <sz val="9"/>
            <color indexed="81"/>
            <rFont val="Tahoma"/>
            <family val="2"/>
          </rPr>
          <t>Solver could not find a feasible solution.</t>
        </r>
      </text>
    </comment>
    <comment ref="M9" authorId="0" shapeId="0" xr:uid="{AF2CD5A5-20C3-4268-8CE3-6B950697F448}">
      <text>
        <r>
          <rPr>
            <sz val="9"/>
            <color indexed="81"/>
            <rFont val="Tahoma"/>
            <family val="2"/>
          </rPr>
          <t>Solver could not find a feasible solution.</t>
        </r>
      </text>
    </comment>
    <comment ref="N9" authorId="0" shapeId="0" xr:uid="{FA9C65ED-8AF6-4124-9E74-88E9389512BD}">
      <text>
        <r>
          <rPr>
            <sz val="9"/>
            <color indexed="81"/>
            <rFont val="Tahoma"/>
            <family val="2"/>
          </rPr>
          <t>Solver could not find a feasible solution.</t>
        </r>
      </text>
    </comment>
    <comment ref="O9" authorId="0" shapeId="0" xr:uid="{DE980AE4-815F-4207-AB92-5402976CC72B}">
      <text>
        <r>
          <rPr>
            <sz val="9"/>
            <color indexed="81"/>
            <rFont val="Tahoma"/>
            <family val="2"/>
          </rPr>
          <t>Solver could not find a feasible solution.</t>
        </r>
      </text>
    </comment>
    <comment ref="P9" authorId="0" shapeId="0" xr:uid="{F36DE034-9396-4DF7-95E6-50817EF4B547}">
      <text>
        <r>
          <rPr>
            <sz val="9"/>
            <color indexed="81"/>
            <rFont val="Tahoma"/>
            <family val="2"/>
          </rPr>
          <t>Solver could not find a feasible solution.</t>
        </r>
      </text>
    </comment>
    <comment ref="B10" authorId="0" shapeId="0" xr:uid="{4B6114D0-77F7-4964-BB90-009F028A7D14}">
      <text>
        <r>
          <rPr>
            <sz val="9"/>
            <color indexed="81"/>
            <rFont val="Tahoma"/>
            <family val="2"/>
          </rPr>
          <t>Solver could not find a feasible solution.</t>
        </r>
      </text>
    </comment>
    <comment ref="C10" authorId="0" shapeId="0" xr:uid="{87C99285-50D7-49EB-B85F-ABF043998E6E}">
      <text>
        <r>
          <rPr>
            <sz val="9"/>
            <color indexed="81"/>
            <rFont val="Tahoma"/>
            <family val="2"/>
          </rPr>
          <t>Solver could not find a feasible solution.</t>
        </r>
      </text>
    </comment>
    <comment ref="D10" authorId="0" shapeId="0" xr:uid="{7D03E40E-CDE9-4543-81BD-C13460A8E27A}">
      <text>
        <r>
          <rPr>
            <sz val="9"/>
            <color indexed="81"/>
            <rFont val="Tahoma"/>
            <family val="2"/>
          </rPr>
          <t>Solver could not find a feasible solution.</t>
        </r>
      </text>
    </comment>
    <comment ref="E10" authorId="0" shapeId="0" xr:uid="{4A5C4A90-79F6-41B0-9F47-24993DEEFAFC}">
      <text>
        <r>
          <rPr>
            <sz val="9"/>
            <color indexed="81"/>
            <rFont val="Tahoma"/>
            <family val="2"/>
          </rPr>
          <t>Solver could not find a feasible solution.</t>
        </r>
      </text>
    </comment>
    <comment ref="F10" authorId="0" shapeId="0" xr:uid="{6AE57934-EFD5-4C1B-BC8C-5DB5B70D0F0B}">
      <text>
        <r>
          <rPr>
            <sz val="9"/>
            <color indexed="81"/>
            <rFont val="Tahoma"/>
            <family val="2"/>
          </rPr>
          <t>Solver could not find a feasible solution.</t>
        </r>
      </text>
    </comment>
    <comment ref="G10" authorId="0" shapeId="0" xr:uid="{504E5E20-EDAE-4A27-9479-BE21761D6083}">
      <text>
        <r>
          <rPr>
            <sz val="9"/>
            <color indexed="81"/>
            <rFont val="Tahoma"/>
            <family val="2"/>
          </rPr>
          <t>Solver could not find a feasible solution.</t>
        </r>
      </text>
    </comment>
    <comment ref="H10" authorId="0" shapeId="0" xr:uid="{EBC0878B-9F8A-4C78-9458-D7C94DAE50BF}">
      <text>
        <r>
          <rPr>
            <sz val="9"/>
            <color indexed="81"/>
            <rFont val="Tahoma"/>
            <family val="2"/>
          </rPr>
          <t>Solver could not find a feasible solution.</t>
        </r>
      </text>
    </comment>
    <comment ref="I10" authorId="0" shapeId="0" xr:uid="{D9DA044C-2803-4BF0-A4B2-D2CE3105C976}">
      <text>
        <r>
          <rPr>
            <sz val="9"/>
            <color indexed="81"/>
            <rFont val="Tahoma"/>
            <family val="2"/>
          </rPr>
          <t>Solver could not find a feasible solution.</t>
        </r>
      </text>
    </comment>
    <comment ref="J10" authorId="0" shapeId="0" xr:uid="{8C6F7BF4-3BEC-4EB8-8228-89DBAA0A862A}">
      <text>
        <r>
          <rPr>
            <sz val="9"/>
            <color indexed="81"/>
            <rFont val="Tahoma"/>
            <family val="2"/>
          </rPr>
          <t>Solver could not find a feasible solution.</t>
        </r>
      </text>
    </comment>
    <comment ref="K10" authorId="0" shapeId="0" xr:uid="{09EC9C9E-E532-4777-9B82-CB6EF9594539}">
      <text>
        <r>
          <rPr>
            <sz val="9"/>
            <color indexed="81"/>
            <rFont val="Tahoma"/>
            <family val="2"/>
          </rPr>
          <t>Solver could not find a feasible solution.</t>
        </r>
      </text>
    </comment>
    <comment ref="L10" authorId="0" shapeId="0" xr:uid="{549E2669-40CA-4F48-B631-E2A7E22DB521}">
      <text>
        <r>
          <rPr>
            <sz val="9"/>
            <color indexed="81"/>
            <rFont val="Tahoma"/>
            <family val="2"/>
          </rPr>
          <t>Solver could not find a feasible solution.</t>
        </r>
      </text>
    </comment>
    <comment ref="M10" authorId="0" shapeId="0" xr:uid="{935E12AE-36A4-4492-A09F-D3CAE89C1F47}">
      <text>
        <r>
          <rPr>
            <sz val="9"/>
            <color indexed="81"/>
            <rFont val="Tahoma"/>
            <family val="2"/>
          </rPr>
          <t>Solver could not find a feasible solution.</t>
        </r>
      </text>
    </comment>
    <comment ref="N10" authorId="0" shapeId="0" xr:uid="{ABDACEAB-B9B1-4736-B80D-FED3AC1DCB08}">
      <text>
        <r>
          <rPr>
            <sz val="9"/>
            <color indexed="81"/>
            <rFont val="Tahoma"/>
            <family val="2"/>
          </rPr>
          <t>Solver could not find a feasible solution.</t>
        </r>
      </text>
    </comment>
    <comment ref="O10" authorId="0" shapeId="0" xr:uid="{5DB43901-A83A-421C-BA6D-9692BD905F2D}">
      <text>
        <r>
          <rPr>
            <sz val="9"/>
            <color indexed="81"/>
            <rFont val="Tahoma"/>
            <family val="2"/>
          </rPr>
          <t>Solver could not find a feasible solution.</t>
        </r>
      </text>
    </comment>
    <comment ref="P10" authorId="0" shapeId="0" xr:uid="{774D870C-2EF3-4BB5-B31F-356814C6C266}">
      <text>
        <r>
          <rPr>
            <sz val="9"/>
            <color indexed="81"/>
            <rFont val="Tahoma"/>
            <family val="2"/>
          </rPr>
          <t>Solver could not find a feasible solution.</t>
        </r>
      </text>
    </comment>
    <comment ref="B11" authorId="0" shapeId="0" xr:uid="{C8615B73-CF6F-4C5C-A78B-ACBE6A978B65}">
      <text>
        <r>
          <rPr>
            <sz val="9"/>
            <color indexed="81"/>
            <rFont val="Tahoma"/>
            <family val="2"/>
          </rPr>
          <t>Solver could not find a feasible solution.</t>
        </r>
      </text>
    </comment>
    <comment ref="C11" authorId="0" shapeId="0" xr:uid="{658FAE91-97EE-448E-B58F-8A9144705F10}">
      <text>
        <r>
          <rPr>
            <sz val="9"/>
            <color indexed="81"/>
            <rFont val="Tahoma"/>
            <family val="2"/>
          </rPr>
          <t>Solver could not find a feasible solution.</t>
        </r>
      </text>
    </comment>
    <comment ref="D11" authorId="0" shapeId="0" xr:uid="{4E2B7DC0-8EDC-4F56-BCEF-DBBA5B29780D}">
      <text>
        <r>
          <rPr>
            <sz val="9"/>
            <color indexed="81"/>
            <rFont val="Tahoma"/>
            <family val="2"/>
          </rPr>
          <t>Solver could not find a feasible solution.</t>
        </r>
      </text>
    </comment>
    <comment ref="E11" authorId="0" shapeId="0" xr:uid="{C27E1A8E-5941-4833-B39D-3AB1D82224CA}">
      <text>
        <r>
          <rPr>
            <sz val="9"/>
            <color indexed="81"/>
            <rFont val="Tahoma"/>
            <family val="2"/>
          </rPr>
          <t>Solver could not find a feasible solution.</t>
        </r>
      </text>
    </comment>
    <comment ref="F11" authorId="0" shapeId="0" xr:uid="{87DA9D1B-4E6B-4DAB-A297-DC516E9B132A}">
      <text>
        <r>
          <rPr>
            <sz val="9"/>
            <color indexed="81"/>
            <rFont val="Tahoma"/>
            <family val="2"/>
          </rPr>
          <t>Solver could not find a feasible solution.</t>
        </r>
      </text>
    </comment>
    <comment ref="G11" authorId="0" shapeId="0" xr:uid="{D19241BE-83E2-4D9F-9107-AA381961955B}">
      <text>
        <r>
          <rPr>
            <sz val="9"/>
            <color indexed="81"/>
            <rFont val="Tahoma"/>
            <family val="2"/>
          </rPr>
          <t>Solver could not find a feasible solution.</t>
        </r>
      </text>
    </comment>
    <comment ref="H11" authorId="0" shapeId="0" xr:uid="{4451EA71-2A9F-490C-8C8F-6DE4CCB72E55}">
      <text>
        <r>
          <rPr>
            <sz val="9"/>
            <color indexed="81"/>
            <rFont val="Tahoma"/>
            <family val="2"/>
          </rPr>
          <t>Solver could not find a feasible solution.</t>
        </r>
      </text>
    </comment>
    <comment ref="I11" authorId="0" shapeId="0" xr:uid="{4BE74CD0-4AC0-4263-B668-D9FAB61C843C}">
      <text>
        <r>
          <rPr>
            <sz val="9"/>
            <color indexed="81"/>
            <rFont val="Tahoma"/>
            <family val="2"/>
          </rPr>
          <t>Solver could not find a feasible solution.</t>
        </r>
      </text>
    </comment>
    <comment ref="J11" authorId="0" shapeId="0" xr:uid="{6DD75AD1-F98D-4D3E-8CA7-BE45540483BE}">
      <text>
        <r>
          <rPr>
            <sz val="9"/>
            <color indexed="81"/>
            <rFont val="Tahoma"/>
            <family val="2"/>
          </rPr>
          <t>Solver could not find a feasible solution.</t>
        </r>
      </text>
    </comment>
    <comment ref="K11" authorId="0" shapeId="0" xr:uid="{0E119ADA-3F81-4EE6-8CC7-2CB5C24DBD9B}">
      <text>
        <r>
          <rPr>
            <sz val="9"/>
            <color indexed="81"/>
            <rFont val="Tahoma"/>
            <family val="2"/>
          </rPr>
          <t>Solver could not find a feasible solution.</t>
        </r>
      </text>
    </comment>
    <comment ref="L11" authorId="0" shapeId="0" xr:uid="{0E08AFFC-E3A5-4AF8-844A-D7D0B363F6F3}">
      <text>
        <r>
          <rPr>
            <sz val="9"/>
            <color indexed="81"/>
            <rFont val="Tahoma"/>
            <family val="2"/>
          </rPr>
          <t>Solver could not find a feasible solution.</t>
        </r>
      </text>
    </comment>
    <comment ref="M11" authorId="0" shapeId="0" xr:uid="{BB37F569-4060-4BEB-A854-F7921D41F6CB}">
      <text>
        <r>
          <rPr>
            <sz val="9"/>
            <color indexed="81"/>
            <rFont val="Tahoma"/>
            <family val="2"/>
          </rPr>
          <t>Solver could not find a feasible solution.</t>
        </r>
      </text>
    </comment>
    <comment ref="N11" authorId="0" shapeId="0" xr:uid="{8E9B9207-7F1A-4BBD-8B02-838C8FB4704F}">
      <text>
        <r>
          <rPr>
            <sz val="9"/>
            <color indexed="81"/>
            <rFont val="Tahoma"/>
            <family val="2"/>
          </rPr>
          <t>Solver could not find a feasible solution.</t>
        </r>
      </text>
    </comment>
    <comment ref="O11" authorId="0" shapeId="0" xr:uid="{95FBEABC-1715-445D-919A-5C2A002032DF}">
      <text>
        <r>
          <rPr>
            <sz val="9"/>
            <color indexed="81"/>
            <rFont val="Tahoma"/>
            <family val="2"/>
          </rPr>
          <t>Solver could not find a feasible solution.</t>
        </r>
      </text>
    </comment>
    <comment ref="P11" authorId="0" shapeId="0" xr:uid="{3B1F8BC9-74A3-4BB5-8A08-187E58759962}">
      <text>
        <r>
          <rPr>
            <sz val="9"/>
            <color indexed="81"/>
            <rFont val="Tahoma"/>
            <family val="2"/>
          </rPr>
          <t>Solver could not find a feasible solution.</t>
        </r>
      </text>
    </comment>
    <comment ref="B12" authorId="0" shapeId="0" xr:uid="{71722BC9-197C-4332-9E06-B46FAFD3B70E}">
      <text>
        <r>
          <rPr>
            <sz val="9"/>
            <color indexed="81"/>
            <rFont val="Tahoma"/>
            <family val="2"/>
          </rPr>
          <t>Solver could not find a feasible solution.</t>
        </r>
      </text>
    </comment>
    <comment ref="C12" authorId="0" shapeId="0" xr:uid="{63994FE0-462A-4E33-969F-375EAEB478ED}">
      <text>
        <r>
          <rPr>
            <sz val="9"/>
            <color indexed="81"/>
            <rFont val="Tahoma"/>
            <family val="2"/>
          </rPr>
          <t>Solver could not find a feasible solution.</t>
        </r>
      </text>
    </comment>
    <comment ref="D12" authorId="0" shapeId="0" xr:uid="{23FB42C2-1C84-4583-9160-3E965A3DA676}">
      <text>
        <r>
          <rPr>
            <sz val="9"/>
            <color indexed="81"/>
            <rFont val="Tahoma"/>
            <family val="2"/>
          </rPr>
          <t>Solver could not find a feasible solution.</t>
        </r>
      </text>
    </comment>
    <comment ref="E12" authorId="0" shapeId="0" xr:uid="{3E91D391-FB3D-41F4-B8DA-5299F72C638E}">
      <text>
        <r>
          <rPr>
            <sz val="9"/>
            <color indexed="81"/>
            <rFont val="Tahoma"/>
            <family val="2"/>
          </rPr>
          <t>Solver could not find a feasible solution.</t>
        </r>
      </text>
    </comment>
    <comment ref="F12" authorId="0" shapeId="0" xr:uid="{1EF0B20D-23F0-46AF-AEBE-18B1A89C776E}">
      <text>
        <r>
          <rPr>
            <sz val="9"/>
            <color indexed="81"/>
            <rFont val="Tahoma"/>
            <family val="2"/>
          </rPr>
          <t>Solver could not find a feasible solution.</t>
        </r>
      </text>
    </comment>
    <comment ref="G12" authorId="0" shapeId="0" xr:uid="{FB305A3F-2C9D-4DB7-86FE-371F1D399F05}">
      <text>
        <r>
          <rPr>
            <sz val="9"/>
            <color indexed="81"/>
            <rFont val="Tahoma"/>
            <family val="2"/>
          </rPr>
          <t>Solver could not find a feasible solution.</t>
        </r>
      </text>
    </comment>
    <comment ref="H12" authorId="0" shapeId="0" xr:uid="{5236C250-98DA-4FFC-A51B-6733F0231190}">
      <text>
        <r>
          <rPr>
            <sz val="9"/>
            <color indexed="81"/>
            <rFont val="Tahoma"/>
            <family val="2"/>
          </rPr>
          <t>Solver could not find a feasible solution.</t>
        </r>
      </text>
    </comment>
    <comment ref="I12" authorId="0" shapeId="0" xr:uid="{D74E5DF2-C1EC-4697-9090-DB749C4A30CC}">
      <text>
        <r>
          <rPr>
            <sz val="9"/>
            <color indexed="81"/>
            <rFont val="Tahoma"/>
            <family val="2"/>
          </rPr>
          <t>Solver could not find a feasible solution.</t>
        </r>
      </text>
    </comment>
    <comment ref="J12" authorId="0" shapeId="0" xr:uid="{E71ACFDF-97AB-443B-BDDD-2C88A3A7A918}">
      <text>
        <r>
          <rPr>
            <sz val="9"/>
            <color indexed="81"/>
            <rFont val="Tahoma"/>
            <family val="2"/>
          </rPr>
          <t>Solver could not find a feasible solution.</t>
        </r>
      </text>
    </comment>
    <comment ref="K12" authorId="0" shapeId="0" xr:uid="{3C6FBDDD-9B2A-454F-972F-D99C0B61218A}">
      <text>
        <r>
          <rPr>
            <sz val="9"/>
            <color indexed="81"/>
            <rFont val="Tahoma"/>
            <family val="2"/>
          </rPr>
          <t>Solver could not find a feasible solution.</t>
        </r>
      </text>
    </comment>
    <comment ref="L12" authorId="0" shapeId="0" xr:uid="{AB6507D0-588F-4BDE-9936-44009072580C}">
      <text>
        <r>
          <rPr>
            <sz val="9"/>
            <color indexed="81"/>
            <rFont val="Tahoma"/>
            <family val="2"/>
          </rPr>
          <t>Solver could not find a feasible solution.</t>
        </r>
      </text>
    </comment>
    <comment ref="M12" authorId="0" shapeId="0" xr:uid="{39FC7CB3-B7A0-4DB9-BED5-2049CB925DB3}">
      <text>
        <r>
          <rPr>
            <sz val="9"/>
            <color indexed="81"/>
            <rFont val="Tahoma"/>
            <family val="2"/>
          </rPr>
          <t>Solver could not find a feasible solution.</t>
        </r>
      </text>
    </comment>
    <comment ref="N12" authorId="0" shapeId="0" xr:uid="{31081A3F-B2F0-49A3-A475-8507EF0660A4}">
      <text>
        <r>
          <rPr>
            <sz val="9"/>
            <color indexed="81"/>
            <rFont val="Tahoma"/>
            <family val="2"/>
          </rPr>
          <t>Solver could not find a feasible solution.</t>
        </r>
      </text>
    </comment>
    <comment ref="O12" authorId="0" shapeId="0" xr:uid="{8074C176-28DF-47F9-A04F-11116AF2AE89}">
      <text>
        <r>
          <rPr>
            <sz val="9"/>
            <color indexed="81"/>
            <rFont val="Tahoma"/>
            <family val="2"/>
          </rPr>
          <t>Solver could not find a feasible solution.</t>
        </r>
      </text>
    </comment>
    <comment ref="P12" authorId="0" shapeId="0" xr:uid="{B0241A2F-EE6B-4E19-ABDE-34EBD08A2ED7}">
      <text>
        <r>
          <rPr>
            <sz val="9"/>
            <color indexed="81"/>
            <rFont val="Tahoma"/>
            <family val="2"/>
          </rPr>
          <t>Solver could not find a feasible solution.</t>
        </r>
      </text>
    </comment>
    <comment ref="B13" authorId="0" shapeId="0" xr:uid="{02853447-712C-47BE-A360-F889BD5B9743}">
      <text>
        <r>
          <rPr>
            <sz val="9"/>
            <color indexed="81"/>
            <rFont val="Tahoma"/>
            <family val="2"/>
          </rPr>
          <t>Solver could not find a feasible solution.</t>
        </r>
      </text>
    </comment>
    <comment ref="C13" authorId="0" shapeId="0" xr:uid="{26611150-6203-4560-953E-B072D2E41A0A}">
      <text>
        <r>
          <rPr>
            <sz val="9"/>
            <color indexed="81"/>
            <rFont val="Tahoma"/>
            <family val="2"/>
          </rPr>
          <t>Solver could not find a feasible solution.</t>
        </r>
      </text>
    </comment>
    <comment ref="D13" authorId="0" shapeId="0" xr:uid="{FFED4A40-1302-41A1-BBFA-97CCFEA0A9FF}">
      <text>
        <r>
          <rPr>
            <sz val="9"/>
            <color indexed="81"/>
            <rFont val="Tahoma"/>
            <family val="2"/>
          </rPr>
          <t>Solver could not find a feasible solution.</t>
        </r>
      </text>
    </comment>
    <comment ref="E13" authorId="0" shapeId="0" xr:uid="{4EF139C2-EF94-4A4F-B662-C42413C74FFD}">
      <text>
        <r>
          <rPr>
            <sz val="9"/>
            <color indexed="81"/>
            <rFont val="Tahoma"/>
            <family val="2"/>
          </rPr>
          <t>Solver could not find a feasible solution.</t>
        </r>
      </text>
    </comment>
    <comment ref="F13" authorId="0" shapeId="0" xr:uid="{407B5CB8-3846-483E-B200-F841A5EDD1B0}">
      <text>
        <r>
          <rPr>
            <sz val="9"/>
            <color indexed="81"/>
            <rFont val="Tahoma"/>
            <family val="2"/>
          </rPr>
          <t>Solver could not find a feasible solution.</t>
        </r>
      </text>
    </comment>
    <comment ref="G13" authorId="0" shapeId="0" xr:uid="{8C730273-BF89-4A41-BD98-9B4FA5CA9095}">
      <text>
        <r>
          <rPr>
            <sz val="9"/>
            <color indexed="81"/>
            <rFont val="Tahoma"/>
            <family val="2"/>
          </rPr>
          <t>Solver could not find a feasible solution.</t>
        </r>
      </text>
    </comment>
    <comment ref="H13" authorId="0" shapeId="0" xr:uid="{1A3BBBF4-8E90-475B-814C-8D99DF1871ED}">
      <text>
        <r>
          <rPr>
            <sz val="9"/>
            <color indexed="81"/>
            <rFont val="Tahoma"/>
            <family val="2"/>
          </rPr>
          <t>Solver could not find a feasible solution.</t>
        </r>
      </text>
    </comment>
    <comment ref="I13" authorId="0" shapeId="0" xr:uid="{FD363F28-8A3D-420E-95EE-09E432E63145}">
      <text>
        <r>
          <rPr>
            <sz val="9"/>
            <color indexed="81"/>
            <rFont val="Tahoma"/>
            <family val="2"/>
          </rPr>
          <t>Solver could not find a feasible solution.</t>
        </r>
      </text>
    </comment>
    <comment ref="J13" authorId="0" shapeId="0" xr:uid="{324F4814-FDE4-4B44-9EA4-1D0CC0B4941E}">
      <text>
        <r>
          <rPr>
            <sz val="9"/>
            <color indexed="81"/>
            <rFont val="Tahoma"/>
            <family val="2"/>
          </rPr>
          <t>Solver could not find a feasible solution.</t>
        </r>
      </text>
    </comment>
    <comment ref="K13" authorId="0" shapeId="0" xr:uid="{226E7ED5-BDC2-428B-82A5-C1FE5F7AE5EA}">
      <text>
        <r>
          <rPr>
            <sz val="9"/>
            <color indexed="81"/>
            <rFont val="Tahoma"/>
            <family val="2"/>
          </rPr>
          <t>Solver could not find a feasible solution.</t>
        </r>
      </text>
    </comment>
    <comment ref="L13" authorId="0" shapeId="0" xr:uid="{4BDC8C26-A878-4CFF-BF3A-5FD37D30A518}">
      <text>
        <r>
          <rPr>
            <sz val="9"/>
            <color indexed="81"/>
            <rFont val="Tahoma"/>
            <family val="2"/>
          </rPr>
          <t>Solver could not find a feasible solution.</t>
        </r>
      </text>
    </comment>
    <comment ref="M13" authorId="0" shapeId="0" xr:uid="{24C72914-4EC4-4CBA-B5CF-87DD15ABA9F9}">
      <text>
        <r>
          <rPr>
            <sz val="9"/>
            <color indexed="81"/>
            <rFont val="Tahoma"/>
            <family val="2"/>
          </rPr>
          <t>Solver could not find a feasible solution.</t>
        </r>
      </text>
    </comment>
    <comment ref="N13" authorId="0" shapeId="0" xr:uid="{8D82DA45-E513-48B6-8071-9BCCAD65782B}">
      <text>
        <r>
          <rPr>
            <sz val="9"/>
            <color indexed="81"/>
            <rFont val="Tahoma"/>
            <family val="2"/>
          </rPr>
          <t>Solver could not find a feasible solution.</t>
        </r>
      </text>
    </comment>
    <comment ref="O13" authorId="0" shapeId="0" xr:uid="{B67A52E6-1C10-4DDE-AB96-49082A1E7CD1}">
      <text>
        <r>
          <rPr>
            <sz val="9"/>
            <color indexed="81"/>
            <rFont val="Tahoma"/>
            <family val="2"/>
          </rPr>
          <t>Solver could not find a feasible solution.</t>
        </r>
      </text>
    </comment>
    <comment ref="P13" authorId="0" shapeId="0" xr:uid="{84FE2E96-0799-4500-9DEA-D6B42AF4C11B}">
      <text>
        <r>
          <rPr>
            <sz val="9"/>
            <color indexed="81"/>
            <rFont val="Tahoma"/>
            <family val="2"/>
          </rPr>
          <t>Solver could not find a feasible solution.</t>
        </r>
      </text>
    </comment>
    <comment ref="B14" authorId="0" shapeId="0" xr:uid="{D24EA7E8-B4DB-4F41-993D-9096918BE86E}">
      <text>
        <r>
          <rPr>
            <sz val="9"/>
            <color indexed="81"/>
            <rFont val="Tahoma"/>
            <family val="2"/>
          </rPr>
          <t>Solver found a solution. All constraints and optimality conditions are satisfied.</t>
        </r>
      </text>
    </comment>
    <comment ref="C14" authorId="0" shapeId="0" xr:uid="{9EA49C36-21A1-42BA-ACC3-B07C7A25ABA1}">
      <text>
        <r>
          <rPr>
            <sz val="9"/>
            <color indexed="81"/>
            <rFont val="Tahoma"/>
            <family val="2"/>
          </rPr>
          <t>Solver found a solution. All constraints and optimality conditions are satisfied.</t>
        </r>
      </text>
    </comment>
    <comment ref="D14" authorId="0" shapeId="0" xr:uid="{F3E2B819-6BF8-40FD-A7F9-BC126DD69343}">
      <text>
        <r>
          <rPr>
            <sz val="9"/>
            <color indexed="81"/>
            <rFont val="Tahoma"/>
            <family val="2"/>
          </rPr>
          <t>Solver found a solution. All constraints and optimality conditions are satisfied.</t>
        </r>
      </text>
    </comment>
    <comment ref="E14" authorId="0" shapeId="0" xr:uid="{3594BBBE-38D4-464B-953E-E481F25C049D}">
      <text>
        <r>
          <rPr>
            <sz val="9"/>
            <color indexed="81"/>
            <rFont val="Tahoma"/>
            <family val="2"/>
          </rPr>
          <t>Solver found a solution. All constraints and optimality conditions are satisfied.</t>
        </r>
      </text>
    </comment>
    <comment ref="F14" authorId="0" shapeId="0" xr:uid="{235EB2A6-2DA4-47F4-8BE0-2609C7F63BDF}">
      <text>
        <r>
          <rPr>
            <sz val="9"/>
            <color indexed="81"/>
            <rFont val="Tahoma"/>
            <family val="2"/>
          </rPr>
          <t>Solver found a solution. All constraints and optimality conditions are satisfied.</t>
        </r>
      </text>
    </comment>
    <comment ref="G14" authorId="0" shapeId="0" xr:uid="{4D20BCE7-B452-4096-A377-572DB441F1EF}">
      <text>
        <r>
          <rPr>
            <sz val="9"/>
            <color indexed="81"/>
            <rFont val="Tahoma"/>
            <family val="2"/>
          </rPr>
          <t>Solver found a solution. All constraints and optimality conditions are satisfied.</t>
        </r>
      </text>
    </comment>
    <comment ref="H14" authorId="0" shapeId="0" xr:uid="{C689F571-16A8-4BD3-BE10-E040E9CC5699}">
      <text>
        <r>
          <rPr>
            <sz val="9"/>
            <color indexed="81"/>
            <rFont val="Tahoma"/>
            <family val="2"/>
          </rPr>
          <t>Solver found a solution. All constraints and optimality conditions are satisfied.</t>
        </r>
      </text>
    </comment>
    <comment ref="I14" authorId="0" shapeId="0" xr:uid="{ABF29B25-6828-41DA-BB2F-CA9808251B81}">
      <text>
        <r>
          <rPr>
            <sz val="9"/>
            <color indexed="81"/>
            <rFont val="Tahoma"/>
            <family val="2"/>
          </rPr>
          <t>Solver found a solution. All constraints and optimality conditions are satisfied.</t>
        </r>
      </text>
    </comment>
    <comment ref="J14" authorId="0" shapeId="0" xr:uid="{A95DA51E-8BF4-4AB1-AEAE-2D2509D08EBA}">
      <text>
        <r>
          <rPr>
            <sz val="9"/>
            <color indexed="81"/>
            <rFont val="Tahoma"/>
            <family val="2"/>
          </rPr>
          <t>Solver found a solution. All constraints and optimality conditions are satisfied.</t>
        </r>
      </text>
    </comment>
    <comment ref="K14" authorId="0" shapeId="0" xr:uid="{EFB840E3-A05F-4950-9B5E-06AC1F42F3C0}">
      <text>
        <r>
          <rPr>
            <sz val="9"/>
            <color indexed="81"/>
            <rFont val="Tahoma"/>
            <family val="2"/>
          </rPr>
          <t>Solver found a solution. All constraints and optimality conditions are satisfied.</t>
        </r>
      </text>
    </comment>
    <comment ref="L14" authorId="0" shapeId="0" xr:uid="{F8C0A853-AB1B-487E-BF2E-0F0AF15E9E5D}">
      <text>
        <r>
          <rPr>
            <sz val="9"/>
            <color indexed="81"/>
            <rFont val="Tahoma"/>
            <family val="2"/>
          </rPr>
          <t>Solver found a solution. All constraints and optimality conditions are satisfied.</t>
        </r>
      </text>
    </comment>
    <comment ref="M14" authorId="0" shapeId="0" xr:uid="{3E971302-8EB9-4C8F-833D-22A2E534136A}">
      <text>
        <r>
          <rPr>
            <sz val="9"/>
            <color indexed="81"/>
            <rFont val="Tahoma"/>
            <family val="2"/>
          </rPr>
          <t>Solver found a solution. All constraints and optimality conditions are satisfied.</t>
        </r>
      </text>
    </comment>
    <comment ref="N14" authorId="0" shapeId="0" xr:uid="{F8C9E686-7C09-45BF-9A81-91D932686036}">
      <text>
        <r>
          <rPr>
            <sz val="9"/>
            <color indexed="81"/>
            <rFont val="Tahoma"/>
            <family val="2"/>
          </rPr>
          <t>Solver found a solution. All constraints and optimality conditions are satisfied.</t>
        </r>
      </text>
    </comment>
    <comment ref="O14" authorId="0" shapeId="0" xr:uid="{AC3AF4F7-BC0F-408F-8917-76E32F4B3D32}">
      <text>
        <r>
          <rPr>
            <sz val="9"/>
            <color indexed="81"/>
            <rFont val="Tahoma"/>
            <family val="2"/>
          </rPr>
          <t>Solver found a solution. All constraints and optimality conditions are satisfied.</t>
        </r>
      </text>
    </comment>
    <comment ref="P14" authorId="0" shapeId="0" xr:uid="{1853D0F4-D3F0-4EF2-823A-26DFB6439289}">
      <text>
        <r>
          <rPr>
            <sz val="9"/>
            <color indexed="81"/>
            <rFont val="Tahoma"/>
            <family val="2"/>
          </rPr>
          <t>Solver could not find a feasible solution.</t>
        </r>
      </text>
    </comment>
    <comment ref="B15" authorId="0" shapeId="0" xr:uid="{F41BC902-42A5-41A4-A5B9-948AED3AE82E}">
      <text>
        <r>
          <rPr>
            <sz val="9"/>
            <color indexed="81"/>
            <rFont val="Tahoma"/>
            <family val="2"/>
          </rPr>
          <t>Solver found a solution. All constraints and optimality conditions are satisfied.</t>
        </r>
      </text>
    </comment>
    <comment ref="C15" authorId="0" shapeId="0" xr:uid="{43A0A1B4-04BE-495C-99BC-624B1A17737A}">
      <text>
        <r>
          <rPr>
            <sz val="9"/>
            <color indexed="81"/>
            <rFont val="Tahoma"/>
            <family val="2"/>
          </rPr>
          <t>Solver found a solution. All constraints and optimality conditions are satisfied.</t>
        </r>
      </text>
    </comment>
    <comment ref="D15" authorId="0" shapeId="0" xr:uid="{489288E8-0386-4DB8-A6AA-435B8E584637}">
      <text>
        <r>
          <rPr>
            <sz val="9"/>
            <color indexed="81"/>
            <rFont val="Tahoma"/>
            <family val="2"/>
          </rPr>
          <t>Solver found a solution. All constraints and optimality conditions are satisfied.</t>
        </r>
      </text>
    </comment>
    <comment ref="E15" authorId="0" shapeId="0" xr:uid="{90A065DF-5E3D-48A3-B705-8F6C861686C8}">
      <text>
        <r>
          <rPr>
            <sz val="9"/>
            <color indexed="81"/>
            <rFont val="Tahoma"/>
            <family val="2"/>
          </rPr>
          <t>Solver found a solution. All constraints and optimality conditions are satisfied.</t>
        </r>
      </text>
    </comment>
    <comment ref="F15" authorId="0" shapeId="0" xr:uid="{A5EBC7D7-E4E0-4C5A-BB8C-40B0ADEAAA82}">
      <text>
        <r>
          <rPr>
            <sz val="9"/>
            <color indexed="81"/>
            <rFont val="Tahoma"/>
            <family val="2"/>
          </rPr>
          <t>Solver found a solution. All constraints and optimality conditions are satisfied.</t>
        </r>
      </text>
    </comment>
    <comment ref="G15" authorId="0" shapeId="0" xr:uid="{63FADB3E-99A6-4F3B-BD3A-122A6D8BC5F5}">
      <text>
        <r>
          <rPr>
            <sz val="9"/>
            <color indexed="81"/>
            <rFont val="Tahoma"/>
            <family val="2"/>
          </rPr>
          <t>Solver found a solution. All constraints and optimality conditions are satisfied.</t>
        </r>
      </text>
    </comment>
    <comment ref="H15" authorId="0" shapeId="0" xr:uid="{D7215CA3-8DCF-4AC9-8A07-C3EB354D8AD8}">
      <text>
        <r>
          <rPr>
            <sz val="9"/>
            <color indexed="81"/>
            <rFont val="Tahoma"/>
            <family val="2"/>
          </rPr>
          <t>Solver found a solution. All constraints and optimality conditions are satisfied.</t>
        </r>
      </text>
    </comment>
    <comment ref="I15" authorId="0" shapeId="0" xr:uid="{ED6314B3-5658-4A01-B025-6E550F6EA9D4}">
      <text>
        <r>
          <rPr>
            <sz val="9"/>
            <color indexed="81"/>
            <rFont val="Tahoma"/>
            <family val="2"/>
          </rPr>
          <t>Solver found a solution. All constraints and optimality conditions are satisfied.</t>
        </r>
      </text>
    </comment>
    <comment ref="J15" authorId="0" shapeId="0" xr:uid="{91A31617-BFD3-4B2B-B14B-32AEE76E0AF5}">
      <text>
        <r>
          <rPr>
            <sz val="9"/>
            <color indexed="81"/>
            <rFont val="Tahoma"/>
            <family val="2"/>
          </rPr>
          <t>Solver found a solution. All constraints and optimality conditions are satisfied.</t>
        </r>
      </text>
    </comment>
    <comment ref="K15" authorId="0" shapeId="0" xr:uid="{211B9C06-5417-4569-A334-6696EE2C24A0}">
      <text>
        <r>
          <rPr>
            <sz val="9"/>
            <color indexed="81"/>
            <rFont val="Tahoma"/>
            <family val="2"/>
          </rPr>
          <t>Solver found a solution. All constraints and optimality conditions are satisfied.</t>
        </r>
      </text>
    </comment>
    <comment ref="L15" authorId="0" shapeId="0" xr:uid="{04E05D48-8246-49EB-92A0-691F79B5ED04}">
      <text>
        <r>
          <rPr>
            <sz val="9"/>
            <color indexed="81"/>
            <rFont val="Tahoma"/>
            <family val="2"/>
          </rPr>
          <t>Solver found a solution. All constraints and optimality conditions are satisfied.</t>
        </r>
      </text>
    </comment>
    <comment ref="M15" authorId="0" shapeId="0" xr:uid="{51EEC00E-6388-47B4-8018-97F4968157FB}">
      <text>
        <r>
          <rPr>
            <sz val="9"/>
            <color indexed="81"/>
            <rFont val="Tahoma"/>
            <family val="2"/>
          </rPr>
          <t>Solver found a solution. All constraints and optimality conditions are satisfied.</t>
        </r>
      </text>
    </comment>
    <comment ref="N15" authorId="0" shapeId="0" xr:uid="{4F2E8AEA-1397-47E5-8E99-C35B0AFABED4}">
      <text>
        <r>
          <rPr>
            <sz val="9"/>
            <color indexed="81"/>
            <rFont val="Tahoma"/>
            <family val="2"/>
          </rPr>
          <t>Solver found a solution. All constraints and optimality conditions are satisfied.</t>
        </r>
      </text>
    </comment>
    <comment ref="O15" authorId="0" shapeId="0" xr:uid="{D0E23BF5-D734-40A5-BFEB-D972AD39948D}">
      <text>
        <r>
          <rPr>
            <sz val="9"/>
            <color indexed="81"/>
            <rFont val="Tahoma"/>
            <family val="2"/>
          </rPr>
          <t>Solver found a solution. All constraints and optimality conditions are satisfied.</t>
        </r>
      </text>
    </comment>
    <comment ref="P15" authorId="0" shapeId="0" xr:uid="{6A485E50-40F4-43EB-8460-FC7233A62510}">
      <text>
        <r>
          <rPr>
            <sz val="9"/>
            <color indexed="81"/>
            <rFont val="Tahoma"/>
            <family val="2"/>
          </rPr>
          <t>Solver found a solution. All constraints and optimality conditions are satisfied.</t>
        </r>
      </text>
    </comment>
    <comment ref="B16" authorId="0" shapeId="0" xr:uid="{CCAC2996-CC12-43BB-B011-C45F7B0DACA3}">
      <text>
        <r>
          <rPr>
            <sz val="9"/>
            <color indexed="81"/>
            <rFont val="Tahoma"/>
            <family val="2"/>
          </rPr>
          <t>Solver found a solution. All constraints and optimality conditions are satisfied.</t>
        </r>
      </text>
    </comment>
    <comment ref="C16" authorId="0" shapeId="0" xr:uid="{9C5B9486-3914-4285-A4FA-71839BC08EB2}">
      <text>
        <r>
          <rPr>
            <sz val="9"/>
            <color indexed="81"/>
            <rFont val="Tahoma"/>
            <family val="2"/>
          </rPr>
          <t>Solver found a solution. All constraints and optimality conditions are satisfied.</t>
        </r>
      </text>
    </comment>
    <comment ref="D16" authorId="0" shapeId="0" xr:uid="{1B122C7B-B1B2-4BEC-81A7-EF5AA0EE65C5}">
      <text>
        <r>
          <rPr>
            <sz val="9"/>
            <color indexed="81"/>
            <rFont val="Tahoma"/>
            <family val="2"/>
          </rPr>
          <t>Solver found a solution. All constraints and optimality conditions are satisfied.</t>
        </r>
      </text>
    </comment>
    <comment ref="E16" authorId="0" shapeId="0" xr:uid="{EDDB4C50-5868-4918-8536-60A31211BC07}">
      <text>
        <r>
          <rPr>
            <sz val="9"/>
            <color indexed="81"/>
            <rFont val="Tahoma"/>
            <family val="2"/>
          </rPr>
          <t>Solver found a solution. All constraints and optimality conditions are satisfied.</t>
        </r>
      </text>
    </comment>
    <comment ref="F16" authorId="0" shapeId="0" xr:uid="{81D3F1B4-2B8C-40E3-8753-EDB3C02C6A34}">
      <text>
        <r>
          <rPr>
            <sz val="9"/>
            <color indexed="81"/>
            <rFont val="Tahoma"/>
            <family val="2"/>
          </rPr>
          <t>Solver found a solution. All constraints and optimality conditions are satisfied.</t>
        </r>
      </text>
    </comment>
    <comment ref="G16" authorId="0" shapeId="0" xr:uid="{547BB4D6-CBC0-4108-86A6-FABD3E020409}">
      <text>
        <r>
          <rPr>
            <sz val="9"/>
            <color indexed="81"/>
            <rFont val="Tahoma"/>
            <family val="2"/>
          </rPr>
          <t>Solver found a solution. All constraints and optimality conditions are satisfied.</t>
        </r>
      </text>
    </comment>
    <comment ref="H16" authorId="0" shapeId="0" xr:uid="{E0E44471-3813-46CB-B206-324789555EDE}">
      <text>
        <r>
          <rPr>
            <sz val="9"/>
            <color indexed="81"/>
            <rFont val="Tahoma"/>
            <family val="2"/>
          </rPr>
          <t>Solver found a solution. All constraints and optimality conditions are satisfied.</t>
        </r>
      </text>
    </comment>
    <comment ref="I16" authorId="0" shapeId="0" xr:uid="{179146F8-82A3-4325-BB9A-1865B4274201}">
      <text>
        <r>
          <rPr>
            <sz val="9"/>
            <color indexed="81"/>
            <rFont val="Tahoma"/>
            <family val="2"/>
          </rPr>
          <t>Solver found a solution. All constraints and optimality conditions are satisfied.</t>
        </r>
      </text>
    </comment>
    <comment ref="J16" authorId="0" shapeId="0" xr:uid="{1B9FF9F6-C60D-403E-99FF-36A899EA2C3C}">
      <text>
        <r>
          <rPr>
            <sz val="9"/>
            <color indexed="81"/>
            <rFont val="Tahoma"/>
            <family val="2"/>
          </rPr>
          <t>Solver found a solution. All constraints and optimality conditions are satisfied.</t>
        </r>
      </text>
    </comment>
    <comment ref="K16" authorId="0" shapeId="0" xr:uid="{903F5040-A545-4C16-ABD6-D2ADBF70DACD}">
      <text>
        <r>
          <rPr>
            <sz val="9"/>
            <color indexed="81"/>
            <rFont val="Tahoma"/>
            <family val="2"/>
          </rPr>
          <t>Solver found a solution. All constraints and optimality conditions are satisfied.</t>
        </r>
      </text>
    </comment>
    <comment ref="L16" authorId="0" shapeId="0" xr:uid="{2861D8D7-89B0-4326-9384-379C63EF2057}">
      <text>
        <r>
          <rPr>
            <sz val="9"/>
            <color indexed="81"/>
            <rFont val="Tahoma"/>
            <family val="2"/>
          </rPr>
          <t>Solver found a solution. All constraints and optimality conditions are satisfied.</t>
        </r>
      </text>
    </comment>
    <comment ref="M16" authorId="0" shapeId="0" xr:uid="{8E869BFF-9157-48D8-976A-4249186F8645}">
      <text>
        <r>
          <rPr>
            <sz val="9"/>
            <color indexed="81"/>
            <rFont val="Tahoma"/>
            <family val="2"/>
          </rPr>
          <t>Solver found a solution. All constraints and optimality conditions are satisfied.</t>
        </r>
      </text>
    </comment>
    <comment ref="N16" authorId="0" shapeId="0" xr:uid="{9C67AE2A-FA4E-417A-8428-A004849C17B0}">
      <text>
        <r>
          <rPr>
            <sz val="9"/>
            <color indexed="81"/>
            <rFont val="Tahoma"/>
            <family val="2"/>
          </rPr>
          <t>Solver found a solution. All constraints and optimality conditions are satisfied.</t>
        </r>
      </text>
    </comment>
    <comment ref="O16" authorId="0" shapeId="0" xr:uid="{F2593F22-B38C-47FD-80C0-FB7959468AE2}">
      <text>
        <r>
          <rPr>
            <sz val="9"/>
            <color indexed="81"/>
            <rFont val="Tahoma"/>
            <family val="2"/>
          </rPr>
          <t>Solver found a solution. All constraints and optimality conditions are satisfied.</t>
        </r>
      </text>
    </comment>
    <comment ref="P16" authorId="0" shapeId="0" xr:uid="{3BCFBE09-A39C-4927-B6C0-6D0815A19A03}">
      <text>
        <r>
          <rPr>
            <sz val="9"/>
            <color indexed="81"/>
            <rFont val="Tahoma"/>
            <family val="2"/>
          </rPr>
          <t>Solver found a solution. All constraints and optimality conditions are satisfied.</t>
        </r>
      </text>
    </comment>
    <comment ref="B17" authorId="0" shapeId="0" xr:uid="{F22488F5-F458-49E5-8967-1EDBAC2DD4ED}">
      <text>
        <r>
          <rPr>
            <sz val="9"/>
            <color indexed="81"/>
            <rFont val="Tahoma"/>
            <family val="2"/>
          </rPr>
          <t>Solver found a solution. All constraints and optimality conditions are satisfied.</t>
        </r>
      </text>
    </comment>
    <comment ref="C17" authorId="0" shapeId="0" xr:uid="{0A90BDF5-F310-45C6-AABE-35FF00EF2438}">
      <text>
        <r>
          <rPr>
            <sz val="9"/>
            <color indexed="81"/>
            <rFont val="Tahoma"/>
            <family val="2"/>
          </rPr>
          <t>Solver found a solution. All constraints and optimality conditions are satisfied.</t>
        </r>
      </text>
    </comment>
    <comment ref="D17" authorId="0" shapeId="0" xr:uid="{9E13A4BD-DCB0-47CE-A63D-C2B623C5CC41}">
      <text>
        <r>
          <rPr>
            <sz val="9"/>
            <color indexed="81"/>
            <rFont val="Tahoma"/>
            <family val="2"/>
          </rPr>
          <t>Solver found a solution. All constraints and optimality conditions are satisfied.</t>
        </r>
      </text>
    </comment>
    <comment ref="E17" authorId="0" shapeId="0" xr:uid="{59890B10-8D75-49DC-872B-8C794402D864}">
      <text>
        <r>
          <rPr>
            <sz val="9"/>
            <color indexed="81"/>
            <rFont val="Tahoma"/>
            <family val="2"/>
          </rPr>
          <t>Solver found a solution. All constraints and optimality conditions are satisfied.</t>
        </r>
      </text>
    </comment>
    <comment ref="F17" authorId="0" shapeId="0" xr:uid="{A69A9387-D971-4979-9EAF-6372B5AFB2F7}">
      <text>
        <r>
          <rPr>
            <sz val="9"/>
            <color indexed="81"/>
            <rFont val="Tahoma"/>
            <family val="2"/>
          </rPr>
          <t>Solver found a solution. All constraints and optimality conditions are satisfied.</t>
        </r>
      </text>
    </comment>
    <comment ref="G17" authorId="0" shapeId="0" xr:uid="{DAC08A69-1B33-4752-8904-B26246197A3C}">
      <text>
        <r>
          <rPr>
            <sz val="9"/>
            <color indexed="81"/>
            <rFont val="Tahoma"/>
            <family val="2"/>
          </rPr>
          <t>Solver found a solution. All constraints and optimality conditions are satisfied.</t>
        </r>
      </text>
    </comment>
    <comment ref="H17" authorId="0" shapeId="0" xr:uid="{54B03E63-913A-4650-B72D-CEBBA9E14600}">
      <text>
        <r>
          <rPr>
            <sz val="9"/>
            <color indexed="81"/>
            <rFont val="Tahoma"/>
            <family val="2"/>
          </rPr>
          <t>Solver found a solution. All constraints and optimality conditions are satisfied.</t>
        </r>
      </text>
    </comment>
    <comment ref="I17" authorId="0" shapeId="0" xr:uid="{56008BCF-0A96-42CF-B640-2FCA71C7265F}">
      <text>
        <r>
          <rPr>
            <sz val="9"/>
            <color indexed="81"/>
            <rFont val="Tahoma"/>
            <family val="2"/>
          </rPr>
          <t>Solver found a solution. All constraints and optimality conditions are satisfied.</t>
        </r>
      </text>
    </comment>
    <comment ref="J17" authorId="0" shapeId="0" xr:uid="{232BA50A-0F9C-4313-9636-4885CF3024E3}">
      <text>
        <r>
          <rPr>
            <sz val="9"/>
            <color indexed="81"/>
            <rFont val="Tahoma"/>
            <family val="2"/>
          </rPr>
          <t>Solver found a solution. All constraints and optimality conditions are satisfied.</t>
        </r>
      </text>
    </comment>
    <comment ref="K17" authorId="0" shapeId="0" xr:uid="{3141768A-232D-429C-AE6F-01252D429BD7}">
      <text>
        <r>
          <rPr>
            <sz val="9"/>
            <color indexed="81"/>
            <rFont val="Tahoma"/>
            <family val="2"/>
          </rPr>
          <t>Solver found a solution. All constraints and optimality conditions are satisfied.</t>
        </r>
      </text>
    </comment>
    <comment ref="L17" authorId="0" shapeId="0" xr:uid="{D78A412C-4C47-4F53-843A-4B914704DEFC}">
      <text>
        <r>
          <rPr>
            <sz val="9"/>
            <color indexed="81"/>
            <rFont val="Tahoma"/>
            <family val="2"/>
          </rPr>
          <t>Solver found a solution. All constraints and optimality conditions are satisfied.</t>
        </r>
      </text>
    </comment>
    <comment ref="M17" authorId="0" shapeId="0" xr:uid="{39BED951-F5FF-48AB-812A-83D3623A5EC6}">
      <text>
        <r>
          <rPr>
            <sz val="9"/>
            <color indexed="81"/>
            <rFont val="Tahoma"/>
            <family val="2"/>
          </rPr>
          <t>Solver found a solution. All constraints and optimality conditions are satisfied.</t>
        </r>
      </text>
    </comment>
    <comment ref="N17" authorId="0" shapeId="0" xr:uid="{A94A1579-42C9-43E7-BC89-7971E2043A2B}">
      <text>
        <r>
          <rPr>
            <sz val="9"/>
            <color indexed="81"/>
            <rFont val="Tahoma"/>
            <family val="2"/>
          </rPr>
          <t>Solver found a solution. All constraints and optimality conditions are satisfied.</t>
        </r>
      </text>
    </comment>
    <comment ref="O17" authorId="0" shapeId="0" xr:uid="{ECAFA5B8-F539-4EE1-AE7F-8C7A23B916C1}">
      <text>
        <r>
          <rPr>
            <sz val="9"/>
            <color indexed="81"/>
            <rFont val="Tahoma"/>
            <family val="2"/>
          </rPr>
          <t>Solver found a solution. All constraints and optimality conditions are satisfied.</t>
        </r>
      </text>
    </comment>
    <comment ref="P17" authorId="0" shapeId="0" xr:uid="{61B5A6AD-16F0-4BBA-8912-EEE6A0DC8485}">
      <text>
        <r>
          <rPr>
            <sz val="9"/>
            <color indexed="81"/>
            <rFont val="Tahoma"/>
            <family val="2"/>
          </rPr>
          <t>Solver found a solution. All constraints and optimality conditions are satisfied.</t>
        </r>
      </text>
    </comment>
    <comment ref="B18" authorId="0" shapeId="0" xr:uid="{18B11EB5-AA21-4EA2-83B0-CB1081D957C6}">
      <text>
        <r>
          <rPr>
            <sz val="9"/>
            <color indexed="81"/>
            <rFont val="Tahoma"/>
            <family val="2"/>
          </rPr>
          <t>Solver found a solution. All constraints and optimality conditions are satisfied.</t>
        </r>
      </text>
    </comment>
    <comment ref="C18" authorId="0" shapeId="0" xr:uid="{C758FB2F-A48F-4262-93AD-53986EA07EAE}">
      <text>
        <r>
          <rPr>
            <sz val="9"/>
            <color indexed="81"/>
            <rFont val="Tahoma"/>
            <family val="2"/>
          </rPr>
          <t>Solver found a solution. All constraints and optimality conditions are satisfied.</t>
        </r>
      </text>
    </comment>
    <comment ref="D18" authorId="0" shapeId="0" xr:uid="{0A43A348-D0A5-4729-B7CE-D7F0654B6A24}">
      <text>
        <r>
          <rPr>
            <sz val="9"/>
            <color indexed="81"/>
            <rFont val="Tahoma"/>
            <family val="2"/>
          </rPr>
          <t>Solver found a solution. All constraints and optimality conditions are satisfied.</t>
        </r>
      </text>
    </comment>
    <comment ref="E18" authorId="0" shapeId="0" xr:uid="{4C22A2A4-A16C-424B-A9F4-815D80D33086}">
      <text>
        <r>
          <rPr>
            <sz val="9"/>
            <color indexed="81"/>
            <rFont val="Tahoma"/>
            <family val="2"/>
          </rPr>
          <t>Solver found a solution. All constraints and optimality conditions are satisfied.</t>
        </r>
      </text>
    </comment>
    <comment ref="F18" authorId="0" shapeId="0" xr:uid="{9E5F8C25-2C80-448E-B7CF-3CB521A21E1F}">
      <text>
        <r>
          <rPr>
            <sz val="9"/>
            <color indexed="81"/>
            <rFont val="Tahoma"/>
            <family val="2"/>
          </rPr>
          <t>Solver found a solution. All constraints and optimality conditions are satisfied.</t>
        </r>
      </text>
    </comment>
    <comment ref="G18" authorId="0" shapeId="0" xr:uid="{71A8BBDF-0B58-415D-9690-C07C7512CFE0}">
      <text>
        <r>
          <rPr>
            <sz val="9"/>
            <color indexed="81"/>
            <rFont val="Tahoma"/>
            <family val="2"/>
          </rPr>
          <t>Solver found a solution. All constraints and optimality conditions are satisfied.</t>
        </r>
      </text>
    </comment>
    <comment ref="H18" authorId="0" shapeId="0" xr:uid="{33CEF364-5837-4764-82BB-42A4CDA2F0FD}">
      <text>
        <r>
          <rPr>
            <sz val="9"/>
            <color indexed="81"/>
            <rFont val="Tahoma"/>
            <family val="2"/>
          </rPr>
          <t>Solver found a solution. All constraints and optimality conditions are satisfied.</t>
        </r>
      </text>
    </comment>
    <comment ref="I18" authorId="0" shapeId="0" xr:uid="{0A572300-FA8F-4B0E-9525-B3786FAAECAF}">
      <text>
        <r>
          <rPr>
            <sz val="9"/>
            <color indexed="81"/>
            <rFont val="Tahoma"/>
            <family val="2"/>
          </rPr>
          <t>Solver found a solution. All constraints and optimality conditions are satisfied.</t>
        </r>
      </text>
    </comment>
    <comment ref="J18" authorId="0" shapeId="0" xr:uid="{F2CF00C6-EA38-4F30-8F6B-62D0FD257120}">
      <text>
        <r>
          <rPr>
            <sz val="9"/>
            <color indexed="81"/>
            <rFont val="Tahoma"/>
            <family val="2"/>
          </rPr>
          <t>Solver found a solution. All constraints and optimality conditions are satisfied.</t>
        </r>
      </text>
    </comment>
    <comment ref="K18" authorId="0" shapeId="0" xr:uid="{665ED680-BFDB-4E6D-80CF-72FD2D7D684C}">
      <text>
        <r>
          <rPr>
            <sz val="9"/>
            <color indexed="81"/>
            <rFont val="Tahoma"/>
            <family val="2"/>
          </rPr>
          <t>Solver found a solution. All constraints and optimality conditions are satisfied.</t>
        </r>
      </text>
    </comment>
    <comment ref="L18" authorId="0" shapeId="0" xr:uid="{16E25C86-6B4E-4248-B0FA-C4945C0EA918}">
      <text>
        <r>
          <rPr>
            <sz val="9"/>
            <color indexed="81"/>
            <rFont val="Tahoma"/>
            <family val="2"/>
          </rPr>
          <t>Solver found a solution. All constraints and optimality conditions are satisfied.</t>
        </r>
      </text>
    </comment>
    <comment ref="M18" authorId="0" shapeId="0" xr:uid="{DAB30050-C6D4-41F9-A455-9446CC03F5A0}">
      <text>
        <r>
          <rPr>
            <sz val="9"/>
            <color indexed="81"/>
            <rFont val="Tahoma"/>
            <family val="2"/>
          </rPr>
          <t>Solver found a solution. All constraints and optimality conditions are satisfied.</t>
        </r>
      </text>
    </comment>
    <comment ref="N18" authorId="0" shapeId="0" xr:uid="{D79C3FAC-5DF7-4B4F-8F6C-135D2DE0988D}">
      <text>
        <r>
          <rPr>
            <sz val="9"/>
            <color indexed="81"/>
            <rFont val="Tahoma"/>
            <family val="2"/>
          </rPr>
          <t>Solver found a solution. All constraints and optimality conditions are satisfied.</t>
        </r>
      </text>
    </comment>
    <comment ref="O18" authorId="0" shapeId="0" xr:uid="{A34559A1-844A-4043-960F-DCFDC59F00C1}">
      <text>
        <r>
          <rPr>
            <sz val="9"/>
            <color indexed="81"/>
            <rFont val="Tahoma"/>
            <family val="2"/>
          </rPr>
          <t>Solver found a solution. All constraints and optimality conditions are satisfied.</t>
        </r>
      </text>
    </comment>
    <comment ref="P18" authorId="0" shapeId="0" xr:uid="{B7561F4D-A7CF-4AAF-9397-3BB262DB2949}">
      <text>
        <r>
          <rPr>
            <sz val="9"/>
            <color indexed="81"/>
            <rFont val="Tahoma"/>
            <family val="2"/>
          </rPr>
          <t>Solver found a solution. All constraints and optimality conditions are satisfied.</t>
        </r>
      </text>
    </comment>
    <comment ref="B19" authorId="0" shapeId="0" xr:uid="{3EB9F7A8-63A2-4950-BE1F-B62292B4B051}">
      <text>
        <r>
          <rPr>
            <sz val="9"/>
            <color indexed="81"/>
            <rFont val="Tahoma"/>
            <family val="2"/>
          </rPr>
          <t>Solver found a solution. All constraints and optimality conditions are satisfied.</t>
        </r>
      </text>
    </comment>
    <comment ref="C19" authorId="0" shapeId="0" xr:uid="{7C9E3E62-9B46-4CB6-9067-DF2A12437EC9}">
      <text>
        <r>
          <rPr>
            <sz val="9"/>
            <color indexed="81"/>
            <rFont val="Tahoma"/>
            <family val="2"/>
          </rPr>
          <t>Solver found a solution. All constraints and optimality conditions are satisfied.</t>
        </r>
      </text>
    </comment>
    <comment ref="D19" authorId="0" shapeId="0" xr:uid="{0442F34A-235E-4C60-B8FE-B361DB86B4D5}">
      <text>
        <r>
          <rPr>
            <sz val="9"/>
            <color indexed="81"/>
            <rFont val="Tahoma"/>
            <family val="2"/>
          </rPr>
          <t>Solver found a solution. All constraints and optimality conditions are satisfied.</t>
        </r>
      </text>
    </comment>
    <comment ref="E19" authorId="0" shapeId="0" xr:uid="{68B2CA89-C9FD-44E7-8C51-61F4AFC12501}">
      <text>
        <r>
          <rPr>
            <sz val="9"/>
            <color indexed="81"/>
            <rFont val="Tahoma"/>
            <family val="2"/>
          </rPr>
          <t>Solver found a solution. All constraints and optimality conditions are satisfied.</t>
        </r>
      </text>
    </comment>
    <comment ref="F19" authorId="0" shapeId="0" xr:uid="{FFFDDCC1-67BD-4858-B000-1E1F222C615A}">
      <text>
        <r>
          <rPr>
            <sz val="9"/>
            <color indexed="81"/>
            <rFont val="Tahoma"/>
            <family val="2"/>
          </rPr>
          <t>Solver found a solution. All constraints and optimality conditions are satisfied.</t>
        </r>
      </text>
    </comment>
    <comment ref="G19" authorId="0" shapeId="0" xr:uid="{1EA88FEA-5047-4E17-AFB9-41F7AA007AA7}">
      <text>
        <r>
          <rPr>
            <sz val="9"/>
            <color indexed="81"/>
            <rFont val="Tahoma"/>
            <family val="2"/>
          </rPr>
          <t>Solver found a solution. All constraints and optimality conditions are satisfied.</t>
        </r>
      </text>
    </comment>
    <comment ref="H19" authorId="0" shapeId="0" xr:uid="{3C477ADA-D0C2-48DF-A46A-E31ED8291D34}">
      <text>
        <r>
          <rPr>
            <sz val="9"/>
            <color indexed="81"/>
            <rFont val="Tahoma"/>
            <family val="2"/>
          </rPr>
          <t>Solver found a solution. All constraints and optimality conditions are satisfied.</t>
        </r>
      </text>
    </comment>
    <comment ref="I19" authorId="0" shapeId="0" xr:uid="{1942111B-C85A-4BE0-8A28-5B7F345527AE}">
      <text>
        <r>
          <rPr>
            <sz val="9"/>
            <color indexed="81"/>
            <rFont val="Tahoma"/>
            <family val="2"/>
          </rPr>
          <t>Solver found a solution. All constraints and optimality conditions are satisfied.</t>
        </r>
      </text>
    </comment>
    <comment ref="J19" authorId="0" shapeId="0" xr:uid="{D8EC8881-6994-4BC4-9522-C875616BA32D}">
      <text>
        <r>
          <rPr>
            <sz val="9"/>
            <color indexed="81"/>
            <rFont val="Tahoma"/>
            <family val="2"/>
          </rPr>
          <t>Solver found a solution. All constraints and optimality conditions are satisfied.</t>
        </r>
      </text>
    </comment>
    <comment ref="K19" authorId="0" shapeId="0" xr:uid="{63D0E93F-D28F-4A88-9E26-172B28F0E9DA}">
      <text>
        <r>
          <rPr>
            <sz val="9"/>
            <color indexed="81"/>
            <rFont val="Tahoma"/>
            <family val="2"/>
          </rPr>
          <t>Solver found a solution. All constraints and optimality conditions are satisfied.</t>
        </r>
      </text>
    </comment>
    <comment ref="L19" authorId="0" shapeId="0" xr:uid="{63DC3D5A-B8D5-43B1-BA48-6923DD8C495E}">
      <text>
        <r>
          <rPr>
            <sz val="9"/>
            <color indexed="81"/>
            <rFont val="Tahoma"/>
            <family val="2"/>
          </rPr>
          <t>Solver found a solution. All constraints and optimality conditions are satisfied.</t>
        </r>
      </text>
    </comment>
    <comment ref="M19" authorId="0" shapeId="0" xr:uid="{BC3D19C6-B12B-411B-A5BA-B01A08CD7B5C}">
      <text>
        <r>
          <rPr>
            <sz val="9"/>
            <color indexed="81"/>
            <rFont val="Tahoma"/>
            <family val="2"/>
          </rPr>
          <t>Solver found a solution. All constraints and optimality conditions are satisfied.</t>
        </r>
      </text>
    </comment>
    <comment ref="N19" authorId="0" shapeId="0" xr:uid="{E7362BF5-7580-487E-BBD5-049F291BDFA0}">
      <text>
        <r>
          <rPr>
            <sz val="9"/>
            <color indexed="81"/>
            <rFont val="Tahoma"/>
            <family val="2"/>
          </rPr>
          <t>Solver found a solution. All constraints and optimality conditions are satisfied.</t>
        </r>
      </text>
    </comment>
    <comment ref="O19" authorId="0" shapeId="0" xr:uid="{14895619-08C0-4255-8C4B-40732556DAE3}">
      <text>
        <r>
          <rPr>
            <sz val="9"/>
            <color indexed="81"/>
            <rFont val="Tahoma"/>
            <family val="2"/>
          </rPr>
          <t>Solver found a solution. All constraints and optimality conditions are satisfied.</t>
        </r>
      </text>
    </comment>
    <comment ref="P19" authorId="0" shapeId="0" xr:uid="{971A57E6-32CB-4A48-9FFB-52163DE6ABB1}">
      <text>
        <r>
          <rPr>
            <sz val="9"/>
            <color indexed="81"/>
            <rFont val="Tahoma"/>
            <family val="2"/>
          </rPr>
          <t>Solver found a solution. All constraints and optimality conditions are satisfied.</t>
        </r>
      </text>
    </comment>
    <comment ref="B20" authorId="0" shapeId="0" xr:uid="{72FE4161-61AD-4735-A964-36BF293ACD9C}">
      <text>
        <r>
          <rPr>
            <sz val="9"/>
            <color indexed="81"/>
            <rFont val="Tahoma"/>
            <family val="2"/>
          </rPr>
          <t>Solver found a solution. All constraints and optimality conditions are satisfied.</t>
        </r>
      </text>
    </comment>
    <comment ref="C20" authorId="0" shapeId="0" xr:uid="{485D6F54-220B-4A7C-80AF-B93EE1C46D6B}">
      <text>
        <r>
          <rPr>
            <sz val="9"/>
            <color indexed="81"/>
            <rFont val="Tahoma"/>
            <family val="2"/>
          </rPr>
          <t>Solver found a solution. All constraints and optimality conditions are satisfied.</t>
        </r>
      </text>
    </comment>
    <comment ref="D20" authorId="0" shapeId="0" xr:uid="{A233035E-CBD9-43F6-AFD0-1C82D6963A09}">
      <text>
        <r>
          <rPr>
            <sz val="9"/>
            <color indexed="81"/>
            <rFont val="Tahoma"/>
            <family val="2"/>
          </rPr>
          <t>Solver found a solution. All constraints and optimality conditions are satisfied.</t>
        </r>
      </text>
    </comment>
    <comment ref="E20" authorId="0" shapeId="0" xr:uid="{C4915EEC-3C90-4FAF-B7ED-7C5C4A23D983}">
      <text>
        <r>
          <rPr>
            <sz val="9"/>
            <color indexed="81"/>
            <rFont val="Tahoma"/>
            <family val="2"/>
          </rPr>
          <t>Solver found a solution. All constraints and optimality conditions are satisfied.</t>
        </r>
      </text>
    </comment>
    <comment ref="F20" authorId="0" shapeId="0" xr:uid="{DFF34FCC-7E6E-4690-850B-3ADA72B979E1}">
      <text>
        <r>
          <rPr>
            <sz val="9"/>
            <color indexed="81"/>
            <rFont val="Tahoma"/>
            <family val="2"/>
          </rPr>
          <t>Solver found a solution. All constraints and optimality conditions are satisfied.</t>
        </r>
      </text>
    </comment>
    <comment ref="G20" authorId="0" shapeId="0" xr:uid="{1DE1E8AF-9CB5-4EE6-B9BB-EB1CB9764DFD}">
      <text>
        <r>
          <rPr>
            <sz val="9"/>
            <color indexed="81"/>
            <rFont val="Tahoma"/>
            <family val="2"/>
          </rPr>
          <t>Solver found a solution. All constraints and optimality conditions are satisfied.</t>
        </r>
      </text>
    </comment>
    <comment ref="H20" authorId="0" shapeId="0" xr:uid="{164A87A9-255A-4BB1-8B1C-2463BC82848B}">
      <text>
        <r>
          <rPr>
            <sz val="9"/>
            <color indexed="81"/>
            <rFont val="Tahoma"/>
            <family val="2"/>
          </rPr>
          <t>Solver found a solution. All constraints and optimality conditions are satisfied.</t>
        </r>
      </text>
    </comment>
    <comment ref="I20" authorId="0" shapeId="0" xr:uid="{B17A06B0-2717-48D6-94BB-83187120DD95}">
      <text>
        <r>
          <rPr>
            <sz val="9"/>
            <color indexed="81"/>
            <rFont val="Tahoma"/>
            <family val="2"/>
          </rPr>
          <t>Solver found a solution. All constraints and optimality conditions are satisfied.</t>
        </r>
      </text>
    </comment>
    <comment ref="J20" authorId="0" shapeId="0" xr:uid="{2180E654-E2FD-4B6A-9DAB-77D7842C91EF}">
      <text>
        <r>
          <rPr>
            <sz val="9"/>
            <color indexed="81"/>
            <rFont val="Tahoma"/>
            <family val="2"/>
          </rPr>
          <t>Solver found a solution. All constraints and optimality conditions are satisfied.</t>
        </r>
      </text>
    </comment>
    <comment ref="K20" authorId="0" shapeId="0" xr:uid="{6035F7F6-3798-4923-BF41-B49E461BA618}">
      <text>
        <r>
          <rPr>
            <sz val="9"/>
            <color indexed="81"/>
            <rFont val="Tahoma"/>
            <family val="2"/>
          </rPr>
          <t>Solver found a solution. All constraints and optimality conditions are satisfied.</t>
        </r>
      </text>
    </comment>
    <comment ref="L20" authorId="0" shapeId="0" xr:uid="{9BC21C0E-9476-4A49-ADAE-65E71DEE2222}">
      <text>
        <r>
          <rPr>
            <sz val="9"/>
            <color indexed="81"/>
            <rFont val="Tahoma"/>
            <family val="2"/>
          </rPr>
          <t>Solver found a solution. All constraints and optimality conditions are satisfied.</t>
        </r>
      </text>
    </comment>
    <comment ref="M20" authorId="0" shapeId="0" xr:uid="{A3E2888C-2A9C-4948-ABE5-C970B779F227}">
      <text>
        <r>
          <rPr>
            <sz val="9"/>
            <color indexed="81"/>
            <rFont val="Tahoma"/>
            <family val="2"/>
          </rPr>
          <t>Solver found a solution. All constraints and optimality conditions are satisfied.</t>
        </r>
      </text>
    </comment>
    <comment ref="N20" authorId="0" shapeId="0" xr:uid="{76FDBE60-6904-4C18-A1FB-90BE20967642}">
      <text>
        <r>
          <rPr>
            <sz val="9"/>
            <color indexed="81"/>
            <rFont val="Tahoma"/>
            <family val="2"/>
          </rPr>
          <t>Solver found a solution. All constraints and optimality conditions are satisfied.</t>
        </r>
      </text>
    </comment>
    <comment ref="O20" authorId="0" shapeId="0" xr:uid="{EEABD13C-22BC-49D2-9D7C-856EB4F5884F}">
      <text>
        <r>
          <rPr>
            <sz val="9"/>
            <color indexed="81"/>
            <rFont val="Tahoma"/>
            <family val="2"/>
          </rPr>
          <t>Solver found a solution. All constraints and optimality conditions are satisfied.</t>
        </r>
      </text>
    </comment>
    <comment ref="P20" authorId="0" shapeId="0" xr:uid="{EEC3592F-548C-4F78-A334-8870116FAC23}">
      <text>
        <r>
          <rPr>
            <sz val="9"/>
            <color indexed="81"/>
            <rFont val="Tahoma"/>
            <family val="2"/>
          </rPr>
          <t>Solver found a solution. All constraints and optimality conditions are satisfied.</t>
        </r>
      </text>
    </comment>
    <comment ref="B21" authorId="0" shapeId="0" xr:uid="{C98BB4E5-8E56-4F29-A08E-A7788D0F61B5}">
      <text>
        <r>
          <rPr>
            <sz val="9"/>
            <color indexed="81"/>
            <rFont val="Tahoma"/>
            <family val="2"/>
          </rPr>
          <t>Solver found a solution. All constraints and optimality conditions are satisfied.</t>
        </r>
      </text>
    </comment>
    <comment ref="C21" authorId="0" shapeId="0" xr:uid="{85F36558-D161-4E21-8235-8CEDAAB64A6A}">
      <text>
        <r>
          <rPr>
            <sz val="9"/>
            <color indexed="81"/>
            <rFont val="Tahoma"/>
            <family val="2"/>
          </rPr>
          <t>Solver found a solution. All constraints and optimality conditions are satisfied.</t>
        </r>
      </text>
    </comment>
    <comment ref="D21" authorId="0" shapeId="0" xr:uid="{50ED5631-68A4-46DF-97CE-4FBA34777ECD}">
      <text>
        <r>
          <rPr>
            <sz val="9"/>
            <color indexed="81"/>
            <rFont val="Tahoma"/>
            <family val="2"/>
          </rPr>
          <t>Solver found a solution. All constraints and optimality conditions are satisfied.</t>
        </r>
      </text>
    </comment>
    <comment ref="E21" authorId="0" shapeId="0" xr:uid="{EA61708B-49AB-46A8-8FBB-8BD525C798B0}">
      <text>
        <r>
          <rPr>
            <sz val="9"/>
            <color indexed="81"/>
            <rFont val="Tahoma"/>
            <family val="2"/>
          </rPr>
          <t>Solver found a solution. All constraints and optimality conditions are satisfied.</t>
        </r>
      </text>
    </comment>
    <comment ref="F21" authorId="0" shapeId="0" xr:uid="{F730BF26-7A5A-445C-924A-7ED8A539FC1D}">
      <text>
        <r>
          <rPr>
            <sz val="9"/>
            <color indexed="81"/>
            <rFont val="Tahoma"/>
            <family val="2"/>
          </rPr>
          <t>Solver found a solution. All constraints and optimality conditions are satisfied.</t>
        </r>
      </text>
    </comment>
    <comment ref="G21" authorId="0" shapeId="0" xr:uid="{45DCD972-2B35-4D41-B3E2-7B1744428CA1}">
      <text>
        <r>
          <rPr>
            <sz val="9"/>
            <color indexed="81"/>
            <rFont val="Tahoma"/>
            <family val="2"/>
          </rPr>
          <t>Solver found a solution. All constraints and optimality conditions are satisfied.</t>
        </r>
      </text>
    </comment>
    <comment ref="H21" authorId="0" shapeId="0" xr:uid="{DD3105D9-2227-46B9-A5F1-8F5CEA1D9C85}">
      <text>
        <r>
          <rPr>
            <sz val="9"/>
            <color indexed="81"/>
            <rFont val="Tahoma"/>
            <family val="2"/>
          </rPr>
          <t>Solver found a solution. All constraints and optimality conditions are satisfied.</t>
        </r>
      </text>
    </comment>
    <comment ref="I21" authorId="0" shapeId="0" xr:uid="{C742F850-E00B-4DAE-96E4-9634AB903DAE}">
      <text>
        <r>
          <rPr>
            <sz val="9"/>
            <color indexed="81"/>
            <rFont val="Tahoma"/>
            <family val="2"/>
          </rPr>
          <t>Solver found a solution. All constraints and optimality conditions are satisfied.</t>
        </r>
      </text>
    </comment>
    <comment ref="J21" authorId="0" shapeId="0" xr:uid="{0F62A1C7-1B0A-41BB-8568-5C4D320FAFAF}">
      <text>
        <r>
          <rPr>
            <sz val="9"/>
            <color indexed="81"/>
            <rFont val="Tahoma"/>
            <family val="2"/>
          </rPr>
          <t>Solver found a solution. All constraints and optimality conditions are satisfied.</t>
        </r>
      </text>
    </comment>
    <comment ref="K21" authorId="0" shapeId="0" xr:uid="{86BA436F-DD08-4320-A330-900CFFEC37D3}">
      <text>
        <r>
          <rPr>
            <sz val="9"/>
            <color indexed="81"/>
            <rFont val="Tahoma"/>
            <family val="2"/>
          </rPr>
          <t>Solver found a solution. All constraints and optimality conditions are satisfied.</t>
        </r>
      </text>
    </comment>
    <comment ref="L21" authorId="0" shapeId="0" xr:uid="{D1D5DABB-F782-40F2-B561-F8F805374E09}">
      <text>
        <r>
          <rPr>
            <sz val="9"/>
            <color indexed="81"/>
            <rFont val="Tahoma"/>
            <family val="2"/>
          </rPr>
          <t>Solver found a solution. All constraints and optimality conditions are satisfied.</t>
        </r>
      </text>
    </comment>
    <comment ref="M21" authorId="0" shapeId="0" xr:uid="{B80BF5CC-CCA8-4565-B9C0-2861E90AC63D}">
      <text>
        <r>
          <rPr>
            <sz val="9"/>
            <color indexed="81"/>
            <rFont val="Tahoma"/>
            <family val="2"/>
          </rPr>
          <t>Solver found a solution. All constraints and optimality conditions are satisfied.</t>
        </r>
      </text>
    </comment>
    <comment ref="N21" authorId="0" shapeId="0" xr:uid="{28A126A2-1991-4C31-8B7C-C16E680F14D1}">
      <text>
        <r>
          <rPr>
            <sz val="9"/>
            <color indexed="81"/>
            <rFont val="Tahoma"/>
            <family val="2"/>
          </rPr>
          <t>Solver found a solution. All constraints and optimality conditions are satisfied.</t>
        </r>
      </text>
    </comment>
    <comment ref="O21" authorId="0" shapeId="0" xr:uid="{29389A84-3D7A-485D-8746-5EE178350C8F}">
      <text>
        <r>
          <rPr>
            <sz val="9"/>
            <color indexed="81"/>
            <rFont val="Tahoma"/>
            <family val="2"/>
          </rPr>
          <t>Solver found a solution. All constraints and optimality conditions are satisfied.</t>
        </r>
      </text>
    </comment>
    <comment ref="P21" authorId="0" shapeId="0" xr:uid="{31E44BE8-519C-4728-A6AC-C0C464A10182}">
      <text>
        <r>
          <rPr>
            <sz val="9"/>
            <color indexed="81"/>
            <rFont val="Tahoma"/>
            <family val="2"/>
          </rPr>
          <t>Solver found a solution. All constraints and optimality conditions are satisfied.</t>
        </r>
      </text>
    </comment>
    <comment ref="B22" authorId="0" shapeId="0" xr:uid="{23711E65-E1F8-4D05-83FA-6A88E8609120}">
      <text>
        <r>
          <rPr>
            <sz val="9"/>
            <color indexed="81"/>
            <rFont val="Tahoma"/>
            <family val="2"/>
          </rPr>
          <t>Solver found a solution. All constraints and optimality conditions are satisfied.</t>
        </r>
      </text>
    </comment>
    <comment ref="C22" authorId="0" shapeId="0" xr:uid="{8331E38C-A80E-4838-B63F-995C927249BD}">
      <text>
        <r>
          <rPr>
            <sz val="9"/>
            <color indexed="81"/>
            <rFont val="Tahoma"/>
            <family val="2"/>
          </rPr>
          <t>Solver found a solution. All constraints and optimality conditions are satisfied.</t>
        </r>
      </text>
    </comment>
    <comment ref="D22" authorId="0" shapeId="0" xr:uid="{3173F53E-D80B-4B67-9A86-42EFD9F541B7}">
      <text>
        <r>
          <rPr>
            <sz val="9"/>
            <color indexed="81"/>
            <rFont val="Tahoma"/>
            <family val="2"/>
          </rPr>
          <t>Solver found a solution. All constraints and optimality conditions are satisfied.</t>
        </r>
      </text>
    </comment>
    <comment ref="E22" authorId="0" shapeId="0" xr:uid="{E691D9B8-887C-417F-8B5C-7A33BC9D52C9}">
      <text>
        <r>
          <rPr>
            <sz val="9"/>
            <color indexed="81"/>
            <rFont val="Tahoma"/>
            <family val="2"/>
          </rPr>
          <t>Solver found a solution. All constraints and optimality conditions are satisfied.</t>
        </r>
      </text>
    </comment>
    <comment ref="F22" authorId="0" shapeId="0" xr:uid="{52E473DA-2163-4A89-9D52-A51CD878843F}">
      <text>
        <r>
          <rPr>
            <sz val="9"/>
            <color indexed="81"/>
            <rFont val="Tahoma"/>
            <family val="2"/>
          </rPr>
          <t>Solver found a solution. All constraints and optimality conditions are satisfied.</t>
        </r>
      </text>
    </comment>
    <comment ref="G22" authorId="0" shapeId="0" xr:uid="{E03FE666-B747-4637-BE21-24AE815DCEC0}">
      <text>
        <r>
          <rPr>
            <sz val="9"/>
            <color indexed="81"/>
            <rFont val="Tahoma"/>
            <family val="2"/>
          </rPr>
          <t>Solver found a solution. All constraints and optimality conditions are satisfied.</t>
        </r>
      </text>
    </comment>
    <comment ref="H22" authorId="0" shapeId="0" xr:uid="{B6CA491B-D92A-4712-8457-6E6DEFE98DE0}">
      <text>
        <r>
          <rPr>
            <sz val="9"/>
            <color indexed="81"/>
            <rFont val="Tahoma"/>
            <family val="2"/>
          </rPr>
          <t>Solver found a solution. All constraints and optimality conditions are satisfied.</t>
        </r>
      </text>
    </comment>
    <comment ref="I22" authorId="0" shapeId="0" xr:uid="{A0BF08F6-33BB-4C34-B223-F432FB703660}">
      <text>
        <r>
          <rPr>
            <sz val="9"/>
            <color indexed="81"/>
            <rFont val="Tahoma"/>
            <family val="2"/>
          </rPr>
          <t>Solver found a solution. All constraints and optimality conditions are satisfied.</t>
        </r>
      </text>
    </comment>
    <comment ref="J22" authorId="0" shapeId="0" xr:uid="{EB6CEDB8-4010-43AE-919B-77BD1489269B}">
      <text>
        <r>
          <rPr>
            <sz val="9"/>
            <color indexed="81"/>
            <rFont val="Tahoma"/>
            <family val="2"/>
          </rPr>
          <t>Solver found a solution. All constraints and optimality conditions are satisfied.</t>
        </r>
      </text>
    </comment>
    <comment ref="K22" authorId="0" shapeId="0" xr:uid="{5CC4C1D3-328A-4EC7-A80F-B4F8CCA02329}">
      <text>
        <r>
          <rPr>
            <sz val="9"/>
            <color indexed="81"/>
            <rFont val="Tahoma"/>
            <family val="2"/>
          </rPr>
          <t>Solver found a solution. All constraints and optimality conditions are satisfied.</t>
        </r>
      </text>
    </comment>
    <comment ref="L22" authorId="0" shapeId="0" xr:uid="{4F4C0B65-B62A-4D3C-865A-B1353488F57C}">
      <text>
        <r>
          <rPr>
            <sz val="9"/>
            <color indexed="81"/>
            <rFont val="Tahoma"/>
            <family val="2"/>
          </rPr>
          <t>Solver found a solution. All constraints and optimality conditions are satisfied.</t>
        </r>
      </text>
    </comment>
    <comment ref="M22" authorId="0" shapeId="0" xr:uid="{5C973E45-64A0-41F3-A3B7-ED36A43DCBC4}">
      <text>
        <r>
          <rPr>
            <sz val="9"/>
            <color indexed="81"/>
            <rFont val="Tahoma"/>
            <family val="2"/>
          </rPr>
          <t>Solver found a solution. All constraints and optimality conditions are satisfied.</t>
        </r>
      </text>
    </comment>
    <comment ref="N22" authorId="0" shapeId="0" xr:uid="{3FB13098-A03E-4EF2-A0EE-45977AD1F5F2}">
      <text>
        <r>
          <rPr>
            <sz val="9"/>
            <color indexed="81"/>
            <rFont val="Tahoma"/>
            <family val="2"/>
          </rPr>
          <t>Solver found a solution. All constraints and optimality conditions are satisfied.</t>
        </r>
      </text>
    </comment>
    <comment ref="O22" authorId="0" shapeId="0" xr:uid="{F3AAC0D8-F8FE-4657-87A4-6576C8BE5087}">
      <text>
        <r>
          <rPr>
            <sz val="9"/>
            <color indexed="81"/>
            <rFont val="Tahoma"/>
            <family val="2"/>
          </rPr>
          <t>Solver found a solution. All constraints and optimality conditions are satisfied.</t>
        </r>
      </text>
    </comment>
    <comment ref="P22" authorId="0" shapeId="0" xr:uid="{2A548836-A4DE-4E26-8E69-2D884251FEE2}">
      <text>
        <r>
          <rPr>
            <sz val="9"/>
            <color indexed="81"/>
            <rFont val="Tahoma"/>
            <family val="2"/>
          </rPr>
          <t>Solver found a solution. All constraints and optimality conditions are satisfied.</t>
        </r>
      </text>
    </comment>
    <comment ref="B23" authorId="0" shapeId="0" xr:uid="{760D45C1-16D5-4191-95E6-B32BAE976101}">
      <text>
        <r>
          <rPr>
            <sz val="9"/>
            <color indexed="81"/>
            <rFont val="Tahoma"/>
            <family val="2"/>
          </rPr>
          <t>Solver found a solution. All constraints and optimality conditions are satisfied.</t>
        </r>
      </text>
    </comment>
    <comment ref="C23" authorId="0" shapeId="0" xr:uid="{278644FE-B3BD-49C4-95F3-99F57C7D8918}">
      <text>
        <r>
          <rPr>
            <sz val="9"/>
            <color indexed="81"/>
            <rFont val="Tahoma"/>
            <family val="2"/>
          </rPr>
          <t>Solver found a solution. All constraints and optimality conditions are satisfied.</t>
        </r>
      </text>
    </comment>
    <comment ref="D23" authorId="0" shapeId="0" xr:uid="{EF7BAE05-1C98-463D-9447-25CC7B74DA8D}">
      <text>
        <r>
          <rPr>
            <sz val="9"/>
            <color indexed="81"/>
            <rFont val="Tahoma"/>
            <family val="2"/>
          </rPr>
          <t>Solver found a solution. All constraints and optimality conditions are satisfied.</t>
        </r>
      </text>
    </comment>
    <comment ref="E23" authorId="0" shapeId="0" xr:uid="{5EADBD01-C4D6-4F93-9F29-4B8E4DD3C9F4}">
      <text>
        <r>
          <rPr>
            <sz val="9"/>
            <color indexed="81"/>
            <rFont val="Tahoma"/>
            <family val="2"/>
          </rPr>
          <t>Solver found a solution. All constraints and optimality conditions are satisfied.</t>
        </r>
      </text>
    </comment>
    <comment ref="F23" authorId="0" shapeId="0" xr:uid="{4522859B-2DB4-43FA-A952-1525B1B558D0}">
      <text>
        <r>
          <rPr>
            <sz val="9"/>
            <color indexed="81"/>
            <rFont val="Tahoma"/>
            <family val="2"/>
          </rPr>
          <t>Solver found a solution. All constraints and optimality conditions are satisfied.</t>
        </r>
      </text>
    </comment>
    <comment ref="G23" authorId="0" shapeId="0" xr:uid="{EF41BB9F-B432-40C7-835B-192025218C87}">
      <text>
        <r>
          <rPr>
            <sz val="9"/>
            <color indexed="81"/>
            <rFont val="Tahoma"/>
            <family val="2"/>
          </rPr>
          <t>Solver found a solution. All constraints and optimality conditions are satisfied.</t>
        </r>
      </text>
    </comment>
    <comment ref="H23" authorId="0" shapeId="0" xr:uid="{E846B2CD-6873-4AD4-8B4E-84CAF7D8421A}">
      <text>
        <r>
          <rPr>
            <sz val="9"/>
            <color indexed="81"/>
            <rFont val="Tahoma"/>
            <family val="2"/>
          </rPr>
          <t>Solver found a solution. All constraints and optimality conditions are satisfied.</t>
        </r>
      </text>
    </comment>
    <comment ref="I23" authorId="0" shapeId="0" xr:uid="{0641DDF6-BDE9-40A3-9D9C-402E2F4387D4}">
      <text>
        <r>
          <rPr>
            <sz val="9"/>
            <color indexed="81"/>
            <rFont val="Tahoma"/>
            <family val="2"/>
          </rPr>
          <t>Solver found a solution. All constraints and optimality conditions are satisfied.</t>
        </r>
      </text>
    </comment>
    <comment ref="J23" authorId="0" shapeId="0" xr:uid="{CF967B4D-0F59-45A9-9EB8-9449F3A9F57C}">
      <text>
        <r>
          <rPr>
            <sz val="9"/>
            <color indexed="81"/>
            <rFont val="Tahoma"/>
            <family val="2"/>
          </rPr>
          <t>Solver found a solution. All constraints and optimality conditions are satisfied.</t>
        </r>
      </text>
    </comment>
    <comment ref="K23" authorId="0" shapeId="0" xr:uid="{F5235FFA-1B7B-4F12-8253-3DB3C7EE66E1}">
      <text>
        <r>
          <rPr>
            <sz val="9"/>
            <color indexed="81"/>
            <rFont val="Tahoma"/>
            <family val="2"/>
          </rPr>
          <t>Solver found a solution. All constraints and optimality conditions are satisfied.</t>
        </r>
      </text>
    </comment>
    <comment ref="L23" authorId="0" shapeId="0" xr:uid="{C5F13A4C-CB69-4365-8FCA-695181929D21}">
      <text>
        <r>
          <rPr>
            <sz val="9"/>
            <color indexed="81"/>
            <rFont val="Tahoma"/>
            <family val="2"/>
          </rPr>
          <t>Solver found a solution. All constraints and optimality conditions are satisfied.</t>
        </r>
      </text>
    </comment>
    <comment ref="M23" authorId="0" shapeId="0" xr:uid="{49F72376-581E-4BDB-9281-7D00E2064F17}">
      <text>
        <r>
          <rPr>
            <sz val="9"/>
            <color indexed="81"/>
            <rFont val="Tahoma"/>
            <family val="2"/>
          </rPr>
          <t>Solver found a solution. All constraints and optimality conditions are satisfied.</t>
        </r>
      </text>
    </comment>
    <comment ref="N23" authorId="0" shapeId="0" xr:uid="{13909F89-6778-4BD1-B6AA-DA74BCA0BCCF}">
      <text>
        <r>
          <rPr>
            <sz val="9"/>
            <color indexed="81"/>
            <rFont val="Tahoma"/>
            <family val="2"/>
          </rPr>
          <t>Solver found a solution. All constraints and optimality conditions are satisfied.</t>
        </r>
      </text>
    </comment>
    <comment ref="O23" authorId="0" shapeId="0" xr:uid="{7C7C19A2-5509-4EA6-81E5-5FF2500AEF23}">
      <text>
        <r>
          <rPr>
            <sz val="9"/>
            <color indexed="81"/>
            <rFont val="Tahoma"/>
            <family val="2"/>
          </rPr>
          <t>Solver found a solution. All constraints and optimality conditions are satisfied.</t>
        </r>
      </text>
    </comment>
    <comment ref="P23" authorId="0" shapeId="0" xr:uid="{ABDFA0A2-D24E-421D-8DB0-4BFDB7495436}">
      <text>
        <r>
          <rPr>
            <sz val="9"/>
            <color indexed="81"/>
            <rFont val="Tahoma"/>
            <family val="2"/>
          </rPr>
          <t>Solver found a solution. All constraints and optimality conditions are satisfied.</t>
        </r>
      </text>
    </comment>
    <comment ref="B24" authorId="0" shapeId="0" xr:uid="{18085982-8F90-4281-8C9B-8673A28CCF56}">
      <text>
        <r>
          <rPr>
            <sz val="9"/>
            <color indexed="81"/>
            <rFont val="Tahoma"/>
            <family val="2"/>
          </rPr>
          <t>Solver found a solution. All constraints and optimality conditions are satisfied.</t>
        </r>
      </text>
    </comment>
    <comment ref="C24" authorId="0" shapeId="0" xr:uid="{F49B3441-A538-4E63-B276-1B6234CBC94E}">
      <text>
        <r>
          <rPr>
            <sz val="9"/>
            <color indexed="81"/>
            <rFont val="Tahoma"/>
            <family val="2"/>
          </rPr>
          <t>Solver found a solution. All constraints and optimality conditions are satisfied.</t>
        </r>
      </text>
    </comment>
    <comment ref="D24" authorId="0" shapeId="0" xr:uid="{58CFEE47-2F13-4054-9D10-D16D209CAB12}">
      <text>
        <r>
          <rPr>
            <sz val="9"/>
            <color indexed="81"/>
            <rFont val="Tahoma"/>
            <family val="2"/>
          </rPr>
          <t>Solver found a solution. All constraints and optimality conditions are satisfied.</t>
        </r>
      </text>
    </comment>
    <comment ref="E24" authorId="0" shapeId="0" xr:uid="{7673812E-BC72-4B08-A7FE-60EF7E164B11}">
      <text>
        <r>
          <rPr>
            <sz val="9"/>
            <color indexed="81"/>
            <rFont val="Tahoma"/>
            <family val="2"/>
          </rPr>
          <t>Solver found a solution. All constraints and optimality conditions are satisfied.</t>
        </r>
      </text>
    </comment>
    <comment ref="F24" authorId="0" shapeId="0" xr:uid="{1D183B7A-0DFC-4389-B27D-C95009EA8DC2}">
      <text>
        <r>
          <rPr>
            <sz val="9"/>
            <color indexed="81"/>
            <rFont val="Tahoma"/>
            <family val="2"/>
          </rPr>
          <t>Solver found a solution. All constraints and optimality conditions are satisfied.</t>
        </r>
      </text>
    </comment>
    <comment ref="G24" authorId="0" shapeId="0" xr:uid="{36478BF1-6818-4B1C-9CCD-B4BEE249C926}">
      <text>
        <r>
          <rPr>
            <sz val="9"/>
            <color indexed="81"/>
            <rFont val="Tahoma"/>
            <family val="2"/>
          </rPr>
          <t>Solver found a solution. All constraints and optimality conditions are satisfied.</t>
        </r>
      </text>
    </comment>
    <comment ref="H24" authorId="0" shapeId="0" xr:uid="{57824625-4B31-4A27-A4E7-1105DFF081C3}">
      <text>
        <r>
          <rPr>
            <sz val="9"/>
            <color indexed="81"/>
            <rFont val="Tahoma"/>
            <family val="2"/>
          </rPr>
          <t>Solver found a solution. All constraints and optimality conditions are satisfied.</t>
        </r>
      </text>
    </comment>
    <comment ref="I24" authorId="0" shapeId="0" xr:uid="{70C42AF6-2CCF-4B6F-8E32-C814CE09E629}">
      <text>
        <r>
          <rPr>
            <sz val="9"/>
            <color indexed="81"/>
            <rFont val="Tahoma"/>
            <family val="2"/>
          </rPr>
          <t>Solver found a solution. All constraints and optimality conditions are satisfied.</t>
        </r>
      </text>
    </comment>
    <comment ref="J24" authorId="0" shapeId="0" xr:uid="{52002670-216C-4CA6-89E8-809E8C41A6CF}">
      <text>
        <r>
          <rPr>
            <sz val="9"/>
            <color indexed="81"/>
            <rFont val="Tahoma"/>
            <family val="2"/>
          </rPr>
          <t>Solver found a solution. All constraints and optimality conditions are satisfied.</t>
        </r>
      </text>
    </comment>
    <comment ref="K24" authorId="0" shapeId="0" xr:uid="{3760C048-56B8-4189-A2DE-F26F60D89CAF}">
      <text>
        <r>
          <rPr>
            <sz val="9"/>
            <color indexed="81"/>
            <rFont val="Tahoma"/>
            <family val="2"/>
          </rPr>
          <t>Solver found a solution. All constraints and optimality conditions are satisfied.</t>
        </r>
      </text>
    </comment>
    <comment ref="L24" authorId="0" shapeId="0" xr:uid="{2C86C9CF-D3A9-4D92-9507-6ACE377B69BE}">
      <text>
        <r>
          <rPr>
            <sz val="9"/>
            <color indexed="81"/>
            <rFont val="Tahoma"/>
            <family val="2"/>
          </rPr>
          <t>Solver found a solution. All constraints and optimality conditions are satisfied.</t>
        </r>
      </text>
    </comment>
    <comment ref="M24" authorId="0" shapeId="0" xr:uid="{6412D31C-3EDA-4985-985F-C4051329436D}">
      <text>
        <r>
          <rPr>
            <sz val="9"/>
            <color indexed="81"/>
            <rFont val="Tahoma"/>
            <family val="2"/>
          </rPr>
          <t>Solver found a solution. All constraints and optimality conditions are satisfied.</t>
        </r>
      </text>
    </comment>
    <comment ref="N24" authorId="0" shapeId="0" xr:uid="{5C93C881-D3F8-40B0-B848-05ECFDF1E95F}">
      <text>
        <r>
          <rPr>
            <sz val="9"/>
            <color indexed="81"/>
            <rFont val="Tahoma"/>
            <family val="2"/>
          </rPr>
          <t>Solver found a solution. All constraints and optimality conditions are satisfied.</t>
        </r>
      </text>
    </comment>
    <comment ref="O24" authorId="0" shapeId="0" xr:uid="{258F0EBD-6EA1-4495-983C-2EBF7569C55E}">
      <text>
        <r>
          <rPr>
            <sz val="9"/>
            <color indexed="81"/>
            <rFont val="Tahoma"/>
            <family val="2"/>
          </rPr>
          <t>Solver found a solution. All constraints and optimality conditions are satisfied.</t>
        </r>
      </text>
    </comment>
    <comment ref="P24" authorId="0" shapeId="0" xr:uid="{F90DB360-1A4C-43FA-9899-9EC90A3F8212}">
      <text>
        <r>
          <rPr>
            <sz val="9"/>
            <color indexed="81"/>
            <rFont val="Tahoma"/>
            <family val="2"/>
          </rPr>
          <t>Solver found a solution. All constraints and optimality conditions are satisfied.</t>
        </r>
      </text>
    </comment>
    <comment ref="B25" authorId="0" shapeId="0" xr:uid="{FFE8797F-F22E-4FE0-9FE9-01A651183CA5}">
      <text>
        <r>
          <rPr>
            <sz val="9"/>
            <color indexed="81"/>
            <rFont val="Tahoma"/>
            <family val="2"/>
          </rPr>
          <t>Solver found a solution. All constraints and optimality conditions are satisfied.</t>
        </r>
      </text>
    </comment>
    <comment ref="C25" authorId="0" shapeId="0" xr:uid="{B5E7F6B2-380B-4D1D-B4A6-8B61C29A9577}">
      <text>
        <r>
          <rPr>
            <sz val="9"/>
            <color indexed="81"/>
            <rFont val="Tahoma"/>
            <family val="2"/>
          </rPr>
          <t>Solver found a solution. All constraints and optimality conditions are satisfied.</t>
        </r>
      </text>
    </comment>
    <comment ref="D25" authorId="0" shapeId="0" xr:uid="{6948065E-D46E-41F3-A386-0D30A97186EF}">
      <text>
        <r>
          <rPr>
            <sz val="9"/>
            <color indexed="81"/>
            <rFont val="Tahoma"/>
            <family val="2"/>
          </rPr>
          <t>Solver found a solution. All constraints and optimality conditions are satisfied.</t>
        </r>
      </text>
    </comment>
    <comment ref="E25" authorId="0" shapeId="0" xr:uid="{2DDC348F-B1E9-4C5E-88FC-E16691948690}">
      <text>
        <r>
          <rPr>
            <sz val="9"/>
            <color indexed="81"/>
            <rFont val="Tahoma"/>
            <family val="2"/>
          </rPr>
          <t>Solver found a solution. All constraints and optimality conditions are satisfied.</t>
        </r>
      </text>
    </comment>
    <comment ref="F25" authorId="0" shapeId="0" xr:uid="{94B732E7-9F38-4812-9D6E-E1D1BE9885F1}">
      <text>
        <r>
          <rPr>
            <sz val="9"/>
            <color indexed="81"/>
            <rFont val="Tahoma"/>
            <family val="2"/>
          </rPr>
          <t>Solver found a solution. All constraints and optimality conditions are satisfied.</t>
        </r>
      </text>
    </comment>
    <comment ref="G25" authorId="0" shapeId="0" xr:uid="{587A3077-5236-48B1-AFC4-FF1C706C84B6}">
      <text>
        <r>
          <rPr>
            <sz val="9"/>
            <color indexed="81"/>
            <rFont val="Tahoma"/>
            <family val="2"/>
          </rPr>
          <t>Solver found a solution. All constraints and optimality conditions are satisfied.</t>
        </r>
      </text>
    </comment>
    <comment ref="H25" authorId="0" shapeId="0" xr:uid="{E914DBAB-1881-40F8-AA32-7E4FA55A0608}">
      <text>
        <r>
          <rPr>
            <sz val="9"/>
            <color indexed="81"/>
            <rFont val="Tahoma"/>
            <family val="2"/>
          </rPr>
          <t>Solver found a solution. All constraints and optimality conditions are satisfied.</t>
        </r>
      </text>
    </comment>
    <comment ref="I25" authorId="0" shapeId="0" xr:uid="{F1F1E6BE-9907-4E8F-B87B-D9E7F7F3B5F5}">
      <text>
        <r>
          <rPr>
            <sz val="9"/>
            <color indexed="81"/>
            <rFont val="Tahoma"/>
            <family val="2"/>
          </rPr>
          <t>Solver found a solution. All constraints and optimality conditions are satisfied.</t>
        </r>
      </text>
    </comment>
    <comment ref="J25" authorId="0" shapeId="0" xr:uid="{2D95F588-F1EC-4B62-ADE2-401ADB2951F9}">
      <text>
        <r>
          <rPr>
            <sz val="9"/>
            <color indexed="81"/>
            <rFont val="Tahoma"/>
            <family val="2"/>
          </rPr>
          <t>Solver found a solution. All constraints and optimality conditions are satisfied.</t>
        </r>
      </text>
    </comment>
    <comment ref="K25" authorId="0" shapeId="0" xr:uid="{D7FD39CE-2F88-415A-B672-4EBD82EEA875}">
      <text>
        <r>
          <rPr>
            <sz val="9"/>
            <color indexed="81"/>
            <rFont val="Tahoma"/>
            <family val="2"/>
          </rPr>
          <t>Solver found a solution. All constraints and optimality conditions are satisfied.</t>
        </r>
      </text>
    </comment>
    <comment ref="L25" authorId="0" shapeId="0" xr:uid="{887DCC3B-9B66-4379-8BE9-3D42CD496975}">
      <text>
        <r>
          <rPr>
            <sz val="9"/>
            <color indexed="81"/>
            <rFont val="Tahoma"/>
            <family val="2"/>
          </rPr>
          <t>Solver found a solution. All constraints and optimality conditions are satisfied.</t>
        </r>
      </text>
    </comment>
    <comment ref="M25" authorId="0" shapeId="0" xr:uid="{D97FCD89-27CF-4E81-BFDE-1175ACD95520}">
      <text>
        <r>
          <rPr>
            <sz val="9"/>
            <color indexed="81"/>
            <rFont val="Tahoma"/>
            <family val="2"/>
          </rPr>
          <t>Solver found a solution. All constraints and optimality conditions are satisfied.</t>
        </r>
      </text>
    </comment>
    <comment ref="N25" authorId="0" shapeId="0" xr:uid="{F75D16EB-1307-4F68-BEEC-2EB0DAF1604F}">
      <text>
        <r>
          <rPr>
            <sz val="9"/>
            <color indexed="81"/>
            <rFont val="Tahoma"/>
            <family val="2"/>
          </rPr>
          <t>Solver found a solution. All constraints and optimality conditions are satisfied.</t>
        </r>
      </text>
    </comment>
    <comment ref="O25" authorId="0" shapeId="0" xr:uid="{F3EB6EA3-C479-4AE9-9246-79BC63426611}">
      <text>
        <r>
          <rPr>
            <sz val="9"/>
            <color indexed="81"/>
            <rFont val="Tahoma"/>
            <family val="2"/>
          </rPr>
          <t>Solver found a solution. All constraints and optimality conditions are satisfied.</t>
        </r>
      </text>
    </comment>
    <comment ref="P25" authorId="0" shapeId="0" xr:uid="{1D7C98D7-F6E0-4D7A-8FF2-3FF28EC05392}">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<sst xmlns="http://schemas.openxmlformats.org/spreadsheetml/2006/main" count="604" uniqueCount="216">
  <si>
    <t>&gt;=</t>
  </si>
  <si>
    <t>$D$22</t>
  </si>
  <si>
    <t>$B$26</t>
  </si>
  <si>
    <t>$A$31</t>
  </si>
  <si>
    <t>Constraints on numbers of exposures</t>
  </si>
  <si>
    <t>Inputs</t>
  </si>
  <si>
    <t>Women 18-35</t>
  </si>
  <si>
    <t>Women 36-55</t>
  </si>
  <si>
    <t>Women &gt;55</t>
  </si>
  <si>
    <t>Men 18-35</t>
  </si>
  <si>
    <t>Men 36-55</t>
  </si>
  <si>
    <t>Men &gt;55</t>
  </si>
  <si>
    <t>CNN</t>
  </si>
  <si>
    <t>Cost per ad</t>
  </si>
  <si>
    <t>Cost per million exposures</t>
  </si>
  <si>
    <t>Cell</t>
  </si>
  <si>
    <t>Name</t>
  </si>
  <si>
    <t>Final</t>
  </si>
  <si>
    <t>Value</t>
  </si>
  <si>
    <t>Reduced</t>
  </si>
  <si>
    <t>Cost</t>
  </si>
  <si>
    <t>Objective</t>
  </si>
  <si>
    <t>Coefficient</t>
  </si>
  <si>
    <t>Allowable</t>
  </si>
  <si>
    <t>Increase</t>
  </si>
  <si>
    <t>Decrease</t>
  </si>
  <si>
    <t>Constraints</t>
  </si>
  <si>
    <t>Shadow</t>
  </si>
  <si>
    <t>Price</t>
  </si>
  <si>
    <t>Constraint</t>
  </si>
  <si>
    <t>R.H. Side</t>
  </si>
  <si>
    <t>$B$19</t>
  </si>
  <si>
    <t>$C$19</t>
  </si>
  <si>
    <t>$D$19</t>
  </si>
  <si>
    <t>$E$19</t>
  </si>
  <si>
    <t>$F$19</t>
  </si>
  <si>
    <t>$G$19</t>
  </si>
  <si>
    <t>$H$19</t>
  </si>
  <si>
    <t>$I$19</t>
  </si>
  <si>
    <t>$B$27</t>
  </si>
  <si>
    <t>$B$28</t>
  </si>
  <si>
    <t>The Simpsons</t>
  </si>
  <si>
    <t>Variable Cells</t>
  </si>
  <si>
    <t>Revenge</t>
  </si>
  <si>
    <t>Sunday Night Football</t>
  </si>
  <si>
    <t>Homeland</t>
  </si>
  <si>
    <t>The Good Wife</t>
  </si>
  <si>
    <t>Total exposures</t>
  </si>
  <si>
    <t>SportsCenter</t>
  </si>
  <si>
    <t>Rachael Ray</t>
  </si>
  <si>
    <t xml:space="preserve">Advertising Decisions </t>
  </si>
  <si>
    <t>Number of ads purchased</t>
  </si>
  <si>
    <t>Number of ads purchased Revenge</t>
  </si>
  <si>
    <t>Number of ads purchased Sunday Night Football</t>
  </si>
  <si>
    <t>Number of ads purchased The Simpsons</t>
  </si>
  <si>
    <t>Number of ads purchased SportsCenter</t>
  </si>
  <si>
    <t>Number of ads purchased Homeland</t>
  </si>
  <si>
    <t>Number of ads purchased Rachael Ray</t>
  </si>
  <si>
    <t>Number of ads purchased CNN</t>
  </si>
  <si>
    <t>Number of ads purchased The Good Wife</t>
  </si>
  <si>
    <t>Men 18-35 LHS - Actual Exposures</t>
  </si>
  <si>
    <t>Men 36-55 LHS - Actual Exposures</t>
  </si>
  <si>
    <t>Men &gt;55 LHS - Actual Exposures</t>
  </si>
  <si>
    <t>$B$29</t>
  </si>
  <si>
    <t>Women 18-35 LHS - Actual Exposures</t>
  </si>
  <si>
    <t>$B$30</t>
  </si>
  <si>
    <t>Women 36-55 LHS - Actual Exposures</t>
  </si>
  <si>
    <t>$B$31</t>
  </si>
  <si>
    <t>Women &gt;55 LHS - Actual Exposures</t>
  </si>
  <si>
    <t>Decisions</t>
  </si>
  <si>
    <t>LHS</t>
  </si>
  <si>
    <t>RHS</t>
  </si>
  <si>
    <t>&lt;=</t>
  </si>
  <si>
    <t>=</t>
  </si>
  <si>
    <t>$C$4</t>
  </si>
  <si>
    <t>$C$5</t>
  </si>
  <si>
    <t>$C$6</t>
  </si>
  <si>
    <t>$B$17</t>
  </si>
  <si>
    <t>$B$18</t>
  </si>
  <si>
    <t>$B$20</t>
  </si>
  <si>
    <t>$C$3</t>
  </si>
  <si>
    <t>X8 =</t>
  </si>
  <si>
    <t>X7 =</t>
  </si>
  <si>
    <t>X6 =</t>
  </si>
  <si>
    <t>X5 =</t>
  </si>
  <si>
    <t>X4 =</t>
  </si>
  <si>
    <t>X3 =</t>
  </si>
  <si>
    <t>X2 =</t>
  </si>
  <si>
    <t>X1 =</t>
  </si>
  <si>
    <t>Risk</t>
  </si>
  <si>
    <t>10 years</t>
  </si>
  <si>
    <t>5 years</t>
  </si>
  <si>
    <t>3 Years</t>
  </si>
  <si>
    <t>1 Year</t>
  </si>
  <si>
    <t>Average Annual Total Return, %</t>
  </si>
  <si>
    <t>Risk Scale</t>
  </si>
  <si>
    <t>High</t>
  </si>
  <si>
    <t>Above Average</t>
  </si>
  <si>
    <t>Average</t>
  </si>
  <si>
    <t>Below Average</t>
  </si>
  <si>
    <t>Low</t>
  </si>
  <si>
    <t>Investment in Fund #1</t>
  </si>
  <si>
    <t>Investment in Fund #2</t>
  </si>
  <si>
    <t>Investment in Fund #3</t>
  </si>
  <si>
    <t>Investment in Fund #4</t>
  </si>
  <si>
    <t>Investment in Fund #5</t>
  </si>
  <si>
    <t>Investment in Fund #6</t>
  </si>
  <si>
    <t>Investment in Fund #7</t>
  </si>
  <si>
    <t>Investment in Fund #8</t>
  </si>
  <si>
    <t>Maximize return in 10 years</t>
  </si>
  <si>
    <t xml:space="preserve">Required returns </t>
  </si>
  <si>
    <t>ADVERTISING MODEL</t>
  </si>
  <si>
    <t>Average risk &lt;= 3</t>
  </si>
  <si>
    <t>Total investor distribution = 1</t>
  </si>
  <si>
    <t>$C$7</t>
  </si>
  <si>
    <t>$C$8</t>
  </si>
  <si>
    <t>$C$9</t>
  </si>
  <si>
    <t>$C$10</t>
  </si>
  <si>
    <t>$C$11</t>
  </si>
  <si>
    <t>$B$21</t>
  </si>
  <si>
    <t>$B$22</t>
  </si>
  <si>
    <t>$B$23</t>
  </si>
  <si>
    <t>$B$24</t>
  </si>
  <si>
    <t>Return in 1 year &gt;= 4%</t>
  </si>
  <si>
    <t>Return in 3 years &gt;= 6%</t>
  </si>
  <si>
    <t>Return in 5 years &gt;= 8%</t>
  </si>
  <si>
    <t>Return in 10 years &gt;= 8%</t>
  </si>
  <si>
    <t xml:space="preserve">Return in 1 year &gt;= 4% </t>
  </si>
  <si>
    <t xml:space="preserve">Average risk &lt;= 3 </t>
  </si>
  <si>
    <t>Total ad cost &lt;=$2,000K</t>
  </si>
  <si>
    <t>Objective to minimize total cost</t>
  </si>
  <si>
    <t xml:space="preserve">LHS </t>
  </si>
  <si>
    <t xml:space="preserve">RHS </t>
  </si>
  <si>
    <t>Total exposures per show</t>
  </si>
  <si>
    <t>Cost per million exposures per show</t>
  </si>
  <si>
    <t>Objective to maximize number of exposures</t>
  </si>
  <si>
    <t>Advertising: Purchasing Adds</t>
  </si>
  <si>
    <t xml:space="preserve">Advertising Model Extension </t>
  </si>
  <si>
    <t xml:space="preserve">Constraints </t>
  </si>
  <si>
    <t>Rate of Return</t>
  </si>
  <si>
    <t>Investment in Wireless System</t>
  </si>
  <si>
    <t>Investment in Mobile First</t>
  </si>
  <si>
    <t>Investment in Dell Comp Service</t>
  </si>
  <si>
    <t>Investment in Huber Tech Service</t>
  </si>
  <si>
    <t>Investment in Government Bonds</t>
  </si>
  <si>
    <t>Objective Function</t>
  </si>
  <si>
    <t>Service industry &lt;=$60 mln</t>
  </si>
  <si>
    <t>Government bonds &gt;=25%</t>
  </si>
  <si>
    <t>Mobile First &lt;=60%</t>
  </si>
  <si>
    <t>Service industry &lt;=$60 mln LHS</t>
  </si>
  <si>
    <t>Government bonds &gt;=25% LHS</t>
  </si>
  <si>
    <t>Mobile First &lt;=60% LHS</t>
  </si>
  <si>
    <t>Investment Portfolio</t>
  </si>
  <si>
    <t xml:space="preserve">Total investment </t>
  </si>
  <si>
    <t>Investment in wireless companies</t>
  </si>
  <si>
    <t>Wireless companies &lt;=$60 mln</t>
  </si>
  <si>
    <t>Percentage in government bonds</t>
  </si>
  <si>
    <t>Decisions and Inputs</t>
  </si>
  <si>
    <t>In $ mln</t>
  </si>
  <si>
    <r>
      <t>X</t>
    </r>
    <r>
      <rPr>
        <b/>
        <vertAlign val="subscript"/>
        <sz val="10"/>
        <rFont val="Arial"/>
        <family val="2"/>
      </rPr>
      <t>1</t>
    </r>
    <r>
      <rPr>
        <b/>
        <sz val="10"/>
        <rFont val="Arial"/>
        <family val="2"/>
      </rPr>
      <t xml:space="preserve"> =</t>
    </r>
  </si>
  <si>
    <r>
      <t>X</t>
    </r>
    <r>
      <rPr>
        <b/>
        <vertAlign val="subscript"/>
        <sz val="10"/>
        <rFont val="Arial"/>
        <family val="2"/>
      </rPr>
      <t>2</t>
    </r>
    <r>
      <rPr>
        <b/>
        <sz val="10"/>
        <rFont val="Arial"/>
        <family val="2"/>
      </rPr>
      <t xml:space="preserve"> =</t>
    </r>
  </si>
  <si>
    <r>
      <t>X</t>
    </r>
    <r>
      <rPr>
        <b/>
        <vertAlign val="subscript"/>
        <sz val="10"/>
        <rFont val="Arial"/>
        <family val="2"/>
      </rPr>
      <t>3</t>
    </r>
    <r>
      <rPr>
        <b/>
        <sz val="10"/>
        <rFont val="Arial"/>
        <family val="2"/>
      </rPr>
      <t xml:space="preserve"> =</t>
    </r>
  </si>
  <si>
    <r>
      <t>X</t>
    </r>
    <r>
      <rPr>
        <b/>
        <vertAlign val="subscript"/>
        <sz val="10"/>
        <rFont val="Arial"/>
        <family val="2"/>
      </rPr>
      <t>4</t>
    </r>
    <r>
      <rPr>
        <b/>
        <sz val="10"/>
        <rFont val="Arial"/>
        <family val="2"/>
      </rPr>
      <t xml:space="preserve"> =</t>
    </r>
  </si>
  <si>
    <r>
      <t>X</t>
    </r>
    <r>
      <rPr>
        <b/>
        <vertAlign val="subscript"/>
        <sz val="10"/>
        <rFont val="Arial"/>
        <family val="2"/>
      </rPr>
      <t xml:space="preserve">5 </t>
    </r>
    <r>
      <rPr>
        <b/>
        <sz val="10"/>
        <rFont val="Arial"/>
        <family val="2"/>
      </rPr>
      <t>=</t>
    </r>
  </si>
  <si>
    <t>Investment in service organizations</t>
  </si>
  <si>
    <t>Percentage in Mobile First</t>
  </si>
  <si>
    <t>X1 = In $ mln</t>
  </si>
  <si>
    <t>X2 = In $ mln</t>
  </si>
  <si>
    <t>X3 = In $ mln</t>
  </si>
  <si>
    <t>X4 = In $ mln</t>
  </si>
  <si>
    <t>X5 = In $ mln</t>
  </si>
  <si>
    <t>Wireless companies &lt;=$60 mln LHS</t>
  </si>
  <si>
    <t>Advertising: Sensitivity Report</t>
  </si>
  <si>
    <t>401K Portfolio: Sensitivity Report</t>
  </si>
  <si>
    <t>401K Portfolio</t>
  </si>
  <si>
    <t>Investment Portfolio: Sensitivity Report</t>
  </si>
  <si>
    <t>Total investment &lt;= $120 mln</t>
  </si>
  <si>
    <t>Total investment &lt;=$120 mln LHS</t>
  </si>
  <si>
    <t>$D$11</t>
  </si>
  <si>
    <t>$C$14,$C$3:$C$7</t>
  </si>
  <si>
    <t/>
  </si>
  <si>
    <t>$D$12</t>
  </si>
  <si>
    <t>Input1</t>
  </si>
  <si>
    <t>Input2</t>
  </si>
  <si>
    <t>Percentage of Government Bounds</t>
  </si>
  <si>
    <t>Oneway analysis for Solver model in Investment_Portfolio worksheet</t>
  </si>
  <si>
    <t>Percentage of Government Bounds (cell $D$11) values along side, output cell(s) along top</t>
  </si>
  <si>
    <t>$C$14</t>
  </si>
  <si>
    <t>Data for chart</t>
  </si>
  <si>
    <t>Oneway analysis for Solver model in Ad worksheet</t>
  </si>
  <si>
    <t>Microsoft Excel 16.0 Sensitivity Report</t>
  </si>
  <si>
    <t>Worksheet: [630_03_LP_models(2).xlsx]Ad_Exposures</t>
  </si>
  <si>
    <t>Report Created: 9/12/2018 6:56:17 PM</t>
  </si>
  <si>
    <t>$B$25</t>
  </si>
  <si>
    <t>Men 18-35 LHS</t>
  </si>
  <si>
    <t>Men 36-55 LHS</t>
  </si>
  <si>
    <t>Men &gt;55 LHS</t>
  </si>
  <si>
    <t>Women 18-35 LHS</t>
  </si>
  <si>
    <t>Women 36-55 LHS</t>
  </si>
  <si>
    <t>Women &gt;55 LHS</t>
  </si>
  <si>
    <t>Total ad cost &lt;=$2,000K LHS</t>
  </si>
  <si>
    <t>$D$31</t>
  </si>
  <si>
    <t>$C$19,$D$19,$E$19,$F$19,$G$19,$H$19,$I$19,$B$21</t>
  </si>
  <si>
    <t>Ad Budget</t>
  </si>
  <si>
    <t>Oneway analysis for Solver model in Ad_Exposures worksheet</t>
  </si>
  <si>
    <t>Ad Budget (cell $D$31) values along side, output cell(s) along top</t>
  </si>
  <si>
    <t>Not feasible</t>
  </si>
  <si>
    <t>$D$25</t>
  </si>
  <si>
    <t>Min. Exposure for Men 18-35</t>
  </si>
  <si>
    <t>Twoway analysis for Solver model in Ad_Exposures worksheet</t>
  </si>
  <si>
    <t>Ad Budget (cell $D$31) values along side, Min. Exposure for Men 18-35 (cell $D$25) values along top, output cell in corner</t>
  </si>
  <si>
    <t>Output and Ad Budget value for chart</t>
  </si>
  <si>
    <t>Output</t>
  </si>
  <si>
    <t>Ad Budget value</t>
  </si>
  <si>
    <t>Output and Min. Exposure for Men 18-35 value for chart</t>
  </si>
  <si>
    <t>Min. Exposure for Men 18-35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</si>
</sst>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00"/>
    <numFmt numFmtId="165" formatCode="&quot;$&quot;#,##0;\-&quot;$&quot;#,##0"/>
    <numFmt numFmtId="166" formatCode="&quot;$&quot;#,##0.00;\-&quot;$&quot;#,##0.00"/>
    <numFmt numFmtId="167" formatCode="0.0"/>
  </numFmts>
  <fonts count="22" x14ac:knownFonts="1">
    <font>
      <sz val="10"/>
      <name val="Arial"/>
    </font>
    <font>
      <sz val="8"/>
      <name val="Arial"/>
      <family val="2"/>
    </font>
    <font>
      <sz val="11"/>
      <name val="Calibri"/>
      <family val="2"/>
      <scheme val="minor"/>
    </font>
    <font>
      <b/>
      <sz val="10"/>
      <name val="Arial"/>
      <family val="2"/>
    </font>
    <font>
      <sz val="10"/>
      <name val="Arial"/>
      <family val="2"/>
    </font>
    <font>
      <b/>
      <sz val="10"/>
      <color indexed="18"/>
      <name val="Arial"/>
      <family val="2"/>
    </font>
    <font>
      <b/>
      <sz val="10"/>
      <color rgb="FF0000FF"/>
      <name val="Arial"/>
      <family val="2"/>
    </font>
    <font>
      <b/>
      <sz val="10"/>
      <color indexed="10"/>
      <name val="Arial"/>
      <family val="2"/>
    </font>
    <font>
      <b/>
      <sz val="10"/>
      <color indexed="12"/>
      <name val="Arial"/>
      <family val="2"/>
    </font>
    <font>
      <sz val="10"/>
      <color rgb="FF0000FF"/>
      <name val="Arial"/>
      <family val="2"/>
    </font>
    <font>
      <b/>
      <sz val="10"/>
      <color rgb="FFFF0000"/>
      <name val="Arial"/>
      <family val="2"/>
    </font>
    <font>
      <b/>
      <i/>
      <sz val="10"/>
      <name val="Arial"/>
      <family val="2"/>
    </font>
    <font>
      <i/>
      <sz val="10"/>
      <name val="Arial"/>
      <family val="2"/>
    </font>
    <font>
      <b/>
      <sz val="11"/>
      <name val="Calibri"/>
      <family val="2"/>
      <scheme val="minor"/>
    </font>
    <font>
      <b/>
      <sz val="10"/>
      <color indexed="18"/>
      <name val="Arial"/>
      <family val="2"/>
    </font>
    <font>
      <b/>
      <i/>
      <sz val="10"/>
      <color rgb="FF0000FF"/>
      <name val="Arial"/>
      <family val="2"/>
    </font>
    <font>
      <b/>
      <vertAlign val="subscript"/>
      <sz val="10"/>
      <name val="Arial"/>
      <family val="2"/>
    </font>
    <font>
      <b/>
      <sz val="10"/>
      <color indexed="53"/>
      <name val="Arial"/>
      <family val="2"/>
    </font>
    <font>
      <b/>
      <sz val="10"/>
      <color indexed="18"/>
      <name val="Arial"/>
      <family val="2"/>
    </font>
    <font>
      <sz val="10"/>
      <color rgb="FFFFFFFF"/>
      <name val="Arial"/>
      <family val="2"/>
    </font>
    <font>
      <sz val="9"/>
      <color indexed="81"/>
      <name val="Tahoma"/>
      <family val="2"/>
    </font>
    <font>
      <b/>
      <sz val="10"/>
      <color indexed="18"/>
      <name val="Arial"/>
      <family val="2"/>
    </font>
  </fonts>
  <fills count="10">
    <fill>
      <patternFill patternType="none"/>
    </fill>
    <fill>
      <patternFill patternType="gray125"/>
    </fill>
    <fill>
      <patternFill patternType="solid">
        <fgColor theme="0" tint="-0.249977111117893"/>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indexed="47"/>
        <bgColor indexed="64"/>
      </patternFill>
    </fill>
    <fill>
      <patternFill patternType="solid">
        <fgColor theme="6" tint="0.59999389629810485"/>
        <bgColor indexed="64"/>
      </patternFill>
    </fill>
  </fills>
  <borders count="15">
    <border>
      <left/>
      <right/>
      <top/>
      <bottom/>
      <diagonal/>
    </border>
    <border>
      <left/>
      <right/>
      <top style="thin">
        <color indexed="23"/>
      </top>
      <bottom/>
      <diagonal/>
    </border>
    <border>
      <left/>
      <right/>
      <top style="thin">
        <color indexed="23"/>
      </top>
      <bottom style="medium">
        <color indexed="23"/>
      </bottom>
      <diagonal/>
    </border>
    <border>
      <left/>
      <right/>
      <top style="medium">
        <color indexed="23"/>
      </top>
      <bottom/>
      <diagonal/>
    </border>
    <border>
      <left/>
      <right/>
      <top/>
      <bottom style="medium">
        <color indexed="2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4" fillId="0" borderId="0"/>
    <xf numFmtId="44" fontId="4" fillId="0" borderId="0" applyFont="0" applyFill="0" applyBorder="0" applyAlignment="0" applyProtection="0"/>
  </cellStyleXfs>
  <cellXfs count="145">
    <xf numFmtId="0" fontId="0" fillId="0" borderId="0" xfId="0"/>
    <xf numFmtId="49" fontId="0" fillId="0" borderId="0" xfId="0" applyNumberFormat="1"/>
    <xf numFmtId="0" fontId="2" fillId="0" borderId="0" xfId="0" applyFont="1"/>
    <xf numFmtId="0" fontId="2" fillId="0" borderId="0" xfId="0" applyNumberFormat="1" applyFont="1"/>
    <xf numFmtId="165" fontId="2" fillId="0" borderId="0" xfId="0" applyNumberFormat="1" applyFont="1" applyFill="1" applyBorder="1"/>
    <xf numFmtId="0" fontId="2" fillId="0" borderId="0" xfId="0" applyFont="1" applyBorder="1"/>
    <xf numFmtId="0" fontId="2" fillId="0" borderId="0" xfId="0" quotePrefix="1" applyFont="1" applyBorder="1" applyAlignment="1">
      <alignment horizontal="center"/>
    </xf>
    <xf numFmtId="0" fontId="3" fillId="0" borderId="0" xfId="0" applyFont="1"/>
    <xf numFmtId="0" fontId="0" fillId="0" borderId="1" xfId="0" applyFill="1" applyBorder="1" applyAlignment="1"/>
    <xf numFmtId="0" fontId="0" fillId="0" borderId="2" xfId="0" applyFill="1" applyBorder="1" applyAlignment="1"/>
    <xf numFmtId="0" fontId="5" fillId="0" borderId="3" xfId="0" applyFont="1" applyFill="1" applyBorder="1" applyAlignment="1">
      <alignment horizontal="center"/>
    </xf>
    <xf numFmtId="0" fontId="5" fillId="0" borderId="4" xfId="0" applyFont="1" applyFill="1" applyBorder="1" applyAlignment="1">
      <alignment horizontal="center"/>
    </xf>
    <xf numFmtId="0" fontId="4" fillId="0" borderId="0" xfId="1"/>
    <xf numFmtId="0" fontId="4" fillId="0" borderId="5" xfId="1" applyBorder="1"/>
    <xf numFmtId="0" fontId="3" fillId="0" borderId="5" xfId="1" applyFont="1" applyBorder="1"/>
    <xf numFmtId="0" fontId="3" fillId="0" borderId="5" xfId="1" applyFont="1" applyBorder="1" applyAlignment="1">
      <alignment horizontal="center"/>
    </xf>
    <xf numFmtId="0" fontId="3" fillId="0" borderId="5" xfId="1" applyFont="1" applyBorder="1" applyAlignment="1">
      <alignment horizontal="right"/>
    </xf>
    <xf numFmtId="0" fontId="3" fillId="0" borderId="5" xfId="1" applyFont="1" applyBorder="1" applyAlignment="1">
      <alignment horizontal="left"/>
    </xf>
    <xf numFmtId="0" fontId="4" fillId="0" borderId="0" xfId="0" applyFont="1"/>
    <xf numFmtId="0" fontId="3" fillId="0" borderId="5" xfId="0" applyFont="1" applyBorder="1"/>
    <xf numFmtId="0" fontId="3" fillId="0" borderId="5" xfId="0" applyFont="1" applyBorder="1" applyAlignment="1">
      <alignment wrapText="1"/>
    </xf>
    <xf numFmtId="0" fontId="3" fillId="0" borderId="5" xfId="0" applyFont="1" applyBorder="1" applyAlignment="1">
      <alignment horizontal="center"/>
    </xf>
    <xf numFmtId="0" fontId="3" fillId="0" borderId="0" xfId="0" applyFont="1" applyBorder="1" applyAlignment="1">
      <alignment horizontal="center"/>
    </xf>
    <xf numFmtId="164" fontId="4" fillId="0" borderId="0" xfId="0" applyNumberFormat="1" applyFont="1" applyBorder="1"/>
    <xf numFmtId="0" fontId="11" fillId="0" borderId="0" xfId="0" applyFont="1"/>
    <xf numFmtId="0" fontId="4" fillId="0" borderId="0" xfId="0" applyFont="1" applyBorder="1"/>
    <xf numFmtId="0" fontId="3" fillId="0" borderId="5" xfId="0" quotePrefix="1" applyFont="1" applyBorder="1" applyAlignment="1">
      <alignment horizontal="left"/>
    </xf>
    <xf numFmtId="0" fontId="3" fillId="0" borderId="0" xfId="0" applyFont="1" applyBorder="1"/>
    <xf numFmtId="0" fontId="3" fillId="0" borderId="5" xfId="0" applyFont="1" applyBorder="1" applyAlignment="1">
      <alignment horizontal="center" wrapText="1"/>
    </xf>
    <xf numFmtId="0" fontId="4" fillId="0" borderId="0" xfId="0" applyNumberFormat="1" applyFont="1" applyBorder="1"/>
    <xf numFmtId="0" fontId="11" fillId="0" borderId="5" xfId="1" applyFont="1" applyBorder="1"/>
    <xf numFmtId="0" fontId="11" fillId="0" borderId="5" xfId="1" applyFont="1" applyBorder="1" applyAlignment="1">
      <alignment horizontal="center"/>
    </xf>
    <xf numFmtId="0" fontId="12" fillId="0" borderId="5" xfId="1" applyFont="1" applyBorder="1"/>
    <xf numFmtId="164" fontId="7" fillId="3" borderId="5" xfId="1" applyNumberFormat="1" applyFont="1" applyFill="1" applyBorder="1" applyAlignment="1">
      <alignment horizontal="center"/>
    </xf>
    <xf numFmtId="164" fontId="7" fillId="0" borderId="5" xfId="1" applyNumberFormat="1" applyFont="1" applyFill="1" applyBorder="1" applyAlignment="1">
      <alignment horizontal="center"/>
    </xf>
    <xf numFmtId="2" fontId="3" fillId="0" borderId="5" xfId="1" applyNumberFormat="1" applyFont="1" applyFill="1" applyBorder="1" applyAlignment="1">
      <alignment horizontal="center"/>
    </xf>
    <xf numFmtId="0" fontId="3" fillId="0" borderId="5" xfId="1" applyFont="1" applyFill="1" applyBorder="1" applyAlignment="1">
      <alignment horizontal="center"/>
    </xf>
    <xf numFmtId="0" fontId="8" fillId="0" borderId="5" xfId="1" applyFont="1" applyBorder="1"/>
    <xf numFmtId="164" fontId="8" fillId="0" borderId="5" xfId="1" applyNumberFormat="1" applyFont="1" applyBorder="1"/>
    <xf numFmtId="2" fontId="8" fillId="0" borderId="5" xfId="1" applyNumberFormat="1" applyFont="1" applyBorder="1"/>
    <xf numFmtId="4" fontId="7" fillId="2" borderId="5" xfId="2" applyNumberFormat="1" applyFont="1" applyFill="1" applyBorder="1" applyAlignment="1">
      <alignment horizontal="center"/>
    </xf>
    <xf numFmtId="0" fontId="4" fillId="0" borderId="5" xfId="1" applyBorder="1" applyAlignment="1">
      <alignment horizontal="right"/>
    </xf>
    <xf numFmtId="166" fontId="10" fillId="2" borderId="5" xfId="0" applyNumberFormat="1" applyFont="1" applyFill="1" applyBorder="1" applyAlignment="1">
      <alignment horizontal="center"/>
    </xf>
    <xf numFmtId="0" fontId="13" fillId="0" borderId="5" xfId="0" applyFont="1" applyBorder="1" applyAlignment="1">
      <alignment horizontal="center"/>
    </xf>
    <xf numFmtId="0" fontId="14" fillId="0" borderId="3" xfId="0" applyFont="1" applyFill="1" applyBorder="1" applyAlignment="1">
      <alignment horizontal="center"/>
    </xf>
    <xf numFmtId="0" fontId="14" fillId="0" borderId="4" xfId="0" applyFont="1" applyFill="1" applyBorder="1" applyAlignment="1">
      <alignment horizontal="center"/>
    </xf>
    <xf numFmtId="2" fontId="3" fillId="4" borderId="5" xfId="1" applyNumberFormat="1" applyFont="1" applyFill="1" applyBorder="1" applyAlignment="1">
      <alignment horizontal="center"/>
    </xf>
    <xf numFmtId="0" fontId="3" fillId="4" borderId="5" xfId="0" applyFont="1" applyFill="1" applyBorder="1" applyAlignment="1">
      <alignment horizontal="center"/>
    </xf>
    <xf numFmtId="1" fontId="3" fillId="4" borderId="5" xfId="0" applyNumberFormat="1" applyFont="1" applyFill="1" applyBorder="1" applyAlignment="1">
      <alignment horizontal="center"/>
    </xf>
    <xf numFmtId="164" fontId="3" fillId="4" borderId="5" xfId="0" applyNumberFormat="1" applyFont="1" applyFill="1" applyBorder="1" applyAlignment="1">
      <alignment horizontal="center"/>
    </xf>
    <xf numFmtId="0" fontId="3" fillId="4" borderId="5" xfId="1" applyFont="1" applyFill="1" applyBorder="1" applyAlignment="1">
      <alignment horizontal="center"/>
    </xf>
    <xf numFmtId="1" fontId="3" fillId="4" borderId="5" xfId="1" applyNumberFormat="1" applyFont="1" applyFill="1" applyBorder="1" applyAlignment="1">
      <alignment horizontal="center"/>
    </xf>
    <xf numFmtId="164" fontId="3" fillId="5" borderId="5" xfId="0" applyNumberFormat="1" applyFont="1" applyFill="1" applyBorder="1" applyAlignment="1">
      <alignment horizontal="center"/>
    </xf>
    <xf numFmtId="0" fontId="3" fillId="5" borderId="5" xfId="0" applyFont="1" applyFill="1" applyBorder="1" applyAlignment="1">
      <alignment horizontal="center"/>
    </xf>
    <xf numFmtId="2" fontId="13" fillId="5" borderId="5" xfId="0" applyNumberFormat="1" applyFont="1" applyFill="1" applyBorder="1" applyAlignment="1">
      <alignment horizontal="center"/>
    </xf>
    <xf numFmtId="3" fontId="13" fillId="5" borderId="5" xfId="0" applyNumberFormat="1" applyFont="1" applyFill="1" applyBorder="1" applyAlignment="1">
      <alignment horizontal="center"/>
    </xf>
    <xf numFmtId="2" fontId="3" fillId="5" borderId="5" xfId="1" applyNumberFormat="1" applyFont="1" applyFill="1" applyBorder="1"/>
    <xf numFmtId="2" fontId="3" fillId="5" borderId="5" xfId="1" applyNumberFormat="1" applyFont="1" applyFill="1" applyBorder="1" applyAlignment="1">
      <alignment horizontal="right"/>
    </xf>
    <xf numFmtId="0" fontId="4" fillId="0" borderId="1" xfId="0" applyFont="1" applyFill="1" applyBorder="1" applyAlignment="1"/>
    <xf numFmtId="0" fontId="4" fillId="0" borderId="2" xfId="0" applyFont="1" applyFill="1" applyBorder="1" applyAlignment="1"/>
    <xf numFmtId="0" fontId="3" fillId="0" borderId="0" xfId="0" applyFont="1" applyBorder="1" applyAlignment="1">
      <alignment horizontal="center" wrapText="1"/>
    </xf>
    <xf numFmtId="164" fontId="3" fillId="0" borderId="0" xfId="0" applyNumberFormat="1" applyFont="1" applyBorder="1" applyAlignment="1">
      <alignment horizontal="center"/>
    </xf>
    <xf numFmtId="0" fontId="11" fillId="0" borderId="5" xfId="0" applyFont="1" applyFill="1" applyBorder="1" applyAlignment="1">
      <alignment horizontal="center" wrapText="1"/>
    </xf>
    <xf numFmtId="0" fontId="11" fillId="0" borderId="5" xfId="0" applyFont="1" applyBorder="1" applyAlignment="1">
      <alignment horizontal="center" wrapText="1"/>
    </xf>
    <xf numFmtId="0" fontId="11" fillId="0" borderId="5" xfId="0" quotePrefix="1" applyFont="1" applyBorder="1" applyAlignment="1">
      <alignment horizontal="left" wrapText="1"/>
    </xf>
    <xf numFmtId="2" fontId="3" fillId="5" borderId="5" xfId="0" applyNumberFormat="1" applyFont="1" applyFill="1" applyBorder="1" applyAlignment="1">
      <alignment horizontal="center"/>
    </xf>
    <xf numFmtId="0" fontId="11" fillId="0" borderId="6" xfId="0" applyFont="1" applyFill="1" applyBorder="1" applyAlignment="1">
      <alignment horizontal="center" wrapText="1"/>
    </xf>
    <xf numFmtId="0" fontId="3" fillId="4" borderId="6" xfId="0" applyFont="1" applyFill="1" applyBorder="1" applyAlignment="1">
      <alignment horizontal="center"/>
    </xf>
    <xf numFmtId="0" fontId="3" fillId="0" borderId="6" xfId="0" applyFont="1" applyBorder="1" applyAlignment="1">
      <alignment horizontal="center"/>
    </xf>
    <xf numFmtId="1" fontId="3" fillId="4" borderId="6" xfId="0" applyNumberFormat="1" applyFont="1" applyFill="1" applyBorder="1" applyAlignment="1">
      <alignment horizontal="center"/>
    </xf>
    <xf numFmtId="0" fontId="11" fillId="0" borderId="0" xfId="0" applyFont="1" applyBorder="1" applyAlignment="1">
      <alignment horizontal="center" wrapText="1"/>
    </xf>
    <xf numFmtId="2" fontId="13" fillId="0" borderId="0" xfId="0" applyNumberFormat="1" applyFont="1" applyBorder="1" applyAlignment="1">
      <alignment horizontal="center"/>
    </xf>
    <xf numFmtId="0" fontId="13" fillId="0" borderId="0" xfId="0" applyFont="1" applyBorder="1"/>
    <xf numFmtId="39" fontId="10" fillId="2" borderId="5" xfId="0" applyNumberFormat="1" applyFont="1" applyFill="1" applyBorder="1" applyAlignment="1">
      <alignment horizontal="center"/>
    </xf>
    <xf numFmtId="164" fontId="2" fillId="0" borderId="0" xfId="0" applyNumberFormat="1" applyFont="1" applyBorder="1"/>
    <xf numFmtId="0" fontId="15" fillId="0" borderId="0" xfId="1" applyFont="1"/>
    <xf numFmtId="0" fontId="15" fillId="0" borderId="0" xfId="0" applyFont="1"/>
    <xf numFmtId="0" fontId="11" fillId="0" borderId="5" xfId="0" applyFont="1" applyBorder="1" applyAlignment="1">
      <alignment horizontal="left"/>
    </xf>
    <xf numFmtId="0" fontId="4" fillId="0" borderId="5" xfId="1" applyBorder="1" applyAlignment="1">
      <alignment horizontal="center"/>
    </xf>
    <xf numFmtId="0" fontId="4" fillId="0" borderId="0" xfId="1" applyBorder="1"/>
    <xf numFmtId="0" fontId="12" fillId="0" borderId="5" xfId="1" applyFont="1" applyBorder="1" applyAlignment="1">
      <alignment horizontal="center"/>
    </xf>
    <xf numFmtId="0" fontId="11" fillId="0" borderId="5" xfId="1" applyFont="1" applyBorder="1" applyAlignment="1">
      <alignment wrapText="1"/>
    </xf>
    <xf numFmtId="2" fontId="3" fillId="0" borderId="5" xfId="1" applyNumberFormat="1" applyFont="1" applyBorder="1" applyAlignment="1">
      <alignment horizontal="center"/>
    </xf>
    <xf numFmtId="0" fontId="9" fillId="0" borderId="5" xfId="1" applyFont="1" applyBorder="1" applyAlignment="1">
      <alignment horizontal="center"/>
    </xf>
    <xf numFmtId="0" fontId="17" fillId="0" borderId="0" xfId="1" applyFont="1" applyBorder="1" applyAlignment="1">
      <alignment horizontal="center"/>
    </xf>
    <xf numFmtId="2" fontId="17" fillId="0" borderId="0" xfId="1" applyNumberFormat="1" applyFont="1" applyBorder="1"/>
    <xf numFmtId="2" fontId="17" fillId="0" borderId="0" xfId="1" applyNumberFormat="1" applyFont="1"/>
    <xf numFmtId="1" fontId="17" fillId="0" borderId="0" xfId="1" applyNumberFormat="1" applyFont="1"/>
    <xf numFmtId="0" fontId="6" fillId="0" borderId="0" xfId="1" applyFont="1" applyBorder="1" applyAlignment="1">
      <alignment horizontal="center"/>
    </xf>
    <xf numFmtId="2" fontId="8" fillId="0" borderId="0" xfId="1" applyNumberFormat="1" applyFont="1"/>
    <xf numFmtId="0" fontId="8" fillId="0" borderId="0" xfId="1" applyFont="1"/>
    <xf numFmtId="0" fontId="4" fillId="0" borderId="5" xfId="1" applyFont="1" applyBorder="1" applyAlignment="1">
      <alignment horizontal="center"/>
    </xf>
    <xf numFmtId="1" fontId="3" fillId="0" borderId="0" xfId="1" applyNumberFormat="1" applyFont="1" applyBorder="1" applyAlignment="1">
      <alignment horizontal="center"/>
    </xf>
    <xf numFmtId="0" fontId="3" fillId="0" borderId="0" xfId="1" applyFont="1" applyBorder="1" applyAlignment="1">
      <alignment horizontal="center"/>
    </xf>
    <xf numFmtId="0" fontId="4" fillId="0" borderId="0" xfId="1" applyAlignment="1">
      <alignment horizontal="right"/>
    </xf>
    <xf numFmtId="2" fontId="3" fillId="0" borderId="0" xfId="1" applyNumberFormat="1" applyFont="1" applyBorder="1" applyAlignment="1">
      <alignment horizontal="center"/>
    </xf>
    <xf numFmtId="0" fontId="3" fillId="0" borderId="0" xfId="1" applyFont="1" applyBorder="1" applyAlignment="1">
      <alignment horizontal="left"/>
    </xf>
    <xf numFmtId="0" fontId="4" fillId="0" borderId="0" xfId="1" applyAlignment="1">
      <alignment horizontal="center"/>
    </xf>
    <xf numFmtId="0" fontId="15" fillId="0" borderId="5" xfId="1" applyFont="1" applyBorder="1"/>
    <xf numFmtId="167" fontId="3" fillId="0" borderId="5" xfId="1" applyNumberFormat="1" applyFont="1" applyBorder="1" applyAlignment="1">
      <alignment horizontal="center"/>
    </xf>
    <xf numFmtId="167" fontId="3" fillId="4" borderId="5" xfId="1" applyNumberFormat="1" applyFont="1" applyFill="1" applyBorder="1" applyAlignment="1">
      <alignment horizontal="center"/>
    </xf>
    <xf numFmtId="164" fontId="3" fillId="4" borderId="5" xfId="1" applyNumberFormat="1" applyFont="1" applyFill="1" applyBorder="1" applyAlignment="1">
      <alignment horizontal="center"/>
    </xf>
    <xf numFmtId="167" fontId="3" fillId="5" borderId="5" xfId="1" applyNumberFormat="1" applyFont="1" applyFill="1" applyBorder="1" applyAlignment="1">
      <alignment horizontal="center"/>
    </xf>
    <xf numFmtId="167" fontId="7" fillId="3" borderId="5" xfId="1" applyNumberFormat="1" applyFont="1" applyFill="1" applyBorder="1" applyAlignment="1">
      <alignment horizontal="center"/>
    </xf>
    <xf numFmtId="164" fontId="10" fillId="3" borderId="5" xfId="0" applyNumberFormat="1" applyFont="1" applyFill="1" applyBorder="1" applyAlignment="1">
      <alignment horizontal="center"/>
    </xf>
    <xf numFmtId="0" fontId="18" fillId="0" borderId="3" xfId="0" applyFont="1" applyFill="1" applyBorder="1" applyAlignment="1">
      <alignment horizontal="center"/>
    </xf>
    <xf numFmtId="0" fontId="18" fillId="0" borderId="4" xfId="0" applyFont="1" applyFill="1" applyBorder="1" applyAlignment="1">
      <alignment horizontal="center"/>
    </xf>
    <xf numFmtId="164" fontId="10" fillId="6" borderId="5" xfId="1" applyNumberFormat="1" applyFont="1" applyFill="1" applyBorder="1" applyAlignment="1">
      <alignment horizontal="center"/>
    </xf>
    <xf numFmtId="164" fontId="0" fillId="0" borderId="0" xfId="0" applyNumberFormat="1"/>
    <xf numFmtId="0" fontId="0" fillId="0" borderId="0" xfId="0" applyAlignment="1">
      <alignment horizontal="right" textRotation="90"/>
    </xf>
    <xf numFmtId="0" fontId="0" fillId="7" borderId="0" xfId="0" applyFill="1" applyAlignment="1">
      <alignment horizontal="right" textRotation="90"/>
    </xf>
    <xf numFmtId="0" fontId="19" fillId="0" borderId="0" xfId="0" applyFont="1"/>
    <xf numFmtId="164" fontId="0" fillId="0" borderId="7" xfId="0" applyNumberFormat="1" applyBorder="1"/>
    <xf numFmtId="167" fontId="0" fillId="0" borderId="8" xfId="0" applyNumberFormat="1" applyBorder="1"/>
    <xf numFmtId="167" fontId="0" fillId="0" borderId="9" xfId="0" applyNumberFormat="1" applyBorder="1"/>
    <xf numFmtId="164" fontId="0" fillId="0" borderId="10" xfId="0" applyNumberFormat="1" applyBorder="1"/>
    <xf numFmtId="167" fontId="0" fillId="0" borderId="0" xfId="0" applyNumberFormat="1" applyBorder="1"/>
    <xf numFmtId="167" fontId="0" fillId="0" borderId="11" xfId="0" applyNumberFormat="1" applyBorder="1"/>
    <xf numFmtId="164" fontId="0" fillId="0" borderId="12" xfId="0" applyNumberFormat="1" applyBorder="1"/>
    <xf numFmtId="167" fontId="0" fillId="0" borderId="13" xfId="0" applyNumberFormat="1" applyBorder="1"/>
    <xf numFmtId="167" fontId="0" fillId="0" borderId="14" xfId="0" applyNumberFormat="1" applyBorder="1"/>
    <xf numFmtId="0" fontId="21" fillId="0" borderId="3" xfId="0" applyFont="1" applyFill="1" applyBorder="1" applyAlignment="1">
      <alignment horizontal="center"/>
    </xf>
    <xf numFmtId="0" fontId="21" fillId="0" borderId="4" xfId="0" applyFont="1" applyFill="1" applyBorder="1" applyAlignment="1">
      <alignment horizontal="center"/>
    </xf>
    <xf numFmtId="3" fontId="0" fillId="0" borderId="0" xfId="0" applyNumberFormat="1"/>
    <xf numFmtId="0" fontId="0" fillId="0" borderId="8" xfId="0" applyBorder="1"/>
    <xf numFmtId="0" fontId="0" fillId="0" borderId="9" xfId="0" applyBorder="1"/>
    <xf numFmtId="0" fontId="0" fillId="0" borderId="0" xfId="0" applyBorder="1"/>
    <xf numFmtId="0" fontId="0" fillId="0" borderId="11" xfId="0" applyBorder="1"/>
    <xf numFmtId="0" fontId="0" fillId="8" borderId="7" xfId="0" applyFill="1" applyBorder="1"/>
    <xf numFmtId="0" fontId="0" fillId="8" borderId="10" xfId="0" applyFill="1" applyBorder="1"/>
    <xf numFmtId="164" fontId="0" fillId="0" borderId="0" xfId="0" applyNumberFormat="1" applyBorder="1"/>
    <xf numFmtId="39" fontId="0" fillId="0" borderId="11" xfId="0" applyNumberFormat="1" applyBorder="1"/>
    <xf numFmtId="164" fontId="0" fillId="0" borderId="13" xfId="0" applyNumberFormat="1" applyBorder="1"/>
    <xf numFmtId="39" fontId="0" fillId="0" borderId="14" xfId="0" applyNumberFormat="1" applyBorder="1"/>
    <xf numFmtId="0" fontId="0" fillId="0" borderId="0" xfId="0" applyNumberFormat="1"/>
    <xf numFmtId="0" fontId="0" fillId="0" borderId="0" xfId="0" applyAlignment="1">
      <alignment horizontal="right"/>
    </xf>
    <xf numFmtId="0" fontId="0" fillId="9" borderId="0" xfId="0" applyFill="1"/>
    <xf numFmtId="39" fontId="0" fillId="0" borderId="10" xfId="0" applyNumberFormat="1" applyBorder="1"/>
    <xf numFmtId="39" fontId="0" fillId="0" borderId="12" xfId="0" applyNumberFormat="1" applyBorder="1"/>
    <xf numFmtId="0" fontId="0" fillId="8" borderId="8" xfId="0" applyFill="1" applyBorder="1"/>
    <xf numFmtId="0" fontId="0" fillId="8" borderId="0" xfId="0" applyFill="1" applyBorder="1"/>
    <xf numFmtId="39" fontId="0" fillId="0" borderId="0" xfId="0" applyNumberFormat="1" applyBorder="1"/>
    <xf numFmtId="39" fontId="0" fillId="0" borderId="13" xfId="0" applyNumberFormat="1" applyBorder="1"/>
    <xf numFmtId="0" fontId="0" fillId="8" borderId="9" xfId="0" applyFill="1" applyBorder="1"/>
    <xf numFmtId="0" fontId="0" fillId="8" borderId="11" xfId="0" applyFill="1" applyBorder="1"/>
  </cellXfs>
  <cellStyles count="3">
    <cellStyle name="Currency 2" xfId="2" xr:uid="{00000000-0005-0000-0000-000000000000}"/>
    <cellStyle name="Normal" xfId="0" builtinId="0"/>
    <cellStyle name="Normal 2"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STS_1!$K$1</c:f>
          <c:strCache>
            <c:ptCount val="1"/>
            <c:pt idx="0">
              <c:v>Sensitivity of $C$7 to Percentage of Government Bounds</c:v>
            </c:pt>
          </c:strCache>
        </c:strRef>
      </c:tx>
      <c:overlay val="0"/>
      <c:txPr>
        <a:bodyPr/>
        <a:lstStyle/>
        <a:p>
          <a:pPr>
            <a:defRPr sz="1200"/>
          </a:pPr>
          <a:endParaRPr lang="en-US"/>
        </a:p>
      </c:txPr>
    </c:title>
    <c:autoTitleDeleted val="0"/>
    <c:plotArea>
      <c:layout/>
      <c:lineChart>
        <c:grouping val="standard"/>
        <c:varyColors val="0"/>
        <c:ser>
          <c:idx val="0"/>
          <c:order val="0"/>
          <c:cat>
            <c:numRef>
              <c:f>STS_1!$A$5:$A$15</c:f>
              <c:numCache>
                <c:formatCode>0.000</c:formatCode>
                <c:ptCount val="11"/>
                <c:pt idx="0">
                  <c:v>0</c:v>
                </c:pt>
                <c:pt idx="1">
                  <c:v>5.000000074505806E-2</c:v>
                </c:pt>
                <c:pt idx="2">
                  <c:v>0.10000000149011612</c:v>
                </c:pt>
                <c:pt idx="3">
                  <c:v>0.15000000596046448</c:v>
                </c:pt>
                <c:pt idx="4">
                  <c:v>0.20000000298023224</c:v>
                </c:pt>
                <c:pt idx="5">
                  <c:v>0.25</c:v>
                </c:pt>
                <c:pt idx="6">
                  <c:v>0.30000001192092896</c:v>
                </c:pt>
                <c:pt idx="7">
                  <c:v>0.34999999403953552</c:v>
                </c:pt>
                <c:pt idx="8">
                  <c:v>0.40000000596046448</c:v>
                </c:pt>
                <c:pt idx="9">
                  <c:v>0.45000001788139343</c:v>
                </c:pt>
                <c:pt idx="10">
                  <c:v>0.5</c:v>
                </c:pt>
              </c:numCache>
            </c:numRef>
          </c:cat>
          <c:val>
            <c:numRef>
              <c:f>STS_1!$K$5:$K$15</c:f>
              <c:numCache>
                <c:formatCode>General</c:formatCode>
                <c:ptCount val="11"/>
                <c:pt idx="0">
                  <c:v>0</c:v>
                </c:pt>
                <c:pt idx="1">
                  <c:v>5.7142857953804693</c:v>
                </c:pt>
                <c:pt idx="2">
                  <c:v>10.90909105687102</c:v>
                </c:pt>
                <c:pt idx="3">
                  <c:v>15.652174453879571</c:v>
                </c:pt>
                <c:pt idx="4">
                  <c:v>20.000000248352684</c:v>
                </c:pt>
                <c:pt idx="5">
                  <c:v>24</c:v>
                </c:pt>
                <c:pt idx="6">
                  <c:v>27.692308538764177</c:v>
                </c:pt>
                <c:pt idx="7">
                  <c:v>31.11111071865254</c:v>
                </c:pt>
                <c:pt idx="8">
                  <c:v>34.285714650640685</c:v>
                </c:pt>
                <c:pt idx="9">
                  <c:v>37.241380330923747</c:v>
                </c:pt>
                <c:pt idx="10">
                  <c:v>40</c:v>
                </c:pt>
              </c:numCache>
            </c:numRef>
          </c:val>
          <c:smooth val="0"/>
          <c:extLst>
            <c:ext xmlns:c16="http://schemas.microsoft.com/office/drawing/2014/chart" uri="{C3380CC4-5D6E-409C-BE32-E72D297353CC}">
              <c16:uniqueId val="{00000001-AC2A-4C9A-8269-68B415B7BE24}"/>
            </c:ext>
          </c:extLst>
        </c:ser>
        <c:dLbls>
          <c:showLegendKey val="0"/>
          <c:showVal val="0"/>
          <c:showCatName val="0"/>
          <c:showSerName val="0"/>
          <c:showPercent val="0"/>
          <c:showBubbleSize val="0"/>
        </c:dLbls>
        <c:marker val="1"/>
        <c:smooth val="0"/>
        <c:axId val="699309728"/>
        <c:axId val="699316288"/>
      </c:lineChart>
      <c:catAx>
        <c:axId val="699309728"/>
        <c:scaling>
          <c:orientation val="minMax"/>
        </c:scaling>
        <c:delete val="0"/>
        <c:axPos val="b"/>
        <c:title>
          <c:tx>
            <c:rich>
              <a:bodyPr/>
              <a:lstStyle/>
              <a:p>
                <a:pPr>
                  <a:defRPr/>
                </a:pPr>
                <a:r>
                  <a:rPr lang="en-US"/>
                  <a:t>Percentage of Government Bounds ($D$11)</a:t>
                </a:r>
              </a:p>
            </c:rich>
          </c:tx>
          <c:overlay val="0"/>
        </c:title>
        <c:numFmt formatCode="0.000" sourceLinked="1"/>
        <c:majorTickMark val="out"/>
        <c:minorTickMark val="none"/>
        <c:tickLblPos val="nextTo"/>
        <c:crossAx val="699316288"/>
        <c:crosses val="autoZero"/>
        <c:auto val="1"/>
        <c:lblAlgn val="ctr"/>
        <c:lblOffset val="100"/>
        <c:noMultiLvlLbl val="0"/>
      </c:catAx>
      <c:valAx>
        <c:axId val="699316288"/>
        <c:scaling>
          <c:orientation val="minMax"/>
        </c:scaling>
        <c:delete val="0"/>
        <c:axPos val="l"/>
        <c:majorGridlines/>
        <c:numFmt formatCode="General" sourceLinked="1"/>
        <c:majorTickMark val="out"/>
        <c:minorTickMark val="none"/>
        <c:tickLblPos val="nextTo"/>
        <c:crossAx val="699309728"/>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STS_2!$K$1</c:f>
          <c:strCache>
            <c:ptCount val="1"/>
            <c:pt idx="0">
              <c:v>Sensitivity of $C$14 to Percentage of Government Bounds</c:v>
            </c:pt>
          </c:strCache>
        </c:strRef>
      </c:tx>
      <c:overlay val="0"/>
      <c:txPr>
        <a:bodyPr/>
        <a:lstStyle/>
        <a:p>
          <a:pPr>
            <a:defRPr sz="1200"/>
          </a:pPr>
          <a:endParaRPr lang="en-US"/>
        </a:p>
      </c:txPr>
    </c:title>
    <c:autoTitleDeleted val="0"/>
    <c:plotArea>
      <c:layout/>
      <c:lineChart>
        <c:grouping val="standard"/>
        <c:varyColors val="0"/>
        <c:ser>
          <c:idx val="0"/>
          <c:order val="0"/>
          <c:cat>
            <c:numRef>
              <c:f>STS_2!$A$5:$A$15</c:f>
              <c:numCache>
                <c:formatCode>0.000</c:formatCode>
                <c:ptCount val="11"/>
                <c:pt idx="0">
                  <c:v>0</c:v>
                </c:pt>
                <c:pt idx="1">
                  <c:v>5.000000074505806E-2</c:v>
                </c:pt>
                <c:pt idx="2">
                  <c:v>0.10000000149011612</c:v>
                </c:pt>
                <c:pt idx="3">
                  <c:v>0.15000000596046448</c:v>
                </c:pt>
                <c:pt idx="4">
                  <c:v>0.20000000298023224</c:v>
                </c:pt>
                <c:pt idx="5">
                  <c:v>0.25</c:v>
                </c:pt>
                <c:pt idx="6">
                  <c:v>0.30000001192092896</c:v>
                </c:pt>
                <c:pt idx="7">
                  <c:v>0.34999999403953552</c:v>
                </c:pt>
                <c:pt idx="8">
                  <c:v>0.40000000596046448</c:v>
                </c:pt>
                <c:pt idx="9">
                  <c:v>0.45000001788139343</c:v>
                </c:pt>
                <c:pt idx="10">
                  <c:v>0.5</c:v>
                </c:pt>
              </c:numCache>
            </c:numRef>
          </c:cat>
          <c:val>
            <c:numRef>
              <c:f>STS_2!$K$5:$K$15</c:f>
              <c:numCache>
                <c:formatCode>General</c:formatCode>
                <c:ptCount val="11"/>
                <c:pt idx="0">
                  <c:v>9</c:v>
                </c:pt>
                <c:pt idx="1">
                  <c:v>9</c:v>
                </c:pt>
                <c:pt idx="2">
                  <c:v>9</c:v>
                </c:pt>
                <c:pt idx="3">
                  <c:v>9</c:v>
                </c:pt>
                <c:pt idx="4">
                  <c:v>9</c:v>
                </c:pt>
                <c:pt idx="5">
                  <c:v>9</c:v>
                </c:pt>
                <c:pt idx="6">
                  <c:v>9</c:v>
                </c:pt>
                <c:pt idx="7">
                  <c:v>9</c:v>
                </c:pt>
                <c:pt idx="8">
                  <c:v>9</c:v>
                </c:pt>
                <c:pt idx="9">
                  <c:v>9</c:v>
                </c:pt>
                <c:pt idx="10">
                  <c:v>9</c:v>
                </c:pt>
              </c:numCache>
            </c:numRef>
          </c:val>
          <c:smooth val="0"/>
          <c:extLst>
            <c:ext xmlns:c16="http://schemas.microsoft.com/office/drawing/2014/chart" uri="{C3380CC4-5D6E-409C-BE32-E72D297353CC}">
              <c16:uniqueId val="{00000001-0879-4712-93F9-C7D4106A6C69}"/>
            </c:ext>
          </c:extLst>
        </c:ser>
        <c:dLbls>
          <c:showLegendKey val="0"/>
          <c:showVal val="0"/>
          <c:showCatName val="0"/>
          <c:showSerName val="0"/>
          <c:showPercent val="0"/>
          <c:showBubbleSize val="0"/>
        </c:dLbls>
        <c:marker val="1"/>
        <c:smooth val="0"/>
        <c:axId val="698578056"/>
        <c:axId val="410711208"/>
      </c:lineChart>
      <c:catAx>
        <c:axId val="698578056"/>
        <c:scaling>
          <c:orientation val="minMax"/>
        </c:scaling>
        <c:delete val="0"/>
        <c:axPos val="b"/>
        <c:title>
          <c:tx>
            <c:rich>
              <a:bodyPr/>
              <a:lstStyle/>
              <a:p>
                <a:pPr>
                  <a:defRPr/>
                </a:pPr>
                <a:r>
                  <a:rPr lang="en-US"/>
                  <a:t>Percentage of Government Bounds ($D$11)</a:t>
                </a:r>
              </a:p>
            </c:rich>
          </c:tx>
          <c:overlay val="0"/>
        </c:title>
        <c:numFmt formatCode="0.000" sourceLinked="1"/>
        <c:majorTickMark val="out"/>
        <c:minorTickMark val="none"/>
        <c:tickLblPos val="nextTo"/>
        <c:crossAx val="410711208"/>
        <c:crosses val="autoZero"/>
        <c:auto val="1"/>
        <c:lblAlgn val="ctr"/>
        <c:lblOffset val="100"/>
        <c:noMultiLvlLbl val="0"/>
      </c:catAx>
      <c:valAx>
        <c:axId val="410711208"/>
        <c:scaling>
          <c:orientation val="minMax"/>
        </c:scaling>
        <c:delete val="0"/>
        <c:axPos val="l"/>
        <c:majorGridlines/>
        <c:numFmt formatCode="General" sourceLinked="1"/>
        <c:majorTickMark val="out"/>
        <c:minorTickMark val="none"/>
        <c:tickLblPos val="nextTo"/>
        <c:crossAx val="698578056"/>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STS_3!$K$1</c:f>
          <c:strCache>
            <c:ptCount val="1"/>
            <c:pt idx="0">
              <c:v>Sensitivity of $B$21 to Ad Budget</c:v>
            </c:pt>
          </c:strCache>
        </c:strRef>
      </c:tx>
      <c:overlay val="0"/>
      <c:txPr>
        <a:bodyPr/>
        <a:lstStyle/>
        <a:p>
          <a:pPr>
            <a:defRPr sz="1200"/>
          </a:pPr>
          <a:endParaRPr lang="en-US"/>
        </a:p>
      </c:txPr>
    </c:title>
    <c:autoTitleDeleted val="0"/>
    <c:plotArea>
      <c:layout/>
      <c:lineChart>
        <c:grouping val="standard"/>
        <c:varyColors val="0"/>
        <c:ser>
          <c:idx val="0"/>
          <c:order val="0"/>
          <c:cat>
            <c:numRef>
              <c:f>STS_3!$A$5:$A$25</c:f>
              <c:numCache>
                <c:formatCode>#,##0</c:formatCode>
                <c:ptCount val="21"/>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2400</c:v>
                </c:pt>
                <c:pt idx="15">
                  <c:v>2500</c:v>
                </c:pt>
                <c:pt idx="16">
                  <c:v>2600</c:v>
                </c:pt>
                <c:pt idx="17">
                  <c:v>2700</c:v>
                </c:pt>
                <c:pt idx="18">
                  <c:v>2800</c:v>
                </c:pt>
                <c:pt idx="19">
                  <c:v>2900</c:v>
                </c:pt>
                <c:pt idx="20">
                  <c:v>3000</c:v>
                </c:pt>
              </c:numCache>
            </c:numRef>
          </c:cat>
          <c:val>
            <c:numRef>
              <c:f>STS_3!$K$5:$K$25</c:f>
              <c:numCache>
                <c:formatCode>General</c:formatCode>
                <c:ptCount val="21"/>
                <c:pt idx="0">
                  <c:v>0</c:v>
                </c:pt>
                <c:pt idx="1">
                  <c:v>0</c:v>
                </c:pt>
                <c:pt idx="2">
                  <c:v>0</c:v>
                </c:pt>
                <c:pt idx="3">
                  <c:v>0</c:v>
                </c:pt>
                <c:pt idx="4">
                  <c:v>0</c:v>
                </c:pt>
                <c:pt idx="5">
                  <c:v>0</c:v>
                </c:pt>
                <c:pt idx="6">
                  <c:v>0</c:v>
                </c:pt>
                <c:pt idx="7">
                  <c:v>0</c:v>
                </c:pt>
                <c:pt idx="8">
                  <c:v>0</c:v>
                </c:pt>
                <c:pt idx="9">
                  <c:v>319.71698113207549</c:v>
                </c:pt>
                <c:pt idx="10">
                  <c:v>337.6884422110553</c:v>
                </c:pt>
                <c:pt idx="11">
                  <c:v>355.47738693467335</c:v>
                </c:pt>
                <c:pt idx="12">
                  <c:v>373.26633165829139</c:v>
                </c:pt>
                <c:pt idx="13">
                  <c:v>391.05527638190949</c:v>
                </c:pt>
                <c:pt idx="14">
                  <c:v>408.84422110552771</c:v>
                </c:pt>
                <c:pt idx="15">
                  <c:v>426.63316582914575</c:v>
                </c:pt>
                <c:pt idx="16">
                  <c:v>444.42211055276391</c:v>
                </c:pt>
                <c:pt idx="17">
                  <c:v>462.21105527638201</c:v>
                </c:pt>
                <c:pt idx="18">
                  <c:v>480</c:v>
                </c:pt>
                <c:pt idx="19">
                  <c:v>497.14285714285717</c:v>
                </c:pt>
                <c:pt idx="20">
                  <c:v>514.28571428571445</c:v>
                </c:pt>
              </c:numCache>
            </c:numRef>
          </c:val>
          <c:smooth val="0"/>
          <c:extLst>
            <c:ext xmlns:c16="http://schemas.microsoft.com/office/drawing/2014/chart" uri="{C3380CC4-5D6E-409C-BE32-E72D297353CC}">
              <c16:uniqueId val="{00000001-2298-4568-8852-10D7EF0ACD54}"/>
            </c:ext>
          </c:extLst>
        </c:ser>
        <c:dLbls>
          <c:showLegendKey val="0"/>
          <c:showVal val="0"/>
          <c:showCatName val="0"/>
          <c:showSerName val="0"/>
          <c:showPercent val="0"/>
          <c:showBubbleSize val="0"/>
        </c:dLbls>
        <c:marker val="1"/>
        <c:smooth val="0"/>
        <c:axId val="574466152"/>
        <c:axId val="574466480"/>
      </c:lineChart>
      <c:catAx>
        <c:axId val="574466152"/>
        <c:scaling>
          <c:orientation val="minMax"/>
        </c:scaling>
        <c:delete val="0"/>
        <c:axPos val="b"/>
        <c:title>
          <c:tx>
            <c:rich>
              <a:bodyPr/>
              <a:lstStyle/>
              <a:p>
                <a:pPr>
                  <a:defRPr/>
                </a:pPr>
                <a:r>
                  <a:rPr lang="en-US"/>
                  <a:t>Ad Budget ($D$31)</a:t>
                </a:r>
              </a:p>
            </c:rich>
          </c:tx>
          <c:overlay val="0"/>
        </c:title>
        <c:numFmt formatCode="#,##0" sourceLinked="1"/>
        <c:majorTickMark val="out"/>
        <c:minorTickMark val="none"/>
        <c:tickLblPos val="nextTo"/>
        <c:crossAx val="574466480"/>
        <c:crosses val="autoZero"/>
        <c:auto val="1"/>
        <c:lblAlgn val="ctr"/>
        <c:lblOffset val="100"/>
        <c:noMultiLvlLbl val="0"/>
      </c:catAx>
      <c:valAx>
        <c:axId val="574466480"/>
        <c:scaling>
          <c:orientation val="minMax"/>
        </c:scaling>
        <c:delete val="0"/>
        <c:axPos val="l"/>
        <c:majorGridlines/>
        <c:numFmt formatCode="General" sourceLinked="1"/>
        <c:majorTickMark val="out"/>
        <c:minorTickMark val="none"/>
        <c:tickLblPos val="nextTo"/>
        <c:crossAx val="574466152"/>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STS_4!$R$1</c:f>
          <c:strCache>
            <c:ptCount val="1"/>
            <c:pt idx="0">
              <c:v>Sensitivity of $B$21 to Min. Exposure for Men 18-35</c:v>
            </c:pt>
          </c:strCache>
        </c:strRef>
      </c:tx>
      <c:overlay val="0"/>
      <c:txPr>
        <a:bodyPr/>
        <a:lstStyle/>
        <a:p>
          <a:pPr>
            <a:defRPr sz="1200"/>
          </a:pPr>
          <a:endParaRPr lang="en-US"/>
        </a:p>
      </c:txPr>
    </c:title>
    <c:autoTitleDeleted val="0"/>
    <c:plotArea>
      <c:layout/>
      <c:lineChart>
        <c:grouping val="standard"/>
        <c:varyColors val="0"/>
        <c:ser>
          <c:idx val="0"/>
          <c:order val="0"/>
          <c:cat>
            <c:numRef>
              <c:f>STS_4!$B$4:$P$4</c:f>
              <c:numCache>
                <c:formatCode>General</c:formatCode>
                <c:ptCount val="15"/>
                <c:pt idx="0">
                  <c:v>10</c:v>
                </c:pt>
                <c:pt idx="1">
                  <c:v>15</c:v>
                </c:pt>
                <c:pt idx="2">
                  <c:v>20</c:v>
                </c:pt>
                <c:pt idx="3">
                  <c:v>25</c:v>
                </c:pt>
                <c:pt idx="4">
                  <c:v>30</c:v>
                </c:pt>
                <c:pt idx="5">
                  <c:v>35</c:v>
                </c:pt>
                <c:pt idx="6">
                  <c:v>40</c:v>
                </c:pt>
                <c:pt idx="7">
                  <c:v>45</c:v>
                </c:pt>
                <c:pt idx="8">
                  <c:v>50</c:v>
                </c:pt>
                <c:pt idx="9">
                  <c:v>55</c:v>
                </c:pt>
                <c:pt idx="10">
                  <c:v>60</c:v>
                </c:pt>
                <c:pt idx="11">
                  <c:v>65</c:v>
                </c:pt>
                <c:pt idx="12">
                  <c:v>70</c:v>
                </c:pt>
                <c:pt idx="13">
                  <c:v>75</c:v>
                </c:pt>
                <c:pt idx="14">
                  <c:v>80</c:v>
                </c:pt>
              </c:numCache>
            </c:numRef>
          </c:cat>
          <c:val>
            <c:numRef>
              <c:f>STS_4!$R$5:$R$19</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mooth val="0"/>
          <c:extLst>
            <c:ext xmlns:c16="http://schemas.microsoft.com/office/drawing/2014/chart" uri="{C3380CC4-5D6E-409C-BE32-E72D297353CC}">
              <c16:uniqueId val="{00000001-EA71-4B73-9330-C2FB1E1E90B3}"/>
            </c:ext>
          </c:extLst>
        </c:ser>
        <c:dLbls>
          <c:showLegendKey val="0"/>
          <c:showVal val="0"/>
          <c:showCatName val="0"/>
          <c:showSerName val="0"/>
          <c:showPercent val="0"/>
          <c:showBubbleSize val="0"/>
        </c:dLbls>
        <c:marker val="1"/>
        <c:smooth val="0"/>
        <c:axId val="576208288"/>
        <c:axId val="576207960"/>
      </c:lineChart>
      <c:catAx>
        <c:axId val="576208288"/>
        <c:scaling>
          <c:orientation val="minMax"/>
        </c:scaling>
        <c:delete val="0"/>
        <c:axPos val="b"/>
        <c:title>
          <c:tx>
            <c:rich>
              <a:bodyPr/>
              <a:lstStyle/>
              <a:p>
                <a:pPr>
                  <a:defRPr/>
                </a:pPr>
                <a:r>
                  <a:rPr lang="en-US"/>
                  <a:t>Min. Exposure for Men 18-35 ($D$25)</a:t>
                </a:r>
              </a:p>
            </c:rich>
          </c:tx>
          <c:overlay val="0"/>
        </c:title>
        <c:numFmt formatCode="General" sourceLinked="1"/>
        <c:majorTickMark val="out"/>
        <c:minorTickMark val="none"/>
        <c:tickLblPos val="nextTo"/>
        <c:crossAx val="576207960"/>
        <c:crosses val="autoZero"/>
        <c:auto val="1"/>
        <c:lblAlgn val="ctr"/>
        <c:lblOffset val="100"/>
        <c:noMultiLvlLbl val="0"/>
      </c:catAx>
      <c:valAx>
        <c:axId val="576207960"/>
        <c:scaling>
          <c:orientation val="minMax"/>
        </c:scaling>
        <c:delete val="0"/>
        <c:axPos val="l"/>
        <c:majorGridlines/>
        <c:numFmt formatCode="General" sourceLinked="1"/>
        <c:majorTickMark val="out"/>
        <c:minorTickMark val="none"/>
        <c:tickLblPos val="nextTo"/>
        <c:crossAx val="576208288"/>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STS_4!$V$1</c:f>
          <c:strCache>
            <c:ptCount val="1"/>
            <c:pt idx="0">
              <c:v>Sensitivity of $B$21 to Ad Budget</c:v>
            </c:pt>
          </c:strCache>
        </c:strRef>
      </c:tx>
      <c:overlay val="0"/>
      <c:txPr>
        <a:bodyPr/>
        <a:lstStyle/>
        <a:p>
          <a:pPr>
            <a:defRPr sz="1200"/>
          </a:pPr>
          <a:endParaRPr lang="en-US"/>
        </a:p>
      </c:txPr>
    </c:title>
    <c:autoTitleDeleted val="0"/>
    <c:plotArea>
      <c:layout/>
      <c:lineChart>
        <c:grouping val="standard"/>
        <c:varyColors val="0"/>
        <c:ser>
          <c:idx val="0"/>
          <c:order val="0"/>
          <c:cat>
            <c:numRef>
              <c:f>STS_4!$A$5:$A$25</c:f>
              <c:numCache>
                <c:formatCode>#,##0</c:formatCode>
                <c:ptCount val="21"/>
                <c:pt idx="0">
                  <c:v>1000</c:v>
                </c:pt>
                <c:pt idx="1">
                  <c:v>1100</c:v>
                </c:pt>
                <c:pt idx="2">
                  <c:v>1200</c:v>
                </c:pt>
                <c:pt idx="3">
                  <c:v>1300</c:v>
                </c:pt>
                <c:pt idx="4">
                  <c:v>1400</c:v>
                </c:pt>
                <c:pt idx="5">
                  <c:v>1500</c:v>
                </c:pt>
                <c:pt idx="6">
                  <c:v>1600</c:v>
                </c:pt>
                <c:pt idx="7">
                  <c:v>1700</c:v>
                </c:pt>
                <c:pt idx="8">
                  <c:v>1800</c:v>
                </c:pt>
                <c:pt idx="9">
                  <c:v>1900</c:v>
                </c:pt>
                <c:pt idx="10">
                  <c:v>2000</c:v>
                </c:pt>
                <c:pt idx="11">
                  <c:v>2100</c:v>
                </c:pt>
                <c:pt idx="12">
                  <c:v>2200</c:v>
                </c:pt>
                <c:pt idx="13">
                  <c:v>2300</c:v>
                </c:pt>
                <c:pt idx="14">
                  <c:v>2400</c:v>
                </c:pt>
                <c:pt idx="15">
                  <c:v>2500</c:v>
                </c:pt>
                <c:pt idx="16">
                  <c:v>2600</c:v>
                </c:pt>
                <c:pt idx="17">
                  <c:v>2700</c:v>
                </c:pt>
                <c:pt idx="18">
                  <c:v>2800</c:v>
                </c:pt>
                <c:pt idx="19">
                  <c:v>2900</c:v>
                </c:pt>
                <c:pt idx="20">
                  <c:v>3000</c:v>
                </c:pt>
              </c:numCache>
            </c:numRef>
          </c:cat>
          <c:val>
            <c:numRef>
              <c:f>STS_4!$V$5:$V$25</c:f>
              <c:numCache>
                <c:formatCode>General</c:formatCode>
                <c:ptCount val="21"/>
                <c:pt idx="0">
                  <c:v>0</c:v>
                </c:pt>
                <c:pt idx="1">
                  <c:v>0</c:v>
                </c:pt>
                <c:pt idx="2">
                  <c:v>0</c:v>
                </c:pt>
                <c:pt idx="3">
                  <c:v>0</c:v>
                </c:pt>
                <c:pt idx="4">
                  <c:v>0</c:v>
                </c:pt>
                <c:pt idx="5">
                  <c:v>0</c:v>
                </c:pt>
                <c:pt idx="6">
                  <c:v>0</c:v>
                </c:pt>
                <c:pt idx="7">
                  <c:v>0</c:v>
                </c:pt>
                <c:pt idx="8">
                  <c:v>0</c:v>
                </c:pt>
                <c:pt idx="9">
                  <c:v>319.71698113207549</c:v>
                </c:pt>
                <c:pt idx="10">
                  <c:v>337.7358490566038</c:v>
                </c:pt>
                <c:pt idx="11">
                  <c:v>355.75471698113211</c:v>
                </c:pt>
                <c:pt idx="12">
                  <c:v>373.77358490566036</c:v>
                </c:pt>
                <c:pt idx="13">
                  <c:v>391.53846153846155</c:v>
                </c:pt>
                <c:pt idx="14">
                  <c:v>409.23076923076928</c:v>
                </c:pt>
                <c:pt idx="15">
                  <c:v>426.92307692307696</c:v>
                </c:pt>
                <c:pt idx="16">
                  <c:v>444.61538461538464</c:v>
                </c:pt>
                <c:pt idx="17">
                  <c:v>462.30769230769226</c:v>
                </c:pt>
                <c:pt idx="18">
                  <c:v>480</c:v>
                </c:pt>
                <c:pt idx="19">
                  <c:v>497.14285714285717</c:v>
                </c:pt>
                <c:pt idx="20">
                  <c:v>514.28571428571433</c:v>
                </c:pt>
              </c:numCache>
            </c:numRef>
          </c:val>
          <c:smooth val="0"/>
          <c:extLst>
            <c:ext xmlns:c16="http://schemas.microsoft.com/office/drawing/2014/chart" uri="{C3380CC4-5D6E-409C-BE32-E72D297353CC}">
              <c16:uniqueId val="{00000001-EBFC-4B41-A1D4-D2B7CF736D80}"/>
            </c:ext>
          </c:extLst>
        </c:ser>
        <c:dLbls>
          <c:showLegendKey val="0"/>
          <c:showVal val="0"/>
          <c:showCatName val="0"/>
          <c:showSerName val="0"/>
          <c:showPercent val="0"/>
          <c:showBubbleSize val="0"/>
        </c:dLbls>
        <c:marker val="1"/>
        <c:smooth val="0"/>
        <c:axId val="578075208"/>
        <c:axId val="578072912"/>
      </c:lineChart>
      <c:catAx>
        <c:axId val="578075208"/>
        <c:scaling>
          <c:orientation val="minMax"/>
        </c:scaling>
        <c:delete val="0"/>
        <c:axPos val="b"/>
        <c:title>
          <c:tx>
            <c:rich>
              <a:bodyPr/>
              <a:lstStyle/>
              <a:p>
                <a:pPr>
                  <a:defRPr/>
                </a:pPr>
                <a:r>
                  <a:rPr lang="en-US"/>
                  <a:t>Ad Budget ($D$31)</a:t>
                </a:r>
              </a:p>
            </c:rich>
          </c:tx>
          <c:overlay val="0"/>
        </c:title>
        <c:numFmt formatCode="#,##0" sourceLinked="1"/>
        <c:majorTickMark val="out"/>
        <c:minorTickMark val="none"/>
        <c:tickLblPos val="nextTo"/>
        <c:crossAx val="578072912"/>
        <c:crosses val="autoZero"/>
        <c:auto val="1"/>
        <c:lblAlgn val="ctr"/>
        <c:lblOffset val="100"/>
        <c:noMultiLvlLbl val="0"/>
      </c:catAx>
      <c:valAx>
        <c:axId val="578072912"/>
        <c:scaling>
          <c:orientation val="minMax"/>
        </c:scaling>
        <c:delete val="0"/>
        <c:axPos val="l"/>
        <c:majorGridlines/>
        <c:numFmt formatCode="General" sourceLinked="1"/>
        <c:majorTickMark val="out"/>
        <c:minorTickMark val="none"/>
        <c:tickLblPos val="nextTo"/>
        <c:crossAx val="578075208"/>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109373</xdr:colOff>
      <xdr:row>0</xdr:row>
      <xdr:rowOff>33173</xdr:rowOff>
    </xdr:from>
    <xdr:to>
      <xdr:col>6</xdr:col>
      <xdr:colOff>61748</xdr:colOff>
      <xdr:row>2</xdr:row>
      <xdr:rowOff>159954</xdr:rowOff>
    </xdr:to>
    <xdr:sp macro="" textlink="">
      <xdr:nvSpPr>
        <xdr:cNvPr id="2083" name="Text Box 35">
          <a:extLst>
            <a:ext uri="{FF2B5EF4-FFF2-40B4-BE49-F238E27FC236}">
              <a16:creationId xmlns:a16="http://schemas.microsoft.com/office/drawing/2014/main" id="{00000000-0008-0000-0000-000023080000}"/>
            </a:ext>
          </a:extLst>
        </xdr:cNvPr>
        <xdr:cNvSpPr txBox="1">
          <a:spLocks noChangeArrowheads="1"/>
        </xdr:cNvSpPr>
      </xdr:nvSpPr>
      <xdr:spPr bwMode="auto">
        <a:xfrm>
          <a:off x="3717925" y="33173"/>
          <a:ext cx="2825202" cy="494643"/>
        </a:xfrm>
        <a:prstGeom prst="roundRect">
          <a:avLst/>
        </a:prstGeom>
        <a:solidFill>
          <a:schemeClr val="bg1">
            <a:shade val="80000"/>
          </a:schemeClr>
        </a:solidFill>
        <a:ln w="9525">
          <a:noFill/>
          <a:miter lim="800000"/>
          <a:headEnd/>
          <a:tailEnd/>
        </a:ln>
        <a:effectLst>
          <a:outerShdw blurRad="50800" dist="38100" dir="8100000" algn="tr">
            <a:prstClr val="black">
              <a:alpha val="40000"/>
            </a:prstClr>
          </a:outerShdw>
        </a:effectLst>
      </xdr:spPr>
      <xdr:txBody>
        <a:bodyPr vertOverflow="clip" wrap="square" lIns="27432" tIns="22860" rIns="0" bIns="0" anchor="t" upright="1"/>
        <a:lstStyle/>
        <a:p>
          <a:pPr algn="l" rtl="0">
            <a:defRPr sz="1000"/>
          </a:pPr>
          <a:r>
            <a:rPr lang="en-US" sz="1100" b="1" i="0" strike="noStrike">
              <a:solidFill>
                <a:srgbClr val="000000"/>
              </a:solidFill>
              <a:latin typeface="+mn-lt"/>
              <a:cs typeface="Arial"/>
            </a:rPr>
            <a:t>Note:</a:t>
          </a:r>
          <a:r>
            <a:rPr lang="en-US" sz="1100" b="0" i="0" strike="noStrike">
              <a:solidFill>
                <a:srgbClr val="000000"/>
              </a:solidFill>
              <a:latin typeface="+mn-lt"/>
              <a:cs typeface="Arial"/>
            </a:rPr>
            <a:t> All monetary values are in $1000s, and all exposures to ads are in millions of exposures.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24</xdr:row>
      <xdr:rowOff>0</xdr:rowOff>
    </xdr:from>
    <xdr:to>
      <xdr:col>5</xdr:col>
      <xdr:colOff>95250</xdr:colOff>
      <xdr:row>33</xdr:row>
      <xdr:rowOff>76200</xdr:rowOff>
    </xdr:to>
    <xdr:sp macro="" textlink="">
      <xdr:nvSpPr>
        <xdr:cNvPr id="3" name="TextBox 2">
          <a:extLst>
            <a:ext uri="{FF2B5EF4-FFF2-40B4-BE49-F238E27FC236}">
              <a16:creationId xmlns:a16="http://schemas.microsoft.com/office/drawing/2014/main" id="{29DA4408-FE63-4D2C-B36D-ADF19A2962EF}"/>
            </a:ext>
          </a:extLst>
        </xdr:cNvPr>
        <xdr:cNvSpPr txBox="1"/>
      </xdr:nvSpPr>
      <xdr:spPr>
        <a:xfrm>
          <a:off x="594360" y="4739640"/>
          <a:ext cx="4118610" cy="158496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Although you might prefer SolverTable to answer sensitivity questions, the classical sensitivity out</a:t>
          </a:r>
          <a:r>
            <a:rPr lang="en-US" sz="1100" baseline="0"/>
            <a:t>put shown here is certainly relevant. The nonzero reduced costs indicate  how much less an ad would have to cost before it would be optimal to place an ad on that show. The shadow prices indicate how much it would cost to increase the exposure requirement to a particular group. Of course, the first and third shadow prices are 0 because the exposures to these groups already  exceed the minimum.</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109373</xdr:colOff>
      <xdr:row>0</xdr:row>
      <xdr:rowOff>33173</xdr:rowOff>
    </xdr:from>
    <xdr:to>
      <xdr:col>6</xdr:col>
      <xdr:colOff>61748</xdr:colOff>
      <xdr:row>2</xdr:row>
      <xdr:rowOff>159954</xdr:rowOff>
    </xdr:to>
    <xdr:sp macro="" textlink="">
      <xdr:nvSpPr>
        <xdr:cNvPr id="2" name="Text Box 35">
          <a:extLst>
            <a:ext uri="{FF2B5EF4-FFF2-40B4-BE49-F238E27FC236}">
              <a16:creationId xmlns:a16="http://schemas.microsoft.com/office/drawing/2014/main" id="{F8140F43-2E46-409A-B082-493240DA5310}"/>
            </a:ext>
          </a:extLst>
        </xdr:cNvPr>
        <xdr:cNvSpPr txBox="1">
          <a:spLocks noChangeArrowheads="1"/>
        </xdr:cNvSpPr>
      </xdr:nvSpPr>
      <xdr:spPr bwMode="auto">
        <a:xfrm>
          <a:off x="3721253" y="33173"/>
          <a:ext cx="2817495" cy="492541"/>
        </a:xfrm>
        <a:prstGeom prst="roundRect">
          <a:avLst/>
        </a:prstGeom>
        <a:solidFill>
          <a:schemeClr val="bg1">
            <a:shade val="80000"/>
          </a:schemeClr>
        </a:solidFill>
        <a:ln w="9525">
          <a:noFill/>
          <a:miter lim="800000"/>
          <a:headEnd/>
          <a:tailEnd/>
        </a:ln>
        <a:effectLst>
          <a:outerShdw blurRad="50800" dist="38100" dir="8100000" algn="tr">
            <a:prstClr val="black">
              <a:alpha val="40000"/>
            </a:prstClr>
          </a:outerShdw>
        </a:effectLst>
      </xdr:spPr>
      <xdr:txBody>
        <a:bodyPr vertOverflow="clip" wrap="square" lIns="27432" tIns="22860" rIns="0" bIns="0" anchor="t" upright="1"/>
        <a:lstStyle/>
        <a:p>
          <a:pPr algn="l" rtl="0">
            <a:defRPr sz="1000"/>
          </a:pPr>
          <a:r>
            <a:rPr lang="en-US" sz="1100" b="1" i="0" strike="noStrike">
              <a:solidFill>
                <a:srgbClr val="000000"/>
              </a:solidFill>
              <a:latin typeface="+mn-lt"/>
              <a:cs typeface="Arial"/>
            </a:rPr>
            <a:t>Note:</a:t>
          </a:r>
          <a:r>
            <a:rPr lang="en-US" sz="1100" b="0" i="0" strike="noStrike">
              <a:solidFill>
                <a:srgbClr val="000000"/>
              </a:solidFill>
              <a:latin typeface="+mn-lt"/>
              <a:cs typeface="Arial"/>
            </a:rPr>
            <a:t> All monetary values are in $1000s, and all exposures to ads are in millions of exposures.</a:t>
          </a: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9</xdr:col>
      <xdr:colOff>266700</xdr:colOff>
      <xdr:row>18</xdr:row>
      <xdr:rowOff>100013</xdr:rowOff>
    </xdr:from>
    <xdr:to>
      <xdr:col>16</xdr:col>
      <xdr:colOff>609600</xdr:colOff>
      <xdr:row>36</xdr:row>
      <xdr:rowOff>42863</xdr:rowOff>
    </xdr:to>
    <xdr:graphicFrame macro="">
      <xdr:nvGraphicFramePr>
        <xdr:cNvPr id="2" name="STS_1_Chart">
          <a:extLst>
            <a:ext uri="{FF2B5EF4-FFF2-40B4-BE49-F238E27FC236}">
              <a16:creationId xmlns:a16="http://schemas.microsoft.com/office/drawing/2014/main" id="{0F1DEAAB-2DD3-4464-A32D-BE7BB36DB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571500</xdr:colOff>
      <xdr:row>3</xdr:row>
      <xdr:rowOff>80962</xdr:rowOff>
    </xdr:from>
    <xdr:to>
      <xdr:col>15</xdr:col>
      <xdr:colOff>419100</xdr:colOff>
      <xdr:row>6</xdr:row>
      <xdr:rowOff>85725</xdr:rowOff>
    </xdr:to>
    <xdr:sp macro="" textlink="">
      <xdr:nvSpPr>
        <xdr:cNvPr id="3" name="TextBox 2">
          <a:extLst>
            <a:ext uri="{FF2B5EF4-FFF2-40B4-BE49-F238E27FC236}">
              <a16:creationId xmlns:a16="http://schemas.microsoft.com/office/drawing/2014/main" id="{435A6337-E62E-4B6A-BBF5-E17DBD22985D}"/>
            </a:ext>
          </a:extLst>
        </xdr:cNvPr>
        <xdr:cNvSpPr txBox="1"/>
      </xdr:nvSpPr>
      <xdr:spPr>
        <a:xfrm>
          <a:off x="7696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9</xdr:col>
      <xdr:colOff>266700</xdr:colOff>
      <xdr:row>18</xdr:row>
      <xdr:rowOff>100013</xdr:rowOff>
    </xdr:from>
    <xdr:to>
      <xdr:col>16</xdr:col>
      <xdr:colOff>609600</xdr:colOff>
      <xdr:row>36</xdr:row>
      <xdr:rowOff>42863</xdr:rowOff>
    </xdr:to>
    <xdr:graphicFrame macro="">
      <xdr:nvGraphicFramePr>
        <xdr:cNvPr id="2" name="STS_2_Chart">
          <a:extLst>
            <a:ext uri="{FF2B5EF4-FFF2-40B4-BE49-F238E27FC236}">
              <a16:creationId xmlns:a16="http://schemas.microsoft.com/office/drawing/2014/main" id="{7C2269AB-D59D-4482-BBF2-D95E77AB8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571500</xdr:colOff>
      <xdr:row>3</xdr:row>
      <xdr:rowOff>80962</xdr:rowOff>
    </xdr:from>
    <xdr:to>
      <xdr:col>15</xdr:col>
      <xdr:colOff>419100</xdr:colOff>
      <xdr:row>6</xdr:row>
      <xdr:rowOff>85725</xdr:rowOff>
    </xdr:to>
    <xdr:sp macro="" textlink="">
      <xdr:nvSpPr>
        <xdr:cNvPr id="3" name="TextBox 2">
          <a:extLst>
            <a:ext uri="{FF2B5EF4-FFF2-40B4-BE49-F238E27FC236}">
              <a16:creationId xmlns:a16="http://schemas.microsoft.com/office/drawing/2014/main" id="{CAE6E516-F9AA-477C-B163-B84E03CDB813}"/>
            </a:ext>
          </a:extLst>
        </xdr:cNvPr>
        <xdr:cNvSpPr txBox="1"/>
      </xdr:nvSpPr>
      <xdr:spPr>
        <a:xfrm>
          <a:off x="7696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9</xdr:col>
      <xdr:colOff>266700</xdr:colOff>
      <xdr:row>30</xdr:row>
      <xdr:rowOff>61912</xdr:rowOff>
    </xdr:from>
    <xdr:to>
      <xdr:col>16</xdr:col>
      <xdr:colOff>609600</xdr:colOff>
      <xdr:row>48</xdr:row>
      <xdr:rowOff>4762</xdr:rowOff>
    </xdr:to>
    <xdr:graphicFrame macro="">
      <xdr:nvGraphicFramePr>
        <xdr:cNvPr id="2" name="STS_3_Chart">
          <a:extLst>
            <a:ext uri="{FF2B5EF4-FFF2-40B4-BE49-F238E27FC236}">
              <a16:creationId xmlns:a16="http://schemas.microsoft.com/office/drawing/2014/main" id="{E29E55E0-F0E2-4D14-A7B0-2477BA3A78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571500</xdr:colOff>
      <xdr:row>3</xdr:row>
      <xdr:rowOff>80962</xdr:rowOff>
    </xdr:from>
    <xdr:to>
      <xdr:col>15</xdr:col>
      <xdr:colOff>419100</xdr:colOff>
      <xdr:row>6</xdr:row>
      <xdr:rowOff>80962</xdr:rowOff>
    </xdr:to>
    <xdr:sp macro="" textlink="">
      <xdr:nvSpPr>
        <xdr:cNvPr id="3" name="TextBox 2">
          <a:extLst>
            <a:ext uri="{FF2B5EF4-FFF2-40B4-BE49-F238E27FC236}">
              <a16:creationId xmlns:a16="http://schemas.microsoft.com/office/drawing/2014/main" id="{3AC3D416-2F4F-4D57-9541-797F04894BC3}"/>
            </a:ext>
          </a:extLst>
        </xdr:cNvPr>
        <xdr:cNvSpPr txBox="1"/>
      </xdr:nvSpPr>
      <xdr:spPr>
        <a:xfrm>
          <a:off x="7696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17</xdr:col>
      <xdr:colOff>871</xdr:colOff>
      <xdr:row>30</xdr:row>
      <xdr:rowOff>61913</xdr:rowOff>
    </xdr:from>
    <xdr:to>
      <xdr:col>24</xdr:col>
      <xdr:colOff>342900</xdr:colOff>
      <xdr:row>48</xdr:row>
      <xdr:rowOff>4763</xdr:rowOff>
    </xdr:to>
    <xdr:graphicFrame macro="">
      <xdr:nvGraphicFramePr>
        <xdr:cNvPr id="2" name="STS_4_Chart1">
          <a:extLst>
            <a:ext uri="{FF2B5EF4-FFF2-40B4-BE49-F238E27FC236}">
              <a16:creationId xmlns:a16="http://schemas.microsoft.com/office/drawing/2014/main" id="{E86EE08F-2AE5-4A31-A34B-CBAD27961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25</xdr:col>
      <xdr:colOff>304800</xdr:colOff>
      <xdr:row>30</xdr:row>
      <xdr:rowOff>61913</xdr:rowOff>
    </xdr:from>
    <xdr:to>
      <xdr:col>33</xdr:col>
      <xdr:colOff>871</xdr:colOff>
      <xdr:row>48</xdr:row>
      <xdr:rowOff>4763</xdr:rowOff>
    </xdr:to>
    <xdr:graphicFrame macro="">
      <xdr:nvGraphicFramePr>
        <xdr:cNvPr id="3" name="STS_4_Chart2">
          <a:extLst>
            <a:ext uri="{FF2B5EF4-FFF2-40B4-BE49-F238E27FC236}">
              <a16:creationId xmlns:a16="http://schemas.microsoft.com/office/drawing/2014/main" id="{852D9910-631D-4532-975B-60422EC3C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24</xdr:col>
      <xdr:colOff>495300</xdr:colOff>
      <xdr:row>3</xdr:row>
      <xdr:rowOff>80962</xdr:rowOff>
    </xdr:from>
    <xdr:to>
      <xdr:col>30</xdr:col>
      <xdr:colOff>266700</xdr:colOff>
      <xdr:row>10</xdr:row>
      <xdr:rowOff>19050</xdr:rowOff>
    </xdr:to>
    <xdr:sp macro="" textlink="">
      <xdr:nvSpPr>
        <xdr:cNvPr id="4" name="TextBox 3">
          <a:extLst>
            <a:ext uri="{FF2B5EF4-FFF2-40B4-BE49-F238E27FC236}">
              <a16:creationId xmlns:a16="http://schemas.microsoft.com/office/drawing/2014/main" id="{98D995B5-BDC9-490A-838A-E7ECB2719C63}"/>
            </a:ext>
          </a:extLst>
        </xdr:cNvPr>
        <xdr:cNvSpPr txBox="1"/>
      </xdr:nvSpPr>
      <xdr:spPr>
        <a:xfrm>
          <a:off x="15816263" y="571500"/>
          <a:ext cx="3657600" cy="13335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By making appropriate selections in cells $R$4, $S$4, $V$4, and $W$4, you can chart any row (in left chart) or column (in right chart) of any table to the left.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D6304-0390-485B-9578-B22EC1FD3F97}">
  <dimension ref="A1:M22"/>
  <sheetViews>
    <sheetView workbookViewId="0">
      <selection activeCell="D12" sqref="D12"/>
    </sheetView>
  </sheetViews>
  <sheetFormatPr defaultColWidth="8.86328125" defaultRowHeight="12.75" x14ac:dyDescent="0.35"/>
  <cols>
    <col min="1" max="1" width="31.53125" style="12" customWidth="1"/>
    <col min="2" max="2" width="6.1328125" style="97" customWidth="1"/>
    <col min="3" max="3" width="7.53125" style="12" customWidth="1"/>
    <col min="4" max="4" width="7.86328125" style="12" customWidth="1"/>
    <col min="5" max="5" width="8.46484375" style="12" customWidth="1"/>
    <col min="6" max="6" width="6.6640625" style="12" customWidth="1"/>
    <col min="7" max="7" width="7.33203125" style="12" customWidth="1"/>
    <col min="8" max="8" width="7.6640625" style="12" customWidth="1"/>
    <col min="9" max="9" width="9.33203125" style="12" customWidth="1"/>
    <col min="10" max="11" width="8.33203125" style="12" customWidth="1"/>
    <col min="12" max="16384" width="8.86328125" style="12"/>
  </cols>
  <sheetData>
    <row r="1" spans="1:13" ht="13.15" x14ac:dyDescent="0.4">
      <c r="A1" s="98" t="s">
        <v>152</v>
      </c>
      <c r="B1" s="78"/>
      <c r="C1" s="14"/>
      <c r="D1" s="13"/>
      <c r="E1" s="79"/>
      <c r="F1" s="79"/>
      <c r="G1" s="79"/>
      <c r="H1" s="79"/>
      <c r="I1" s="79"/>
      <c r="J1" s="79"/>
      <c r="K1" s="79"/>
      <c r="L1" s="79"/>
      <c r="M1" s="79"/>
    </row>
    <row r="2" spans="1:13" ht="25.5" x14ac:dyDescent="0.35">
      <c r="A2" s="31" t="s">
        <v>157</v>
      </c>
      <c r="B2" s="80"/>
      <c r="C2" s="30" t="s">
        <v>158</v>
      </c>
      <c r="D2" s="81" t="s">
        <v>139</v>
      </c>
      <c r="E2" s="79"/>
      <c r="F2" s="79"/>
      <c r="G2" s="79"/>
      <c r="H2" s="79"/>
      <c r="I2" s="79"/>
      <c r="J2" s="79"/>
      <c r="K2" s="79"/>
      <c r="L2" s="79"/>
      <c r="M2" s="79"/>
    </row>
    <row r="3" spans="1:13" ht="14.65" x14ac:dyDescent="0.5">
      <c r="A3" s="14" t="s">
        <v>140</v>
      </c>
      <c r="B3" s="15" t="s">
        <v>159</v>
      </c>
      <c r="C3" s="103">
        <v>24</v>
      </c>
      <c r="D3" s="50">
        <v>6.3E-2</v>
      </c>
      <c r="E3" s="79"/>
      <c r="F3" s="79"/>
      <c r="G3" s="79"/>
      <c r="H3" s="79"/>
      <c r="I3" s="79"/>
      <c r="J3" s="79"/>
      <c r="K3" s="79"/>
      <c r="L3" s="79"/>
      <c r="M3" s="79"/>
    </row>
    <row r="4" spans="1:13" ht="14.65" x14ac:dyDescent="0.5">
      <c r="A4" s="14" t="s">
        <v>141</v>
      </c>
      <c r="B4" s="15" t="s">
        <v>160</v>
      </c>
      <c r="C4" s="103">
        <v>36</v>
      </c>
      <c r="D4" s="50">
        <v>0.10299999999999999</v>
      </c>
      <c r="E4" s="79"/>
      <c r="F4" s="79"/>
      <c r="G4" s="79"/>
      <c r="H4" s="79"/>
      <c r="I4" s="79"/>
      <c r="J4" s="79"/>
      <c r="K4" s="79"/>
      <c r="L4" s="79"/>
      <c r="M4" s="79"/>
    </row>
    <row r="5" spans="1:13" ht="14.65" x14ac:dyDescent="0.5">
      <c r="A5" s="14" t="s">
        <v>142</v>
      </c>
      <c r="B5" s="15" t="s">
        <v>161</v>
      </c>
      <c r="C5" s="103">
        <v>0</v>
      </c>
      <c r="D5" s="50">
        <v>6.9000000000000006E-2</v>
      </c>
      <c r="E5" s="79"/>
      <c r="F5" s="79"/>
      <c r="G5" s="79"/>
      <c r="H5" s="79"/>
      <c r="I5" s="79"/>
      <c r="J5" s="79"/>
      <c r="K5" s="79"/>
      <c r="L5" s="79"/>
      <c r="M5" s="79"/>
    </row>
    <row r="6" spans="1:13" ht="14.65" x14ac:dyDescent="0.5">
      <c r="A6" s="14" t="s">
        <v>143</v>
      </c>
      <c r="B6" s="15" t="s">
        <v>162</v>
      </c>
      <c r="C6" s="103">
        <v>36</v>
      </c>
      <c r="D6" s="50">
        <v>7.4999999999999997E-2</v>
      </c>
      <c r="E6" s="79"/>
      <c r="F6" s="79"/>
      <c r="G6" s="79"/>
      <c r="H6" s="79"/>
      <c r="I6" s="79"/>
      <c r="J6" s="79"/>
      <c r="K6" s="79"/>
      <c r="L6" s="79"/>
      <c r="M6" s="79"/>
    </row>
    <row r="7" spans="1:13" ht="14.65" x14ac:dyDescent="0.5">
      <c r="A7" s="14" t="s">
        <v>144</v>
      </c>
      <c r="B7" s="15" t="s">
        <v>163</v>
      </c>
      <c r="C7" s="103">
        <v>24</v>
      </c>
      <c r="D7" s="50">
        <v>4.4999999999999998E-2</v>
      </c>
    </row>
    <row r="8" spans="1:13" ht="13.15" x14ac:dyDescent="0.4">
      <c r="A8" s="17" t="s">
        <v>153</v>
      </c>
      <c r="B8" s="15"/>
      <c r="C8" s="99">
        <f>SUM(C3:C7)</f>
        <v>120</v>
      </c>
      <c r="D8" s="15"/>
    </row>
    <row r="9" spans="1:13" ht="13.15" x14ac:dyDescent="0.4">
      <c r="A9" s="17" t="s">
        <v>154</v>
      </c>
      <c r="B9" s="17"/>
      <c r="C9" s="100">
        <v>60</v>
      </c>
      <c r="D9" s="15"/>
    </row>
    <row r="10" spans="1:13" ht="13.15" x14ac:dyDescent="0.4">
      <c r="A10" s="17" t="s">
        <v>164</v>
      </c>
      <c r="B10" s="17"/>
      <c r="C10" s="100">
        <v>60</v>
      </c>
      <c r="D10" s="15"/>
    </row>
    <row r="11" spans="1:13" ht="13.15" x14ac:dyDescent="0.4">
      <c r="A11" s="17" t="s">
        <v>156</v>
      </c>
      <c r="B11" s="17"/>
      <c r="C11" s="99"/>
      <c r="D11" s="101">
        <v>0.25</v>
      </c>
    </row>
    <row r="12" spans="1:13" ht="13.15" x14ac:dyDescent="0.4">
      <c r="A12" s="17" t="s">
        <v>165</v>
      </c>
      <c r="B12" s="17"/>
      <c r="C12" s="99"/>
      <c r="D12" s="101">
        <v>0.6</v>
      </c>
    </row>
    <row r="13" spans="1:13" ht="13.15" x14ac:dyDescent="0.4">
      <c r="A13" s="17"/>
      <c r="B13" s="17"/>
      <c r="C13" s="82"/>
      <c r="D13" s="15"/>
    </row>
    <row r="14" spans="1:13" ht="13.15" x14ac:dyDescent="0.4">
      <c r="A14" s="31" t="s">
        <v>145</v>
      </c>
      <c r="B14" s="83"/>
      <c r="C14" s="107">
        <f>SUMPRODUCT(D3:D7*C3:C7)</f>
        <v>9</v>
      </c>
      <c r="D14" s="13"/>
    </row>
    <row r="15" spans="1:13" ht="13.15" x14ac:dyDescent="0.4">
      <c r="A15" s="13"/>
      <c r="B15" s="78"/>
      <c r="C15" s="13"/>
      <c r="D15" s="14"/>
      <c r="E15" s="84"/>
      <c r="F15" s="85"/>
      <c r="G15" s="85"/>
      <c r="H15" s="86"/>
      <c r="I15" s="86"/>
      <c r="J15" s="87"/>
      <c r="K15" s="87"/>
    </row>
    <row r="16" spans="1:13" ht="13.15" x14ac:dyDescent="0.4">
      <c r="A16" s="31" t="s">
        <v>26</v>
      </c>
      <c r="B16" s="31" t="s">
        <v>70</v>
      </c>
      <c r="C16" s="32"/>
      <c r="D16" s="31" t="s">
        <v>71</v>
      </c>
      <c r="E16" s="88"/>
      <c r="F16" s="88"/>
      <c r="G16" s="79"/>
      <c r="I16" s="89"/>
      <c r="J16" s="90"/>
      <c r="K16" s="90"/>
    </row>
    <row r="17" spans="1:11" ht="13.15" x14ac:dyDescent="0.4">
      <c r="A17" s="17" t="s">
        <v>155</v>
      </c>
      <c r="B17" s="102">
        <f>C3+C4</f>
        <v>60</v>
      </c>
      <c r="C17" s="91" t="s">
        <v>72</v>
      </c>
      <c r="D17" s="102">
        <f>C9</f>
        <v>60</v>
      </c>
      <c r="E17" s="92"/>
      <c r="F17" s="93"/>
      <c r="G17" s="79"/>
    </row>
    <row r="18" spans="1:11" ht="13.15" x14ac:dyDescent="0.4">
      <c r="A18" s="17" t="s">
        <v>146</v>
      </c>
      <c r="B18" s="102">
        <f>C5+C6</f>
        <v>36</v>
      </c>
      <c r="C18" s="91" t="s">
        <v>72</v>
      </c>
      <c r="D18" s="102">
        <f>C10</f>
        <v>60</v>
      </c>
      <c r="E18" s="92"/>
      <c r="F18" s="93"/>
      <c r="G18" s="79"/>
      <c r="I18" s="94"/>
      <c r="J18" s="94"/>
      <c r="K18" s="94"/>
    </row>
    <row r="19" spans="1:11" ht="13.15" x14ac:dyDescent="0.4">
      <c r="A19" s="17" t="s">
        <v>147</v>
      </c>
      <c r="B19" s="102">
        <f>C7</f>
        <v>24</v>
      </c>
      <c r="C19" s="91" t="s">
        <v>0</v>
      </c>
      <c r="D19" s="102">
        <f>D11*(C3+C4+C5+C6)</f>
        <v>24</v>
      </c>
      <c r="E19" s="95"/>
      <c r="F19" s="92"/>
      <c r="G19" s="79"/>
    </row>
    <row r="20" spans="1:11" ht="13.15" x14ac:dyDescent="0.4">
      <c r="A20" s="17" t="s">
        <v>148</v>
      </c>
      <c r="B20" s="102">
        <f>C4</f>
        <v>36</v>
      </c>
      <c r="C20" s="91" t="s">
        <v>72</v>
      </c>
      <c r="D20" s="102">
        <f>D12*(C3+C4)</f>
        <v>36</v>
      </c>
      <c r="E20" s="92"/>
      <c r="F20" s="93"/>
      <c r="G20" s="79"/>
    </row>
    <row r="21" spans="1:11" ht="13.15" x14ac:dyDescent="0.4">
      <c r="A21" s="17" t="s">
        <v>176</v>
      </c>
      <c r="B21" s="102">
        <f>C3+C4+C5+C6+C7</f>
        <v>120</v>
      </c>
      <c r="C21" s="91" t="s">
        <v>72</v>
      </c>
      <c r="D21" s="102">
        <v>120</v>
      </c>
      <c r="E21" s="92"/>
      <c r="F21" s="93"/>
      <c r="G21" s="79"/>
    </row>
    <row r="22" spans="1:11" s="79" customFormat="1" ht="13.15" x14ac:dyDescent="0.4">
      <c r="A22" s="96"/>
      <c r="B22" s="93"/>
      <c r="D22" s="92"/>
      <c r="E22" s="92"/>
      <c r="F22" s="93"/>
    </row>
  </sheetData>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B13"/>
  <sheetViews>
    <sheetView workbookViewId="0"/>
  </sheetViews>
  <sheetFormatPr defaultRowHeight="12.75" x14ac:dyDescent="0.35"/>
  <sheetData>
    <row r="1" spans="1:2" x14ac:dyDescent="0.35">
      <c r="A1">
        <v>1</v>
      </c>
    </row>
    <row r="2" spans="1:2" x14ac:dyDescent="0.35">
      <c r="A2" t="s">
        <v>1</v>
      </c>
    </row>
    <row r="3" spans="1:2" x14ac:dyDescent="0.35">
      <c r="A3">
        <v>1</v>
      </c>
    </row>
    <row r="4" spans="1:2" x14ac:dyDescent="0.35">
      <c r="A4">
        <v>700</v>
      </c>
    </row>
    <row r="5" spans="1:2" x14ac:dyDescent="0.35">
      <c r="A5">
        <v>850</v>
      </c>
    </row>
    <row r="6" spans="1:2" x14ac:dyDescent="0.35">
      <c r="A6">
        <v>25</v>
      </c>
    </row>
    <row r="7" spans="1:2" x14ac:dyDescent="0.35">
      <c r="A7" s="1"/>
      <c r="B7" s="1"/>
    </row>
    <row r="8" spans="1:2" x14ac:dyDescent="0.35">
      <c r="A8" t="s">
        <v>2</v>
      </c>
    </row>
    <row r="9" spans="1:2" x14ac:dyDescent="0.35">
      <c r="A9" t="s">
        <v>3</v>
      </c>
    </row>
    <row r="13" spans="1:2" x14ac:dyDescent="0.35">
      <c r="B13" s="1"/>
    </row>
  </sheetData>
  <phoneticPr fontId="1"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9EE7A-6EF8-4585-B124-F63857ED1448}">
  <dimension ref="A1:K15"/>
  <sheetViews>
    <sheetView topLeftCell="C1" workbookViewId="0">
      <selection activeCell="K4" sqref="K4"/>
    </sheetView>
  </sheetViews>
  <sheetFormatPr defaultRowHeight="12.75" x14ac:dyDescent="0.35"/>
  <sheetData>
    <row r="1" spans="1:11" ht="13.15" x14ac:dyDescent="0.4">
      <c r="A1" s="7" t="s">
        <v>185</v>
      </c>
      <c r="K1" s="111" t="str">
        <f>CONCATENATE("Sensitivity of ",$K$4," to ","Percentage of Government Bounds")</f>
        <v>Sensitivity of $C$7 to Percentage of Government Bounds</v>
      </c>
    </row>
    <row r="3" spans="1:11" x14ac:dyDescent="0.35">
      <c r="A3" t="s">
        <v>186</v>
      </c>
      <c r="K3" t="s">
        <v>188</v>
      </c>
    </row>
    <row r="4" spans="1:11" ht="34.15" x14ac:dyDescent="0.35">
      <c r="B4" s="109" t="s">
        <v>187</v>
      </c>
      <c r="C4" s="109" t="s">
        <v>80</v>
      </c>
      <c r="D4" s="109" t="s">
        <v>74</v>
      </c>
      <c r="E4" s="109" t="s">
        <v>75</v>
      </c>
      <c r="F4" s="109" t="s">
        <v>76</v>
      </c>
      <c r="G4" s="109" t="s">
        <v>114</v>
      </c>
      <c r="J4" s="111">
        <f>MATCH($K$4,OutputAddresses,0)</f>
        <v>6</v>
      </c>
      <c r="K4" s="110" t="s">
        <v>114</v>
      </c>
    </row>
    <row r="5" spans="1:11" x14ac:dyDescent="0.35">
      <c r="A5" s="108">
        <v>0</v>
      </c>
      <c r="B5" s="112">
        <v>9.7199999999999989</v>
      </c>
      <c r="C5" s="113">
        <v>24</v>
      </c>
      <c r="D5" s="113">
        <v>36</v>
      </c>
      <c r="E5" s="113">
        <v>0</v>
      </c>
      <c r="F5" s="113">
        <v>60</v>
      </c>
      <c r="G5" s="114">
        <v>0</v>
      </c>
      <c r="K5">
        <f>INDEX(OutputValues,1,$J$4)</f>
        <v>0</v>
      </c>
    </row>
    <row r="6" spans="1:11" x14ac:dyDescent="0.35">
      <c r="A6" s="108">
        <v>5.000000074505806E-2</v>
      </c>
      <c r="B6" s="115">
        <v>9.5485714261385866</v>
      </c>
      <c r="C6" s="116">
        <v>24</v>
      </c>
      <c r="D6" s="116">
        <v>36</v>
      </c>
      <c r="E6" s="116">
        <v>0</v>
      </c>
      <c r="F6" s="116">
        <v>54.285714204619531</v>
      </c>
      <c r="G6" s="117">
        <v>5.7142857953804693</v>
      </c>
      <c r="K6">
        <f>INDEX(OutputValues,2,$J$4)</f>
        <v>5.7142857953804693</v>
      </c>
    </row>
    <row r="7" spans="1:11" x14ac:dyDescent="0.35">
      <c r="A7" s="108">
        <v>0.10000000149011612</v>
      </c>
      <c r="B7" s="115">
        <v>9.3927272682938696</v>
      </c>
      <c r="C7" s="116">
        <v>24</v>
      </c>
      <c r="D7" s="116">
        <v>36</v>
      </c>
      <c r="E7" s="116">
        <v>0</v>
      </c>
      <c r="F7" s="116">
        <v>49.09090894312898</v>
      </c>
      <c r="G7" s="117">
        <v>10.90909105687102</v>
      </c>
      <c r="K7">
        <f>INDEX(OutputValues,3,$J$4)</f>
        <v>10.90909105687102</v>
      </c>
    </row>
    <row r="8" spans="1:11" x14ac:dyDescent="0.35">
      <c r="A8" s="108">
        <v>0.15000000596046448</v>
      </c>
      <c r="B8" s="115">
        <v>9.2504347663836128</v>
      </c>
      <c r="C8" s="116">
        <v>24</v>
      </c>
      <c r="D8" s="116">
        <v>36</v>
      </c>
      <c r="E8" s="116">
        <v>0</v>
      </c>
      <c r="F8" s="116">
        <v>44.347825546120426</v>
      </c>
      <c r="G8" s="117">
        <v>15.652174453879571</v>
      </c>
      <c r="K8">
        <f>INDEX(OutputValues,4,$J$4)</f>
        <v>15.652174453879571</v>
      </c>
    </row>
    <row r="9" spans="1:11" x14ac:dyDescent="0.35">
      <c r="A9" s="108">
        <v>0.20000000298023224</v>
      </c>
      <c r="B9" s="115">
        <v>9.1199999925494186</v>
      </c>
      <c r="C9" s="116">
        <v>24</v>
      </c>
      <c r="D9" s="116">
        <v>36</v>
      </c>
      <c r="E9" s="116">
        <v>0</v>
      </c>
      <c r="F9" s="116">
        <v>39.999999751647316</v>
      </c>
      <c r="G9" s="117">
        <v>20.000000248352684</v>
      </c>
      <c r="K9">
        <f>INDEX(OutputValues,5,$J$4)</f>
        <v>20.000000248352684</v>
      </c>
    </row>
    <row r="10" spans="1:11" x14ac:dyDescent="0.35">
      <c r="A10" s="108">
        <v>0.25</v>
      </c>
      <c r="B10" s="115">
        <v>9</v>
      </c>
      <c r="C10" s="116">
        <v>24</v>
      </c>
      <c r="D10" s="116">
        <v>36</v>
      </c>
      <c r="E10" s="116">
        <v>0</v>
      </c>
      <c r="F10" s="116">
        <v>36</v>
      </c>
      <c r="G10" s="117">
        <v>24</v>
      </c>
      <c r="K10">
        <f>INDEX(OutputValues,6,$J$4)</f>
        <v>24</v>
      </c>
    </row>
    <row r="11" spans="1:11" x14ac:dyDescent="0.35">
      <c r="A11" s="108">
        <v>0.30000001192092896</v>
      </c>
      <c r="B11" s="115">
        <v>8.8892307438370732</v>
      </c>
      <c r="C11" s="116">
        <v>24</v>
      </c>
      <c r="D11" s="116">
        <v>36</v>
      </c>
      <c r="E11" s="116">
        <v>0</v>
      </c>
      <c r="F11" s="116">
        <v>32.307691461235819</v>
      </c>
      <c r="G11" s="117">
        <v>27.692308538764177</v>
      </c>
      <c r="K11">
        <f>INDEX(OutputValues,7,$J$4)</f>
        <v>27.692308538764177</v>
      </c>
    </row>
    <row r="12" spans="1:11" x14ac:dyDescent="0.35">
      <c r="A12" s="108">
        <v>0.34999999403953552</v>
      </c>
      <c r="B12" s="115">
        <v>8.7866666784404241</v>
      </c>
      <c r="C12" s="116">
        <v>24</v>
      </c>
      <c r="D12" s="116">
        <v>36</v>
      </c>
      <c r="E12" s="116">
        <v>0</v>
      </c>
      <c r="F12" s="116">
        <v>28.888889281347456</v>
      </c>
      <c r="G12" s="117">
        <v>31.11111071865254</v>
      </c>
      <c r="K12">
        <f>INDEX(OutputValues,8,$J$4)</f>
        <v>31.11111071865254</v>
      </c>
    </row>
    <row r="13" spans="1:11" x14ac:dyDescent="0.35">
      <c r="A13" s="108">
        <v>0.40000000596046448</v>
      </c>
      <c r="B13" s="115">
        <v>8.6914285604807802</v>
      </c>
      <c r="C13" s="116">
        <v>24</v>
      </c>
      <c r="D13" s="116">
        <v>36</v>
      </c>
      <c r="E13" s="116">
        <v>0</v>
      </c>
      <c r="F13" s="116">
        <v>25.714285349359319</v>
      </c>
      <c r="G13" s="117">
        <v>34.285714650640685</v>
      </c>
      <c r="K13">
        <f>INDEX(OutputValues,9,$J$4)</f>
        <v>34.285714650640685</v>
      </c>
    </row>
    <row r="14" spans="1:11" x14ac:dyDescent="0.35">
      <c r="A14" s="108">
        <v>0.45000001788139343</v>
      </c>
      <c r="B14" s="115">
        <v>8.6027585900722876</v>
      </c>
      <c r="C14" s="116">
        <v>24</v>
      </c>
      <c r="D14" s="116">
        <v>36</v>
      </c>
      <c r="E14" s="116">
        <v>0</v>
      </c>
      <c r="F14" s="116">
        <v>22.75861966907625</v>
      </c>
      <c r="G14" s="117">
        <v>37.241380330923747</v>
      </c>
      <c r="K14">
        <f>INDEX(OutputValues,10,$J$4)</f>
        <v>37.241380330923747</v>
      </c>
    </row>
    <row r="15" spans="1:11" x14ac:dyDescent="0.35">
      <c r="A15" s="108">
        <v>0.5</v>
      </c>
      <c r="B15" s="118">
        <v>8.52</v>
      </c>
      <c r="C15" s="119">
        <v>24</v>
      </c>
      <c r="D15" s="119">
        <v>36</v>
      </c>
      <c r="E15" s="119">
        <v>0</v>
      </c>
      <c r="F15" s="119">
        <v>20</v>
      </c>
      <c r="G15" s="120">
        <v>40</v>
      </c>
      <c r="K15">
        <f>INDEX(OutputValues,11,$J$4)</f>
        <v>40</v>
      </c>
    </row>
  </sheetData>
  <dataValidations count="1">
    <dataValidation type="list" allowBlank="1" showInputMessage="1" showErrorMessage="1" sqref="K4" xr:uid="{EE814F0F-734C-4725-8DF8-B91C69E6C803}">
      <formula1>OutputAddresses</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6F470-40C9-4E9E-97CF-EBE28458FD6A}">
  <dimension ref="A8:B15"/>
  <sheetViews>
    <sheetView workbookViewId="0"/>
  </sheetViews>
  <sheetFormatPr defaultRowHeight="12.75" x14ac:dyDescent="0.35"/>
  <sheetData>
    <row r="8" spans="1:2" x14ac:dyDescent="0.35">
      <c r="A8" s="1"/>
      <c r="B8" s="1"/>
    </row>
    <row r="15" spans="1:2" x14ac:dyDescent="0.35">
      <c r="B15"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5B581-31A2-4B0E-AB52-46304BC34C3F}">
  <dimension ref="A1:K15"/>
  <sheetViews>
    <sheetView workbookViewId="0"/>
  </sheetViews>
  <sheetFormatPr defaultRowHeight="12.75" x14ac:dyDescent="0.35"/>
  <sheetData>
    <row r="1" spans="1:11" ht="13.15" x14ac:dyDescent="0.4">
      <c r="A1" s="7" t="s">
        <v>189</v>
      </c>
      <c r="K1" s="111" t="str">
        <f>CONCATENATE("Sensitivity of ",$K$4," to ","Percentage of Government Bounds")</f>
        <v>Sensitivity of $C$14 to Percentage of Government Bounds</v>
      </c>
    </row>
    <row r="3" spans="1:11" x14ac:dyDescent="0.35">
      <c r="A3" t="s">
        <v>186</v>
      </c>
      <c r="K3" t="s">
        <v>188</v>
      </c>
    </row>
    <row r="4" spans="1:11" ht="34.15" x14ac:dyDescent="0.35">
      <c r="B4" s="109" t="s">
        <v>187</v>
      </c>
      <c r="C4" s="109" t="s">
        <v>80</v>
      </c>
      <c r="D4" s="109" t="s">
        <v>74</v>
      </c>
      <c r="E4" s="109" t="s">
        <v>75</v>
      </c>
      <c r="F4" s="109" t="s">
        <v>76</v>
      </c>
      <c r="G4" s="109" t="s">
        <v>114</v>
      </c>
      <c r="J4" s="111">
        <f>MATCH($K$4,OutputAddresses,0)</f>
        <v>1</v>
      </c>
      <c r="K4" s="110" t="s">
        <v>187</v>
      </c>
    </row>
    <row r="5" spans="1:11" x14ac:dyDescent="0.35">
      <c r="A5" s="108">
        <v>0</v>
      </c>
      <c r="B5" s="112">
        <v>9</v>
      </c>
      <c r="C5" s="113">
        <v>24</v>
      </c>
      <c r="D5" s="113">
        <v>36</v>
      </c>
      <c r="E5" s="113">
        <v>0</v>
      </c>
      <c r="F5" s="113">
        <v>36</v>
      </c>
      <c r="G5" s="114">
        <v>24</v>
      </c>
      <c r="K5">
        <f>INDEX(OutputValues,1,$J$4)</f>
        <v>9</v>
      </c>
    </row>
    <row r="6" spans="1:11" x14ac:dyDescent="0.35">
      <c r="A6" s="108">
        <v>5.000000074505806E-2</v>
      </c>
      <c r="B6" s="115">
        <v>9</v>
      </c>
      <c r="C6" s="116">
        <v>24</v>
      </c>
      <c r="D6" s="116">
        <v>36</v>
      </c>
      <c r="E6" s="116">
        <v>0</v>
      </c>
      <c r="F6" s="116">
        <v>36</v>
      </c>
      <c r="G6" s="117">
        <v>24</v>
      </c>
      <c r="K6">
        <f>INDEX(OutputValues,2,$J$4)</f>
        <v>9</v>
      </c>
    </row>
    <row r="7" spans="1:11" x14ac:dyDescent="0.35">
      <c r="A7" s="108">
        <v>0.10000000149011612</v>
      </c>
      <c r="B7" s="115">
        <v>9</v>
      </c>
      <c r="C7" s="116">
        <v>24</v>
      </c>
      <c r="D7" s="116">
        <v>36</v>
      </c>
      <c r="E7" s="116">
        <v>0</v>
      </c>
      <c r="F7" s="116">
        <v>36</v>
      </c>
      <c r="G7" s="117">
        <v>24</v>
      </c>
      <c r="K7">
        <f>INDEX(OutputValues,3,$J$4)</f>
        <v>9</v>
      </c>
    </row>
    <row r="8" spans="1:11" x14ac:dyDescent="0.35">
      <c r="A8" s="108">
        <v>0.15000000596046448</v>
      </c>
      <c r="B8" s="115">
        <v>9</v>
      </c>
      <c r="C8" s="116">
        <v>24</v>
      </c>
      <c r="D8" s="116">
        <v>36</v>
      </c>
      <c r="E8" s="116">
        <v>0</v>
      </c>
      <c r="F8" s="116">
        <v>36</v>
      </c>
      <c r="G8" s="117">
        <v>24</v>
      </c>
      <c r="K8">
        <f>INDEX(OutputValues,4,$J$4)</f>
        <v>9</v>
      </c>
    </row>
    <row r="9" spans="1:11" x14ac:dyDescent="0.35">
      <c r="A9" s="108">
        <v>0.20000000298023224</v>
      </c>
      <c r="B9" s="115">
        <v>9</v>
      </c>
      <c r="C9" s="116">
        <v>24</v>
      </c>
      <c r="D9" s="116">
        <v>36</v>
      </c>
      <c r="E9" s="116">
        <v>0</v>
      </c>
      <c r="F9" s="116">
        <v>36</v>
      </c>
      <c r="G9" s="117">
        <v>24</v>
      </c>
      <c r="K9">
        <f>INDEX(OutputValues,5,$J$4)</f>
        <v>9</v>
      </c>
    </row>
    <row r="10" spans="1:11" x14ac:dyDescent="0.35">
      <c r="A10" s="108">
        <v>0.25</v>
      </c>
      <c r="B10" s="115">
        <v>9</v>
      </c>
      <c r="C10" s="116">
        <v>24</v>
      </c>
      <c r="D10" s="116">
        <v>36</v>
      </c>
      <c r="E10" s="116">
        <v>0</v>
      </c>
      <c r="F10" s="116">
        <v>36</v>
      </c>
      <c r="G10" s="117">
        <v>24</v>
      </c>
      <c r="K10">
        <f>INDEX(OutputValues,6,$J$4)</f>
        <v>9</v>
      </c>
    </row>
    <row r="11" spans="1:11" x14ac:dyDescent="0.35">
      <c r="A11" s="108">
        <v>0.30000001192092896</v>
      </c>
      <c r="B11" s="115">
        <v>9</v>
      </c>
      <c r="C11" s="116">
        <v>24</v>
      </c>
      <c r="D11" s="116">
        <v>36</v>
      </c>
      <c r="E11" s="116">
        <v>0</v>
      </c>
      <c r="F11" s="116">
        <v>36</v>
      </c>
      <c r="G11" s="117">
        <v>24</v>
      </c>
      <c r="K11">
        <f>INDEX(OutputValues,7,$J$4)</f>
        <v>9</v>
      </c>
    </row>
    <row r="12" spans="1:11" x14ac:dyDescent="0.35">
      <c r="A12" s="108">
        <v>0.34999999403953552</v>
      </c>
      <c r="B12" s="115">
        <v>9</v>
      </c>
      <c r="C12" s="116">
        <v>24</v>
      </c>
      <c r="D12" s="116">
        <v>36</v>
      </c>
      <c r="E12" s="116">
        <v>0</v>
      </c>
      <c r="F12" s="116">
        <v>36</v>
      </c>
      <c r="G12" s="117">
        <v>24</v>
      </c>
      <c r="K12">
        <f>INDEX(OutputValues,8,$J$4)</f>
        <v>9</v>
      </c>
    </row>
    <row r="13" spans="1:11" x14ac:dyDescent="0.35">
      <c r="A13" s="108">
        <v>0.40000000596046448</v>
      </c>
      <c r="B13" s="115">
        <v>9</v>
      </c>
      <c r="C13" s="116">
        <v>24</v>
      </c>
      <c r="D13" s="116">
        <v>36</v>
      </c>
      <c r="E13" s="116">
        <v>0</v>
      </c>
      <c r="F13" s="116">
        <v>36</v>
      </c>
      <c r="G13" s="117">
        <v>24</v>
      </c>
      <c r="K13">
        <f>INDEX(OutputValues,9,$J$4)</f>
        <v>9</v>
      </c>
    </row>
    <row r="14" spans="1:11" x14ac:dyDescent="0.35">
      <c r="A14" s="108">
        <v>0.45000001788139343</v>
      </c>
      <c r="B14" s="115">
        <v>9</v>
      </c>
      <c r="C14" s="116">
        <v>24</v>
      </c>
      <c r="D14" s="116">
        <v>36</v>
      </c>
      <c r="E14" s="116">
        <v>0</v>
      </c>
      <c r="F14" s="116">
        <v>36</v>
      </c>
      <c r="G14" s="117">
        <v>24</v>
      </c>
      <c r="K14">
        <f>INDEX(OutputValues,10,$J$4)</f>
        <v>9</v>
      </c>
    </row>
    <row r="15" spans="1:11" x14ac:dyDescent="0.35">
      <c r="A15" s="108">
        <v>0.5</v>
      </c>
      <c r="B15" s="118">
        <v>9</v>
      </c>
      <c r="C15" s="119">
        <v>24</v>
      </c>
      <c r="D15" s="119">
        <v>36</v>
      </c>
      <c r="E15" s="119">
        <v>0</v>
      </c>
      <c r="F15" s="119">
        <v>36</v>
      </c>
      <c r="G15" s="120">
        <v>24</v>
      </c>
      <c r="K15">
        <f>INDEX(OutputValues,11,$J$4)</f>
        <v>9</v>
      </c>
    </row>
  </sheetData>
  <dataValidations count="1">
    <dataValidation type="list" allowBlank="1" showInputMessage="1" showErrorMessage="1" sqref="K4" xr:uid="{4914D42C-A527-4C9A-A258-EBA8A01FCCD0}">
      <formula1>OutputAddresses</formula1>
    </dataValidation>
  </dataValidations>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D2E28-A1A5-4F2C-896D-75D3B9979ADD}">
  <dimension ref="A1:B18"/>
  <sheetViews>
    <sheetView workbookViewId="0"/>
  </sheetViews>
  <sheetFormatPr defaultRowHeight="12.75" x14ac:dyDescent="0.35"/>
  <sheetData>
    <row r="1" spans="1:2" x14ac:dyDescent="0.35">
      <c r="A1">
        <v>1</v>
      </c>
      <c r="B1">
        <v>1</v>
      </c>
    </row>
    <row r="2" spans="1:2" x14ac:dyDescent="0.35">
      <c r="A2" t="s">
        <v>201</v>
      </c>
      <c r="B2" t="s">
        <v>201</v>
      </c>
    </row>
    <row r="3" spans="1:2" x14ac:dyDescent="0.35">
      <c r="A3">
        <v>1</v>
      </c>
      <c r="B3">
        <v>1</v>
      </c>
    </row>
    <row r="4" spans="1:2" x14ac:dyDescent="0.35">
      <c r="A4">
        <v>1000</v>
      </c>
      <c r="B4">
        <v>1000</v>
      </c>
    </row>
    <row r="5" spans="1:2" x14ac:dyDescent="0.35">
      <c r="A5">
        <v>3000</v>
      </c>
      <c r="B5">
        <v>3000</v>
      </c>
    </row>
    <row r="6" spans="1:2" x14ac:dyDescent="0.35">
      <c r="A6">
        <v>100</v>
      </c>
      <c r="B6">
        <v>100</v>
      </c>
    </row>
    <row r="8" spans="1:2" x14ac:dyDescent="0.35">
      <c r="A8" s="1"/>
      <c r="B8" s="1" t="s">
        <v>180</v>
      </c>
    </row>
    <row r="9" spans="1:2" x14ac:dyDescent="0.35">
      <c r="A9" t="s">
        <v>202</v>
      </c>
      <c r="B9" t="s">
        <v>207</v>
      </c>
    </row>
    <row r="10" spans="1:2" x14ac:dyDescent="0.35">
      <c r="A10" t="s">
        <v>203</v>
      </c>
      <c r="B10">
        <v>1</v>
      </c>
    </row>
    <row r="11" spans="1:2" x14ac:dyDescent="0.35">
      <c r="B11">
        <v>10</v>
      </c>
    </row>
    <row r="12" spans="1:2" x14ac:dyDescent="0.35">
      <c r="B12">
        <v>80</v>
      </c>
    </row>
    <row r="13" spans="1:2" x14ac:dyDescent="0.35">
      <c r="B13">
        <v>5</v>
      </c>
    </row>
    <row r="15" spans="1:2" x14ac:dyDescent="0.35">
      <c r="B15" s="1" t="s">
        <v>180</v>
      </c>
    </row>
    <row r="16" spans="1:2" x14ac:dyDescent="0.35">
      <c r="B16" t="s">
        <v>119</v>
      </c>
    </row>
    <row r="17" spans="2:2" x14ac:dyDescent="0.35">
      <c r="B17" t="s">
        <v>203</v>
      </c>
    </row>
    <row r="18" spans="2:2" x14ac:dyDescent="0.35">
      <c r="B18" t="s">
        <v>208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4220C-1079-40E3-B0B3-1F5416918414}">
  <dimension ref="A1:K25"/>
  <sheetViews>
    <sheetView workbookViewId="0">
      <selection activeCell="K4" sqref="K4"/>
    </sheetView>
  </sheetViews>
  <sheetFormatPr defaultRowHeight="12.75" x14ac:dyDescent="0.35"/>
  <sheetData>
    <row r="1" spans="1:11" ht="13.15" x14ac:dyDescent="0.4">
      <c r="A1" s="7" t="s">
        <v>204</v>
      </c>
      <c r="K1" s="111" t="str">
        <f>CONCATENATE("Sensitivity of ",$K$4," to ","Ad Budget")</f>
        <v>Sensitivity of $B$21 to Ad Budget</v>
      </c>
    </row>
    <row r="3" spans="1:11" x14ac:dyDescent="0.35">
      <c r="A3" t="s">
        <v>205</v>
      </c>
      <c r="K3" t="s">
        <v>188</v>
      </c>
    </row>
    <row r="4" spans="1:11" ht="34.5" x14ac:dyDescent="0.35">
      <c r="B4" s="109" t="s">
        <v>32</v>
      </c>
      <c r="C4" s="109" t="s">
        <v>33</v>
      </c>
      <c r="D4" s="109" t="s">
        <v>34</v>
      </c>
      <c r="E4" s="109" t="s">
        <v>35</v>
      </c>
      <c r="F4" s="109" t="s">
        <v>36</v>
      </c>
      <c r="G4" s="109" t="s">
        <v>37</v>
      </c>
      <c r="H4" s="109" t="s">
        <v>38</v>
      </c>
      <c r="I4" s="109" t="s">
        <v>119</v>
      </c>
      <c r="J4" s="111">
        <f>MATCH($K$4,OutputAddresses,0)</f>
        <v>8</v>
      </c>
      <c r="K4" s="110" t="s">
        <v>119</v>
      </c>
    </row>
    <row r="5" spans="1:11" x14ac:dyDescent="0.35">
      <c r="A5" s="123">
        <v>1000</v>
      </c>
      <c r="B5" s="128" t="s">
        <v>206</v>
      </c>
      <c r="C5" s="124"/>
      <c r="D5" s="124"/>
      <c r="E5" s="124"/>
      <c r="F5" s="124"/>
      <c r="G5" s="124"/>
      <c r="H5" s="124"/>
      <c r="I5" s="125"/>
      <c r="K5">
        <f>INDEX(OutputValues,1,$J$4)</f>
        <v>0</v>
      </c>
    </row>
    <row r="6" spans="1:11" x14ac:dyDescent="0.35">
      <c r="A6" s="123">
        <v>1100</v>
      </c>
      <c r="B6" s="129" t="s">
        <v>206</v>
      </c>
      <c r="C6" s="126"/>
      <c r="D6" s="126"/>
      <c r="E6" s="126"/>
      <c r="F6" s="126"/>
      <c r="G6" s="126"/>
      <c r="H6" s="126"/>
      <c r="I6" s="127"/>
      <c r="K6">
        <f>INDEX(OutputValues,2,$J$4)</f>
        <v>0</v>
      </c>
    </row>
    <row r="7" spans="1:11" x14ac:dyDescent="0.35">
      <c r="A7" s="123">
        <v>1200</v>
      </c>
      <c r="B7" s="129" t="s">
        <v>206</v>
      </c>
      <c r="C7" s="126"/>
      <c r="D7" s="126"/>
      <c r="E7" s="126"/>
      <c r="F7" s="126"/>
      <c r="G7" s="126"/>
      <c r="H7" s="126"/>
      <c r="I7" s="127"/>
      <c r="K7">
        <f>INDEX(OutputValues,3,$J$4)</f>
        <v>0</v>
      </c>
    </row>
    <row r="8" spans="1:11" x14ac:dyDescent="0.35">
      <c r="A8" s="123">
        <v>1300</v>
      </c>
      <c r="B8" s="129" t="s">
        <v>206</v>
      </c>
      <c r="C8" s="126"/>
      <c r="D8" s="126"/>
      <c r="E8" s="126"/>
      <c r="F8" s="126"/>
      <c r="G8" s="126"/>
      <c r="H8" s="126"/>
      <c r="I8" s="127"/>
      <c r="K8">
        <f>INDEX(OutputValues,4,$J$4)</f>
        <v>0</v>
      </c>
    </row>
    <row r="9" spans="1:11" x14ac:dyDescent="0.35">
      <c r="A9" s="123">
        <v>1400</v>
      </c>
      <c r="B9" s="129" t="s">
        <v>206</v>
      </c>
      <c r="C9" s="126"/>
      <c r="D9" s="126"/>
      <c r="E9" s="126"/>
      <c r="F9" s="126"/>
      <c r="G9" s="126"/>
      <c r="H9" s="126"/>
      <c r="I9" s="127"/>
      <c r="K9">
        <f>INDEX(OutputValues,5,$J$4)</f>
        <v>0</v>
      </c>
    </row>
    <row r="10" spans="1:11" x14ac:dyDescent="0.35">
      <c r="A10" s="123">
        <v>1500</v>
      </c>
      <c r="B10" s="129" t="s">
        <v>206</v>
      </c>
      <c r="C10" s="126"/>
      <c r="D10" s="126"/>
      <c r="E10" s="126"/>
      <c r="F10" s="126"/>
      <c r="G10" s="126"/>
      <c r="H10" s="126"/>
      <c r="I10" s="127"/>
      <c r="K10">
        <f>INDEX(OutputValues,6,$J$4)</f>
        <v>0</v>
      </c>
    </row>
    <row r="11" spans="1:11" x14ac:dyDescent="0.35">
      <c r="A11" s="123">
        <v>1600</v>
      </c>
      <c r="B11" s="129" t="s">
        <v>206</v>
      </c>
      <c r="C11" s="126"/>
      <c r="D11" s="126"/>
      <c r="E11" s="126"/>
      <c r="F11" s="126"/>
      <c r="G11" s="126"/>
      <c r="H11" s="126"/>
      <c r="I11" s="127"/>
      <c r="K11">
        <f>INDEX(OutputValues,7,$J$4)</f>
        <v>0</v>
      </c>
    </row>
    <row r="12" spans="1:11" x14ac:dyDescent="0.35">
      <c r="A12" s="123">
        <v>1700</v>
      </c>
      <c r="B12" s="129" t="s">
        <v>206</v>
      </c>
      <c r="C12" s="126"/>
      <c r="D12" s="126"/>
      <c r="E12" s="126"/>
      <c r="F12" s="126"/>
      <c r="G12" s="126"/>
      <c r="H12" s="126"/>
      <c r="I12" s="127"/>
      <c r="K12">
        <f>INDEX(OutputValues,8,$J$4)</f>
        <v>0</v>
      </c>
    </row>
    <row r="13" spans="1:11" x14ac:dyDescent="0.35">
      <c r="A13" s="123">
        <v>1800</v>
      </c>
      <c r="B13" s="129" t="s">
        <v>206</v>
      </c>
      <c r="C13" s="126"/>
      <c r="D13" s="126"/>
      <c r="E13" s="126"/>
      <c r="F13" s="126"/>
      <c r="G13" s="126"/>
      <c r="H13" s="126"/>
      <c r="I13" s="127"/>
      <c r="K13">
        <f>INDEX(OutputValues,9,$J$4)</f>
        <v>0</v>
      </c>
    </row>
    <row r="14" spans="1:11" x14ac:dyDescent="0.35">
      <c r="A14" s="123">
        <v>1900</v>
      </c>
      <c r="B14" s="115">
        <v>0</v>
      </c>
      <c r="C14" s="130">
        <v>8.2075471698113152</v>
      </c>
      <c r="D14" s="130">
        <v>0</v>
      </c>
      <c r="E14" s="130">
        <v>0</v>
      </c>
      <c r="F14" s="130">
        <v>1.8867924528302098</v>
      </c>
      <c r="G14" s="130">
        <v>0</v>
      </c>
      <c r="H14" s="130">
        <v>8.6792452830188704</v>
      </c>
      <c r="I14" s="131">
        <v>319.71698113207549</v>
      </c>
      <c r="K14">
        <f>INDEX(OutputValues,10,$J$4)</f>
        <v>319.71698113207549</v>
      </c>
    </row>
    <row r="15" spans="1:11" x14ac:dyDescent="0.35">
      <c r="A15" s="123">
        <v>2000</v>
      </c>
      <c r="B15" s="115">
        <v>0</v>
      </c>
      <c r="C15" s="130">
        <v>6.0301507537688348</v>
      </c>
      <c r="D15" s="130">
        <v>0</v>
      </c>
      <c r="E15" s="130">
        <v>0</v>
      </c>
      <c r="F15" s="130">
        <v>12.060301507537718</v>
      </c>
      <c r="G15" s="130">
        <v>0</v>
      </c>
      <c r="H15" s="130">
        <v>9.5477386934673394</v>
      </c>
      <c r="I15" s="131">
        <v>337.6884422110553</v>
      </c>
      <c r="K15">
        <f>INDEX(OutputValues,11,$J$4)</f>
        <v>337.6884422110553</v>
      </c>
    </row>
    <row r="16" spans="1:11" x14ac:dyDescent="0.35">
      <c r="A16" s="123">
        <v>2100</v>
      </c>
      <c r="B16" s="115">
        <v>0</v>
      </c>
      <c r="C16" s="130">
        <v>5.2763819095477276</v>
      </c>
      <c r="D16" s="130">
        <v>0</v>
      </c>
      <c r="E16" s="130">
        <v>0</v>
      </c>
      <c r="F16" s="130">
        <v>10.552763819095517</v>
      </c>
      <c r="G16" s="130">
        <v>0</v>
      </c>
      <c r="H16" s="130">
        <v>10.85427135678392</v>
      </c>
      <c r="I16" s="131">
        <v>355.47738693467335</v>
      </c>
      <c r="K16">
        <f>INDEX(OutputValues,12,$J$4)</f>
        <v>355.47738693467335</v>
      </c>
    </row>
    <row r="17" spans="1:11" x14ac:dyDescent="0.35">
      <c r="A17" s="123">
        <v>2200</v>
      </c>
      <c r="B17" s="115">
        <v>0</v>
      </c>
      <c r="C17" s="130">
        <v>4.5226130653266221</v>
      </c>
      <c r="D17" s="130">
        <v>0</v>
      </c>
      <c r="E17" s="130">
        <v>0</v>
      </c>
      <c r="F17" s="130">
        <v>9.0452261306532939</v>
      </c>
      <c r="G17" s="130">
        <v>0</v>
      </c>
      <c r="H17" s="130">
        <v>12.160804020100505</v>
      </c>
      <c r="I17" s="131">
        <v>373.26633165829139</v>
      </c>
      <c r="K17">
        <f>INDEX(OutputValues,13,$J$4)</f>
        <v>373.26633165829139</v>
      </c>
    </row>
    <row r="18" spans="1:11" x14ac:dyDescent="0.35">
      <c r="A18" s="123">
        <v>2300</v>
      </c>
      <c r="B18" s="115">
        <v>0</v>
      </c>
      <c r="C18" s="130">
        <v>3.7688442211055122</v>
      </c>
      <c r="D18" s="130">
        <v>0</v>
      </c>
      <c r="E18" s="130">
        <v>0</v>
      </c>
      <c r="F18" s="130">
        <v>7.5376884422110839</v>
      </c>
      <c r="G18" s="130">
        <v>0</v>
      </c>
      <c r="H18" s="130">
        <v>13.46733668341709</v>
      </c>
      <c r="I18" s="131">
        <v>391.05527638190949</v>
      </c>
      <c r="K18">
        <f>INDEX(OutputValues,14,$J$4)</f>
        <v>391.05527638190949</v>
      </c>
    </row>
    <row r="19" spans="1:11" x14ac:dyDescent="0.35">
      <c r="A19" s="123">
        <v>2400</v>
      </c>
      <c r="B19" s="115">
        <v>0</v>
      </c>
      <c r="C19" s="130">
        <v>3.0150753768844112</v>
      </c>
      <c r="D19" s="130">
        <v>0</v>
      </c>
      <c r="E19" s="130">
        <v>0</v>
      </c>
      <c r="F19" s="130">
        <v>6.0301507537688668</v>
      </c>
      <c r="G19" s="130">
        <v>0</v>
      </c>
      <c r="H19" s="130">
        <v>14.773869346733674</v>
      </c>
      <c r="I19" s="131">
        <v>408.84422110552771</v>
      </c>
      <c r="K19">
        <f>INDEX(OutputValues,15,$J$4)</f>
        <v>408.84422110552771</v>
      </c>
    </row>
    <row r="20" spans="1:11" x14ac:dyDescent="0.35">
      <c r="A20" s="123">
        <v>2500</v>
      </c>
      <c r="B20" s="115">
        <v>0</v>
      </c>
      <c r="C20" s="130">
        <v>2.2613065326632995</v>
      </c>
      <c r="D20" s="130">
        <v>0</v>
      </c>
      <c r="E20" s="130">
        <v>0</v>
      </c>
      <c r="F20" s="130">
        <v>4.5226130653266727</v>
      </c>
      <c r="G20" s="130">
        <v>0</v>
      </c>
      <c r="H20" s="130">
        <v>16.080402010050257</v>
      </c>
      <c r="I20" s="131">
        <v>426.63316582914575</v>
      </c>
      <c r="K20">
        <f>INDEX(OutputValues,16,$J$4)</f>
        <v>426.63316582914575</v>
      </c>
    </row>
    <row r="21" spans="1:11" x14ac:dyDescent="0.35">
      <c r="A21" s="123">
        <v>2600</v>
      </c>
      <c r="B21" s="115">
        <v>0</v>
      </c>
      <c r="C21" s="130">
        <v>1.507537688442194</v>
      </c>
      <c r="D21" s="130">
        <v>0</v>
      </c>
      <c r="E21" s="130">
        <v>0</v>
      </c>
      <c r="F21" s="130">
        <v>3.0150753768844223</v>
      </c>
      <c r="G21" s="130">
        <v>0</v>
      </c>
      <c r="H21" s="130">
        <v>17.386934673366849</v>
      </c>
      <c r="I21" s="131">
        <v>444.42211055276391</v>
      </c>
      <c r="K21">
        <f>INDEX(OutputValues,17,$J$4)</f>
        <v>444.42211055276391</v>
      </c>
    </row>
    <row r="22" spans="1:11" x14ac:dyDescent="0.35">
      <c r="A22" s="123">
        <v>2700</v>
      </c>
      <c r="B22" s="115">
        <v>0</v>
      </c>
      <c r="C22" s="130">
        <v>0.75376884422108847</v>
      </c>
      <c r="D22" s="130">
        <v>0</v>
      </c>
      <c r="E22" s="130">
        <v>0</v>
      </c>
      <c r="F22" s="130">
        <v>1.5075376884421938</v>
      </c>
      <c r="G22" s="130">
        <v>0</v>
      </c>
      <c r="H22" s="130">
        <v>18.693467336683433</v>
      </c>
      <c r="I22" s="131">
        <v>462.21105527638201</v>
      </c>
      <c r="K22">
        <f>INDEX(OutputValues,18,$J$4)</f>
        <v>462.21105527638201</v>
      </c>
    </row>
    <row r="23" spans="1:11" x14ac:dyDescent="0.35">
      <c r="A23" s="123">
        <v>2800</v>
      </c>
      <c r="B23" s="115">
        <v>0</v>
      </c>
      <c r="C23" s="130">
        <v>0</v>
      </c>
      <c r="D23" s="130">
        <v>0</v>
      </c>
      <c r="E23" s="130">
        <v>0</v>
      </c>
      <c r="F23" s="130">
        <v>0</v>
      </c>
      <c r="G23" s="130">
        <v>0</v>
      </c>
      <c r="H23" s="130">
        <v>20</v>
      </c>
      <c r="I23" s="131">
        <v>480</v>
      </c>
      <c r="K23">
        <f>INDEX(OutputValues,19,$J$4)</f>
        <v>480</v>
      </c>
    </row>
    <row r="24" spans="1:11" x14ac:dyDescent="0.35">
      <c r="A24" s="123">
        <v>2900</v>
      </c>
      <c r="B24" s="115">
        <v>0</v>
      </c>
      <c r="C24" s="130">
        <v>0</v>
      </c>
      <c r="D24" s="130">
        <v>0</v>
      </c>
      <c r="E24" s="130">
        <v>0</v>
      </c>
      <c r="F24" s="130">
        <v>0</v>
      </c>
      <c r="G24" s="130">
        <v>0</v>
      </c>
      <c r="H24" s="130">
        <v>20.714285714285715</v>
      </c>
      <c r="I24" s="131">
        <v>497.14285714285717</v>
      </c>
      <c r="K24">
        <f>INDEX(OutputValues,20,$J$4)</f>
        <v>497.14285714285717</v>
      </c>
    </row>
    <row r="25" spans="1:11" x14ac:dyDescent="0.35">
      <c r="A25" s="123">
        <v>3000</v>
      </c>
      <c r="B25" s="118">
        <v>0</v>
      </c>
      <c r="C25" s="132">
        <v>0</v>
      </c>
      <c r="D25" s="132">
        <v>0</v>
      </c>
      <c r="E25" s="132">
        <v>0</v>
      </c>
      <c r="F25" s="132">
        <v>0</v>
      </c>
      <c r="G25" s="132">
        <v>0</v>
      </c>
      <c r="H25" s="132">
        <v>21.428571428571434</v>
      </c>
      <c r="I25" s="133">
        <v>514.28571428571445</v>
      </c>
      <c r="K25">
        <f>INDEX(OutputValues,21,$J$4)</f>
        <v>514.28571428571445</v>
      </c>
    </row>
  </sheetData>
  <dataValidations count="1">
    <dataValidation type="list" allowBlank="1" showInputMessage="1" showErrorMessage="1" sqref="K4" xr:uid="{14C6C178-64AC-4DE0-8E25-477D8FE8A542}">
      <formula1>OutputAddresses</formula1>
    </dataValidation>
  </dataValidation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EFB37-BA49-4CF3-9C14-5DEDF13F9D88}">
  <dimension ref="A1:AZ25"/>
  <sheetViews>
    <sheetView zoomScale="73" zoomScaleNormal="70" workbookViewId="0">
      <selection activeCell="W27" sqref="W27"/>
    </sheetView>
  </sheetViews>
  <sheetFormatPr defaultRowHeight="12.75" x14ac:dyDescent="0.35"/>
  <cols>
    <col min="1" max="1" width="5.9296875" bestFit="1" customWidth="1"/>
  </cols>
  <sheetData>
    <row r="1" spans="1:52" ht="13.15" x14ac:dyDescent="0.4">
      <c r="A1" s="7" t="s">
        <v>209</v>
      </c>
      <c r="R1" s="111" t="str">
        <f>CONCATENATE("Sensitivity of ",$R$4," to ","Min. Exposure for Men 18-35")</f>
        <v>Sensitivity of $B$21 to Min. Exposure for Men 18-35</v>
      </c>
      <c r="V1" s="111" t="str">
        <f>CONCATENATE("Sensitivity of ",$V$4," to ","Ad Budget")</f>
        <v>Sensitivity of $B$21 to Ad Budget</v>
      </c>
    </row>
    <row r="2" spans="1:52" x14ac:dyDescent="0.35">
      <c r="R2" t="s">
        <v>211</v>
      </c>
      <c r="V2" t="s">
        <v>214</v>
      </c>
      <c r="AZ2" t="s">
        <v>119</v>
      </c>
    </row>
    <row r="3" spans="1:52" x14ac:dyDescent="0.35">
      <c r="A3" t="s">
        <v>210</v>
      </c>
      <c r="R3" t="s">
        <v>212</v>
      </c>
      <c r="S3" t="s">
        <v>213</v>
      </c>
      <c r="V3" t="s">
        <v>212</v>
      </c>
      <c r="W3" t="s">
        <v>215</v>
      </c>
    </row>
    <row r="4" spans="1:52" ht="33.4" x14ac:dyDescent="0.35">
      <c r="A4" s="135" t="s">
        <v>119</v>
      </c>
      <c r="B4" s="134">
        <v>10</v>
      </c>
      <c r="C4" s="134">
        <v>15</v>
      </c>
      <c r="D4" s="134">
        <v>20</v>
      </c>
      <c r="E4" s="134">
        <v>25</v>
      </c>
      <c r="F4" s="134">
        <v>30</v>
      </c>
      <c r="G4" s="134">
        <v>35</v>
      </c>
      <c r="H4" s="134">
        <v>40</v>
      </c>
      <c r="I4" s="134">
        <v>45</v>
      </c>
      <c r="J4" s="134">
        <v>50</v>
      </c>
      <c r="K4" s="134">
        <v>55</v>
      </c>
      <c r="L4" s="134">
        <v>60</v>
      </c>
      <c r="M4" s="134">
        <v>65</v>
      </c>
      <c r="N4" s="134">
        <v>70</v>
      </c>
      <c r="O4" s="134">
        <v>75</v>
      </c>
      <c r="P4" s="134">
        <v>80</v>
      </c>
      <c r="Q4" s="111">
        <f>MATCH($R$4,OutputAddresses,0)</f>
        <v>1</v>
      </c>
      <c r="R4" s="110" t="s">
        <v>119</v>
      </c>
      <c r="S4" s="136">
        <v>1000</v>
      </c>
      <c r="T4" s="111">
        <f>MATCH($S$4,InputValues1,0)</f>
        <v>1</v>
      </c>
      <c r="U4" s="111">
        <f>MATCH($V$4,OutputAddresses,0)</f>
        <v>1</v>
      </c>
      <c r="V4" s="110" t="s">
        <v>119</v>
      </c>
      <c r="W4" s="136">
        <v>10</v>
      </c>
      <c r="X4" s="111">
        <f>MATCH($W$4,InputValues2,0)</f>
        <v>1</v>
      </c>
    </row>
    <row r="5" spans="1:52" x14ac:dyDescent="0.35">
      <c r="A5" s="123">
        <v>1000</v>
      </c>
      <c r="B5" s="128" t="s">
        <v>206</v>
      </c>
      <c r="C5" s="139" t="s">
        <v>206</v>
      </c>
      <c r="D5" s="139" t="s">
        <v>206</v>
      </c>
      <c r="E5" s="139" t="s">
        <v>206</v>
      </c>
      <c r="F5" s="139" t="s">
        <v>206</v>
      </c>
      <c r="G5" s="139" t="s">
        <v>206</v>
      </c>
      <c r="H5" s="139" t="s">
        <v>206</v>
      </c>
      <c r="I5" s="139" t="s">
        <v>206</v>
      </c>
      <c r="J5" s="139" t="s">
        <v>206</v>
      </c>
      <c r="K5" s="139" t="s">
        <v>206</v>
      </c>
      <c r="L5" s="139" t="s">
        <v>206</v>
      </c>
      <c r="M5" s="139" t="s">
        <v>206</v>
      </c>
      <c r="N5" s="139" t="s">
        <v>206</v>
      </c>
      <c r="O5" s="139" t="s">
        <v>206</v>
      </c>
      <c r="P5" s="143" t="s">
        <v>206</v>
      </c>
      <c r="Q5" s="111" t="str">
        <f>"OutputValues_"&amp;$Q$4</f>
        <v>OutputValues_1</v>
      </c>
      <c r="R5" t="str">
        <f ca="1">INDEX(INDIRECT($Q$5),$T$4,1)</f>
        <v>Not feasible</v>
      </c>
      <c r="U5" s="111" t="str">
        <f>"OutputValues_"&amp;$U$4</f>
        <v>OutputValues_1</v>
      </c>
      <c r="V5" t="str">
        <f ca="1">INDEX(INDIRECT($U$5),1,$X$4)</f>
        <v>Not feasible</v>
      </c>
    </row>
    <row r="6" spans="1:52" x14ac:dyDescent="0.35">
      <c r="A6" s="123">
        <v>1100</v>
      </c>
      <c r="B6" s="129" t="s">
        <v>206</v>
      </c>
      <c r="C6" s="140" t="s">
        <v>206</v>
      </c>
      <c r="D6" s="140" t="s">
        <v>206</v>
      </c>
      <c r="E6" s="140" t="s">
        <v>206</v>
      </c>
      <c r="F6" s="140" t="s">
        <v>206</v>
      </c>
      <c r="G6" s="140" t="s">
        <v>206</v>
      </c>
      <c r="H6" s="140" t="s">
        <v>206</v>
      </c>
      <c r="I6" s="140" t="s">
        <v>206</v>
      </c>
      <c r="J6" s="140" t="s">
        <v>206</v>
      </c>
      <c r="K6" s="140" t="s">
        <v>206</v>
      </c>
      <c r="L6" s="140" t="s">
        <v>206</v>
      </c>
      <c r="M6" s="140" t="s">
        <v>206</v>
      </c>
      <c r="N6" s="140" t="s">
        <v>206</v>
      </c>
      <c r="O6" s="140" t="s">
        <v>206</v>
      </c>
      <c r="P6" s="144" t="s">
        <v>206</v>
      </c>
      <c r="R6" t="str">
        <f ca="1">INDEX(INDIRECT($Q$5),$T$4,2)</f>
        <v>Not feasible</v>
      </c>
      <c r="V6" t="str">
        <f ca="1">INDEX(INDIRECT($U$5),2,$X$4)</f>
        <v>Not feasible</v>
      </c>
    </row>
    <row r="7" spans="1:52" x14ac:dyDescent="0.35">
      <c r="A7" s="123">
        <v>1200</v>
      </c>
      <c r="B7" s="129" t="s">
        <v>206</v>
      </c>
      <c r="C7" s="140" t="s">
        <v>206</v>
      </c>
      <c r="D7" s="140" t="s">
        <v>206</v>
      </c>
      <c r="E7" s="140" t="s">
        <v>206</v>
      </c>
      <c r="F7" s="140" t="s">
        <v>206</v>
      </c>
      <c r="G7" s="140" t="s">
        <v>206</v>
      </c>
      <c r="H7" s="140" t="s">
        <v>206</v>
      </c>
      <c r="I7" s="140" t="s">
        <v>206</v>
      </c>
      <c r="J7" s="140" t="s">
        <v>206</v>
      </c>
      <c r="K7" s="140" t="s">
        <v>206</v>
      </c>
      <c r="L7" s="140" t="s">
        <v>206</v>
      </c>
      <c r="M7" s="140" t="s">
        <v>206</v>
      </c>
      <c r="N7" s="140" t="s">
        <v>206</v>
      </c>
      <c r="O7" s="140" t="s">
        <v>206</v>
      </c>
      <c r="P7" s="144" t="s">
        <v>206</v>
      </c>
      <c r="R7" t="str">
        <f ca="1">INDEX(INDIRECT($Q$5),$T$4,3)</f>
        <v>Not feasible</v>
      </c>
      <c r="V7" t="str">
        <f ca="1">INDEX(INDIRECT($U$5),3,$X$4)</f>
        <v>Not feasible</v>
      </c>
    </row>
    <row r="8" spans="1:52" x14ac:dyDescent="0.35">
      <c r="A8" s="123">
        <v>1300</v>
      </c>
      <c r="B8" s="129" t="s">
        <v>206</v>
      </c>
      <c r="C8" s="140" t="s">
        <v>206</v>
      </c>
      <c r="D8" s="140" t="s">
        <v>206</v>
      </c>
      <c r="E8" s="140" t="s">
        <v>206</v>
      </c>
      <c r="F8" s="140" t="s">
        <v>206</v>
      </c>
      <c r="G8" s="140" t="s">
        <v>206</v>
      </c>
      <c r="H8" s="140" t="s">
        <v>206</v>
      </c>
      <c r="I8" s="140" t="s">
        <v>206</v>
      </c>
      <c r="J8" s="140" t="s">
        <v>206</v>
      </c>
      <c r="K8" s="140" t="s">
        <v>206</v>
      </c>
      <c r="L8" s="140" t="s">
        <v>206</v>
      </c>
      <c r="M8" s="140" t="s">
        <v>206</v>
      </c>
      <c r="N8" s="140" t="s">
        <v>206</v>
      </c>
      <c r="O8" s="140" t="s">
        <v>206</v>
      </c>
      <c r="P8" s="144" t="s">
        <v>206</v>
      </c>
      <c r="R8" t="str">
        <f ca="1">INDEX(INDIRECT($Q$5),$T$4,4)</f>
        <v>Not feasible</v>
      </c>
      <c r="V8" t="str">
        <f ca="1">INDEX(INDIRECT($U$5),4,$X$4)</f>
        <v>Not feasible</v>
      </c>
    </row>
    <row r="9" spans="1:52" x14ac:dyDescent="0.35">
      <c r="A9" s="123">
        <v>1400</v>
      </c>
      <c r="B9" s="129" t="s">
        <v>206</v>
      </c>
      <c r="C9" s="140" t="s">
        <v>206</v>
      </c>
      <c r="D9" s="140" t="s">
        <v>206</v>
      </c>
      <c r="E9" s="140" t="s">
        <v>206</v>
      </c>
      <c r="F9" s="140" t="s">
        <v>206</v>
      </c>
      <c r="G9" s="140" t="s">
        <v>206</v>
      </c>
      <c r="H9" s="140" t="s">
        <v>206</v>
      </c>
      <c r="I9" s="140" t="s">
        <v>206</v>
      </c>
      <c r="J9" s="140" t="s">
        <v>206</v>
      </c>
      <c r="K9" s="140" t="s">
        <v>206</v>
      </c>
      <c r="L9" s="140" t="s">
        <v>206</v>
      </c>
      <c r="M9" s="140" t="s">
        <v>206</v>
      </c>
      <c r="N9" s="140" t="s">
        <v>206</v>
      </c>
      <c r="O9" s="140" t="s">
        <v>206</v>
      </c>
      <c r="P9" s="144" t="s">
        <v>206</v>
      </c>
      <c r="R9" t="str">
        <f ca="1">INDEX(INDIRECT($Q$5),$T$4,5)</f>
        <v>Not feasible</v>
      </c>
      <c r="V9" t="str">
        <f ca="1">INDEX(INDIRECT($U$5),5,$X$4)</f>
        <v>Not feasible</v>
      </c>
    </row>
    <row r="10" spans="1:52" x14ac:dyDescent="0.35">
      <c r="A10" s="123">
        <v>1500</v>
      </c>
      <c r="B10" s="129" t="s">
        <v>206</v>
      </c>
      <c r="C10" s="140" t="s">
        <v>206</v>
      </c>
      <c r="D10" s="140" t="s">
        <v>206</v>
      </c>
      <c r="E10" s="140" t="s">
        <v>206</v>
      </c>
      <c r="F10" s="140" t="s">
        <v>206</v>
      </c>
      <c r="G10" s="140" t="s">
        <v>206</v>
      </c>
      <c r="H10" s="140" t="s">
        <v>206</v>
      </c>
      <c r="I10" s="140" t="s">
        <v>206</v>
      </c>
      <c r="J10" s="140" t="s">
        <v>206</v>
      </c>
      <c r="K10" s="140" t="s">
        <v>206</v>
      </c>
      <c r="L10" s="140" t="s">
        <v>206</v>
      </c>
      <c r="M10" s="140" t="s">
        <v>206</v>
      </c>
      <c r="N10" s="140" t="s">
        <v>206</v>
      </c>
      <c r="O10" s="140" t="s">
        <v>206</v>
      </c>
      <c r="P10" s="144" t="s">
        <v>206</v>
      </c>
      <c r="R10" t="str">
        <f ca="1">INDEX(INDIRECT($Q$5),$T$4,6)</f>
        <v>Not feasible</v>
      </c>
      <c r="V10" t="str">
        <f ca="1">INDEX(INDIRECT($U$5),6,$X$4)</f>
        <v>Not feasible</v>
      </c>
    </row>
    <row r="11" spans="1:52" x14ac:dyDescent="0.35">
      <c r="A11" s="123">
        <v>1600</v>
      </c>
      <c r="B11" s="129" t="s">
        <v>206</v>
      </c>
      <c r="C11" s="140" t="s">
        <v>206</v>
      </c>
      <c r="D11" s="140" t="s">
        <v>206</v>
      </c>
      <c r="E11" s="140" t="s">
        <v>206</v>
      </c>
      <c r="F11" s="140" t="s">
        <v>206</v>
      </c>
      <c r="G11" s="140" t="s">
        <v>206</v>
      </c>
      <c r="H11" s="140" t="s">
        <v>206</v>
      </c>
      <c r="I11" s="140" t="s">
        <v>206</v>
      </c>
      <c r="J11" s="140" t="s">
        <v>206</v>
      </c>
      <c r="K11" s="140" t="s">
        <v>206</v>
      </c>
      <c r="L11" s="140" t="s">
        <v>206</v>
      </c>
      <c r="M11" s="140" t="s">
        <v>206</v>
      </c>
      <c r="N11" s="140" t="s">
        <v>206</v>
      </c>
      <c r="O11" s="140" t="s">
        <v>206</v>
      </c>
      <c r="P11" s="144" t="s">
        <v>206</v>
      </c>
      <c r="R11" t="str">
        <f ca="1">INDEX(INDIRECT($Q$5),$T$4,7)</f>
        <v>Not feasible</v>
      </c>
      <c r="V11" t="str">
        <f ca="1">INDEX(INDIRECT($U$5),7,$X$4)</f>
        <v>Not feasible</v>
      </c>
    </row>
    <row r="12" spans="1:52" x14ac:dyDescent="0.35">
      <c r="A12" s="123">
        <v>1700</v>
      </c>
      <c r="B12" s="129" t="s">
        <v>206</v>
      </c>
      <c r="C12" s="140" t="s">
        <v>206</v>
      </c>
      <c r="D12" s="140" t="s">
        <v>206</v>
      </c>
      <c r="E12" s="140" t="s">
        <v>206</v>
      </c>
      <c r="F12" s="140" t="s">
        <v>206</v>
      </c>
      <c r="G12" s="140" t="s">
        <v>206</v>
      </c>
      <c r="H12" s="140" t="s">
        <v>206</v>
      </c>
      <c r="I12" s="140" t="s">
        <v>206</v>
      </c>
      <c r="J12" s="140" t="s">
        <v>206</v>
      </c>
      <c r="K12" s="140" t="s">
        <v>206</v>
      </c>
      <c r="L12" s="140" t="s">
        <v>206</v>
      </c>
      <c r="M12" s="140" t="s">
        <v>206</v>
      </c>
      <c r="N12" s="140" t="s">
        <v>206</v>
      </c>
      <c r="O12" s="140" t="s">
        <v>206</v>
      </c>
      <c r="P12" s="144" t="s">
        <v>206</v>
      </c>
      <c r="R12" t="str">
        <f ca="1">INDEX(INDIRECT($Q$5),$T$4,8)</f>
        <v>Not feasible</v>
      </c>
      <c r="V12" t="str">
        <f ca="1">INDEX(INDIRECT($U$5),8,$X$4)</f>
        <v>Not feasible</v>
      </c>
    </row>
    <row r="13" spans="1:52" x14ac:dyDescent="0.35">
      <c r="A13" s="123">
        <v>1800</v>
      </c>
      <c r="B13" s="129" t="s">
        <v>206</v>
      </c>
      <c r="C13" s="140" t="s">
        <v>206</v>
      </c>
      <c r="D13" s="140" t="s">
        <v>206</v>
      </c>
      <c r="E13" s="140" t="s">
        <v>206</v>
      </c>
      <c r="F13" s="140" t="s">
        <v>206</v>
      </c>
      <c r="G13" s="140" t="s">
        <v>206</v>
      </c>
      <c r="H13" s="140" t="s">
        <v>206</v>
      </c>
      <c r="I13" s="140" t="s">
        <v>206</v>
      </c>
      <c r="J13" s="140" t="s">
        <v>206</v>
      </c>
      <c r="K13" s="140" t="s">
        <v>206</v>
      </c>
      <c r="L13" s="140" t="s">
        <v>206</v>
      </c>
      <c r="M13" s="140" t="s">
        <v>206</v>
      </c>
      <c r="N13" s="140" t="s">
        <v>206</v>
      </c>
      <c r="O13" s="140" t="s">
        <v>206</v>
      </c>
      <c r="P13" s="144" t="s">
        <v>206</v>
      </c>
      <c r="R13" t="str">
        <f ca="1">INDEX(INDIRECT($Q$5),$T$4,9)</f>
        <v>Not feasible</v>
      </c>
      <c r="V13" t="str">
        <f ca="1">INDEX(INDIRECT($U$5),9,$X$4)</f>
        <v>Not feasible</v>
      </c>
    </row>
    <row r="14" spans="1:52" x14ac:dyDescent="0.35">
      <c r="A14" s="123">
        <v>1900</v>
      </c>
      <c r="B14" s="137">
        <v>319.71698113207549</v>
      </c>
      <c r="C14" s="141">
        <v>319.71698113207549</v>
      </c>
      <c r="D14" s="141">
        <v>319.71698113207538</v>
      </c>
      <c r="E14" s="141">
        <v>319.71698113207549</v>
      </c>
      <c r="F14" s="141">
        <v>319.71698113207549</v>
      </c>
      <c r="G14" s="141">
        <v>319.71698113207549</v>
      </c>
      <c r="H14" s="141">
        <v>319.71698113207549</v>
      </c>
      <c r="I14" s="141">
        <v>319.71698113207549</v>
      </c>
      <c r="J14" s="141">
        <v>319.71698113207555</v>
      </c>
      <c r="K14" s="141">
        <v>319.71698113207543</v>
      </c>
      <c r="L14" s="141">
        <v>319.71698113207549</v>
      </c>
      <c r="M14" s="141">
        <v>319.71698113207549</v>
      </c>
      <c r="N14" s="141">
        <v>319.52789699570815</v>
      </c>
      <c r="O14" s="141">
        <v>318.86266094420603</v>
      </c>
      <c r="P14" s="144" t="s">
        <v>206</v>
      </c>
      <c r="R14" t="str">
        <f ca="1">INDEX(INDIRECT($Q$5),$T$4,10)</f>
        <v>Not feasible</v>
      </c>
      <c r="V14">
        <f ca="1">INDEX(INDIRECT($U$5),10,$X$4)</f>
        <v>319.71698113207549</v>
      </c>
    </row>
    <row r="15" spans="1:52" x14ac:dyDescent="0.35">
      <c r="A15" s="123">
        <v>2000</v>
      </c>
      <c r="B15" s="137">
        <v>337.7358490566038</v>
      </c>
      <c r="C15" s="141">
        <v>337.7358490566038</v>
      </c>
      <c r="D15" s="141">
        <v>337.7358490566038</v>
      </c>
      <c r="E15" s="141">
        <v>337.73584905660368</v>
      </c>
      <c r="F15" s="141">
        <v>337.73584905660368</v>
      </c>
      <c r="G15" s="141">
        <v>337.73584905660368</v>
      </c>
      <c r="H15" s="141">
        <v>337.73584905660368</v>
      </c>
      <c r="I15" s="141">
        <v>337.73584905660368</v>
      </c>
      <c r="J15" s="141">
        <v>337.73584905660363</v>
      </c>
      <c r="K15" s="141">
        <v>337.7358490566038</v>
      </c>
      <c r="L15" s="141">
        <v>337.6884422110553</v>
      </c>
      <c r="M15" s="141">
        <v>337.56281407035181</v>
      </c>
      <c r="N15" s="141">
        <v>337.27272727272737</v>
      </c>
      <c r="O15" s="141">
        <v>336.81818181818187</v>
      </c>
      <c r="P15" s="131">
        <v>336.2231759656654</v>
      </c>
      <c r="R15" t="str">
        <f ca="1">INDEX(INDIRECT($Q$5),$T$4,11)</f>
        <v>Not feasible</v>
      </c>
      <c r="V15">
        <f ca="1">INDEX(INDIRECT($U$5),11,$X$4)</f>
        <v>337.7358490566038</v>
      </c>
    </row>
    <row r="16" spans="1:52" x14ac:dyDescent="0.35">
      <c r="A16" s="123">
        <v>2100</v>
      </c>
      <c r="B16" s="137">
        <v>355.75471698113211</v>
      </c>
      <c r="C16" s="141">
        <v>355.75471698113205</v>
      </c>
      <c r="D16" s="141">
        <v>355.75471698113199</v>
      </c>
      <c r="E16" s="141">
        <v>355.75471698113188</v>
      </c>
      <c r="F16" s="141">
        <v>355.75471698113193</v>
      </c>
      <c r="G16" s="141">
        <v>355.75471698113182</v>
      </c>
      <c r="H16" s="141">
        <v>355.75471698113188</v>
      </c>
      <c r="I16" s="141">
        <v>355.75471698113182</v>
      </c>
      <c r="J16" s="141">
        <v>355.72864321608029</v>
      </c>
      <c r="K16" s="141">
        <v>355.6030150753769</v>
      </c>
      <c r="L16" s="141">
        <v>355.47738693467335</v>
      </c>
      <c r="M16" s="141">
        <v>355.35175879396991</v>
      </c>
      <c r="N16" s="141">
        <v>355.00000000000011</v>
      </c>
      <c r="O16" s="141">
        <v>354.54545454545467</v>
      </c>
      <c r="P16" s="131">
        <v>354.09090909090912</v>
      </c>
      <c r="R16" t="str">
        <f ca="1">INDEX(INDIRECT($Q$5),$T$4,12)</f>
        <v>Not feasible</v>
      </c>
      <c r="V16">
        <f ca="1">INDEX(INDIRECT($U$5),12,$X$4)</f>
        <v>355.75471698113211</v>
      </c>
    </row>
    <row r="17" spans="1:22" x14ac:dyDescent="0.35">
      <c r="A17" s="123">
        <v>2200</v>
      </c>
      <c r="B17" s="137">
        <v>373.77358490566036</v>
      </c>
      <c r="C17" s="141">
        <v>373.77358490566041</v>
      </c>
      <c r="D17" s="141">
        <v>373.77358490566036</v>
      </c>
      <c r="E17" s="141">
        <v>373.77358490566007</v>
      </c>
      <c r="F17" s="141">
        <v>373.77358490566007</v>
      </c>
      <c r="G17" s="141">
        <v>373.77358490566007</v>
      </c>
      <c r="H17" s="141">
        <v>373.76884422110527</v>
      </c>
      <c r="I17" s="141">
        <v>373.64321608040171</v>
      </c>
      <c r="J17" s="141">
        <v>373.51758793969827</v>
      </c>
      <c r="K17" s="141">
        <v>373.391959798995</v>
      </c>
      <c r="L17" s="141">
        <v>373.26633165829139</v>
      </c>
      <c r="M17" s="141">
        <v>373.14070351758801</v>
      </c>
      <c r="N17" s="141">
        <v>372.72727272727286</v>
      </c>
      <c r="O17" s="141">
        <v>372.27272727272737</v>
      </c>
      <c r="P17" s="131">
        <v>371.81818181818198</v>
      </c>
      <c r="R17" t="str">
        <f ca="1">INDEX(INDIRECT($Q$5),$T$4,13)</f>
        <v>Not feasible</v>
      </c>
      <c r="V17">
        <f ca="1">INDEX(INDIRECT($U$5),13,$X$4)</f>
        <v>373.77358490566036</v>
      </c>
    </row>
    <row r="18" spans="1:22" x14ac:dyDescent="0.35">
      <c r="A18" s="123">
        <v>2300</v>
      </c>
      <c r="B18" s="137">
        <v>391.53846153846155</v>
      </c>
      <c r="C18" s="141">
        <v>391.53846153846155</v>
      </c>
      <c r="D18" s="141">
        <v>391.53846153846155</v>
      </c>
      <c r="E18" s="141">
        <v>391.53846153846155</v>
      </c>
      <c r="F18" s="141">
        <v>391.53846153846155</v>
      </c>
      <c r="G18" s="141">
        <v>391.5384615384616</v>
      </c>
      <c r="H18" s="141">
        <v>391.53846153846155</v>
      </c>
      <c r="I18" s="141">
        <v>391.43216080402016</v>
      </c>
      <c r="J18" s="141">
        <v>391.3065326633166</v>
      </c>
      <c r="K18" s="141">
        <v>391.18090452261299</v>
      </c>
      <c r="L18" s="141">
        <v>391.05527638190949</v>
      </c>
      <c r="M18" s="141">
        <v>390.90909090909093</v>
      </c>
      <c r="N18" s="141">
        <v>390.45454545454561</v>
      </c>
      <c r="O18" s="141">
        <v>390.00000000000011</v>
      </c>
      <c r="P18" s="131">
        <v>389.54545454545473</v>
      </c>
      <c r="R18" t="str">
        <f ca="1">INDEX(INDIRECT($Q$5),$T$4,14)</f>
        <v>Not feasible</v>
      </c>
      <c r="V18">
        <f ca="1">INDEX(INDIRECT($U$5),14,$X$4)</f>
        <v>391.53846153846155</v>
      </c>
    </row>
    <row r="19" spans="1:22" x14ac:dyDescent="0.35">
      <c r="A19" s="123">
        <v>2400</v>
      </c>
      <c r="B19" s="137">
        <v>409.23076923076928</v>
      </c>
      <c r="C19" s="141">
        <v>409.23076923076928</v>
      </c>
      <c r="D19" s="141">
        <v>409.23076923076917</v>
      </c>
      <c r="E19" s="141">
        <v>409.23076923076917</v>
      </c>
      <c r="F19" s="141">
        <v>409.23076923076917</v>
      </c>
      <c r="G19" s="141">
        <v>409.23076923076934</v>
      </c>
      <c r="H19" s="141">
        <v>409.23076923076923</v>
      </c>
      <c r="I19" s="141">
        <v>409.2211055276382</v>
      </c>
      <c r="J19" s="141">
        <v>409.0954773869347</v>
      </c>
      <c r="K19" s="141">
        <v>408.96984924623115</v>
      </c>
      <c r="L19" s="141">
        <v>408.84422110552771</v>
      </c>
      <c r="M19" s="141">
        <v>408.63636363636374</v>
      </c>
      <c r="N19" s="141">
        <v>408.1818181818183</v>
      </c>
      <c r="O19" s="141">
        <v>407.72727272727286</v>
      </c>
      <c r="P19" s="131">
        <v>407.27272727272748</v>
      </c>
      <c r="R19" t="str">
        <f ca="1">INDEX(INDIRECT($Q$5),$T$4,15)</f>
        <v>Not feasible</v>
      </c>
      <c r="V19">
        <f ca="1">INDEX(INDIRECT($U$5),15,$X$4)</f>
        <v>409.23076923076928</v>
      </c>
    </row>
    <row r="20" spans="1:22" x14ac:dyDescent="0.35">
      <c r="A20" s="123">
        <v>2500</v>
      </c>
      <c r="B20" s="137">
        <v>426.92307692307696</v>
      </c>
      <c r="C20" s="141">
        <v>426.92307692307696</v>
      </c>
      <c r="D20" s="141">
        <v>426.92307692307691</v>
      </c>
      <c r="E20" s="141">
        <v>426.92307692307696</v>
      </c>
      <c r="F20" s="141">
        <v>426.92307692307691</v>
      </c>
      <c r="G20" s="141">
        <v>426.92307692307696</v>
      </c>
      <c r="H20" s="141">
        <v>426.92307692307691</v>
      </c>
      <c r="I20" s="141">
        <v>426.92307692307679</v>
      </c>
      <c r="J20" s="141">
        <v>426.8844221105528</v>
      </c>
      <c r="K20" s="141">
        <v>426.75879396984925</v>
      </c>
      <c r="L20" s="141">
        <v>426.63316582914575</v>
      </c>
      <c r="M20" s="141">
        <v>426.36363636363637</v>
      </c>
      <c r="N20" s="141">
        <v>425.90909090909111</v>
      </c>
      <c r="O20" s="141">
        <v>425.45454545454567</v>
      </c>
      <c r="P20" s="131">
        <v>425.00000000000017</v>
      </c>
      <c r="V20">
        <f ca="1">INDEX(INDIRECT($U$5),16,$X$4)</f>
        <v>426.92307692307696</v>
      </c>
    </row>
    <row r="21" spans="1:22" x14ac:dyDescent="0.35">
      <c r="A21" s="123">
        <v>2600</v>
      </c>
      <c r="B21" s="137">
        <v>444.61538461538464</v>
      </c>
      <c r="C21" s="141">
        <v>444.61538461538464</v>
      </c>
      <c r="D21" s="141">
        <v>444.61538461538453</v>
      </c>
      <c r="E21" s="141">
        <v>444.61538461538476</v>
      </c>
      <c r="F21" s="141">
        <v>444.61538461538464</v>
      </c>
      <c r="G21" s="141">
        <v>444.61538461538476</v>
      </c>
      <c r="H21" s="141">
        <v>444.61538461538476</v>
      </c>
      <c r="I21" s="141">
        <v>444.61538461538464</v>
      </c>
      <c r="J21" s="141">
        <v>444.61538461538476</v>
      </c>
      <c r="K21" s="141">
        <v>444.54773869346735</v>
      </c>
      <c r="L21" s="141">
        <v>444.42211055276391</v>
      </c>
      <c r="M21" s="141">
        <v>444.09090909090924</v>
      </c>
      <c r="N21" s="141">
        <v>443.63636363636374</v>
      </c>
      <c r="O21" s="141">
        <v>443.18181818181841</v>
      </c>
      <c r="P21" s="131">
        <v>442.72727272727298</v>
      </c>
      <c r="V21">
        <f ca="1">INDEX(INDIRECT($U$5),17,$X$4)</f>
        <v>444.61538461538464</v>
      </c>
    </row>
    <row r="22" spans="1:22" x14ac:dyDescent="0.35">
      <c r="A22" s="123">
        <v>2700</v>
      </c>
      <c r="B22" s="137">
        <v>462.30769230769226</v>
      </c>
      <c r="C22" s="141">
        <v>462.30769230769226</v>
      </c>
      <c r="D22" s="141">
        <v>462.30769230769232</v>
      </c>
      <c r="E22" s="141">
        <v>462.30769230769238</v>
      </c>
      <c r="F22" s="141">
        <v>462.30769230769238</v>
      </c>
      <c r="G22" s="141">
        <v>462.30769230769232</v>
      </c>
      <c r="H22" s="141">
        <v>462.30769230769238</v>
      </c>
      <c r="I22" s="141">
        <v>462.30769230769238</v>
      </c>
      <c r="J22" s="141">
        <v>462.30769230769238</v>
      </c>
      <c r="K22" s="141">
        <v>462.30769230769232</v>
      </c>
      <c r="L22" s="141">
        <v>462.21105527638201</v>
      </c>
      <c r="M22" s="141">
        <v>461.81818181818193</v>
      </c>
      <c r="N22" s="141">
        <v>461.36363636363654</v>
      </c>
      <c r="O22" s="141">
        <v>460.90909090909105</v>
      </c>
      <c r="P22" s="131">
        <v>460.45454545454567</v>
      </c>
      <c r="V22">
        <f ca="1">INDEX(INDIRECT($U$5),18,$X$4)</f>
        <v>462.30769230769226</v>
      </c>
    </row>
    <row r="23" spans="1:22" x14ac:dyDescent="0.35">
      <c r="A23" s="123">
        <v>2800</v>
      </c>
      <c r="B23" s="137">
        <v>480</v>
      </c>
      <c r="C23" s="141">
        <v>480.00000000000011</v>
      </c>
      <c r="D23" s="141">
        <v>479.99999999999994</v>
      </c>
      <c r="E23" s="141">
        <v>480.00000000000011</v>
      </c>
      <c r="F23" s="141">
        <v>480.00000000000011</v>
      </c>
      <c r="G23" s="141">
        <v>480.00000000000011</v>
      </c>
      <c r="H23" s="141">
        <v>480.00000000000011</v>
      </c>
      <c r="I23" s="141">
        <v>480.00000000000011</v>
      </c>
      <c r="J23" s="141">
        <v>480.00000000000006</v>
      </c>
      <c r="K23" s="141">
        <v>480</v>
      </c>
      <c r="L23" s="141">
        <v>480</v>
      </c>
      <c r="M23" s="141">
        <v>479.54545454545467</v>
      </c>
      <c r="N23" s="141">
        <v>479.09090909090929</v>
      </c>
      <c r="O23" s="141">
        <v>478.6363636363638</v>
      </c>
      <c r="P23" s="131">
        <v>478.18181818181836</v>
      </c>
      <c r="V23">
        <f ca="1">INDEX(INDIRECT($U$5),19,$X$4)</f>
        <v>480</v>
      </c>
    </row>
    <row r="24" spans="1:22" x14ac:dyDescent="0.35">
      <c r="A24" s="123">
        <v>2900</v>
      </c>
      <c r="B24" s="137">
        <v>497.14285714285717</v>
      </c>
      <c r="C24" s="141">
        <v>497.14285714285717</v>
      </c>
      <c r="D24" s="141">
        <v>497.14285714285717</v>
      </c>
      <c r="E24" s="141">
        <v>497.14285714285734</v>
      </c>
      <c r="F24" s="141">
        <v>497.14285714285734</v>
      </c>
      <c r="G24" s="141">
        <v>497.14285714285734</v>
      </c>
      <c r="H24" s="141">
        <v>497.14285714285734</v>
      </c>
      <c r="I24" s="141">
        <v>497.14285714285734</v>
      </c>
      <c r="J24" s="141">
        <v>497.14285714285722</v>
      </c>
      <c r="K24" s="141">
        <v>497.14285714285711</v>
      </c>
      <c r="L24" s="141">
        <v>497.14285714285717</v>
      </c>
      <c r="M24" s="141">
        <v>497.03703703703712</v>
      </c>
      <c r="N24" s="141">
        <v>496.8181818181821</v>
      </c>
      <c r="O24" s="141">
        <v>496.36363636363654</v>
      </c>
      <c r="P24" s="131">
        <v>495.90909090909111</v>
      </c>
      <c r="V24">
        <f ca="1">INDEX(INDIRECT($U$5),20,$X$4)</f>
        <v>497.14285714285717</v>
      </c>
    </row>
    <row r="25" spans="1:22" x14ac:dyDescent="0.35">
      <c r="A25" s="123">
        <v>3000</v>
      </c>
      <c r="B25" s="138">
        <v>514.28571428571433</v>
      </c>
      <c r="C25" s="142">
        <v>514.28571428571433</v>
      </c>
      <c r="D25" s="142">
        <v>514.28571428571433</v>
      </c>
      <c r="E25" s="142">
        <v>514.28571428571445</v>
      </c>
      <c r="F25" s="142">
        <v>514.28571428571445</v>
      </c>
      <c r="G25" s="142">
        <v>514.28571428571445</v>
      </c>
      <c r="H25" s="142">
        <v>514.28571428571445</v>
      </c>
      <c r="I25" s="142">
        <v>514.28571428571433</v>
      </c>
      <c r="J25" s="142">
        <v>514.28571428571445</v>
      </c>
      <c r="K25" s="142">
        <v>514.28571428571422</v>
      </c>
      <c r="L25" s="142">
        <v>514.28571428571445</v>
      </c>
      <c r="M25" s="142">
        <v>514.25925925925947</v>
      </c>
      <c r="N25" s="142">
        <v>514.07407407407436</v>
      </c>
      <c r="O25" s="142">
        <v>513.88888888888914</v>
      </c>
      <c r="P25" s="133">
        <v>513.63636363636385</v>
      </c>
      <c r="V25">
        <f ca="1">INDEX(INDIRECT($U$5),21,$X$4)</f>
        <v>514.28571428571433</v>
      </c>
    </row>
  </sheetData>
  <dataValidations count="3">
    <dataValidation type="list" allowBlank="1" showInputMessage="1" showErrorMessage="1" sqref="R4 V4" xr:uid="{9F4DD632-E8D9-4F15-AA20-44EEFA4F14D8}">
      <formula1>OutputAddresses</formula1>
    </dataValidation>
    <dataValidation type="list" allowBlank="1" showInputMessage="1" showErrorMessage="1" sqref="S4" xr:uid="{56E49DF4-9271-4D93-A247-07A6AA7C17A2}">
      <formula1>InputValues1</formula1>
    </dataValidation>
    <dataValidation type="list" allowBlank="1" showInputMessage="1" showErrorMessage="1" sqref="W4" xr:uid="{EC666F74-6157-4A6E-903C-A30FCA72384D}">
      <formula1>InputValues2</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334DB-D6C4-4FFF-9692-67FEE3DA0DD9}">
  <dimension ref="A1:H18"/>
  <sheetViews>
    <sheetView showGridLines="0" workbookViewId="0">
      <selection activeCell="E18" sqref="E18"/>
    </sheetView>
  </sheetViews>
  <sheetFormatPr defaultRowHeight="12.75" x14ac:dyDescent="0.35"/>
  <cols>
    <col min="1" max="1" width="2.33203125" customWidth="1"/>
    <col min="2" max="2" width="6.19921875" bestFit="1" customWidth="1"/>
    <col min="3" max="3" width="31.1328125" bestFit="1" customWidth="1"/>
    <col min="4" max="4" width="5.796875" bestFit="1" customWidth="1"/>
    <col min="5" max="5" width="8.6640625" bestFit="1" customWidth="1"/>
    <col min="6" max="6" width="10.19921875" bestFit="1" customWidth="1"/>
    <col min="7" max="8" width="9.19921875" bestFit="1" customWidth="1"/>
  </cols>
  <sheetData>
    <row r="1" spans="1:8" x14ac:dyDescent="0.35">
      <c r="A1" s="76" t="s">
        <v>175</v>
      </c>
    </row>
    <row r="2" spans="1:8" ht="13.15" thickBot="1" x14ac:dyDescent="0.4">
      <c r="A2" t="s">
        <v>42</v>
      </c>
    </row>
    <row r="3" spans="1:8" ht="13.15" x14ac:dyDescent="0.4">
      <c r="B3" s="105"/>
      <c r="C3" s="105"/>
      <c r="D3" s="105" t="s">
        <v>17</v>
      </c>
      <c r="E3" s="105" t="s">
        <v>19</v>
      </c>
      <c r="F3" s="105" t="s">
        <v>21</v>
      </c>
      <c r="G3" s="105" t="s">
        <v>23</v>
      </c>
      <c r="H3" s="105" t="s">
        <v>23</v>
      </c>
    </row>
    <row r="4" spans="1:8" ht="13.5" thickBot="1" x14ac:dyDescent="0.45">
      <c r="B4" s="106" t="s">
        <v>15</v>
      </c>
      <c r="C4" s="106" t="s">
        <v>16</v>
      </c>
      <c r="D4" s="106" t="s">
        <v>18</v>
      </c>
      <c r="E4" s="106" t="s">
        <v>20</v>
      </c>
      <c r="F4" s="106" t="s">
        <v>22</v>
      </c>
      <c r="G4" s="106" t="s">
        <v>24</v>
      </c>
      <c r="H4" s="106" t="s">
        <v>25</v>
      </c>
    </row>
    <row r="5" spans="1:8" x14ac:dyDescent="0.35">
      <c r="B5" s="8" t="s">
        <v>80</v>
      </c>
      <c r="C5" s="8" t="s">
        <v>166</v>
      </c>
      <c r="D5" s="8">
        <v>24</v>
      </c>
      <c r="E5" s="8">
        <v>0</v>
      </c>
      <c r="F5" s="8">
        <v>6.3E-2</v>
      </c>
      <c r="G5" s="8">
        <v>3.999999999999998E-2</v>
      </c>
      <c r="H5" s="8">
        <v>2.9999999999999992E-2</v>
      </c>
    </row>
    <row r="6" spans="1:8" x14ac:dyDescent="0.35">
      <c r="B6" s="8" t="s">
        <v>74</v>
      </c>
      <c r="C6" s="8" t="s">
        <v>167</v>
      </c>
      <c r="D6" s="8">
        <v>36</v>
      </c>
      <c r="E6" s="8">
        <v>0</v>
      </c>
      <c r="F6" s="8">
        <v>0.10299999999999998</v>
      </c>
      <c r="G6" s="8">
        <v>1E+30</v>
      </c>
      <c r="H6" s="8">
        <v>1.999999999999999E-2</v>
      </c>
    </row>
    <row r="7" spans="1:8" x14ac:dyDescent="0.35">
      <c r="B7" s="8" t="s">
        <v>75</v>
      </c>
      <c r="C7" s="8" t="s">
        <v>168</v>
      </c>
      <c r="D7" s="8">
        <v>0</v>
      </c>
      <c r="E7" s="8">
        <v>-6.0000000000000053E-3</v>
      </c>
      <c r="F7" s="8">
        <v>6.9000000000000006E-2</v>
      </c>
      <c r="G7" s="8">
        <v>6.0000000000000053E-3</v>
      </c>
      <c r="H7" s="8">
        <v>1E+30</v>
      </c>
    </row>
    <row r="8" spans="1:8" x14ac:dyDescent="0.35">
      <c r="B8" s="8" t="s">
        <v>76</v>
      </c>
      <c r="C8" s="8" t="s">
        <v>169</v>
      </c>
      <c r="D8" s="8">
        <v>36</v>
      </c>
      <c r="E8" s="8">
        <v>0</v>
      </c>
      <c r="F8" s="8">
        <v>7.5000000000000011E-2</v>
      </c>
      <c r="G8" s="8">
        <v>1.1999999999999997E-2</v>
      </c>
      <c r="H8" s="8">
        <v>6.0000000000000053E-3</v>
      </c>
    </row>
    <row r="9" spans="1:8" ht="13.15" thickBot="1" x14ac:dyDescent="0.4">
      <c r="B9" s="9" t="s">
        <v>114</v>
      </c>
      <c r="C9" s="9" t="s">
        <v>170</v>
      </c>
      <c r="D9" s="9">
        <v>24</v>
      </c>
      <c r="E9" s="9">
        <v>0</v>
      </c>
      <c r="F9" s="9">
        <v>4.4999999999999984E-2</v>
      </c>
      <c r="G9" s="9">
        <v>3.0000000000000027E-2</v>
      </c>
      <c r="H9" s="9">
        <v>0.34500000000000003</v>
      </c>
    </row>
    <row r="11" spans="1:8" ht="13.15" thickBot="1" x14ac:dyDescent="0.4">
      <c r="A11" t="s">
        <v>26</v>
      </c>
    </row>
    <row r="12" spans="1:8" ht="13.15" x14ac:dyDescent="0.4">
      <c r="B12" s="105"/>
      <c r="C12" s="105"/>
      <c r="D12" s="105" t="s">
        <v>17</v>
      </c>
      <c r="E12" s="105" t="s">
        <v>27</v>
      </c>
      <c r="F12" s="105" t="s">
        <v>29</v>
      </c>
      <c r="G12" s="105" t="s">
        <v>23</v>
      </c>
      <c r="H12" s="105" t="s">
        <v>23</v>
      </c>
    </row>
    <row r="13" spans="1:8" ht="13.5" thickBot="1" x14ac:dyDescent="0.45">
      <c r="B13" s="106" t="s">
        <v>15</v>
      </c>
      <c r="C13" s="106" t="s">
        <v>16</v>
      </c>
      <c r="D13" s="106" t="s">
        <v>18</v>
      </c>
      <c r="E13" s="106" t="s">
        <v>28</v>
      </c>
      <c r="F13" s="106" t="s">
        <v>30</v>
      </c>
      <c r="G13" s="106" t="s">
        <v>24</v>
      </c>
      <c r="H13" s="106" t="s">
        <v>25</v>
      </c>
    </row>
    <row r="14" spans="1:8" x14ac:dyDescent="0.35">
      <c r="B14" s="8" t="s">
        <v>77</v>
      </c>
      <c r="C14" s="8" t="s">
        <v>171</v>
      </c>
      <c r="D14" s="8">
        <v>60</v>
      </c>
      <c r="E14" s="8">
        <v>1.1999999999999997E-2</v>
      </c>
      <c r="F14" s="8">
        <v>60</v>
      </c>
      <c r="G14" s="8">
        <v>36</v>
      </c>
      <c r="H14" s="8">
        <v>24</v>
      </c>
    </row>
    <row r="15" spans="1:8" x14ac:dyDescent="0.35">
      <c r="B15" s="8" t="s">
        <v>78</v>
      </c>
      <c r="C15" s="58" t="s">
        <v>149</v>
      </c>
      <c r="D15" s="8">
        <v>36</v>
      </c>
      <c r="E15" s="8">
        <v>0</v>
      </c>
      <c r="F15" s="8">
        <v>60</v>
      </c>
      <c r="G15" s="8">
        <v>1E+30</v>
      </c>
      <c r="H15" s="8">
        <v>24</v>
      </c>
    </row>
    <row r="16" spans="1:8" x14ac:dyDescent="0.35">
      <c r="B16" s="8" t="s">
        <v>31</v>
      </c>
      <c r="C16" s="8" t="s">
        <v>150</v>
      </c>
      <c r="D16" s="8">
        <v>24</v>
      </c>
      <c r="E16" s="8">
        <v>-2.4000000000000021E-2</v>
      </c>
      <c r="F16" s="8">
        <v>0</v>
      </c>
      <c r="G16" s="8">
        <v>45</v>
      </c>
      <c r="H16" s="8">
        <v>30</v>
      </c>
    </row>
    <row r="17" spans="2:8" x14ac:dyDescent="0.35">
      <c r="B17" s="8" t="s">
        <v>79</v>
      </c>
      <c r="C17" s="8" t="s">
        <v>151</v>
      </c>
      <c r="D17" s="8">
        <v>36</v>
      </c>
      <c r="E17" s="8">
        <v>3.999999999999998E-2</v>
      </c>
      <c r="F17" s="8">
        <v>0</v>
      </c>
      <c r="G17" s="8">
        <v>24</v>
      </c>
      <c r="H17" s="8">
        <v>36</v>
      </c>
    </row>
    <row r="18" spans="2:8" ht="13.15" thickBot="1" x14ac:dyDescent="0.4">
      <c r="B18" s="9" t="s">
        <v>119</v>
      </c>
      <c r="C18" s="59" t="s">
        <v>177</v>
      </c>
      <c r="D18" s="9">
        <v>120</v>
      </c>
      <c r="E18" s="9">
        <v>6.9000000000000006E-2</v>
      </c>
      <c r="F18" s="9">
        <v>0</v>
      </c>
      <c r="G18" s="9">
        <v>30</v>
      </c>
      <c r="H18" s="9">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L34"/>
  <sheetViews>
    <sheetView topLeftCell="A6" zoomScale="87" zoomScaleNormal="87" workbookViewId="0">
      <selection activeCell="D28" sqref="D28"/>
    </sheetView>
  </sheetViews>
  <sheetFormatPr defaultColWidth="9.1328125" defaultRowHeight="14.25" x14ac:dyDescent="0.45"/>
  <cols>
    <col min="1" max="1" width="34.33203125" style="2" customWidth="1"/>
    <col min="2" max="2" width="13.46484375" style="2" customWidth="1"/>
    <col min="3" max="3" width="13.53125" style="2" customWidth="1"/>
    <col min="4" max="4" width="15.1328125" style="2" customWidth="1"/>
    <col min="5" max="5" width="13.1328125" style="2" bestFit="1" customWidth="1"/>
    <col min="6" max="6" width="10.33203125" style="2" customWidth="1"/>
    <col min="7" max="7" width="9.6640625" style="2" customWidth="1"/>
    <col min="8" max="8" width="11.53125" style="2" customWidth="1"/>
    <col min="9" max="9" width="11.33203125" style="2" customWidth="1"/>
    <col min="10" max="10" width="14.46484375" style="2" customWidth="1"/>
    <col min="11" max="11" width="21.46484375" style="2" bestFit="1" customWidth="1"/>
    <col min="12" max="16384" width="9.1328125" style="2"/>
  </cols>
  <sheetData>
    <row r="1" spans="1:12" x14ac:dyDescent="0.45">
      <c r="A1" s="7" t="s">
        <v>111</v>
      </c>
      <c r="B1" s="18"/>
    </row>
    <row r="2" spans="1:12" x14ac:dyDescent="0.45">
      <c r="A2" s="18"/>
      <c r="B2" s="18"/>
    </row>
    <row r="3" spans="1:12" x14ac:dyDescent="0.45">
      <c r="A3" s="7" t="s">
        <v>5</v>
      </c>
      <c r="B3" s="18"/>
    </row>
    <row r="4" spans="1:12" x14ac:dyDescent="0.45">
      <c r="A4" s="76" t="s">
        <v>136</v>
      </c>
      <c r="B4" s="18"/>
    </row>
    <row r="5" spans="1:12" ht="33" customHeight="1" x14ac:dyDescent="0.45">
      <c r="A5" s="19"/>
      <c r="B5" s="62" t="s">
        <v>43</v>
      </c>
      <c r="C5" s="62" t="s">
        <v>44</v>
      </c>
      <c r="D5" s="62" t="s">
        <v>41</v>
      </c>
      <c r="E5" s="62" t="s">
        <v>48</v>
      </c>
      <c r="F5" s="62" t="s">
        <v>45</v>
      </c>
      <c r="G5" s="62" t="s">
        <v>49</v>
      </c>
      <c r="H5" s="62" t="s">
        <v>12</v>
      </c>
      <c r="I5" s="62" t="s">
        <v>46</v>
      </c>
    </row>
    <row r="6" spans="1:12" x14ac:dyDescent="0.45">
      <c r="A6" s="20" t="s">
        <v>9</v>
      </c>
      <c r="B6" s="47">
        <v>5</v>
      </c>
      <c r="C6" s="47">
        <v>6</v>
      </c>
      <c r="D6" s="47">
        <v>5</v>
      </c>
      <c r="E6" s="47">
        <v>0.5</v>
      </c>
      <c r="F6" s="47">
        <v>0.7</v>
      </c>
      <c r="G6" s="47">
        <v>0.1</v>
      </c>
      <c r="H6" s="47">
        <v>0.1</v>
      </c>
      <c r="I6" s="47">
        <v>3</v>
      </c>
    </row>
    <row r="7" spans="1:12" x14ac:dyDescent="0.45">
      <c r="A7" s="20" t="s">
        <v>10</v>
      </c>
      <c r="B7" s="47">
        <v>3</v>
      </c>
      <c r="C7" s="47">
        <v>5</v>
      </c>
      <c r="D7" s="47">
        <v>2</v>
      </c>
      <c r="E7" s="47">
        <v>0.5</v>
      </c>
      <c r="F7" s="47">
        <v>0.2</v>
      </c>
      <c r="G7" s="47">
        <v>0.1</v>
      </c>
      <c r="H7" s="47">
        <v>0.2</v>
      </c>
      <c r="I7" s="47">
        <v>5</v>
      </c>
    </row>
    <row r="8" spans="1:12" x14ac:dyDescent="0.45">
      <c r="A8" s="20" t="s">
        <v>11</v>
      </c>
      <c r="B8" s="47">
        <v>1</v>
      </c>
      <c r="C8" s="47">
        <v>3</v>
      </c>
      <c r="D8" s="47">
        <v>0</v>
      </c>
      <c r="E8" s="47">
        <v>0.3</v>
      </c>
      <c r="F8" s="47">
        <v>0</v>
      </c>
      <c r="G8" s="47">
        <v>0</v>
      </c>
      <c r="H8" s="47">
        <v>0.3</v>
      </c>
      <c r="I8" s="47">
        <v>4</v>
      </c>
      <c r="K8" s="3"/>
      <c r="L8" s="3"/>
    </row>
    <row r="9" spans="1:12" x14ac:dyDescent="0.45">
      <c r="A9" s="20" t="s">
        <v>6</v>
      </c>
      <c r="B9" s="47">
        <v>6</v>
      </c>
      <c r="C9" s="47">
        <v>1</v>
      </c>
      <c r="D9" s="47">
        <v>4</v>
      </c>
      <c r="E9" s="47">
        <v>0.1</v>
      </c>
      <c r="F9" s="47">
        <v>0.9</v>
      </c>
      <c r="G9" s="47">
        <v>0.6</v>
      </c>
      <c r="H9" s="47">
        <v>0.1</v>
      </c>
      <c r="I9" s="47">
        <v>3</v>
      </c>
      <c r="K9" s="3"/>
      <c r="L9" s="3"/>
    </row>
    <row r="10" spans="1:12" x14ac:dyDescent="0.45">
      <c r="A10" s="20" t="s">
        <v>7</v>
      </c>
      <c r="B10" s="47">
        <v>4</v>
      </c>
      <c r="C10" s="47">
        <v>1</v>
      </c>
      <c r="D10" s="47">
        <v>2</v>
      </c>
      <c r="E10" s="47">
        <v>0.1</v>
      </c>
      <c r="F10" s="47">
        <v>0.1</v>
      </c>
      <c r="G10" s="47">
        <v>1.3</v>
      </c>
      <c r="H10" s="47">
        <v>0.2</v>
      </c>
      <c r="I10" s="47">
        <v>5</v>
      </c>
      <c r="K10" s="3"/>
      <c r="L10" s="3"/>
    </row>
    <row r="11" spans="1:12" x14ac:dyDescent="0.45">
      <c r="A11" s="20" t="s">
        <v>8</v>
      </c>
      <c r="B11" s="47">
        <v>2</v>
      </c>
      <c r="C11" s="47">
        <v>1</v>
      </c>
      <c r="D11" s="47">
        <v>0</v>
      </c>
      <c r="E11" s="47">
        <v>0</v>
      </c>
      <c r="F11" s="47">
        <v>0</v>
      </c>
      <c r="G11" s="47">
        <v>0.4</v>
      </c>
      <c r="H11" s="47">
        <v>0.3</v>
      </c>
      <c r="I11" s="47">
        <v>4</v>
      </c>
      <c r="K11" s="3"/>
      <c r="L11" s="3"/>
    </row>
    <row r="12" spans="1:12" x14ac:dyDescent="0.45">
      <c r="A12" s="20" t="s">
        <v>47</v>
      </c>
      <c r="B12" s="21">
        <f t="shared" ref="B12:I12" si="0">SUM(B6:B11)</f>
        <v>21</v>
      </c>
      <c r="C12" s="21">
        <f t="shared" si="0"/>
        <v>17</v>
      </c>
      <c r="D12" s="21">
        <f t="shared" si="0"/>
        <v>13</v>
      </c>
      <c r="E12" s="21">
        <f t="shared" si="0"/>
        <v>1.5000000000000002</v>
      </c>
      <c r="F12" s="21">
        <f t="shared" si="0"/>
        <v>1.9</v>
      </c>
      <c r="G12" s="21">
        <f t="shared" si="0"/>
        <v>2.5</v>
      </c>
      <c r="H12" s="21">
        <f t="shared" si="0"/>
        <v>1.2000000000000002</v>
      </c>
      <c r="I12" s="21">
        <f t="shared" si="0"/>
        <v>24</v>
      </c>
      <c r="K12" s="3"/>
      <c r="L12" s="3"/>
    </row>
    <row r="13" spans="1:12" x14ac:dyDescent="0.45">
      <c r="A13" s="7"/>
      <c r="B13" s="22"/>
      <c r="C13" s="22"/>
      <c r="D13" s="22"/>
      <c r="E13" s="22"/>
      <c r="F13" s="22"/>
      <c r="G13" s="22"/>
      <c r="H13" s="22"/>
      <c r="I13" s="22"/>
      <c r="K13" s="3"/>
      <c r="L13" s="3"/>
    </row>
    <row r="14" spans="1:12" x14ac:dyDescent="0.45">
      <c r="A14" s="19" t="s">
        <v>13</v>
      </c>
      <c r="B14" s="48">
        <v>140</v>
      </c>
      <c r="C14" s="48">
        <v>100</v>
      </c>
      <c r="D14" s="48">
        <v>80</v>
      </c>
      <c r="E14" s="48">
        <v>9</v>
      </c>
      <c r="F14" s="48">
        <v>13</v>
      </c>
      <c r="G14" s="48">
        <v>15</v>
      </c>
      <c r="H14" s="48">
        <v>8</v>
      </c>
      <c r="I14" s="48">
        <v>140</v>
      </c>
    </row>
    <row r="15" spans="1:12" x14ac:dyDescent="0.45">
      <c r="A15" s="19" t="s">
        <v>134</v>
      </c>
      <c r="B15" s="49">
        <f>B14/B12</f>
        <v>6.666666666666667</v>
      </c>
      <c r="C15" s="49">
        <f t="shared" ref="C15:I15" si="1">C14/C12</f>
        <v>5.882352941176471</v>
      </c>
      <c r="D15" s="49">
        <f t="shared" si="1"/>
        <v>6.1538461538461542</v>
      </c>
      <c r="E15" s="49">
        <f t="shared" si="1"/>
        <v>5.9999999999999991</v>
      </c>
      <c r="F15" s="49">
        <f t="shared" si="1"/>
        <v>6.8421052631578947</v>
      </c>
      <c r="G15" s="49">
        <f t="shared" si="1"/>
        <v>6</v>
      </c>
      <c r="H15" s="49">
        <f t="shared" si="1"/>
        <v>6.6666666666666661</v>
      </c>
      <c r="I15" s="49">
        <f t="shared" si="1"/>
        <v>5.833333333333333</v>
      </c>
    </row>
    <row r="16" spans="1:12" x14ac:dyDescent="0.45">
      <c r="A16" s="18"/>
      <c r="B16" s="23"/>
      <c r="C16" s="23"/>
      <c r="D16" s="23"/>
      <c r="E16" s="23"/>
      <c r="F16" s="23"/>
      <c r="G16" s="23"/>
      <c r="H16" s="23"/>
      <c r="I16" s="23"/>
    </row>
    <row r="17" spans="1:9" x14ac:dyDescent="0.45">
      <c r="A17" s="24" t="s">
        <v>50</v>
      </c>
      <c r="B17" s="25"/>
      <c r="C17" s="25"/>
      <c r="D17" s="25"/>
      <c r="E17" s="25"/>
      <c r="F17" s="25"/>
      <c r="G17" s="25"/>
      <c r="H17" s="25"/>
      <c r="I17" s="25"/>
    </row>
    <row r="18" spans="1:9" ht="26.25" x14ac:dyDescent="0.45">
      <c r="A18" s="19"/>
      <c r="B18" s="62" t="s">
        <v>43</v>
      </c>
      <c r="C18" s="62" t="s">
        <v>44</v>
      </c>
      <c r="D18" s="62" t="s">
        <v>41</v>
      </c>
      <c r="E18" s="62" t="s">
        <v>48</v>
      </c>
      <c r="F18" s="62" t="s">
        <v>45</v>
      </c>
      <c r="G18" s="62" t="s">
        <v>49</v>
      </c>
      <c r="H18" s="62" t="s">
        <v>12</v>
      </c>
      <c r="I18" s="62" t="s">
        <v>46</v>
      </c>
    </row>
    <row r="19" spans="1:9" x14ac:dyDescent="0.45">
      <c r="A19" s="19" t="s">
        <v>51</v>
      </c>
      <c r="B19" s="104">
        <v>0</v>
      </c>
      <c r="C19" s="104">
        <v>0</v>
      </c>
      <c r="D19" s="104">
        <v>8.7187499999999964</v>
      </c>
      <c r="E19" s="104">
        <v>20.624999999999986</v>
      </c>
      <c r="F19" s="104">
        <v>0</v>
      </c>
      <c r="G19" s="104">
        <v>6.8749999999999938</v>
      </c>
      <c r="H19" s="104">
        <v>0</v>
      </c>
      <c r="I19" s="104">
        <v>6.3125</v>
      </c>
    </row>
    <row r="20" spans="1:9" x14ac:dyDescent="0.45">
      <c r="A20" s="18"/>
      <c r="B20" s="23"/>
      <c r="C20" s="23"/>
      <c r="D20" s="23"/>
      <c r="E20" s="23"/>
      <c r="F20" s="23"/>
      <c r="G20" s="23"/>
      <c r="H20" s="23"/>
      <c r="I20" s="23"/>
    </row>
    <row r="21" spans="1:9" x14ac:dyDescent="0.45">
      <c r="A21" s="24"/>
      <c r="B21" s="25"/>
      <c r="C21" s="23"/>
      <c r="D21" s="23"/>
      <c r="E21" s="23"/>
      <c r="F21" s="23"/>
      <c r="G21" s="23"/>
      <c r="H21" s="23"/>
      <c r="I21" s="23"/>
    </row>
    <row r="22" spans="1:9" ht="15" customHeight="1" x14ac:dyDescent="0.45">
      <c r="A22" s="64" t="s">
        <v>130</v>
      </c>
      <c r="B22" s="42">
        <f>SUMPRODUCT(B14:I14*B19:I19)</f>
        <v>1869.9999999999995</v>
      </c>
      <c r="C22" s="23"/>
      <c r="D22" s="23"/>
      <c r="E22" s="23"/>
      <c r="F22" s="23"/>
      <c r="G22" s="23"/>
      <c r="H22" s="23"/>
      <c r="I22" s="23"/>
    </row>
    <row r="23" spans="1:9" x14ac:dyDescent="0.45">
      <c r="A23" s="18"/>
      <c r="B23" s="23"/>
      <c r="C23" s="23"/>
      <c r="D23" s="23"/>
      <c r="E23" s="23"/>
      <c r="F23" s="23"/>
      <c r="G23" s="23"/>
      <c r="H23" s="23"/>
      <c r="I23" s="23"/>
    </row>
    <row r="24" spans="1:9" x14ac:dyDescent="0.45">
      <c r="A24" s="24" t="s">
        <v>4</v>
      </c>
      <c r="B24" s="25"/>
      <c r="C24" s="25"/>
      <c r="D24" s="25"/>
      <c r="E24" s="25"/>
      <c r="F24" s="25"/>
      <c r="G24" s="27"/>
      <c r="H24" s="25"/>
      <c r="I24" s="25"/>
    </row>
    <row r="25" spans="1:9" ht="15.6" customHeight="1" x14ac:dyDescent="0.45">
      <c r="A25" s="77" t="s">
        <v>26</v>
      </c>
      <c r="B25" s="63" t="s">
        <v>131</v>
      </c>
      <c r="C25" s="28"/>
      <c r="D25" s="63" t="s">
        <v>132</v>
      </c>
      <c r="E25" s="25"/>
      <c r="F25" s="25"/>
      <c r="G25" s="29"/>
      <c r="H25" s="29"/>
      <c r="I25" s="25"/>
    </row>
    <row r="26" spans="1:9" x14ac:dyDescent="0.45">
      <c r="A26" s="20" t="s">
        <v>9</v>
      </c>
      <c r="B26" s="52">
        <f>SUMPRODUCT(B6:I6*$B$19:$I$19)</f>
        <v>73.531249999999972</v>
      </c>
      <c r="C26" s="21" t="s">
        <v>0</v>
      </c>
      <c r="D26" s="53">
        <v>60</v>
      </c>
      <c r="E26" s="25"/>
      <c r="F26" s="25"/>
      <c r="G26" s="29"/>
      <c r="H26" s="29"/>
      <c r="I26" s="25"/>
    </row>
    <row r="27" spans="1:9" x14ac:dyDescent="0.45">
      <c r="A27" s="20" t="s">
        <v>10</v>
      </c>
      <c r="B27" s="52">
        <f t="shared" ref="B27:B31" si="2">SUMPRODUCT(B7:I7*$B$19:$I$19)</f>
        <v>59.999999999999986</v>
      </c>
      <c r="C27" s="21" t="s">
        <v>0</v>
      </c>
      <c r="D27" s="53">
        <v>60</v>
      </c>
      <c r="E27" s="25"/>
      <c r="F27" s="25"/>
      <c r="G27" s="29"/>
      <c r="H27" s="29"/>
      <c r="I27" s="25"/>
    </row>
    <row r="28" spans="1:9" x14ac:dyDescent="0.45">
      <c r="A28" s="20" t="s">
        <v>11</v>
      </c>
      <c r="B28" s="52">
        <f t="shared" si="2"/>
        <v>31.437499999999996</v>
      </c>
      <c r="C28" s="21" t="s">
        <v>0</v>
      </c>
      <c r="D28" s="53">
        <v>28</v>
      </c>
      <c r="E28" s="25"/>
      <c r="F28" s="25"/>
      <c r="G28" s="29"/>
      <c r="H28" s="29"/>
      <c r="I28" s="25"/>
    </row>
    <row r="29" spans="1:9" x14ac:dyDescent="0.45">
      <c r="A29" s="20" t="s">
        <v>6</v>
      </c>
      <c r="B29" s="52">
        <f t="shared" si="2"/>
        <v>59.999999999999986</v>
      </c>
      <c r="C29" s="21" t="s">
        <v>0</v>
      </c>
      <c r="D29" s="53">
        <v>60</v>
      </c>
      <c r="E29" s="25"/>
      <c r="F29" s="25"/>
      <c r="G29" s="25"/>
      <c r="H29" s="25"/>
      <c r="I29" s="25"/>
    </row>
    <row r="30" spans="1:9" x14ac:dyDescent="0.45">
      <c r="A30" s="20" t="s">
        <v>7</v>
      </c>
      <c r="B30" s="52">
        <f t="shared" si="2"/>
        <v>59.999999999999986</v>
      </c>
      <c r="C30" s="21" t="s">
        <v>0</v>
      </c>
      <c r="D30" s="53">
        <v>60</v>
      </c>
      <c r="E30" s="25"/>
      <c r="F30" s="25"/>
      <c r="G30" s="25"/>
      <c r="H30" s="25"/>
      <c r="I30" s="25"/>
    </row>
    <row r="31" spans="1:9" x14ac:dyDescent="0.45">
      <c r="A31" s="20" t="s">
        <v>8</v>
      </c>
      <c r="B31" s="52">
        <f t="shared" si="2"/>
        <v>27.999999999999996</v>
      </c>
      <c r="C31" s="21" t="s">
        <v>0</v>
      </c>
      <c r="D31" s="53">
        <v>28</v>
      </c>
      <c r="E31" s="25"/>
      <c r="F31" s="25"/>
      <c r="G31" s="25"/>
      <c r="H31" s="25"/>
      <c r="I31" s="25"/>
    </row>
    <row r="32" spans="1:9" x14ac:dyDescent="0.45">
      <c r="B32" s="74"/>
      <c r="C32" s="5"/>
      <c r="D32" s="5"/>
      <c r="E32" s="5"/>
      <c r="F32" s="5"/>
      <c r="G32" s="5"/>
      <c r="H32" s="5"/>
      <c r="I32" s="5"/>
    </row>
    <row r="33" spans="3:9" x14ac:dyDescent="0.45">
      <c r="C33" s="5"/>
      <c r="D33" s="5"/>
      <c r="E33" s="5"/>
      <c r="F33" s="5"/>
      <c r="G33" s="5"/>
      <c r="H33" s="5"/>
      <c r="I33" s="5"/>
    </row>
    <row r="34" spans="3:9" x14ac:dyDescent="0.45">
      <c r="C34" s="6"/>
      <c r="D34" s="4"/>
      <c r="E34" s="5"/>
      <c r="F34" s="5"/>
      <c r="G34" s="5"/>
      <c r="H34" s="5"/>
      <c r="I34" s="5"/>
    </row>
  </sheetData>
  <phoneticPr fontId="1" type="noConversion"/>
  <printOptions horizontalCentered="1" verticalCentered="1" headings="1" gridLines="1" gridLinesSet="0"/>
  <pageMargins left="0.75" right="0.75" top="1" bottom="1" header="0.5" footer="0.5"/>
  <pageSetup scale="58"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2"/>
  <sheetViews>
    <sheetView showGridLines="0" workbookViewId="0">
      <selection activeCell="D21" sqref="D21"/>
    </sheetView>
  </sheetViews>
  <sheetFormatPr defaultRowHeight="12.75" x14ac:dyDescent="0.35"/>
  <cols>
    <col min="1" max="1" width="2.33203125" customWidth="1"/>
    <col min="2" max="2" width="6.33203125" bestFit="1" customWidth="1"/>
    <col min="3" max="3" width="41" bestFit="1" customWidth="1"/>
    <col min="4" max="4" width="9" bestFit="1" customWidth="1"/>
    <col min="5" max="5" width="8.6640625" bestFit="1" customWidth="1"/>
    <col min="6" max="6" width="10.19921875" bestFit="1" customWidth="1"/>
    <col min="7" max="8" width="12" bestFit="1" customWidth="1"/>
  </cols>
  <sheetData>
    <row r="1" spans="1:8" x14ac:dyDescent="0.35">
      <c r="A1" s="76" t="s">
        <v>172</v>
      </c>
    </row>
    <row r="2" spans="1:8" ht="13.15" thickBot="1" x14ac:dyDescent="0.4">
      <c r="A2" t="s">
        <v>42</v>
      </c>
    </row>
    <row r="3" spans="1:8" ht="13.15" x14ac:dyDescent="0.4">
      <c r="B3" s="10"/>
      <c r="C3" s="10"/>
      <c r="D3" s="10" t="s">
        <v>17</v>
      </c>
      <c r="E3" s="10" t="s">
        <v>19</v>
      </c>
      <c r="F3" s="10" t="s">
        <v>21</v>
      </c>
      <c r="G3" s="10" t="s">
        <v>23</v>
      </c>
      <c r="H3" s="10" t="s">
        <v>23</v>
      </c>
    </row>
    <row r="4" spans="1:8" ht="13.5" thickBot="1" x14ac:dyDescent="0.45">
      <c r="B4" s="11" t="s">
        <v>15</v>
      </c>
      <c r="C4" s="11" t="s">
        <v>16</v>
      </c>
      <c r="D4" s="11" t="s">
        <v>18</v>
      </c>
      <c r="E4" s="11" t="s">
        <v>20</v>
      </c>
      <c r="F4" s="11" t="s">
        <v>22</v>
      </c>
      <c r="G4" s="11" t="s">
        <v>24</v>
      </c>
      <c r="H4" s="11" t="s">
        <v>25</v>
      </c>
    </row>
    <row r="5" spans="1:8" x14ac:dyDescent="0.35">
      <c r="B5" s="8" t="s">
        <v>31</v>
      </c>
      <c r="C5" s="8" t="s">
        <v>52</v>
      </c>
      <c r="D5" s="8">
        <v>0</v>
      </c>
      <c r="E5" s="8">
        <v>10.00000000000005</v>
      </c>
      <c r="F5" s="8">
        <v>140</v>
      </c>
      <c r="G5" s="8">
        <v>1E+30</v>
      </c>
      <c r="H5" s="8">
        <v>10.00000000000005</v>
      </c>
    </row>
    <row r="6" spans="1:8" x14ac:dyDescent="0.35">
      <c r="B6" s="8" t="s">
        <v>32</v>
      </c>
      <c r="C6" s="8" t="s">
        <v>53</v>
      </c>
      <c r="D6" s="8">
        <v>0</v>
      </c>
      <c r="E6" s="8">
        <v>7.4999999999999538</v>
      </c>
      <c r="F6" s="8">
        <v>100</v>
      </c>
      <c r="G6" s="8">
        <v>1E+30</v>
      </c>
      <c r="H6" s="8">
        <v>7.4999999999999538</v>
      </c>
    </row>
    <row r="7" spans="1:8" x14ac:dyDescent="0.35">
      <c r="B7" s="8" t="s">
        <v>33</v>
      </c>
      <c r="C7" s="8" t="s">
        <v>54</v>
      </c>
      <c r="D7" s="8">
        <v>8.7187499999999964</v>
      </c>
      <c r="E7" s="8">
        <v>0</v>
      </c>
      <c r="F7" s="8">
        <v>80</v>
      </c>
      <c r="G7" s="8">
        <v>1.7438692098093262</v>
      </c>
      <c r="H7" s="8">
        <v>29.090909090909037</v>
      </c>
    </row>
    <row r="8" spans="1:8" x14ac:dyDescent="0.35">
      <c r="B8" s="8" t="s">
        <v>34</v>
      </c>
      <c r="C8" s="8" t="s">
        <v>55</v>
      </c>
      <c r="D8" s="8">
        <v>20.624999999999986</v>
      </c>
      <c r="E8" s="8">
        <v>0</v>
      </c>
      <c r="F8" s="8">
        <v>9</v>
      </c>
      <c r="G8" s="8">
        <v>0.7619047619047512</v>
      </c>
      <c r="H8" s="8">
        <v>0.45070422535212801</v>
      </c>
    </row>
    <row r="9" spans="1:8" x14ac:dyDescent="0.35">
      <c r="B9" s="8" t="s">
        <v>35</v>
      </c>
      <c r="C9" s="8" t="s">
        <v>56</v>
      </c>
      <c r="D9" s="8">
        <v>0</v>
      </c>
      <c r="E9" s="8">
        <v>0.50000000000001821</v>
      </c>
      <c r="F9" s="8">
        <v>13</v>
      </c>
      <c r="G9" s="8">
        <v>1E+30</v>
      </c>
      <c r="H9" s="8">
        <v>0.50000000000001821</v>
      </c>
    </row>
    <row r="10" spans="1:8" x14ac:dyDescent="0.35">
      <c r="B10" s="8" t="s">
        <v>36</v>
      </c>
      <c r="C10" s="8" t="s">
        <v>57</v>
      </c>
      <c r="D10" s="8">
        <v>6.8749999999999938</v>
      </c>
      <c r="E10" s="8">
        <v>0</v>
      </c>
      <c r="F10" s="8">
        <v>15</v>
      </c>
      <c r="G10" s="8">
        <v>2.2857142857142541</v>
      </c>
      <c r="H10" s="8">
        <v>1.1034482758621076</v>
      </c>
    </row>
    <row r="11" spans="1:8" x14ac:dyDescent="0.35">
      <c r="B11" s="8" t="s">
        <v>37</v>
      </c>
      <c r="C11" s="8" t="s">
        <v>58</v>
      </c>
      <c r="D11" s="8">
        <v>0</v>
      </c>
      <c r="E11" s="8">
        <v>2.2500000000000222</v>
      </c>
      <c r="F11" s="8">
        <v>8</v>
      </c>
      <c r="G11" s="8">
        <v>1E+30</v>
      </c>
      <c r="H11" s="8">
        <v>2.2500000000000222</v>
      </c>
    </row>
    <row r="12" spans="1:8" ht="13.15" thickBot="1" x14ac:dyDescent="0.4">
      <c r="B12" s="9" t="s">
        <v>38</v>
      </c>
      <c r="C12" s="9" t="s">
        <v>59</v>
      </c>
      <c r="D12" s="9">
        <v>6.3125</v>
      </c>
      <c r="E12" s="9">
        <v>0</v>
      </c>
      <c r="F12" s="9">
        <v>140</v>
      </c>
      <c r="G12" s="9">
        <v>11.034482758621049</v>
      </c>
      <c r="H12" s="9">
        <v>6.9565217391303289</v>
      </c>
    </row>
    <row r="14" spans="1:8" ht="13.15" thickBot="1" x14ac:dyDescent="0.4">
      <c r="A14" t="s">
        <v>26</v>
      </c>
    </row>
    <row r="15" spans="1:8" ht="13.15" x14ac:dyDescent="0.4">
      <c r="B15" s="10"/>
      <c r="C15" s="10"/>
      <c r="D15" s="10" t="s">
        <v>17</v>
      </c>
      <c r="E15" s="10" t="s">
        <v>27</v>
      </c>
      <c r="F15" s="10" t="s">
        <v>29</v>
      </c>
      <c r="G15" s="10" t="s">
        <v>23</v>
      </c>
      <c r="H15" s="10" t="s">
        <v>23</v>
      </c>
    </row>
    <row r="16" spans="1:8" ht="13.5" thickBot="1" x14ac:dyDescent="0.45">
      <c r="B16" s="11" t="s">
        <v>15</v>
      </c>
      <c r="C16" s="11" t="s">
        <v>16</v>
      </c>
      <c r="D16" s="11" t="s">
        <v>18</v>
      </c>
      <c r="E16" s="11" t="s">
        <v>28</v>
      </c>
      <c r="F16" s="11" t="s">
        <v>30</v>
      </c>
      <c r="G16" s="11" t="s">
        <v>24</v>
      </c>
      <c r="H16" s="11" t="s">
        <v>25</v>
      </c>
    </row>
    <row r="17" spans="2:8" x14ac:dyDescent="0.35">
      <c r="B17" s="8" t="s">
        <v>2</v>
      </c>
      <c r="C17" s="8" t="s">
        <v>60</v>
      </c>
      <c r="D17" s="8">
        <v>73.531249999999972</v>
      </c>
      <c r="E17" s="8">
        <v>0</v>
      </c>
      <c r="F17" s="8">
        <v>60</v>
      </c>
      <c r="G17" s="8">
        <v>13.531250000000012</v>
      </c>
      <c r="H17" s="8">
        <v>1E+30</v>
      </c>
    </row>
    <row r="18" spans="2:8" x14ac:dyDescent="0.35">
      <c r="B18" s="8" t="s">
        <v>39</v>
      </c>
      <c r="C18" s="8" t="s">
        <v>61</v>
      </c>
      <c r="D18" s="8">
        <v>59.999999999999986</v>
      </c>
      <c r="E18" s="8">
        <v>15.000000000000014</v>
      </c>
      <c r="F18" s="8">
        <v>60</v>
      </c>
      <c r="G18" s="8">
        <v>44.000000000000206</v>
      </c>
      <c r="H18" s="8">
        <v>5.1162790697674438</v>
      </c>
    </row>
    <row r="19" spans="2:8" x14ac:dyDescent="0.35">
      <c r="B19" s="8" t="s">
        <v>40</v>
      </c>
      <c r="C19" s="8" t="s">
        <v>62</v>
      </c>
      <c r="D19" s="8">
        <v>31.437499999999996</v>
      </c>
      <c r="E19" s="8">
        <v>0</v>
      </c>
      <c r="F19" s="8">
        <v>28</v>
      </c>
      <c r="G19" s="8">
        <v>3.4375000000000004</v>
      </c>
      <c r="H19" s="8">
        <v>1E+30</v>
      </c>
    </row>
    <row r="20" spans="2:8" x14ac:dyDescent="0.35">
      <c r="B20" s="8" t="s">
        <v>63</v>
      </c>
      <c r="C20" s="8" t="s">
        <v>64</v>
      </c>
      <c r="D20" s="8">
        <v>59.999999999999986</v>
      </c>
      <c r="E20" s="8">
        <v>9.999999999999984</v>
      </c>
      <c r="F20" s="8">
        <v>60</v>
      </c>
      <c r="G20" s="8">
        <v>10.999999999999989</v>
      </c>
      <c r="H20" s="8">
        <v>14.93103448275866</v>
      </c>
    </row>
    <row r="21" spans="2:8" x14ac:dyDescent="0.35">
      <c r="B21" s="8" t="s">
        <v>65</v>
      </c>
      <c r="C21" s="8" t="s">
        <v>66</v>
      </c>
      <c r="D21" s="8">
        <v>59.999999999999986</v>
      </c>
      <c r="E21" s="8">
        <v>5.000000000000016</v>
      </c>
      <c r="F21" s="8">
        <v>60</v>
      </c>
      <c r="G21" s="8">
        <v>44.888888888888815</v>
      </c>
      <c r="H21" s="8">
        <v>4.8888888888888875</v>
      </c>
    </row>
    <row r="22" spans="2:8" ht="13.15" thickBot="1" x14ac:dyDescent="0.4">
      <c r="B22" s="9" t="s">
        <v>67</v>
      </c>
      <c r="C22" s="9" t="s">
        <v>68</v>
      </c>
      <c r="D22" s="9">
        <v>27.999999999999996</v>
      </c>
      <c r="E22" s="9">
        <v>2.4999999999999654</v>
      </c>
      <c r="F22" s="9">
        <v>28</v>
      </c>
      <c r="G22" s="9">
        <v>6.2857142857142803</v>
      </c>
      <c r="H22" s="9">
        <v>7.5862068965517198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CE8F5-581A-4280-ADC3-CD90F4D60C93}">
  <dimension ref="A1:H27"/>
  <sheetViews>
    <sheetView showGridLines="0" topLeftCell="A4" zoomScale="128" workbookViewId="0"/>
  </sheetViews>
  <sheetFormatPr defaultRowHeight="12.75" x14ac:dyDescent="0.35"/>
  <cols>
    <col min="1" max="1" width="2.1328125" customWidth="1"/>
    <col min="2" max="2" width="6.1328125" bestFit="1" customWidth="1"/>
    <col min="3" max="3" width="40.3984375" bestFit="1" customWidth="1"/>
    <col min="4" max="4" width="11.73046875" bestFit="1" customWidth="1"/>
    <col min="5" max="5" width="12.33203125" bestFit="1" customWidth="1"/>
    <col min="6" max="6" width="10.19921875" bestFit="1" customWidth="1"/>
    <col min="7" max="8" width="11.73046875" bestFit="1" customWidth="1"/>
  </cols>
  <sheetData>
    <row r="1" spans="1:8" ht="13.15" x14ac:dyDescent="0.4">
      <c r="A1" s="7" t="s">
        <v>190</v>
      </c>
    </row>
    <row r="2" spans="1:8" ht="13.15" x14ac:dyDescent="0.4">
      <c r="A2" s="7" t="s">
        <v>191</v>
      </c>
    </row>
    <row r="3" spans="1:8" ht="13.15" x14ac:dyDescent="0.4">
      <c r="A3" s="7" t="s">
        <v>192</v>
      </c>
    </row>
    <row r="6" spans="1:8" ht="13.15" thickBot="1" x14ac:dyDescent="0.4">
      <c r="A6" t="s">
        <v>42</v>
      </c>
    </row>
    <row r="7" spans="1:8" ht="13.15" x14ac:dyDescent="0.4">
      <c r="B7" s="121"/>
      <c r="C7" s="121"/>
      <c r="D7" s="121" t="s">
        <v>17</v>
      </c>
      <c r="E7" s="121" t="s">
        <v>19</v>
      </c>
      <c r="F7" s="121" t="s">
        <v>21</v>
      </c>
      <c r="G7" s="121" t="s">
        <v>23</v>
      </c>
      <c r="H7" s="121" t="s">
        <v>23</v>
      </c>
    </row>
    <row r="8" spans="1:8" ht="13.5" thickBot="1" x14ac:dyDescent="0.45">
      <c r="B8" s="122" t="s">
        <v>15</v>
      </c>
      <c r="C8" s="122" t="s">
        <v>16</v>
      </c>
      <c r="D8" s="122" t="s">
        <v>18</v>
      </c>
      <c r="E8" s="122" t="s">
        <v>20</v>
      </c>
      <c r="F8" s="122" t="s">
        <v>22</v>
      </c>
      <c r="G8" s="122" t="s">
        <v>24</v>
      </c>
      <c r="H8" s="122" t="s">
        <v>25</v>
      </c>
    </row>
    <row r="9" spans="1:8" x14ac:dyDescent="0.35">
      <c r="B9" s="8" t="s">
        <v>31</v>
      </c>
      <c r="C9" s="8" t="s">
        <v>52</v>
      </c>
      <c r="D9" s="8">
        <v>0</v>
      </c>
      <c r="E9" s="8">
        <v>-2.120603015075377</v>
      </c>
      <c r="F9" s="8">
        <v>21</v>
      </c>
      <c r="G9" s="8">
        <v>2.120603015075377</v>
      </c>
      <c r="H9" s="8">
        <v>1E+30</v>
      </c>
    </row>
    <row r="10" spans="1:8" x14ac:dyDescent="0.35">
      <c r="B10" s="8" t="s">
        <v>32</v>
      </c>
      <c r="C10" s="8" t="s">
        <v>53</v>
      </c>
      <c r="D10" s="8">
        <v>0</v>
      </c>
      <c r="E10" s="8">
        <v>-0.36180904522612023</v>
      </c>
      <c r="F10" s="8">
        <v>17</v>
      </c>
      <c r="G10" s="8">
        <v>0.36180904522612023</v>
      </c>
      <c r="H10" s="8">
        <v>1E+30</v>
      </c>
    </row>
    <row r="11" spans="1:8" x14ac:dyDescent="0.35">
      <c r="B11" s="8" t="s">
        <v>33</v>
      </c>
      <c r="C11" s="8" t="s">
        <v>54</v>
      </c>
      <c r="D11" s="8">
        <v>6.0301507537688348</v>
      </c>
      <c r="E11" s="8">
        <v>0</v>
      </c>
      <c r="F11" s="8">
        <v>13</v>
      </c>
      <c r="G11" s="8">
        <v>0.12820512820512917</v>
      </c>
      <c r="H11" s="8">
        <v>0.62608695652171931</v>
      </c>
    </row>
    <row r="12" spans="1:8" x14ac:dyDescent="0.35">
      <c r="B12" s="8" t="s">
        <v>34</v>
      </c>
      <c r="C12" s="8" t="s">
        <v>55</v>
      </c>
      <c r="D12" s="8">
        <v>0</v>
      </c>
      <c r="E12" s="8">
        <v>-6.0804020100501899E-2</v>
      </c>
      <c r="F12" s="8">
        <v>1.5</v>
      </c>
      <c r="G12" s="8">
        <v>6.0804020100501899E-2</v>
      </c>
      <c r="H12" s="8">
        <v>1E+30</v>
      </c>
    </row>
    <row r="13" spans="1:8" x14ac:dyDescent="0.35">
      <c r="B13" s="8" t="s">
        <v>35</v>
      </c>
      <c r="C13" s="8" t="s">
        <v>56</v>
      </c>
      <c r="D13" s="8">
        <v>0</v>
      </c>
      <c r="E13" s="8">
        <v>-0.14623115577889648</v>
      </c>
      <c r="F13" s="8">
        <v>1.8999999999999986</v>
      </c>
      <c r="G13" s="8">
        <v>0.14623115577889648</v>
      </c>
      <c r="H13" s="8">
        <v>1E+30</v>
      </c>
    </row>
    <row r="14" spans="1:8" x14ac:dyDescent="0.35">
      <c r="B14" s="8" t="s">
        <v>36</v>
      </c>
      <c r="C14" s="8" t="s">
        <v>57</v>
      </c>
      <c r="D14" s="8">
        <v>12.060301507537718</v>
      </c>
      <c r="E14" s="8">
        <v>0</v>
      </c>
      <c r="F14" s="8">
        <v>2.5</v>
      </c>
      <c r="G14" s="8">
        <v>4.0909090909089577E-2</v>
      </c>
      <c r="H14" s="8">
        <v>1.5625000000000083E-2</v>
      </c>
    </row>
    <row r="15" spans="1:8" x14ac:dyDescent="0.35">
      <c r="B15" s="8" t="s">
        <v>37</v>
      </c>
      <c r="C15" s="8" t="s">
        <v>58</v>
      </c>
      <c r="D15" s="8">
        <v>0</v>
      </c>
      <c r="E15" s="8">
        <v>-0.1929648241205999</v>
      </c>
      <c r="F15" s="8">
        <v>1.2000000000000028</v>
      </c>
      <c r="G15" s="8">
        <v>0.1929648241205999</v>
      </c>
      <c r="H15" s="8">
        <v>1E+30</v>
      </c>
    </row>
    <row r="16" spans="1:8" ht="13.15" thickBot="1" x14ac:dyDescent="0.4">
      <c r="B16" s="9" t="s">
        <v>38</v>
      </c>
      <c r="C16" s="9" t="s">
        <v>59</v>
      </c>
      <c r="D16" s="9">
        <v>9.5477386934673394</v>
      </c>
      <c r="E16" s="9">
        <v>0</v>
      </c>
      <c r="F16" s="9">
        <v>23.999999999999993</v>
      </c>
      <c r="G16" s="9">
        <v>0.4166666666666673</v>
      </c>
      <c r="H16" s="9">
        <v>0.27169811320753878</v>
      </c>
    </row>
    <row r="18" spans="1:8" ht="13.15" thickBot="1" x14ac:dyDescent="0.4">
      <c r="A18" t="s">
        <v>26</v>
      </c>
    </row>
    <row r="19" spans="1:8" ht="13.15" x14ac:dyDescent="0.4">
      <c r="B19" s="121"/>
      <c r="C19" s="121"/>
      <c r="D19" s="121" t="s">
        <v>17</v>
      </c>
      <c r="E19" s="121" t="s">
        <v>27</v>
      </c>
      <c r="F19" s="121" t="s">
        <v>29</v>
      </c>
      <c r="G19" s="121" t="s">
        <v>23</v>
      </c>
      <c r="H19" s="121" t="s">
        <v>23</v>
      </c>
    </row>
    <row r="20" spans="1:8" ht="13.5" thickBot="1" x14ac:dyDescent="0.45">
      <c r="B20" s="122" t="s">
        <v>15</v>
      </c>
      <c r="C20" s="122" t="s">
        <v>16</v>
      </c>
      <c r="D20" s="122" t="s">
        <v>18</v>
      </c>
      <c r="E20" s="122" t="s">
        <v>28</v>
      </c>
      <c r="F20" s="122" t="s">
        <v>30</v>
      </c>
      <c r="G20" s="122" t="s">
        <v>24</v>
      </c>
      <c r="H20" s="122" t="s">
        <v>25</v>
      </c>
    </row>
    <row r="21" spans="1:8" x14ac:dyDescent="0.35">
      <c r="B21" s="8" t="s">
        <v>193</v>
      </c>
      <c r="C21" s="8" t="s">
        <v>194</v>
      </c>
      <c r="D21" s="8">
        <v>59.999999999999972</v>
      </c>
      <c r="E21" s="8">
        <v>-2.5125628140703748E-2</v>
      </c>
      <c r="F21" s="8">
        <v>60</v>
      </c>
      <c r="G21" s="8">
        <v>7.4999999999999893</v>
      </c>
      <c r="H21" s="8">
        <v>1.8867924528301629</v>
      </c>
    </row>
    <row r="22" spans="1:8" x14ac:dyDescent="0.35">
      <c r="B22" s="8" t="s">
        <v>2</v>
      </c>
      <c r="C22" s="8" t="s">
        <v>195</v>
      </c>
      <c r="D22" s="8">
        <v>61.005025125628137</v>
      </c>
      <c r="E22" s="8">
        <v>0</v>
      </c>
      <c r="F22" s="8">
        <v>60</v>
      </c>
      <c r="G22" s="8">
        <v>1.0050251256281322</v>
      </c>
      <c r="H22" s="8">
        <v>1E+30</v>
      </c>
    </row>
    <row r="23" spans="1:8" x14ac:dyDescent="0.35">
      <c r="B23" s="8" t="s">
        <v>39</v>
      </c>
      <c r="C23" s="8" t="s">
        <v>196</v>
      </c>
      <c r="D23" s="8">
        <v>38.190954773869358</v>
      </c>
      <c r="E23" s="8">
        <v>0</v>
      </c>
      <c r="F23" s="8">
        <v>28</v>
      </c>
      <c r="G23" s="8">
        <v>10.190954773869347</v>
      </c>
      <c r="H23" s="8">
        <v>1E+30</v>
      </c>
    </row>
    <row r="24" spans="1:8" x14ac:dyDescent="0.35">
      <c r="B24" s="8" t="s">
        <v>40</v>
      </c>
      <c r="C24" s="8" t="s">
        <v>197</v>
      </c>
      <c r="D24" s="8">
        <v>59.999999999999986</v>
      </c>
      <c r="E24" s="8">
        <v>-0.27638190954773656</v>
      </c>
      <c r="F24" s="8">
        <v>60</v>
      </c>
      <c r="G24" s="8">
        <v>0.88105726872245604</v>
      </c>
      <c r="H24" s="8">
        <v>5.2173913043478173</v>
      </c>
    </row>
    <row r="25" spans="1:8" x14ac:dyDescent="0.35">
      <c r="B25" s="8" t="s">
        <v>63</v>
      </c>
      <c r="C25" s="8" t="s">
        <v>198</v>
      </c>
      <c r="D25" s="8">
        <v>75.477386934673405</v>
      </c>
      <c r="E25" s="8">
        <v>0</v>
      </c>
      <c r="F25" s="8">
        <v>60</v>
      </c>
      <c r="G25" s="8">
        <v>15.477386934673412</v>
      </c>
      <c r="H25" s="8">
        <v>1E+30</v>
      </c>
    </row>
    <row r="26" spans="1:8" x14ac:dyDescent="0.35">
      <c r="B26" s="8" t="s">
        <v>65</v>
      </c>
      <c r="C26" s="8" t="s">
        <v>199</v>
      </c>
      <c r="D26" s="8">
        <v>43.015075376884447</v>
      </c>
      <c r="E26" s="8">
        <v>0</v>
      </c>
      <c r="F26" s="8">
        <v>28</v>
      </c>
      <c r="G26" s="8">
        <v>15.015075376884429</v>
      </c>
      <c r="H26" s="8">
        <v>1E+30</v>
      </c>
    </row>
    <row r="27" spans="1:8" ht="13.15" thickBot="1" x14ac:dyDescent="0.4">
      <c r="B27" s="9" t="s">
        <v>67</v>
      </c>
      <c r="C27" s="9" t="s">
        <v>200</v>
      </c>
      <c r="D27" s="9">
        <v>2000</v>
      </c>
      <c r="E27" s="9">
        <v>0.1778894472361808</v>
      </c>
      <c r="F27" s="9">
        <v>2000</v>
      </c>
      <c r="G27" s="9">
        <v>799.9999999999975</v>
      </c>
      <c r="H27" s="9">
        <v>20.618556701030741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33"/>
  <sheetViews>
    <sheetView zoomScale="87" zoomScaleNormal="87" workbookViewId="0"/>
  </sheetViews>
  <sheetFormatPr defaultColWidth="9.1328125" defaultRowHeight="14.25" x14ac:dyDescent="0.45"/>
  <cols>
    <col min="1" max="1" width="46.46484375" style="2" bestFit="1" customWidth="1"/>
    <col min="2" max="2" width="13.46484375" style="2" customWidth="1"/>
    <col min="3" max="3" width="13.53125" style="2" customWidth="1"/>
    <col min="4" max="4" width="14.796875" style="2" customWidth="1"/>
    <col min="5" max="5" width="13.1328125" style="2" customWidth="1"/>
    <col min="6" max="6" width="10.33203125" style="2" customWidth="1"/>
    <col min="7" max="7" width="9.6640625" style="2" customWidth="1"/>
    <col min="8" max="8" width="11.53125" style="2" customWidth="1"/>
    <col min="9" max="9" width="11.33203125" style="2" customWidth="1"/>
    <col min="10" max="10" width="14.46484375" style="2" customWidth="1"/>
    <col min="11" max="11" width="21.46484375" style="2" customWidth="1"/>
    <col min="12" max="16384" width="9.1328125" style="2"/>
  </cols>
  <sheetData>
    <row r="1" spans="1:12" x14ac:dyDescent="0.45">
      <c r="A1" s="7" t="s">
        <v>111</v>
      </c>
      <c r="B1" s="18"/>
    </row>
    <row r="2" spans="1:12" x14ac:dyDescent="0.45">
      <c r="A2" s="18"/>
      <c r="B2" s="18"/>
    </row>
    <row r="3" spans="1:12" x14ac:dyDescent="0.45">
      <c r="A3" s="7" t="s">
        <v>5</v>
      </c>
      <c r="B3" s="18"/>
    </row>
    <row r="4" spans="1:12" x14ac:dyDescent="0.45">
      <c r="A4" s="76" t="s">
        <v>137</v>
      </c>
      <c r="B4" s="18"/>
    </row>
    <row r="5" spans="1:12" ht="31.25" customHeight="1" x14ac:dyDescent="0.45">
      <c r="A5" s="19"/>
      <c r="B5" s="62" t="s">
        <v>43</v>
      </c>
      <c r="C5" s="62" t="s">
        <v>44</v>
      </c>
      <c r="D5" s="62" t="s">
        <v>41</v>
      </c>
      <c r="E5" s="62" t="s">
        <v>48</v>
      </c>
      <c r="F5" s="62" t="s">
        <v>45</v>
      </c>
      <c r="G5" s="62" t="s">
        <v>49</v>
      </c>
      <c r="H5" s="62" t="s">
        <v>12</v>
      </c>
      <c r="I5" s="66" t="s">
        <v>46</v>
      </c>
      <c r="J5" s="70"/>
    </row>
    <row r="6" spans="1:12" x14ac:dyDescent="0.45">
      <c r="A6" s="20" t="s">
        <v>9</v>
      </c>
      <c r="B6" s="47">
        <v>5</v>
      </c>
      <c r="C6" s="47">
        <v>6</v>
      </c>
      <c r="D6" s="47">
        <v>5</v>
      </c>
      <c r="E6" s="47">
        <v>0.5</v>
      </c>
      <c r="F6" s="47">
        <v>0.7</v>
      </c>
      <c r="G6" s="47">
        <v>0.1</v>
      </c>
      <c r="H6" s="47">
        <v>0.1</v>
      </c>
      <c r="I6" s="67">
        <v>3</v>
      </c>
      <c r="J6" s="71"/>
    </row>
    <row r="7" spans="1:12" x14ac:dyDescent="0.45">
      <c r="A7" s="20" t="s">
        <v>10</v>
      </c>
      <c r="B7" s="47">
        <v>3</v>
      </c>
      <c r="C7" s="47">
        <v>5</v>
      </c>
      <c r="D7" s="47">
        <v>2</v>
      </c>
      <c r="E7" s="47">
        <v>0.5</v>
      </c>
      <c r="F7" s="47">
        <v>0.2</v>
      </c>
      <c r="G7" s="47">
        <v>0.1</v>
      </c>
      <c r="H7" s="47">
        <v>0.2</v>
      </c>
      <c r="I7" s="67">
        <v>5</v>
      </c>
      <c r="J7" s="71"/>
    </row>
    <row r="8" spans="1:12" x14ac:dyDescent="0.45">
      <c r="A8" s="20" t="s">
        <v>11</v>
      </c>
      <c r="B8" s="47">
        <v>1</v>
      </c>
      <c r="C8" s="47">
        <v>3</v>
      </c>
      <c r="D8" s="47">
        <v>0</v>
      </c>
      <c r="E8" s="47">
        <v>0.3</v>
      </c>
      <c r="F8" s="47">
        <v>0</v>
      </c>
      <c r="G8" s="47">
        <v>0</v>
      </c>
      <c r="H8" s="47">
        <v>0.3</v>
      </c>
      <c r="I8" s="67">
        <v>4</v>
      </c>
      <c r="J8" s="71"/>
      <c r="K8" s="3"/>
      <c r="L8" s="3"/>
    </row>
    <row r="9" spans="1:12" x14ac:dyDescent="0.45">
      <c r="A9" s="20" t="s">
        <v>6</v>
      </c>
      <c r="B9" s="47">
        <v>6</v>
      </c>
      <c r="C9" s="47">
        <v>1</v>
      </c>
      <c r="D9" s="47">
        <v>4</v>
      </c>
      <c r="E9" s="47">
        <v>0.1</v>
      </c>
      <c r="F9" s="47">
        <v>0.9</v>
      </c>
      <c r="G9" s="47">
        <v>0.6</v>
      </c>
      <c r="H9" s="47">
        <v>0.1</v>
      </c>
      <c r="I9" s="67">
        <v>3</v>
      </c>
      <c r="J9" s="71"/>
      <c r="K9" s="3"/>
      <c r="L9" s="3"/>
    </row>
    <row r="10" spans="1:12" x14ac:dyDescent="0.45">
      <c r="A10" s="20" t="s">
        <v>7</v>
      </c>
      <c r="B10" s="47">
        <v>4</v>
      </c>
      <c r="C10" s="47">
        <v>1</v>
      </c>
      <c r="D10" s="47">
        <v>2</v>
      </c>
      <c r="E10" s="47">
        <v>0.1</v>
      </c>
      <c r="F10" s="47">
        <v>0.1</v>
      </c>
      <c r="G10" s="47">
        <v>1.3</v>
      </c>
      <c r="H10" s="47">
        <v>0.2</v>
      </c>
      <c r="I10" s="67">
        <v>5</v>
      </c>
      <c r="J10" s="71"/>
      <c r="K10" s="3"/>
      <c r="L10" s="3"/>
    </row>
    <row r="11" spans="1:12" x14ac:dyDescent="0.45">
      <c r="A11" s="20" t="s">
        <v>8</v>
      </c>
      <c r="B11" s="47">
        <v>2</v>
      </c>
      <c r="C11" s="47">
        <v>1</v>
      </c>
      <c r="D11" s="47">
        <v>0</v>
      </c>
      <c r="E11" s="47">
        <v>0</v>
      </c>
      <c r="F11" s="47">
        <v>0</v>
      </c>
      <c r="G11" s="47">
        <v>0.4</v>
      </c>
      <c r="H11" s="47">
        <v>0.3</v>
      </c>
      <c r="I11" s="67">
        <v>4</v>
      </c>
      <c r="J11" s="71"/>
      <c r="K11" s="3"/>
      <c r="L11" s="3"/>
    </row>
    <row r="12" spans="1:12" x14ac:dyDescent="0.45">
      <c r="A12" s="20" t="s">
        <v>133</v>
      </c>
      <c r="B12" s="21">
        <f t="shared" ref="B12:I12" si="0">SUM(B6:B11)</f>
        <v>21</v>
      </c>
      <c r="C12" s="21">
        <f t="shared" si="0"/>
        <v>17</v>
      </c>
      <c r="D12" s="21">
        <f t="shared" si="0"/>
        <v>13</v>
      </c>
      <c r="E12" s="21">
        <f t="shared" si="0"/>
        <v>1.5000000000000002</v>
      </c>
      <c r="F12" s="21">
        <f t="shared" si="0"/>
        <v>1.9</v>
      </c>
      <c r="G12" s="21">
        <f t="shared" si="0"/>
        <v>2.5</v>
      </c>
      <c r="H12" s="21">
        <f t="shared" si="0"/>
        <v>1.2000000000000002</v>
      </c>
      <c r="I12" s="68">
        <f t="shared" si="0"/>
        <v>24</v>
      </c>
      <c r="J12" s="71"/>
      <c r="K12" s="3"/>
      <c r="L12" s="3"/>
    </row>
    <row r="13" spans="1:12" x14ac:dyDescent="0.45">
      <c r="A13" s="7"/>
      <c r="B13" s="22"/>
      <c r="C13" s="22"/>
      <c r="D13" s="22"/>
      <c r="E13" s="22"/>
      <c r="F13" s="22"/>
      <c r="G13" s="22"/>
      <c r="H13" s="22"/>
      <c r="I13" s="22"/>
      <c r="J13" s="72"/>
      <c r="K13" s="3"/>
      <c r="L13" s="3"/>
    </row>
    <row r="14" spans="1:12" x14ac:dyDescent="0.45">
      <c r="A14" s="19" t="s">
        <v>13</v>
      </c>
      <c r="B14" s="48">
        <v>140</v>
      </c>
      <c r="C14" s="48">
        <v>100</v>
      </c>
      <c r="D14" s="48">
        <v>80</v>
      </c>
      <c r="E14" s="48">
        <v>9</v>
      </c>
      <c r="F14" s="48">
        <v>13</v>
      </c>
      <c r="G14" s="48">
        <v>15</v>
      </c>
      <c r="H14" s="48">
        <v>8</v>
      </c>
      <c r="I14" s="69">
        <v>140</v>
      </c>
      <c r="J14" s="5"/>
    </row>
    <row r="15" spans="1:12" x14ac:dyDescent="0.45">
      <c r="A15" s="19" t="s">
        <v>14</v>
      </c>
      <c r="B15" s="49">
        <f>B14/B12</f>
        <v>6.666666666666667</v>
      </c>
      <c r="C15" s="49">
        <f t="shared" ref="C15:I15" si="1">C14/C12</f>
        <v>5.882352941176471</v>
      </c>
      <c r="D15" s="49">
        <f t="shared" si="1"/>
        <v>6.1538461538461542</v>
      </c>
      <c r="E15" s="49">
        <f t="shared" si="1"/>
        <v>5.9999999999999991</v>
      </c>
      <c r="F15" s="49">
        <f t="shared" si="1"/>
        <v>6.8421052631578947</v>
      </c>
      <c r="G15" s="49">
        <f t="shared" si="1"/>
        <v>6</v>
      </c>
      <c r="H15" s="49">
        <f t="shared" si="1"/>
        <v>6.6666666666666661</v>
      </c>
      <c r="I15" s="49">
        <f t="shared" si="1"/>
        <v>5.833333333333333</v>
      </c>
    </row>
    <row r="16" spans="1:12" x14ac:dyDescent="0.45">
      <c r="A16" s="18"/>
      <c r="B16" s="23"/>
      <c r="C16" s="23"/>
      <c r="D16" s="23"/>
      <c r="E16" s="23"/>
      <c r="F16" s="23"/>
      <c r="G16" s="23"/>
      <c r="H16" s="23"/>
      <c r="I16" s="23"/>
    </row>
    <row r="17" spans="1:9" x14ac:dyDescent="0.45">
      <c r="A17" s="24" t="s">
        <v>50</v>
      </c>
      <c r="B17" s="25"/>
      <c r="C17" s="25"/>
      <c r="D17" s="25"/>
      <c r="E17" s="25"/>
      <c r="F17" s="25"/>
      <c r="G17" s="25"/>
      <c r="H17" s="25"/>
      <c r="I17" s="25"/>
    </row>
    <row r="18" spans="1:9" ht="26.25" x14ac:dyDescent="0.45">
      <c r="A18" s="19"/>
      <c r="B18" s="62" t="s">
        <v>43</v>
      </c>
      <c r="C18" s="62" t="s">
        <v>44</v>
      </c>
      <c r="D18" s="62" t="s">
        <v>41</v>
      </c>
      <c r="E18" s="62" t="s">
        <v>48</v>
      </c>
      <c r="F18" s="62" t="s">
        <v>45</v>
      </c>
      <c r="G18" s="62" t="s">
        <v>49</v>
      </c>
      <c r="H18" s="62" t="s">
        <v>12</v>
      </c>
      <c r="I18" s="62" t="s">
        <v>46</v>
      </c>
    </row>
    <row r="19" spans="1:9" x14ac:dyDescent="0.45">
      <c r="A19" s="19" t="s">
        <v>51</v>
      </c>
      <c r="B19" s="104">
        <v>0</v>
      </c>
      <c r="C19" s="104">
        <v>0</v>
      </c>
      <c r="D19" s="104">
        <v>6.0301508903503418</v>
      </c>
      <c r="E19" s="104">
        <v>0</v>
      </c>
      <c r="F19" s="104">
        <v>0</v>
      </c>
      <c r="G19" s="104">
        <v>12.060301780700684</v>
      </c>
      <c r="H19" s="104">
        <v>0</v>
      </c>
      <c r="I19" s="104">
        <v>9.5477390289306641</v>
      </c>
    </row>
    <row r="20" spans="1:9" x14ac:dyDescent="0.45">
      <c r="A20" s="18"/>
      <c r="B20" s="23"/>
      <c r="C20" s="23"/>
      <c r="D20" s="23"/>
      <c r="E20" s="23"/>
      <c r="F20" s="23"/>
      <c r="G20" s="23"/>
      <c r="H20" s="23"/>
      <c r="I20" s="23"/>
    </row>
    <row r="21" spans="1:9" x14ac:dyDescent="0.45">
      <c r="A21" s="26" t="s">
        <v>135</v>
      </c>
      <c r="B21" s="73">
        <f>SUMPRODUCT(B12:I12*B19:I19)</f>
        <v>337.68845272064209</v>
      </c>
      <c r="C21" s="23"/>
      <c r="D21" s="23"/>
      <c r="E21" s="23"/>
      <c r="F21" s="23"/>
      <c r="G21" s="23"/>
      <c r="H21" s="23"/>
      <c r="I21" s="23"/>
    </row>
    <row r="22" spans="1:9" x14ac:dyDescent="0.45">
      <c r="A22" s="18"/>
      <c r="B22" s="23"/>
      <c r="C22" s="23"/>
      <c r="D22" s="23"/>
      <c r="E22" s="23"/>
      <c r="F22" s="23"/>
      <c r="G22" s="23"/>
      <c r="H22" s="23"/>
      <c r="I22" s="23"/>
    </row>
    <row r="23" spans="1:9" x14ac:dyDescent="0.45">
      <c r="A23" s="24" t="s">
        <v>4</v>
      </c>
      <c r="B23" s="25"/>
      <c r="C23" s="25"/>
      <c r="D23" s="25"/>
      <c r="E23" s="25"/>
      <c r="F23" s="25"/>
      <c r="G23" s="27"/>
      <c r="H23" s="25"/>
      <c r="I23" s="25"/>
    </row>
    <row r="24" spans="1:9" ht="14.45" customHeight="1" x14ac:dyDescent="0.45">
      <c r="A24" s="77" t="s">
        <v>138</v>
      </c>
      <c r="B24" s="63" t="s">
        <v>70</v>
      </c>
      <c r="C24" s="63"/>
      <c r="D24" s="63" t="s">
        <v>71</v>
      </c>
      <c r="E24" s="60"/>
      <c r="F24" s="25"/>
      <c r="G24" s="29"/>
      <c r="H24" s="29"/>
      <c r="I24" s="25"/>
    </row>
    <row r="25" spans="1:9" x14ac:dyDescent="0.45">
      <c r="A25" s="20" t="s">
        <v>9</v>
      </c>
      <c r="B25" s="65">
        <f>SUMPRODUCT(B6:I6*$B$19:$I$19)</f>
        <v>60.000001716613767</v>
      </c>
      <c r="C25" s="21" t="s">
        <v>0</v>
      </c>
      <c r="D25" s="53">
        <v>60</v>
      </c>
      <c r="E25" s="61"/>
      <c r="F25" s="25"/>
      <c r="G25" s="29"/>
      <c r="H25" s="29"/>
      <c r="I25" s="25"/>
    </row>
    <row r="26" spans="1:9" x14ac:dyDescent="0.45">
      <c r="A26" s="20" t="s">
        <v>10</v>
      </c>
      <c r="B26" s="65">
        <f t="shared" ref="B26:B30" si="2">SUMPRODUCT(B7:I7*$B$19:$I$19)</f>
        <v>61.005027103424069</v>
      </c>
      <c r="C26" s="21" t="s">
        <v>0</v>
      </c>
      <c r="D26" s="53">
        <v>60</v>
      </c>
      <c r="E26" s="61"/>
      <c r="F26" s="25"/>
      <c r="G26" s="29"/>
      <c r="H26" s="29"/>
      <c r="I26" s="25"/>
    </row>
    <row r="27" spans="1:9" x14ac:dyDescent="0.45">
      <c r="A27" s="20" t="s">
        <v>11</v>
      </c>
      <c r="B27" s="65">
        <f t="shared" si="2"/>
        <v>38.190956115722656</v>
      </c>
      <c r="C27" s="21" t="s">
        <v>0</v>
      </c>
      <c r="D27" s="53">
        <v>28</v>
      </c>
      <c r="E27" s="61"/>
      <c r="F27" s="25"/>
      <c r="G27" s="29"/>
      <c r="H27" s="29"/>
      <c r="I27" s="25"/>
    </row>
    <row r="28" spans="1:9" x14ac:dyDescent="0.45">
      <c r="A28" s="20" t="s">
        <v>6</v>
      </c>
      <c r="B28" s="65">
        <f t="shared" si="2"/>
        <v>60.000001716613767</v>
      </c>
      <c r="C28" s="21" t="s">
        <v>0</v>
      </c>
      <c r="D28" s="53">
        <v>60</v>
      </c>
      <c r="E28" s="61"/>
      <c r="F28" s="25"/>
      <c r="G28" s="25"/>
      <c r="H28" s="25"/>
      <c r="I28" s="25"/>
    </row>
    <row r="29" spans="1:9" x14ac:dyDescent="0.45">
      <c r="A29" s="20" t="s">
        <v>7</v>
      </c>
      <c r="B29" s="65">
        <f t="shared" si="2"/>
        <v>75.477389240264898</v>
      </c>
      <c r="C29" s="21" t="s">
        <v>0</v>
      </c>
      <c r="D29" s="53">
        <v>60</v>
      </c>
      <c r="E29" s="61"/>
      <c r="F29" s="25"/>
      <c r="G29" s="25"/>
      <c r="H29" s="25"/>
      <c r="I29" s="25"/>
    </row>
    <row r="30" spans="1:9" x14ac:dyDescent="0.45">
      <c r="A30" s="20" t="s">
        <v>8</v>
      </c>
      <c r="B30" s="65">
        <f t="shared" si="2"/>
        <v>43.015076828002933</v>
      </c>
      <c r="C30" s="21" t="s">
        <v>0</v>
      </c>
      <c r="D30" s="53">
        <v>28</v>
      </c>
      <c r="E30" s="61"/>
      <c r="F30" s="25"/>
      <c r="G30" s="25"/>
      <c r="H30" s="25"/>
      <c r="I30" s="25"/>
    </row>
    <row r="31" spans="1:9" x14ac:dyDescent="0.45">
      <c r="A31" s="19" t="s">
        <v>129</v>
      </c>
      <c r="B31" s="54">
        <f>SUMPRODUCT(B14:I14*B19:I19)</f>
        <v>2000.0000619888306</v>
      </c>
      <c r="C31" s="43" t="s">
        <v>72</v>
      </c>
      <c r="D31" s="55">
        <v>2000</v>
      </c>
      <c r="E31" s="23"/>
      <c r="F31" s="5"/>
      <c r="G31" s="5"/>
      <c r="H31" s="5"/>
      <c r="I31" s="5"/>
    </row>
    <row r="32" spans="1:9" x14ac:dyDescent="0.45">
      <c r="A32" s="19"/>
      <c r="B32" s="54"/>
      <c r="C32" s="43"/>
      <c r="D32" s="55"/>
      <c r="E32" s="5"/>
      <c r="F32" s="5"/>
      <c r="G32" s="5"/>
      <c r="H32" s="5"/>
      <c r="I32" s="5"/>
    </row>
    <row r="33" spans="3:9" x14ac:dyDescent="0.45">
      <c r="C33" s="6"/>
      <c r="D33" s="4"/>
      <c r="E33" s="5"/>
      <c r="F33" s="5"/>
      <c r="G33" s="5"/>
      <c r="H33" s="5"/>
      <c r="I33" s="5"/>
    </row>
  </sheetData>
  <printOptions horizontalCentered="1" verticalCentered="1" headings="1" gridLines="1" gridLinesSet="0"/>
  <pageMargins left="0.75" right="0.75" top="1" bottom="1" header="0.5" footer="0.5"/>
  <pageSetup scale="58"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4"/>
  <sheetViews>
    <sheetView tabSelected="1" zoomScale="86" workbookViewId="0"/>
  </sheetViews>
  <sheetFormatPr defaultColWidth="8.86328125" defaultRowHeight="12.75" x14ac:dyDescent="0.35"/>
  <cols>
    <col min="1" max="1" width="26.86328125" style="12" customWidth="1"/>
    <col min="2" max="2" width="6.1328125" style="12" customWidth="1"/>
    <col min="3" max="3" width="7.33203125" style="12" customWidth="1"/>
    <col min="4" max="4" width="8.86328125" style="12"/>
    <col min="5" max="5" width="7.33203125" style="12" customWidth="1"/>
    <col min="6" max="6" width="7.6640625" style="12" customWidth="1"/>
    <col min="7" max="7" width="9.19921875" style="12" customWidth="1"/>
    <col min="8" max="8" width="8.19921875" style="12" customWidth="1"/>
    <col min="9" max="9" width="2.86328125" style="12" customWidth="1"/>
    <col min="10" max="10" width="13.86328125" style="12" customWidth="1"/>
    <col min="11" max="11" width="10" style="12" customWidth="1"/>
    <col min="12" max="16384" width="8.86328125" style="12"/>
  </cols>
  <sheetData>
    <row r="1" spans="1:11" x14ac:dyDescent="0.35">
      <c r="A1" s="75" t="s">
        <v>174</v>
      </c>
    </row>
    <row r="2" spans="1:11" x14ac:dyDescent="0.35">
      <c r="A2" s="13"/>
      <c r="B2" s="13"/>
      <c r="C2" s="13"/>
      <c r="D2" s="13"/>
      <c r="E2" s="30" t="s">
        <v>94</v>
      </c>
      <c r="F2" s="13"/>
      <c r="G2" s="13"/>
      <c r="H2" s="13"/>
      <c r="J2" s="31" t="s">
        <v>89</v>
      </c>
      <c r="K2" s="31" t="s">
        <v>95</v>
      </c>
    </row>
    <row r="3" spans="1:11" ht="13.15" x14ac:dyDescent="0.4">
      <c r="A3" s="31" t="s">
        <v>69</v>
      </c>
      <c r="B3" s="32"/>
      <c r="C3" s="32"/>
      <c r="D3" s="31" t="s">
        <v>93</v>
      </c>
      <c r="E3" s="31" t="s">
        <v>92</v>
      </c>
      <c r="F3" s="31" t="s">
        <v>91</v>
      </c>
      <c r="G3" s="31" t="s">
        <v>90</v>
      </c>
      <c r="H3" s="31" t="s">
        <v>89</v>
      </c>
      <c r="J3" s="14" t="s">
        <v>96</v>
      </c>
      <c r="K3" s="15">
        <v>5</v>
      </c>
    </row>
    <row r="4" spans="1:11" ht="13.15" x14ac:dyDescent="0.4">
      <c r="A4" s="14" t="s">
        <v>101</v>
      </c>
      <c r="B4" s="16" t="s">
        <v>88</v>
      </c>
      <c r="C4" s="33">
        <v>0</v>
      </c>
      <c r="D4" s="46">
        <v>10.69</v>
      </c>
      <c r="E4" s="46">
        <v>4.74</v>
      </c>
      <c r="F4" s="46">
        <v>7.76</v>
      </c>
      <c r="G4" s="46">
        <v>6.56</v>
      </c>
      <c r="H4" s="50">
        <v>4</v>
      </c>
      <c r="J4" s="14" t="s">
        <v>97</v>
      </c>
      <c r="K4" s="15">
        <v>4</v>
      </c>
    </row>
    <row r="5" spans="1:11" ht="13.15" x14ac:dyDescent="0.4">
      <c r="A5" s="14" t="s">
        <v>102</v>
      </c>
      <c r="B5" s="16" t="s">
        <v>87</v>
      </c>
      <c r="C5" s="33">
        <v>0</v>
      </c>
      <c r="D5" s="46">
        <v>-7.16</v>
      </c>
      <c r="E5" s="46">
        <v>1.8</v>
      </c>
      <c r="F5" s="46">
        <v>19.149999999999999</v>
      </c>
      <c r="G5" s="46">
        <v>12.23</v>
      </c>
      <c r="H5" s="50">
        <v>5</v>
      </c>
      <c r="J5" s="14" t="s">
        <v>98</v>
      </c>
      <c r="K5" s="15">
        <v>3</v>
      </c>
    </row>
    <row r="6" spans="1:11" ht="13.15" x14ac:dyDescent="0.4">
      <c r="A6" s="14" t="s">
        <v>103</v>
      </c>
      <c r="B6" s="16" t="s">
        <v>86</v>
      </c>
      <c r="C6" s="33">
        <v>0</v>
      </c>
      <c r="D6" s="46">
        <v>4.51</v>
      </c>
      <c r="E6" s="46">
        <v>5.51</v>
      </c>
      <c r="F6" s="46">
        <v>19.309999999999999</v>
      </c>
      <c r="G6" s="46">
        <v>8.4</v>
      </c>
      <c r="H6" s="50">
        <v>4</v>
      </c>
      <c r="J6" s="14" t="s">
        <v>99</v>
      </c>
      <c r="K6" s="15">
        <v>2</v>
      </c>
    </row>
    <row r="7" spans="1:11" ht="13.15" x14ac:dyDescent="0.4">
      <c r="A7" s="14" t="s">
        <v>104</v>
      </c>
      <c r="B7" s="16" t="s">
        <v>85</v>
      </c>
      <c r="C7" s="33">
        <v>0</v>
      </c>
      <c r="D7" s="46">
        <v>2.94</v>
      </c>
      <c r="E7" s="46">
        <v>7.32</v>
      </c>
      <c r="F7" s="46">
        <v>12.35</v>
      </c>
      <c r="G7" s="46">
        <v>10.23</v>
      </c>
      <c r="H7" s="50">
        <v>4</v>
      </c>
      <c r="J7" s="14" t="s">
        <v>100</v>
      </c>
      <c r="K7" s="15">
        <v>1</v>
      </c>
    </row>
    <row r="8" spans="1:11" ht="13.15" x14ac:dyDescent="0.4">
      <c r="A8" s="14" t="s">
        <v>105</v>
      </c>
      <c r="B8" s="16" t="s">
        <v>84</v>
      </c>
      <c r="C8" s="33">
        <v>0</v>
      </c>
      <c r="D8" s="46">
        <v>7.39</v>
      </c>
      <c r="E8" s="46">
        <v>6.34</v>
      </c>
      <c r="F8" s="46">
        <v>9.6199999999999992</v>
      </c>
      <c r="G8" s="46">
        <v>8.15</v>
      </c>
      <c r="H8" s="50">
        <v>3</v>
      </c>
    </row>
    <row r="9" spans="1:11" ht="13.15" x14ac:dyDescent="0.4">
      <c r="A9" s="14" t="s">
        <v>106</v>
      </c>
      <c r="B9" s="16" t="s">
        <v>83</v>
      </c>
      <c r="C9" s="33">
        <v>0</v>
      </c>
      <c r="D9" s="46">
        <v>4.29</v>
      </c>
      <c r="E9" s="46">
        <v>1.98</v>
      </c>
      <c r="F9" s="46">
        <v>4.45</v>
      </c>
      <c r="G9" s="46">
        <v>5.23</v>
      </c>
      <c r="H9" s="50">
        <v>1</v>
      </c>
    </row>
    <row r="10" spans="1:11" ht="13.15" x14ac:dyDescent="0.4">
      <c r="A10" s="14" t="s">
        <v>107</v>
      </c>
      <c r="B10" s="16" t="s">
        <v>82</v>
      </c>
      <c r="C10" s="33">
        <v>0</v>
      </c>
      <c r="D10" s="46">
        <v>1.3</v>
      </c>
      <c r="E10" s="46">
        <v>3.61</v>
      </c>
      <c r="F10" s="46">
        <v>9.56</v>
      </c>
      <c r="G10" s="46">
        <v>5.0199999999999996</v>
      </c>
      <c r="H10" s="50">
        <v>2</v>
      </c>
    </row>
    <row r="11" spans="1:11" ht="13.15" x14ac:dyDescent="0.4">
      <c r="A11" s="14" t="s">
        <v>108</v>
      </c>
      <c r="B11" s="16" t="s">
        <v>81</v>
      </c>
      <c r="C11" s="33">
        <v>0</v>
      </c>
      <c r="D11" s="46">
        <v>1.85</v>
      </c>
      <c r="E11" s="46">
        <v>9.2899999999999991</v>
      </c>
      <c r="F11" s="46">
        <v>12.35</v>
      </c>
      <c r="G11" s="46">
        <v>10.56</v>
      </c>
      <c r="H11" s="50">
        <v>4</v>
      </c>
    </row>
    <row r="12" spans="1:11" ht="13.15" x14ac:dyDescent="0.4">
      <c r="A12" s="14"/>
      <c r="B12" s="16"/>
      <c r="C12" s="34"/>
      <c r="D12" s="35"/>
      <c r="E12" s="35"/>
      <c r="F12" s="35"/>
      <c r="G12" s="35"/>
      <c r="H12" s="36"/>
    </row>
    <row r="13" spans="1:11" ht="13.15" x14ac:dyDescent="0.4">
      <c r="A13" s="14" t="s">
        <v>110</v>
      </c>
      <c r="B13" s="37"/>
      <c r="C13" s="38"/>
      <c r="D13" s="46">
        <v>4</v>
      </c>
      <c r="E13" s="46">
        <v>6</v>
      </c>
      <c r="F13" s="46">
        <v>8</v>
      </c>
      <c r="G13" s="46">
        <v>8</v>
      </c>
      <c r="H13" s="51">
        <v>3</v>
      </c>
    </row>
    <row r="14" spans="1:11" ht="13.15" x14ac:dyDescent="0.4">
      <c r="A14" s="13"/>
      <c r="B14" s="13"/>
      <c r="C14" s="13"/>
      <c r="D14" s="39"/>
      <c r="E14" s="39"/>
      <c r="F14" s="39"/>
      <c r="G14" s="39"/>
      <c r="H14" s="37"/>
    </row>
    <row r="15" spans="1:11" ht="13.15" x14ac:dyDescent="0.4">
      <c r="A15" s="31" t="s">
        <v>21</v>
      </c>
      <c r="B15" s="14"/>
      <c r="C15" s="14"/>
      <c r="D15" s="14"/>
      <c r="E15" s="14"/>
      <c r="F15" s="14"/>
      <c r="G15" s="14"/>
      <c r="H15" s="14"/>
    </row>
    <row r="16" spans="1:11" ht="13.15" x14ac:dyDescent="0.4">
      <c r="A16" s="14" t="s">
        <v>109</v>
      </c>
      <c r="B16" s="14"/>
      <c r="C16" s="40">
        <f>SUMPRODUCT(G4:G11*C4:C11)</f>
        <v>0</v>
      </c>
      <c r="D16" s="14"/>
      <c r="E16" s="13"/>
      <c r="F16" s="13"/>
      <c r="G16" s="13"/>
      <c r="H16" s="13"/>
    </row>
    <row r="17" spans="1:8" ht="13.15" x14ac:dyDescent="0.4">
      <c r="A17" s="14"/>
      <c r="B17" s="14"/>
      <c r="C17" s="14"/>
      <c r="D17" s="14"/>
      <c r="E17" s="13"/>
      <c r="F17" s="41"/>
      <c r="G17" s="41"/>
      <c r="H17" s="41"/>
    </row>
    <row r="18" spans="1:8" ht="13.15" x14ac:dyDescent="0.4">
      <c r="A18" s="30" t="s">
        <v>26</v>
      </c>
      <c r="B18" s="14"/>
      <c r="C18" s="14"/>
      <c r="D18" s="14"/>
      <c r="E18" s="13"/>
      <c r="F18" s="13"/>
      <c r="G18" s="13"/>
      <c r="H18" s="13"/>
    </row>
    <row r="19" spans="1:8" ht="13.15" x14ac:dyDescent="0.4">
      <c r="A19" s="14" t="s">
        <v>123</v>
      </c>
      <c r="B19" s="56">
        <f>SUMPRODUCT(D4:D11*$C$4:$C$11)</f>
        <v>0</v>
      </c>
      <c r="C19" s="15" t="s">
        <v>0</v>
      </c>
      <c r="D19" s="57">
        <f>D13</f>
        <v>4</v>
      </c>
      <c r="E19" s="13"/>
      <c r="F19" s="13"/>
      <c r="G19" s="13"/>
      <c r="H19" s="13"/>
    </row>
    <row r="20" spans="1:8" ht="13.15" x14ac:dyDescent="0.4">
      <c r="A20" s="14" t="s">
        <v>124</v>
      </c>
      <c r="B20" s="56">
        <f>SUMPRODUCT(E4:E11*$C$4:$C$11)</f>
        <v>0</v>
      </c>
      <c r="C20" s="15" t="s">
        <v>0</v>
      </c>
      <c r="D20" s="57">
        <f>E13</f>
        <v>6</v>
      </c>
      <c r="E20" s="13"/>
      <c r="F20" s="13"/>
      <c r="G20" s="13"/>
      <c r="H20" s="13"/>
    </row>
    <row r="21" spans="1:8" ht="13.15" x14ac:dyDescent="0.4">
      <c r="A21" s="14" t="s">
        <v>125</v>
      </c>
      <c r="B21" s="56">
        <f>SUMPRODUCT(F4:F11*$C$4:$C$11)</f>
        <v>0</v>
      </c>
      <c r="C21" s="15" t="s">
        <v>0</v>
      </c>
      <c r="D21" s="57">
        <f>F13</f>
        <v>8</v>
      </c>
      <c r="E21" s="13"/>
      <c r="F21" s="13"/>
      <c r="G21" s="13"/>
      <c r="H21" s="13"/>
    </row>
    <row r="22" spans="1:8" ht="13.15" x14ac:dyDescent="0.4">
      <c r="A22" s="14" t="s">
        <v>126</v>
      </c>
      <c r="B22" s="56">
        <f>SUMPRODUCT(G4:G11*$C$4:$C$11)</f>
        <v>0</v>
      </c>
      <c r="C22" s="15" t="s">
        <v>0</v>
      </c>
      <c r="D22" s="57">
        <f>G13</f>
        <v>8</v>
      </c>
      <c r="E22" s="13"/>
      <c r="F22" s="13"/>
      <c r="G22" s="13"/>
      <c r="H22" s="13"/>
    </row>
    <row r="23" spans="1:8" ht="13.15" x14ac:dyDescent="0.4">
      <c r="A23" s="14" t="s">
        <v>112</v>
      </c>
      <c r="B23" s="56">
        <f>SUMPRODUCT(H4:H11*$C$4:$C$11)</f>
        <v>0</v>
      </c>
      <c r="C23" s="15" t="s">
        <v>72</v>
      </c>
      <c r="D23" s="57">
        <f>H13</f>
        <v>3</v>
      </c>
      <c r="E23" s="13"/>
      <c r="F23" s="13"/>
      <c r="G23" s="13"/>
      <c r="H23" s="13"/>
    </row>
    <row r="24" spans="1:8" ht="13.15" x14ac:dyDescent="0.4">
      <c r="A24" s="14" t="s">
        <v>113</v>
      </c>
      <c r="B24" s="56">
        <f>SUM(C4:C11)</f>
        <v>0</v>
      </c>
      <c r="C24" s="15" t="s">
        <v>73</v>
      </c>
      <c r="D24" s="56">
        <v>1</v>
      </c>
      <c r="E24" s="13"/>
      <c r="F24" s="13"/>
      <c r="G24" s="13"/>
      <c r="H24" s="13"/>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2"/>
  <sheetViews>
    <sheetView showGridLines="0" workbookViewId="0"/>
  </sheetViews>
  <sheetFormatPr defaultRowHeight="12.75" x14ac:dyDescent="0.35"/>
  <cols>
    <col min="1" max="1" width="2.33203125" customWidth="1"/>
    <col min="2" max="2" width="6.33203125" bestFit="1" customWidth="1"/>
    <col min="3" max="3" width="29" bestFit="1" customWidth="1"/>
    <col min="4" max="4" width="12" bestFit="1" customWidth="1"/>
    <col min="5" max="5" width="12.6640625" bestFit="1" customWidth="1"/>
    <col min="6" max="6" width="10.19921875" bestFit="1" customWidth="1"/>
    <col min="7" max="8" width="12" bestFit="1" customWidth="1"/>
  </cols>
  <sheetData>
    <row r="1" spans="1:8" x14ac:dyDescent="0.35">
      <c r="A1" s="76" t="s">
        <v>173</v>
      </c>
    </row>
    <row r="2" spans="1:8" ht="13.15" thickBot="1" x14ac:dyDescent="0.4">
      <c r="A2" t="s">
        <v>42</v>
      </c>
    </row>
    <row r="3" spans="1:8" ht="13.15" x14ac:dyDescent="0.4">
      <c r="B3" s="44"/>
      <c r="C3" s="44"/>
      <c r="D3" s="44" t="s">
        <v>17</v>
      </c>
      <c r="E3" s="44" t="s">
        <v>19</v>
      </c>
      <c r="F3" s="44" t="s">
        <v>21</v>
      </c>
      <c r="G3" s="44" t="s">
        <v>23</v>
      </c>
      <c r="H3" s="44" t="s">
        <v>23</v>
      </c>
    </row>
    <row r="4" spans="1:8" ht="13.5" thickBot="1" x14ac:dyDescent="0.45">
      <c r="B4" s="45" t="s">
        <v>15</v>
      </c>
      <c r="C4" s="45" t="s">
        <v>16</v>
      </c>
      <c r="D4" s="45" t="s">
        <v>18</v>
      </c>
      <c r="E4" s="45" t="s">
        <v>20</v>
      </c>
      <c r="F4" s="45" t="s">
        <v>22</v>
      </c>
      <c r="G4" s="45" t="s">
        <v>24</v>
      </c>
      <c r="H4" s="45" t="s">
        <v>25</v>
      </c>
    </row>
    <row r="5" spans="1:8" x14ac:dyDescent="0.35">
      <c r="B5" s="8" t="s">
        <v>74</v>
      </c>
      <c r="C5" s="8" t="s">
        <v>88</v>
      </c>
      <c r="D5" s="8">
        <v>0</v>
      </c>
      <c r="E5" s="8">
        <v>-2.8155148095909737</v>
      </c>
      <c r="F5" s="8">
        <v>6.56</v>
      </c>
      <c r="G5" s="8">
        <v>2.8155148095909737</v>
      </c>
      <c r="H5" s="8">
        <v>1E+30</v>
      </c>
    </row>
    <row r="6" spans="1:8" x14ac:dyDescent="0.35">
      <c r="B6" s="8" t="s">
        <v>75</v>
      </c>
      <c r="C6" s="8" t="s">
        <v>87</v>
      </c>
      <c r="D6" s="8">
        <v>0</v>
      </c>
      <c r="E6" s="8">
        <v>-1.204950634696764</v>
      </c>
      <c r="F6" s="8">
        <v>12.23</v>
      </c>
      <c r="G6" s="8">
        <v>1.204950634696764</v>
      </c>
      <c r="H6" s="8">
        <v>1E+30</v>
      </c>
    </row>
    <row r="7" spans="1:8" x14ac:dyDescent="0.35">
      <c r="B7" s="8" t="s">
        <v>76</v>
      </c>
      <c r="C7" s="8" t="s">
        <v>86</v>
      </c>
      <c r="D7" s="8">
        <v>0</v>
      </c>
      <c r="E7" s="8">
        <v>-1.8035825105782803</v>
      </c>
      <c r="F7" s="8">
        <v>8.3999999999999986</v>
      </c>
      <c r="G7" s="8">
        <v>1.8035825105782803</v>
      </c>
      <c r="H7" s="8">
        <v>1E+30</v>
      </c>
    </row>
    <row r="8" spans="1:8" x14ac:dyDescent="0.35">
      <c r="B8" s="8" t="s">
        <v>114</v>
      </c>
      <c r="C8" s="8" t="s">
        <v>85</v>
      </c>
      <c r="D8" s="8">
        <v>0</v>
      </c>
      <c r="E8" s="8">
        <v>-0.18394922425951854</v>
      </c>
      <c r="F8" s="8">
        <v>10.230000000000004</v>
      </c>
      <c r="G8" s="8">
        <v>0.18394922425951854</v>
      </c>
      <c r="H8" s="8">
        <v>1E+30</v>
      </c>
    </row>
    <row r="9" spans="1:8" x14ac:dyDescent="0.35">
      <c r="B9" s="8" t="s">
        <v>115</v>
      </c>
      <c r="C9" s="8" t="s">
        <v>84</v>
      </c>
      <c r="D9" s="8">
        <v>0.28279266572637513</v>
      </c>
      <c r="E9" s="8">
        <v>0</v>
      </c>
      <c r="F9" s="8">
        <v>8.1499999999999986</v>
      </c>
      <c r="G9" s="8">
        <v>0.63333333333333452</v>
      </c>
      <c r="H9" s="8">
        <v>0.79767584097858601</v>
      </c>
    </row>
    <row r="10" spans="1:8" x14ac:dyDescent="0.35">
      <c r="B10" s="8" t="s">
        <v>116</v>
      </c>
      <c r="C10" s="8" t="s">
        <v>83</v>
      </c>
      <c r="D10" s="8">
        <v>0.23906911142454171</v>
      </c>
      <c r="E10" s="8">
        <v>0</v>
      </c>
      <c r="F10" s="8">
        <v>5.2299999999999969</v>
      </c>
      <c r="G10" s="8">
        <v>2.393027522935764</v>
      </c>
      <c r="H10" s="8">
        <v>1.9000000000000052</v>
      </c>
    </row>
    <row r="11" spans="1:8" x14ac:dyDescent="0.35">
      <c r="B11" s="8" t="s">
        <v>117</v>
      </c>
      <c r="C11" s="8" t="s">
        <v>82</v>
      </c>
      <c r="D11" s="8">
        <v>0</v>
      </c>
      <c r="E11" s="8">
        <v>-2.2783215796897061</v>
      </c>
      <c r="F11" s="8">
        <v>5.019999999999996</v>
      </c>
      <c r="G11" s="8">
        <v>2.2783215796897061</v>
      </c>
      <c r="H11" s="8">
        <v>1E+30</v>
      </c>
    </row>
    <row r="12" spans="1:8" ht="13.15" thickBot="1" x14ac:dyDescent="0.4">
      <c r="B12" s="9" t="s">
        <v>118</v>
      </c>
      <c r="C12" s="9" t="s">
        <v>81</v>
      </c>
      <c r="D12" s="9">
        <v>0.47813822284908319</v>
      </c>
      <c r="E12" s="9">
        <v>0</v>
      </c>
      <c r="F12" s="9">
        <v>10.560000000000002</v>
      </c>
      <c r="G12" s="9">
        <v>11.406857142857122</v>
      </c>
      <c r="H12" s="9">
        <v>0.21736666666666435</v>
      </c>
    </row>
    <row r="14" spans="1:8" ht="13.15" thickBot="1" x14ac:dyDescent="0.4">
      <c r="A14" t="s">
        <v>26</v>
      </c>
    </row>
    <row r="15" spans="1:8" ht="13.15" x14ac:dyDescent="0.4">
      <c r="B15" s="44"/>
      <c r="C15" s="44"/>
      <c r="D15" s="44" t="s">
        <v>17</v>
      </c>
      <c r="E15" s="44" t="s">
        <v>27</v>
      </c>
      <c r="F15" s="44" t="s">
        <v>29</v>
      </c>
      <c r="G15" s="44" t="s">
        <v>23</v>
      </c>
      <c r="H15" s="44" t="s">
        <v>23</v>
      </c>
    </row>
    <row r="16" spans="1:8" ht="13.5" thickBot="1" x14ac:dyDescent="0.45">
      <c r="B16" s="45" t="s">
        <v>15</v>
      </c>
      <c r="C16" s="45" t="s">
        <v>16</v>
      </c>
      <c r="D16" s="45" t="s">
        <v>18</v>
      </c>
      <c r="E16" s="45" t="s">
        <v>28</v>
      </c>
      <c r="F16" s="45" t="s">
        <v>30</v>
      </c>
      <c r="G16" s="45" t="s">
        <v>24</v>
      </c>
      <c r="H16" s="45" t="s">
        <v>25</v>
      </c>
    </row>
    <row r="17" spans="2:8" x14ac:dyDescent="0.35">
      <c r="B17" s="8" t="s">
        <v>31</v>
      </c>
      <c r="C17" s="58" t="s">
        <v>127</v>
      </c>
      <c r="D17" s="8">
        <v>4</v>
      </c>
      <c r="E17" s="8">
        <v>-0.13399153737658703</v>
      </c>
      <c r="F17" s="8">
        <v>4</v>
      </c>
      <c r="G17" s="8">
        <v>3.3899999999999983</v>
      </c>
      <c r="H17" s="8">
        <v>1.336666666666666</v>
      </c>
    </row>
    <row r="18" spans="2:8" x14ac:dyDescent="0.35">
      <c r="B18" s="8" t="s">
        <v>79</v>
      </c>
      <c r="C18" s="58" t="s">
        <v>124</v>
      </c>
      <c r="D18" s="8">
        <v>6.708166431593793</v>
      </c>
      <c r="E18" s="8">
        <v>0</v>
      </c>
      <c r="F18" s="8">
        <v>6</v>
      </c>
      <c r="G18" s="8">
        <v>0.70816643159379489</v>
      </c>
      <c r="H18" s="8">
        <v>1E+30</v>
      </c>
    </row>
    <row r="19" spans="2:8" x14ac:dyDescent="0.35">
      <c r="B19" s="8" t="s">
        <v>119</v>
      </c>
      <c r="C19" s="58" t="s">
        <v>125</v>
      </c>
      <c r="D19" s="8">
        <v>9.6893300423131166</v>
      </c>
      <c r="E19" s="8">
        <v>0</v>
      </c>
      <c r="F19" s="8">
        <v>8</v>
      </c>
      <c r="G19" s="8">
        <v>1.6893300423131139</v>
      </c>
      <c r="H19" s="8">
        <v>1E+30</v>
      </c>
    </row>
    <row r="20" spans="2:8" x14ac:dyDescent="0.35">
      <c r="B20" s="8" t="s">
        <v>120</v>
      </c>
      <c r="C20" s="58" t="s">
        <v>126</v>
      </c>
      <c r="D20" s="8">
        <v>8.6042313117066289</v>
      </c>
      <c r="E20" s="8">
        <v>0</v>
      </c>
      <c r="F20" s="8">
        <v>8</v>
      </c>
      <c r="G20" s="8">
        <v>0.60423131170662914</v>
      </c>
      <c r="H20" s="8">
        <v>1E+30</v>
      </c>
    </row>
    <row r="21" spans="2:8" x14ac:dyDescent="0.35">
      <c r="B21" s="8" t="s">
        <v>121</v>
      </c>
      <c r="C21" s="58" t="s">
        <v>128</v>
      </c>
      <c r="D21" s="8">
        <v>3</v>
      </c>
      <c r="E21" s="8">
        <v>1.6676868829337126</v>
      </c>
      <c r="F21" s="8">
        <v>3</v>
      </c>
      <c r="G21" s="8">
        <v>0.61191335740072239</v>
      </c>
      <c r="H21" s="8">
        <v>0.30156098908689083</v>
      </c>
    </row>
    <row r="22" spans="2:8" ht="13.15" thickBot="1" x14ac:dyDescent="0.4">
      <c r="B22" s="9" t="s">
        <v>122</v>
      </c>
      <c r="C22" s="59" t="s">
        <v>113</v>
      </c>
      <c r="D22" s="9">
        <v>1</v>
      </c>
      <c r="E22" s="9">
        <v>4.1371368124118417</v>
      </c>
      <c r="F22" s="9">
        <v>1</v>
      </c>
      <c r="G22" s="9">
        <v>0.26192031352057471</v>
      </c>
      <c r="H22" s="9">
        <v>0.14119117034568934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B5919-0A38-4049-8C09-B1B21B3811A3}">
  <dimension ref="A1:B18"/>
  <sheetViews>
    <sheetView workbookViewId="0"/>
  </sheetViews>
  <sheetFormatPr defaultRowHeight="12.75" x14ac:dyDescent="0.35"/>
  <sheetData>
    <row r="1" spans="1:2" x14ac:dyDescent="0.35">
      <c r="A1">
        <v>1</v>
      </c>
      <c r="B1">
        <v>1</v>
      </c>
    </row>
    <row r="2" spans="1:2" x14ac:dyDescent="0.35">
      <c r="A2" t="s">
        <v>178</v>
      </c>
      <c r="B2" t="s">
        <v>117</v>
      </c>
    </row>
    <row r="3" spans="1:2" x14ac:dyDescent="0.35">
      <c r="A3">
        <v>1</v>
      </c>
      <c r="B3">
        <v>1</v>
      </c>
    </row>
    <row r="4" spans="1:2" x14ac:dyDescent="0.35">
      <c r="A4">
        <v>0</v>
      </c>
      <c r="B4">
        <v>0</v>
      </c>
    </row>
    <row r="5" spans="1:2" x14ac:dyDescent="0.35">
      <c r="A5">
        <v>0.5</v>
      </c>
      <c r="B5">
        <v>120</v>
      </c>
    </row>
    <row r="6" spans="1:2" x14ac:dyDescent="0.35">
      <c r="A6">
        <v>0.05</v>
      </c>
      <c r="B6">
        <v>10</v>
      </c>
    </row>
    <row r="8" spans="1:2" x14ac:dyDescent="0.35">
      <c r="A8" s="1"/>
      <c r="B8" s="1" t="s">
        <v>180</v>
      </c>
    </row>
    <row r="9" spans="1:2" x14ac:dyDescent="0.35">
      <c r="A9" t="s">
        <v>179</v>
      </c>
      <c r="B9" t="s">
        <v>181</v>
      </c>
    </row>
    <row r="10" spans="1:2" x14ac:dyDescent="0.35">
      <c r="A10" t="s">
        <v>184</v>
      </c>
      <c r="B10">
        <v>1</v>
      </c>
    </row>
    <row r="11" spans="1:2" x14ac:dyDescent="0.35">
      <c r="B11">
        <v>0.1</v>
      </c>
    </row>
    <row r="12" spans="1:2" x14ac:dyDescent="0.35">
      <c r="B12">
        <v>1</v>
      </c>
    </row>
    <row r="13" spans="1:2" x14ac:dyDescent="0.35">
      <c r="B13">
        <v>0.05</v>
      </c>
    </row>
    <row r="15" spans="1:2" x14ac:dyDescent="0.35">
      <c r="B15" s="1" t="s">
        <v>180</v>
      </c>
    </row>
    <row r="16" spans="1:2" x14ac:dyDescent="0.35">
      <c r="B16" t="s">
        <v>179</v>
      </c>
    </row>
    <row r="17" spans="2:2" x14ac:dyDescent="0.35">
      <c r="B17" t="s">
        <v>182</v>
      </c>
    </row>
    <row r="18" spans="2:2" x14ac:dyDescent="0.35">
      <c r="B18" t="s">
        <v>183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18</vt:i4>
      </vt:variant>
    </vt:vector>
  </HeadingPairs>
  <TitlesOfParts>
    <vt:vector size="30" baseType="lpstr">
      <vt:lpstr>Investment_Portfolio</vt:lpstr>
      <vt:lpstr>Investment_Sensitivity</vt:lpstr>
      <vt:lpstr>Ad</vt:lpstr>
      <vt:lpstr>Ad_Sensitivity</vt:lpstr>
      <vt:lpstr>Sensitivity Report 1</vt:lpstr>
      <vt:lpstr>Ad_Exposures</vt:lpstr>
      <vt:lpstr>401K</vt:lpstr>
      <vt:lpstr>401K_Sensitivity</vt:lpstr>
      <vt:lpstr>STS_1</vt:lpstr>
      <vt:lpstr>STS_2</vt:lpstr>
      <vt:lpstr>STS_3</vt:lpstr>
      <vt:lpstr>STS_4</vt:lpstr>
      <vt:lpstr>STS_1!ChartData</vt:lpstr>
      <vt:lpstr>STS_2!ChartData</vt:lpstr>
      <vt:lpstr>STS_3!ChartData</vt:lpstr>
      <vt:lpstr>STS_4!ChartData1</vt:lpstr>
      <vt:lpstr>STS_4!ChartData2</vt:lpstr>
      <vt:lpstr>STS_1!InputValues</vt:lpstr>
      <vt:lpstr>STS_2!InputValues</vt:lpstr>
      <vt:lpstr>STS_3!InputValues</vt:lpstr>
      <vt:lpstr>STS_4!InputValues1</vt:lpstr>
      <vt:lpstr>STS_4!InputValues2</vt:lpstr>
      <vt:lpstr>STS_1!OutputAddresses</vt:lpstr>
      <vt:lpstr>STS_2!OutputAddresses</vt:lpstr>
      <vt:lpstr>STS_3!OutputAddresses</vt:lpstr>
      <vt:lpstr>STS_4!OutputAddresses</vt:lpstr>
      <vt:lpstr>STS_1!OutputValues</vt:lpstr>
      <vt:lpstr>STS_2!OutputValues</vt:lpstr>
      <vt:lpstr>STS_3!OutputValues</vt:lpstr>
      <vt:lpstr>STS_4!OutputValues_1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Xiaofei</cp:lastModifiedBy>
  <cp:lastPrinted>2007-09-28T19:41:30Z</cp:lastPrinted>
  <dcterms:created xsi:type="dcterms:W3CDTF">1999-05-08T15:18:53Z</dcterms:created>
  <dcterms:modified xsi:type="dcterms:W3CDTF">2018-09-13T03:29:04Z</dcterms:modified>
</cp:coreProperties>
</file>