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EstaPasta_de_trabalho" defaultThemeVersion="124226"/>
  <bookViews>
    <workbookView xWindow="120" yWindow="105" windowWidth="19440" windowHeight="11505" firstSheet="13" activeTab="16"/>
  </bookViews>
  <sheets>
    <sheet name="Galão 05 LT Azul Perolado" sheetId="21" r:id="rId1"/>
    <sheet name="Galão 05 LT Branco" sheetId="25" r:id="rId2"/>
    <sheet name="Galão 05 LT Cristal" sheetId="26" r:id="rId3"/>
    <sheet name="Galão 05 LT Cristal Descalvado" sheetId="38" r:id="rId4"/>
    <sheet name="Galão 05 LT Cristal Desomax" sheetId="37" r:id="rId5"/>
    <sheet name="Galão 05 LT Laranja Perolado" sheetId="30" r:id="rId6"/>
    <sheet name="Galão 05 LT Pink Perolado" sheetId="31" r:id="rId7"/>
    <sheet name="Galão 05 LT Roxo Max" sheetId="32" r:id="rId8"/>
    <sheet name="Galão 05 LT Canelinha" sheetId="36" r:id="rId9"/>
    <sheet name="Galão 05 LT Bco leit Reciclado" sheetId="23" r:id="rId10"/>
    <sheet name="Galão 05 LT Canela LARILIMP" sheetId="34" r:id="rId11"/>
    <sheet name="Galão 05 LT Verde Reciclado" sheetId="33" r:id="rId12"/>
    <sheet name="Galão 05 LT Bco leit Rec Henlau" sheetId="24" r:id="rId13"/>
    <sheet name="Galão 05 LT Cristal Henlau" sheetId="28" r:id="rId14"/>
    <sheet name="Galão 05 LT Cristal Teix. Pinto" sheetId="39" r:id="rId15"/>
    <sheet name="Galão 05 LT Canela LARILIMP " sheetId="35" r:id="rId16"/>
    <sheet name="Ciclos de processo maq 02 e 03" sheetId="22" r:id="rId17"/>
  </sheets>
  <externalReferences>
    <externalReference r:id="rId18"/>
    <externalReference r:id="rId19"/>
    <externalReference r:id="rId20"/>
    <externalReference r:id="rId21"/>
    <externalReference r:id="rId22"/>
  </externalReferences>
  <calcPr calcId="144525"/>
</workbook>
</file>

<file path=xl/calcChain.xml><?xml version="1.0" encoding="utf-8"?>
<calcChain xmlns="http://schemas.openxmlformats.org/spreadsheetml/2006/main">
  <c r="G63" i="39" l="1"/>
  <c r="E63" i="39" s="1"/>
  <c r="G62" i="39"/>
  <c r="F58" i="39"/>
  <c r="F62" i="39" s="1"/>
  <c r="E58" i="39"/>
  <c r="E62" i="39" s="1"/>
  <c r="D58" i="39"/>
  <c r="D62" i="39" s="1"/>
  <c r="C58" i="39"/>
  <c r="C59" i="39" s="1"/>
  <c r="F56" i="39"/>
  <c r="E56" i="39"/>
  <c r="D56" i="39"/>
  <c r="E51" i="39"/>
  <c r="D51" i="39"/>
  <c r="C51" i="39"/>
  <c r="E48" i="39"/>
  <c r="D48" i="39"/>
  <c r="C48" i="39"/>
  <c r="F47" i="39"/>
  <c r="E47" i="39"/>
  <c r="D47" i="39"/>
  <c r="F45" i="39"/>
  <c r="E45" i="39"/>
  <c r="D45" i="39"/>
  <c r="F44" i="39"/>
  <c r="E44" i="39"/>
  <c r="D44" i="39"/>
  <c r="F43" i="39"/>
  <c r="E43" i="39"/>
  <c r="D43" i="39"/>
  <c r="F42" i="39"/>
  <c r="E42" i="39"/>
  <c r="D42" i="39"/>
  <c r="C42" i="39"/>
  <c r="F41" i="39"/>
  <c r="E41" i="39"/>
  <c r="D41" i="39"/>
  <c r="C41" i="39"/>
  <c r="G40" i="39"/>
  <c r="G32" i="39"/>
  <c r="F32" i="39"/>
  <c r="E25" i="39"/>
  <c r="D25" i="39"/>
  <c r="H25" i="39" s="1"/>
  <c r="E24" i="39"/>
  <c r="D24" i="39"/>
  <c r="H24" i="39" s="1"/>
  <c r="G15" i="39"/>
  <c r="F14" i="39"/>
  <c r="B14" i="39"/>
  <c r="F13" i="39"/>
  <c r="H13" i="39" s="1"/>
  <c r="B13" i="39"/>
  <c r="E12" i="39"/>
  <c r="B12" i="39"/>
  <c r="E10" i="39"/>
  <c r="H8" i="39"/>
  <c r="I8" i="39" s="1"/>
  <c r="I10" i="39" s="1"/>
  <c r="B8" i="39"/>
  <c r="F8" i="37"/>
  <c r="E32" i="37"/>
  <c r="F40" i="39" l="1"/>
  <c r="H14" i="39"/>
  <c r="I14" i="39" s="1"/>
  <c r="E59" i="39"/>
  <c r="C62" i="39"/>
  <c r="C40" i="39"/>
  <c r="D40" i="39"/>
  <c r="E40" i="39"/>
  <c r="F12" i="39"/>
  <c r="F15" i="39" s="1"/>
  <c r="G59" i="39"/>
  <c r="D63" i="39"/>
  <c r="D59" i="39" s="1"/>
  <c r="I13" i="39"/>
  <c r="F63" i="39"/>
  <c r="F59" i="39" s="1"/>
  <c r="G63" i="38"/>
  <c r="F63" i="38" s="1"/>
  <c r="F59" i="38" s="1"/>
  <c r="G62" i="38"/>
  <c r="F58" i="38"/>
  <c r="F62" i="38" s="1"/>
  <c r="E58" i="38"/>
  <c r="E62" i="38" s="1"/>
  <c r="D58" i="38"/>
  <c r="C58" i="38"/>
  <c r="C59" i="38" s="1"/>
  <c r="F56" i="38"/>
  <c r="E56" i="38"/>
  <c r="D56" i="38"/>
  <c r="E51" i="38"/>
  <c r="D51" i="38"/>
  <c r="C51" i="38"/>
  <c r="F48" i="38"/>
  <c r="E48" i="38"/>
  <c r="D48" i="38"/>
  <c r="C48" i="38"/>
  <c r="C40" i="38" s="1"/>
  <c r="F47" i="38"/>
  <c r="E47" i="38"/>
  <c r="D47" i="38"/>
  <c r="F45" i="38"/>
  <c r="E45" i="38"/>
  <c r="D45" i="38"/>
  <c r="F44" i="38"/>
  <c r="E44" i="38"/>
  <c r="D44" i="38"/>
  <c r="D40" i="38" s="1"/>
  <c r="F43" i="38"/>
  <c r="E43" i="38"/>
  <c r="D43" i="38"/>
  <c r="E42" i="38"/>
  <c r="D42" i="38"/>
  <c r="C42" i="38"/>
  <c r="F41" i="38"/>
  <c r="F40" i="38" s="1"/>
  <c r="E41" i="38"/>
  <c r="D41" i="38"/>
  <c r="C41" i="38"/>
  <c r="G40" i="38"/>
  <c r="G32" i="38"/>
  <c r="F32" i="38"/>
  <c r="E32" i="38"/>
  <c r="D25" i="38"/>
  <c r="E24" i="38"/>
  <c r="E25" i="38" s="1"/>
  <c r="D24" i="38"/>
  <c r="G15" i="38"/>
  <c r="F14" i="38"/>
  <c r="H14" i="38" s="1"/>
  <c r="B14" i="38"/>
  <c r="F13" i="38"/>
  <c r="I13" i="38" s="1"/>
  <c r="B13" i="38"/>
  <c r="E12" i="38"/>
  <c r="B12" i="38"/>
  <c r="E10" i="38"/>
  <c r="H8" i="38"/>
  <c r="F8" i="38"/>
  <c r="I8" i="38" s="1"/>
  <c r="I10" i="38" s="1"/>
  <c r="B8" i="38"/>
  <c r="F14" i="28"/>
  <c r="B14" i="28"/>
  <c r="F14" i="24"/>
  <c r="H14" i="24" s="1"/>
  <c r="B14" i="24"/>
  <c r="F14" i="33"/>
  <c r="H14" i="33" s="1"/>
  <c r="B14" i="33"/>
  <c r="F14" i="34"/>
  <c r="H14" i="34" s="1"/>
  <c r="B14" i="34"/>
  <c r="F14" i="23"/>
  <c r="H14" i="23" s="1"/>
  <c r="B14" i="23"/>
  <c r="F14" i="36"/>
  <c r="H14" i="36" s="1"/>
  <c r="B14" i="36"/>
  <c r="F14" i="32"/>
  <c r="H14" i="32" s="1"/>
  <c r="B14" i="32"/>
  <c r="F14" i="31"/>
  <c r="H14" i="31" s="1"/>
  <c r="B14" i="31"/>
  <c r="F14" i="30"/>
  <c r="H14" i="30" s="1"/>
  <c r="B14" i="30"/>
  <c r="F14" i="37"/>
  <c r="H14" i="37" s="1"/>
  <c r="B14" i="37"/>
  <c r="F14" i="26"/>
  <c r="H14" i="26" s="1"/>
  <c r="B14" i="26"/>
  <c r="F14" i="25"/>
  <c r="H14" i="25" s="1"/>
  <c r="B14" i="25"/>
  <c r="F14" i="21"/>
  <c r="H14" i="21" s="1"/>
  <c r="B14" i="21"/>
  <c r="F46" i="37"/>
  <c r="G63" i="37"/>
  <c r="E63" i="37" s="1"/>
  <c r="G62" i="37"/>
  <c r="G59" i="37"/>
  <c r="F58" i="37"/>
  <c r="F62" i="37" s="1"/>
  <c r="E58" i="37"/>
  <c r="E62" i="37" s="1"/>
  <c r="D58" i="37"/>
  <c r="C58" i="37"/>
  <c r="F56" i="37"/>
  <c r="E56" i="37"/>
  <c r="D56" i="37"/>
  <c r="E51" i="37"/>
  <c r="D51" i="37"/>
  <c r="C51" i="37"/>
  <c r="F48" i="37"/>
  <c r="E48" i="37"/>
  <c r="D48" i="37"/>
  <c r="C48" i="37"/>
  <c r="F47" i="37"/>
  <c r="E47" i="37"/>
  <c r="D47" i="37"/>
  <c r="F45" i="37"/>
  <c r="E45" i="37"/>
  <c r="D45" i="37"/>
  <c r="F44" i="37"/>
  <c r="E44" i="37"/>
  <c r="D44" i="37"/>
  <c r="F43" i="37"/>
  <c r="E43" i="37"/>
  <c r="D43" i="37"/>
  <c r="E42" i="37"/>
  <c r="D42" i="37"/>
  <c r="C42" i="37"/>
  <c r="F41" i="37"/>
  <c r="E41" i="37"/>
  <c r="D41" i="37"/>
  <c r="C41" i="37"/>
  <c r="G40" i="37"/>
  <c r="G32" i="37"/>
  <c r="F32" i="37"/>
  <c r="D25" i="37"/>
  <c r="E24" i="37"/>
  <c r="E25" i="37" s="1"/>
  <c r="D24" i="37"/>
  <c r="G15" i="37"/>
  <c r="F13" i="37"/>
  <c r="H13" i="37" s="1"/>
  <c r="B13" i="37"/>
  <c r="E12" i="37"/>
  <c r="B12" i="37"/>
  <c r="E10" i="37"/>
  <c r="H8" i="37"/>
  <c r="I8" i="37"/>
  <c r="I10" i="37" s="1"/>
  <c r="B8" i="37"/>
  <c r="F48" i="26"/>
  <c r="E32" i="26"/>
  <c r="F42" i="28"/>
  <c r="E41" i="36"/>
  <c r="E40" i="36" s="1"/>
  <c r="G63" i="36"/>
  <c r="G59" i="36" s="1"/>
  <c r="D63" i="36"/>
  <c r="G62" i="36"/>
  <c r="C62" i="36"/>
  <c r="F58" i="36"/>
  <c r="F62" i="36" s="1"/>
  <c r="E58" i="36"/>
  <c r="E62" i="36" s="1"/>
  <c r="D58" i="36"/>
  <c r="D62" i="36" s="1"/>
  <c r="C58" i="36"/>
  <c r="C59" i="36" s="1"/>
  <c r="F56" i="36"/>
  <c r="E56" i="36"/>
  <c r="D56" i="36"/>
  <c r="E51" i="36"/>
  <c r="D51" i="36"/>
  <c r="C51" i="36"/>
  <c r="D48" i="36"/>
  <c r="C48" i="36"/>
  <c r="F47" i="36"/>
  <c r="E47" i="36"/>
  <c r="D47" i="36"/>
  <c r="F45" i="36"/>
  <c r="E45" i="36"/>
  <c r="D45" i="36"/>
  <c r="F44" i="36"/>
  <c r="F40" i="36" s="1"/>
  <c r="E44" i="36"/>
  <c r="D44" i="36"/>
  <c r="F43" i="36"/>
  <c r="E43" i="36"/>
  <c r="D43" i="36"/>
  <c r="D40" i="36" s="1"/>
  <c r="E42" i="36"/>
  <c r="D42" i="36"/>
  <c r="C42" i="36"/>
  <c r="F41" i="36"/>
  <c r="D41" i="36"/>
  <c r="C41" i="36"/>
  <c r="G40" i="36"/>
  <c r="G32" i="36"/>
  <c r="F32" i="36"/>
  <c r="E32" i="36"/>
  <c r="E24" i="36"/>
  <c r="E25" i="36" s="1"/>
  <c r="G15" i="36"/>
  <c r="F13" i="36"/>
  <c r="H13" i="36" s="1"/>
  <c r="B13" i="36"/>
  <c r="E12" i="36"/>
  <c r="B12" i="36"/>
  <c r="E10" i="36"/>
  <c r="H8" i="36"/>
  <c r="F8" i="36"/>
  <c r="B8" i="36"/>
  <c r="G63" i="35"/>
  <c r="E63" i="35" s="1"/>
  <c r="D63" i="35"/>
  <c r="D59" i="35" s="1"/>
  <c r="G62" i="35"/>
  <c r="F58" i="35"/>
  <c r="F62" i="35" s="1"/>
  <c r="E58" i="35"/>
  <c r="E62" i="35" s="1"/>
  <c r="D58" i="35"/>
  <c r="D62" i="35" s="1"/>
  <c r="C58" i="35"/>
  <c r="F56" i="35"/>
  <c r="E56" i="35"/>
  <c r="D56" i="35"/>
  <c r="E51" i="35"/>
  <c r="D51" i="35"/>
  <c r="C51" i="35"/>
  <c r="E48" i="35"/>
  <c r="D48" i="35"/>
  <c r="C48" i="35"/>
  <c r="F47" i="35"/>
  <c r="E47" i="35"/>
  <c r="D47" i="35"/>
  <c r="F45" i="35"/>
  <c r="E45" i="35"/>
  <c r="D45" i="35"/>
  <c r="F44" i="35"/>
  <c r="E44" i="35"/>
  <c r="D44" i="35"/>
  <c r="F43" i="35"/>
  <c r="E43" i="35"/>
  <c r="D43" i="35"/>
  <c r="E42" i="35"/>
  <c r="D42" i="35"/>
  <c r="C42" i="35"/>
  <c r="F41" i="35"/>
  <c r="E41" i="35"/>
  <c r="D41" i="35"/>
  <c r="C41" i="35"/>
  <c r="G40" i="35"/>
  <c r="G32" i="35"/>
  <c r="E32" i="35"/>
  <c r="F32" i="35" s="1"/>
  <c r="E24" i="35"/>
  <c r="E25" i="35" s="1"/>
  <c r="G15" i="35"/>
  <c r="B14" i="35"/>
  <c r="B13" i="35"/>
  <c r="E12" i="35"/>
  <c r="B12" i="35"/>
  <c r="E10" i="35"/>
  <c r="H8" i="35"/>
  <c r="B8" i="35"/>
  <c r="E63" i="36" l="1"/>
  <c r="E59" i="36" s="1"/>
  <c r="C40" i="35"/>
  <c r="G59" i="35"/>
  <c r="F63" i="36"/>
  <c r="H24" i="37"/>
  <c r="G59" i="38"/>
  <c r="H25" i="38"/>
  <c r="E40" i="38"/>
  <c r="D62" i="38"/>
  <c r="H15" i="39"/>
  <c r="C40" i="36"/>
  <c r="E40" i="37"/>
  <c r="D63" i="38"/>
  <c r="D59" i="38" s="1"/>
  <c r="H25" i="37"/>
  <c r="F40" i="37"/>
  <c r="D63" i="37"/>
  <c r="D59" i="37" s="1"/>
  <c r="E63" i="38"/>
  <c r="E59" i="38" s="1"/>
  <c r="I8" i="36"/>
  <c r="I10" i="36" s="1"/>
  <c r="H24" i="38"/>
  <c r="H13" i="38"/>
  <c r="H15" i="38" s="1"/>
  <c r="I12" i="39"/>
  <c r="I15" i="39" s="1"/>
  <c r="I14" i="38"/>
  <c r="D62" i="37"/>
  <c r="H14" i="28"/>
  <c r="I14" i="28" s="1"/>
  <c r="C62" i="38"/>
  <c r="F12" i="38"/>
  <c r="I14" i="24"/>
  <c r="I14" i="33"/>
  <c r="I14" i="34"/>
  <c r="I14" i="23"/>
  <c r="I14" i="36"/>
  <c r="I14" i="32"/>
  <c r="I14" i="31"/>
  <c r="I14" i="30"/>
  <c r="I14" i="37"/>
  <c r="I14" i="26"/>
  <c r="I14" i="25"/>
  <c r="I14" i="21"/>
  <c r="D40" i="37"/>
  <c r="C40" i="37"/>
  <c r="F12" i="37"/>
  <c r="F15" i="37" s="1"/>
  <c r="H15" i="37"/>
  <c r="E59" i="37"/>
  <c r="I13" i="37"/>
  <c r="C62" i="37"/>
  <c r="C59" i="37"/>
  <c r="F63" i="37"/>
  <c r="F59" i="37" s="1"/>
  <c r="H15" i="36"/>
  <c r="F12" i="36"/>
  <c r="I12" i="36" s="1"/>
  <c r="I13" i="36"/>
  <c r="F59" i="36"/>
  <c r="D59" i="36"/>
  <c r="E40" i="35"/>
  <c r="D40" i="35"/>
  <c r="F40" i="35"/>
  <c r="E59" i="35"/>
  <c r="C59" i="35"/>
  <c r="C62" i="35"/>
  <c r="F63" i="35"/>
  <c r="F59" i="35" s="1"/>
  <c r="D17" i="39" l="1"/>
  <c r="I17" i="39" s="1"/>
  <c r="I15" i="36"/>
  <c r="D17" i="36" s="1"/>
  <c r="I17" i="36" s="1"/>
  <c r="F15" i="38"/>
  <c r="I12" i="38"/>
  <c r="I15" i="38" s="1"/>
  <c r="I12" i="37"/>
  <c r="I15" i="37" s="1"/>
  <c r="F15" i="36"/>
  <c r="G63" i="34"/>
  <c r="F63" i="34" s="1"/>
  <c r="D63" i="34"/>
  <c r="G62" i="34"/>
  <c r="E62" i="34"/>
  <c r="F58" i="34"/>
  <c r="F62" i="34" s="1"/>
  <c r="E58" i="34"/>
  <c r="D58" i="34"/>
  <c r="C58" i="34"/>
  <c r="C62" i="34" s="1"/>
  <c r="F56" i="34"/>
  <c r="E56" i="34"/>
  <c r="D56" i="34"/>
  <c r="E51" i="34"/>
  <c r="D51" i="34"/>
  <c r="C51" i="34"/>
  <c r="E48" i="34"/>
  <c r="D48" i="34"/>
  <c r="C48" i="34"/>
  <c r="F47" i="34"/>
  <c r="E47" i="34"/>
  <c r="D47" i="34"/>
  <c r="F45" i="34"/>
  <c r="E45" i="34"/>
  <c r="D45" i="34"/>
  <c r="F44" i="34"/>
  <c r="E44" i="34"/>
  <c r="D44" i="34"/>
  <c r="F43" i="34"/>
  <c r="E43" i="34"/>
  <c r="D43" i="34"/>
  <c r="E42" i="34"/>
  <c r="D42" i="34"/>
  <c r="C42" i="34"/>
  <c r="C40" i="34" s="1"/>
  <c r="F41" i="34"/>
  <c r="E41" i="34"/>
  <c r="D41" i="34"/>
  <c r="C41" i="34"/>
  <c r="G40" i="34"/>
  <c r="G32" i="34"/>
  <c r="E32" i="34"/>
  <c r="F32" i="34" s="1"/>
  <c r="E24" i="34"/>
  <c r="E25" i="34" s="1"/>
  <c r="G15" i="34"/>
  <c r="B13" i="34"/>
  <c r="E12" i="34"/>
  <c r="B12" i="34"/>
  <c r="E10" i="34"/>
  <c r="B8" i="34"/>
  <c r="D12" i="22"/>
  <c r="F12" i="22" s="1"/>
  <c r="E9" i="33"/>
  <c r="E8" i="33"/>
  <c r="H8" i="33" s="1"/>
  <c r="G63" i="33"/>
  <c r="F63" i="33" s="1"/>
  <c r="G62" i="33"/>
  <c r="G59" i="33"/>
  <c r="F58" i="33"/>
  <c r="E58" i="33"/>
  <c r="E62" i="33" s="1"/>
  <c r="D58" i="33"/>
  <c r="D62" i="33" s="1"/>
  <c r="C58" i="33"/>
  <c r="C62" i="33" s="1"/>
  <c r="F56" i="33"/>
  <c r="E56" i="33"/>
  <c r="D56" i="33"/>
  <c r="E51" i="33"/>
  <c r="D51" i="33"/>
  <c r="C51" i="33"/>
  <c r="E48" i="33"/>
  <c r="D48" i="33"/>
  <c r="C48" i="33"/>
  <c r="F47" i="33"/>
  <c r="E47" i="33"/>
  <c r="D47" i="33"/>
  <c r="F45" i="33"/>
  <c r="E45" i="33"/>
  <c r="D45" i="33"/>
  <c r="F44" i="33"/>
  <c r="E44" i="33"/>
  <c r="D44" i="33"/>
  <c r="F43" i="33"/>
  <c r="E43" i="33"/>
  <c r="D43" i="33"/>
  <c r="E42" i="33"/>
  <c r="E40" i="33" s="1"/>
  <c r="D42" i="33"/>
  <c r="C42" i="33"/>
  <c r="F41" i="33"/>
  <c r="E41" i="33"/>
  <c r="D41" i="33"/>
  <c r="C41" i="33"/>
  <c r="C40" i="33" s="1"/>
  <c r="G40" i="33"/>
  <c r="F40" i="33"/>
  <c r="G32" i="33"/>
  <c r="E32" i="33"/>
  <c r="F32" i="33" s="1"/>
  <c r="E24" i="33"/>
  <c r="E25" i="33" s="1"/>
  <c r="G15" i="33"/>
  <c r="B13" i="33"/>
  <c r="E12" i="33"/>
  <c r="B12" i="33"/>
  <c r="H9" i="33"/>
  <c r="B9" i="33"/>
  <c r="B8" i="33"/>
  <c r="D11" i="22"/>
  <c r="F11" i="22" s="1"/>
  <c r="F59" i="33" l="1"/>
  <c r="E40" i="34"/>
  <c r="E63" i="34"/>
  <c r="E59" i="34" s="1"/>
  <c r="D40" i="33"/>
  <c r="D63" i="33"/>
  <c r="D59" i="33" s="1"/>
  <c r="E63" i="33"/>
  <c r="E59" i="33" s="1"/>
  <c r="E10" i="33"/>
  <c r="G59" i="34"/>
  <c r="D17" i="38"/>
  <c r="I17" i="38" s="1"/>
  <c r="D17" i="37"/>
  <c r="I17" i="37" s="1"/>
  <c r="D40" i="34"/>
  <c r="F40" i="34"/>
  <c r="F59" i="34"/>
  <c r="D59" i="34"/>
  <c r="H8" i="34"/>
  <c r="C59" i="34"/>
  <c r="D62" i="34"/>
  <c r="C59" i="33"/>
  <c r="F62" i="33"/>
  <c r="H12" i="22"/>
  <c r="G12" i="22"/>
  <c r="C24" i="33" s="1"/>
  <c r="G24" i="33" s="1"/>
  <c r="H11" i="22"/>
  <c r="G11" i="22"/>
  <c r="C24" i="32" s="1"/>
  <c r="G24" i="32" s="1"/>
  <c r="G63" i="32"/>
  <c r="E63" i="32" s="1"/>
  <c r="F63" i="32"/>
  <c r="G62" i="32"/>
  <c r="F58" i="32"/>
  <c r="F62" i="32" s="1"/>
  <c r="E58" i="32"/>
  <c r="E62" i="32" s="1"/>
  <c r="D58" i="32"/>
  <c r="C58" i="32"/>
  <c r="C59" i="32" s="1"/>
  <c r="F56" i="32"/>
  <c r="E56" i="32"/>
  <c r="D56" i="32"/>
  <c r="E51" i="32"/>
  <c r="D51" i="32"/>
  <c r="C51" i="32"/>
  <c r="E48" i="32"/>
  <c r="D48" i="32"/>
  <c r="C48" i="32"/>
  <c r="F47" i="32"/>
  <c r="E47" i="32"/>
  <c r="D47" i="32"/>
  <c r="F45" i="32"/>
  <c r="E45" i="32"/>
  <c r="D45" i="32"/>
  <c r="F44" i="32"/>
  <c r="F40" i="32" s="1"/>
  <c r="E44" i="32"/>
  <c r="D44" i="32"/>
  <c r="F43" i="32"/>
  <c r="E43" i="32"/>
  <c r="D43" i="32"/>
  <c r="E42" i="32"/>
  <c r="E40" i="32" s="1"/>
  <c r="D42" i="32"/>
  <c r="C42" i="32"/>
  <c r="F41" i="32"/>
  <c r="E41" i="32"/>
  <c r="D41" i="32"/>
  <c r="C41" i="32"/>
  <c r="G40" i="32"/>
  <c r="C40" i="32"/>
  <c r="G32" i="32"/>
  <c r="E32" i="32"/>
  <c r="F32" i="32" s="1"/>
  <c r="E24" i="32"/>
  <c r="E25" i="32" s="1"/>
  <c r="G15" i="32"/>
  <c r="B13" i="32"/>
  <c r="E12" i="32"/>
  <c r="B12" i="32"/>
  <c r="E9" i="32"/>
  <c r="H9" i="32" s="1"/>
  <c r="B9" i="32"/>
  <c r="E8" i="32"/>
  <c r="E10" i="32" s="1"/>
  <c r="B8" i="32"/>
  <c r="D10" i="22"/>
  <c r="F10" i="22" s="1"/>
  <c r="G63" i="31"/>
  <c r="F63" i="31"/>
  <c r="E63" i="31"/>
  <c r="D63" i="31"/>
  <c r="G62" i="31"/>
  <c r="G59" i="31"/>
  <c r="F58" i="31"/>
  <c r="F59" i="31" s="1"/>
  <c r="E58" i="31"/>
  <c r="D58" i="31"/>
  <c r="C58" i="31"/>
  <c r="C62" i="31" s="1"/>
  <c r="F56" i="31"/>
  <c r="E56" i="31"/>
  <c r="D56" i="31"/>
  <c r="E51" i="31"/>
  <c r="D51" i="31"/>
  <c r="C51" i="31"/>
  <c r="E48" i="31"/>
  <c r="D48" i="31"/>
  <c r="C48" i="31"/>
  <c r="F47" i="31"/>
  <c r="E47" i="31"/>
  <c r="D47" i="31"/>
  <c r="F45" i="31"/>
  <c r="E45" i="31"/>
  <c r="D45" i="31"/>
  <c r="F44" i="31"/>
  <c r="E44" i="31"/>
  <c r="D44" i="31"/>
  <c r="F43" i="31"/>
  <c r="E43" i="31"/>
  <c r="D43" i="31"/>
  <c r="E42" i="31"/>
  <c r="D42" i="31"/>
  <c r="C42" i="31"/>
  <c r="F41" i="31"/>
  <c r="F40" i="31" s="1"/>
  <c r="E41" i="31"/>
  <c r="E40" i="31" s="1"/>
  <c r="D41" i="31"/>
  <c r="D40" i="31" s="1"/>
  <c r="C41" i="31"/>
  <c r="C40" i="31" s="1"/>
  <c r="G40" i="31"/>
  <c r="G32" i="31"/>
  <c r="E32" i="31"/>
  <c r="F32" i="31" s="1"/>
  <c r="E25" i="31"/>
  <c r="E24" i="31"/>
  <c r="G15" i="31"/>
  <c r="B13" i="31"/>
  <c r="E12" i="31"/>
  <c r="B12" i="31"/>
  <c r="E9" i="31"/>
  <c r="E10" i="31" s="1"/>
  <c r="B9" i="31"/>
  <c r="E8" i="31"/>
  <c r="H8" i="31" s="1"/>
  <c r="B8" i="31"/>
  <c r="D9" i="22"/>
  <c r="F9" i="22" s="1"/>
  <c r="E8" i="30"/>
  <c r="E9" i="30"/>
  <c r="H9" i="31" l="1"/>
  <c r="H8" i="32"/>
  <c r="G59" i="32"/>
  <c r="D59" i="31"/>
  <c r="D40" i="32"/>
  <c r="D63" i="32"/>
  <c r="D59" i="32" s="1"/>
  <c r="E59" i="31"/>
  <c r="C59" i="31"/>
  <c r="K12" i="22"/>
  <c r="M12" i="22" s="1"/>
  <c r="L12" i="22"/>
  <c r="C26" i="33" s="1"/>
  <c r="C25" i="33" s="1"/>
  <c r="G25" i="33" s="1"/>
  <c r="F59" i="32"/>
  <c r="D62" i="32"/>
  <c r="C62" i="32"/>
  <c r="E59" i="32"/>
  <c r="K11" i="22"/>
  <c r="M11" i="22" s="1"/>
  <c r="L11" i="22"/>
  <c r="C26" i="32" s="1"/>
  <c r="C25" i="32" s="1"/>
  <c r="G25" i="32" s="1"/>
  <c r="E62" i="31"/>
  <c r="F62" i="31"/>
  <c r="D62" i="31"/>
  <c r="G10" i="22"/>
  <c r="C24" i="31" s="1"/>
  <c r="G24" i="31" s="1"/>
  <c r="H10" i="22"/>
  <c r="G9" i="22"/>
  <c r="C24" i="30" s="1"/>
  <c r="H9" i="22"/>
  <c r="G63" i="30"/>
  <c r="E63" i="30" s="1"/>
  <c r="G62" i="30"/>
  <c r="G59" i="30"/>
  <c r="F58" i="30"/>
  <c r="F62" i="30" s="1"/>
  <c r="E58" i="30"/>
  <c r="E62" i="30" s="1"/>
  <c r="D58" i="30"/>
  <c r="C58" i="30"/>
  <c r="F56" i="30"/>
  <c r="E56" i="30"/>
  <c r="D56" i="30"/>
  <c r="E51" i="30"/>
  <c r="D51" i="30"/>
  <c r="C51" i="30"/>
  <c r="E48" i="30"/>
  <c r="D48" i="30"/>
  <c r="C48" i="30"/>
  <c r="F47" i="30"/>
  <c r="E47" i="30"/>
  <c r="D47" i="30"/>
  <c r="F45" i="30"/>
  <c r="F40" i="30" s="1"/>
  <c r="E45" i="30"/>
  <c r="D45" i="30"/>
  <c r="F44" i="30"/>
  <c r="E44" i="30"/>
  <c r="D44" i="30"/>
  <c r="F43" i="30"/>
  <c r="E43" i="30"/>
  <c r="D43" i="30"/>
  <c r="E42" i="30"/>
  <c r="D42" i="30"/>
  <c r="C42" i="30"/>
  <c r="F41" i="30"/>
  <c r="E41" i="30"/>
  <c r="D41" i="30"/>
  <c r="C41" i="30"/>
  <c r="G40" i="30"/>
  <c r="C40" i="30"/>
  <c r="G32" i="30"/>
  <c r="E32" i="30"/>
  <c r="F32" i="30" s="1"/>
  <c r="E24" i="30"/>
  <c r="E25" i="30" s="1"/>
  <c r="G24" i="30"/>
  <c r="G15" i="30"/>
  <c r="B13" i="30"/>
  <c r="E12" i="30"/>
  <c r="B12" i="30"/>
  <c r="H9" i="30"/>
  <c r="B9" i="30"/>
  <c r="H8" i="30"/>
  <c r="F8" i="30"/>
  <c r="E10" i="30"/>
  <c r="B8" i="30"/>
  <c r="G63" i="28"/>
  <c r="E63" i="28" s="1"/>
  <c r="F63" i="28"/>
  <c r="D63" i="28"/>
  <c r="G62" i="28"/>
  <c r="G59" i="28"/>
  <c r="F58" i="28"/>
  <c r="F59" i="28" s="1"/>
  <c r="E58" i="28"/>
  <c r="D58" i="28"/>
  <c r="D62" i="28" s="1"/>
  <c r="C58" i="28"/>
  <c r="F56" i="28"/>
  <c r="E56" i="28"/>
  <c r="D56" i="28"/>
  <c r="E51" i="28"/>
  <c r="D51" i="28"/>
  <c r="C51" i="28"/>
  <c r="E48" i="28"/>
  <c r="D48" i="28"/>
  <c r="C48" i="28"/>
  <c r="F47" i="28"/>
  <c r="E47" i="28"/>
  <c r="D47" i="28"/>
  <c r="F45" i="28"/>
  <c r="E45" i="28"/>
  <c r="D45" i="28"/>
  <c r="F44" i="28"/>
  <c r="E44" i="28"/>
  <c r="D44" i="28"/>
  <c r="F43" i="28"/>
  <c r="E43" i="28"/>
  <c r="D43" i="28"/>
  <c r="E42" i="28"/>
  <c r="D42" i="28"/>
  <c r="C42" i="28"/>
  <c r="F41" i="28"/>
  <c r="E41" i="28"/>
  <c r="D41" i="28"/>
  <c r="C41" i="28"/>
  <c r="G40" i="28"/>
  <c r="G32" i="28"/>
  <c r="F32" i="28"/>
  <c r="E24" i="28"/>
  <c r="E25" i="28" s="1"/>
  <c r="G15" i="28"/>
  <c r="B13" i="28"/>
  <c r="E12" i="28"/>
  <c r="B12" i="28"/>
  <c r="E10" i="28"/>
  <c r="H8" i="28"/>
  <c r="B8" i="28"/>
  <c r="D40" i="30" l="1"/>
  <c r="D63" i="30"/>
  <c r="F40" i="28"/>
  <c r="D59" i="30"/>
  <c r="E40" i="30"/>
  <c r="L10" i="22"/>
  <c r="C26" i="31" s="1"/>
  <c r="C25" i="31" s="1"/>
  <c r="G25" i="31" s="1"/>
  <c r="K10" i="22"/>
  <c r="M10" i="22" s="1"/>
  <c r="D62" i="30"/>
  <c r="L9" i="22"/>
  <c r="C26" i="30" s="1"/>
  <c r="C25" i="30" s="1"/>
  <c r="G25" i="30" s="1"/>
  <c r="K9" i="22"/>
  <c r="M9" i="22" s="1"/>
  <c r="I8" i="30"/>
  <c r="E59" i="30"/>
  <c r="C59" i="30"/>
  <c r="C62" i="30"/>
  <c r="F63" i="30"/>
  <c r="F59" i="30" s="1"/>
  <c r="E59" i="28"/>
  <c r="F62" i="28"/>
  <c r="E40" i="28"/>
  <c r="D40" i="28"/>
  <c r="C40" i="28"/>
  <c r="D59" i="28"/>
  <c r="E62" i="28"/>
  <c r="C59" i="28"/>
  <c r="C62" i="28"/>
  <c r="D8" i="22"/>
  <c r="F8" i="22" s="1"/>
  <c r="G8" i="22" s="1"/>
  <c r="E10" i="26"/>
  <c r="G63" i="26"/>
  <c r="F63" i="26" s="1"/>
  <c r="G62" i="26"/>
  <c r="F58" i="26"/>
  <c r="F62" i="26" s="1"/>
  <c r="E58" i="26"/>
  <c r="E62" i="26" s="1"/>
  <c r="D58" i="26"/>
  <c r="D62" i="26" s="1"/>
  <c r="C58" i="26"/>
  <c r="C59" i="26" s="1"/>
  <c r="F56" i="26"/>
  <c r="E56" i="26"/>
  <c r="D56" i="26"/>
  <c r="E51" i="26"/>
  <c r="D51" i="26"/>
  <c r="C51" i="26"/>
  <c r="E48" i="26"/>
  <c r="D48" i="26"/>
  <c r="C48" i="26"/>
  <c r="F47" i="26"/>
  <c r="E47" i="26"/>
  <c r="D47" i="26"/>
  <c r="F45" i="26"/>
  <c r="E45" i="26"/>
  <c r="D45" i="26"/>
  <c r="F44" i="26"/>
  <c r="E44" i="26"/>
  <c r="D44" i="26"/>
  <c r="F43" i="26"/>
  <c r="E43" i="26"/>
  <c r="D43" i="26"/>
  <c r="E42" i="26"/>
  <c r="D42" i="26"/>
  <c r="C42" i="26"/>
  <c r="F41" i="26"/>
  <c r="E41" i="26"/>
  <c r="D41" i="26"/>
  <c r="C41" i="26"/>
  <c r="G40" i="26"/>
  <c r="G32" i="26"/>
  <c r="F32" i="26"/>
  <c r="E24" i="26"/>
  <c r="E25" i="26" s="1"/>
  <c r="G15" i="26"/>
  <c r="B13" i="26"/>
  <c r="E12" i="26"/>
  <c r="B12" i="26"/>
  <c r="H8" i="26"/>
  <c r="B8" i="26"/>
  <c r="D7" i="22"/>
  <c r="F7" i="22" s="1"/>
  <c r="G7" i="22" s="1"/>
  <c r="C24" i="25" s="1"/>
  <c r="G24" i="25" s="1"/>
  <c r="E8" i="25"/>
  <c r="E9" i="25"/>
  <c r="G63" i="25"/>
  <c r="E63" i="25" s="1"/>
  <c r="D63" i="25"/>
  <c r="G62" i="25"/>
  <c r="G59" i="25"/>
  <c r="F58" i="25"/>
  <c r="F62" i="25" s="1"/>
  <c r="E58" i="25"/>
  <c r="D58" i="25"/>
  <c r="D62" i="25" s="1"/>
  <c r="C58" i="25"/>
  <c r="F56" i="25"/>
  <c r="E56" i="25"/>
  <c r="D56" i="25"/>
  <c r="E51" i="25"/>
  <c r="D51" i="25"/>
  <c r="C51" i="25"/>
  <c r="E48" i="25"/>
  <c r="D48" i="25"/>
  <c r="C48" i="25"/>
  <c r="F47" i="25"/>
  <c r="E47" i="25"/>
  <c r="D47" i="25"/>
  <c r="F45" i="25"/>
  <c r="E45" i="25"/>
  <c r="D45" i="25"/>
  <c r="F44" i="25"/>
  <c r="E44" i="25"/>
  <c r="D44" i="25"/>
  <c r="F43" i="25"/>
  <c r="E43" i="25"/>
  <c r="D43" i="25"/>
  <c r="E42" i="25"/>
  <c r="D42" i="25"/>
  <c r="C42" i="25"/>
  <c r="F41" i="25"/>
  <c r="E41" i="25"/>
  <c r="D41" i="25"/>
  <c r="C41" i="25"/>
  <c r="C40" i="25" s="1"/>
  <c r="G40" i="25"/>
  <c r="G32" i="25"/>
  <c r="E32" i="25"/>
  <c r="F32" i="25" s="1"/>
  <c r="E24" i="25"/>
  <c r="E25" i="25" s="1"/>
  <c r="G15" i="25"/>
  <c r="B13" i="25"/>
  <c r="E12" i="25"/>
  <c r="B12" i="25"/>
  <c r="H9" i="25"/>
  <c r="B9" i="25"/>
  <c r="E10" i="25"/>
  <c r="B8" i="25"/>
  <c r="G63" i="24"/>
  <c r="E63" i="24" s="1"/>
  <c r="F63" i="24"/>
  <c r="D63" i="24"/>
  <c r="G62" i="24"/>
  <c r="G59" i="24"/>
  <c r="F58" i="24"/>
  <c r="F62" i="24" s="1"/>
  <c r="E58" i="24"/>
  <c r="E62" i="24" s="1"/>
  <c r="D58" i="24"/>
  <c r="D62" i="24" s="1"/>
  <c r="C58" i="24"/>
  <c r="F56" i="24"/>
  <c r="E56" i="24"/>
  <c r="D56" i="24"/>
  <c r="E51" i="24"/>
  <c r="D51" i="24"/>
  <c r="C51" i="24"/>
  <c r="E48" i="24"/>
  <c r="D48" i="24"/>
  <c r="C48" i="24"/>
  <c r="F47" i="24"/>
  <c r="E47" i="24"/>
  <c r="D47" i="24"/>
  <c r="F45" i="24"/>
  <c r="E45" i="24"/>
  <c r="D45" i="24"/>
  <c r="F44" i="24"/>
  <c r="E44" i="24"/>
  <c r="D44" i="24"/>
  <c r="F43" i="24"/>
  <c r="E43" i="24"/>
  <c r="D43" i="24"/>
  <c r="E42" i="24"/>
  <c r="D42" i="24"/>
  <c r="C42" i="24"/>
  <c r="F41" i="24"/>
  <c r="E41" i="24"/>
  <c r="D41" i="24"/>
  <c r="C41" i="24"/>
  <c r="G40" i="24"/>
  <c r="G32" i="24"/>
  <c r="F32" i="24"/>
  <c r="E25" i="24"/>
  <c r="E24" i="24"/>
  <c r="G15" i="24"/>
  <c r="B13" i="24"/>
  <c r="E12" i="24"/>
  <c r="B12" i="24"/>
  <c r="E9" i="24"/>
  <c r="H9" i="24" s="1"/>
  <c r="B9" i="24"/>
  <c r="E8" i="24"/>
  <c r="E10" i="24" s="1"/>
  <c r="B8" i="24"/>
  <c r="D6" i="22"/>
  <c r="F6" i="22" s="1"/>
  <c r="E9" i="23"/>
  <c r="H9" i="23" s="1"/>
  <c r="E8" i="23"/>
  <c r="G63" i="23"/>
  <c r="F63" i="23" s="1"/>
  <c r="G62" i="23"/>
  <c r="F58" i="23"/>
  <c r="E58" i="23"/>
  <c r="E62" i="23" s="1"/>
  <c r="D58" i="23"/>
  <c r="D62" i="23" s="1"/>
  <c r="C58" i="23"/>
  <c r="C62" i="23" s="1"/>
  <c r="F56" i="23"/>
  <c r="E56" i="23"/>
  <c r="D56" i="23"/>
  <c r="E51" i="23"/>
  <c r="D51" i="23"/>
  <c r="C51" i="23"/>
  <c r="E48" i="23"/>
  <c r="D48" i="23"/>
  <c r="C48" i="23"/>
  <c r="F47" i="23"/>
  <c r="E47" i="23"/>
  <c r="D47" i="23"/>
  <c r="F45" i="23"/>
  <c r="E45" i="23"/>
  <c r="D45" i="23"/>
  <c r="F44" i="23"/>
  <c r="E44" i="23"/>
  <c r="D44" i="23"/>
  <c r="F43" i="23"/>
  <c r="E43" i="23"/>
  <c r="D43" i="23"/>
  <c r="E42" i="23"/>
  <c r="D42" i="23"/>
  <c r="C42" i="23"/>
  <c r="F41" i="23"/>
  <c r="E41" i="23"/>
  <c r="D41" i="23"/>
  <c r="D40" i="23" s="1"/>
  <c r="C41" i="23"/>
  <c r="G40" i="23"/>
  <c r="C40" i="23"/>
  <c r="G32" i="23"/>
  <c r="F32" i="23"/>
  <c r="E32" i="23"/>
  <c r="E25" i="23"/>
  <c r="E24" i="23"/>
  <c r="G15" i="23"/>
  <c r="B13" i="23"/>
  <c r="E12" i="23"/>
  <c r="B12" i="23"/>
  <c r="B9" i="23"/>
  <c r="H8" i="23"/>
  <c r="B8" i="23"/>
  <c r="F59" i="24" l="1"/>
  <c r="F63" i="25"/>
  <c r="G59" i="23"/>
  <c r="C24" i="28"/>
  <c r="G24" i="28" s="1"/>
  <c r="C24" i="39"/>
  <c r="G24" i="39" s="1"/>
  <c r="I24" i="39" s="1"/>
  <c r="C24" i="38"/>
  <c r="G24" i="38" s="1"/>
  <c r="I24" i="38" s="1"/>
  <c r="C24" i="37"/>
  <c r="G24" i="37" s="1"/>
  <c r="I24" i="37" s="1"/>
  <c r="F40" i="24"/>
  <c r="D63" i="23"/>
  <c r="D59" i="24"/>
  <c r="F59" i="23"/>
  <c r="E10" i="23"/>
  <c r="E40" i="23"/>
  <c r="E63" i="23"/>
  <c r="E59" i="23" s="1"/>
  <c r="F40" i="23"/>
  <c r="D40" i="25"/>
  <c r="F40" i="25"/>
  <c r="E40" i="25"/>
  <c r="F59" i="25"/>
  <c r="C24" i="26"/>
  <c r="G24" i="26" s="1"/>
  <c r="F59" i="26"/>
  <c r="L8" i="22"/>
  <c r="K8" i="22"/>
  <c r="M8" i="22" s="1"/>
  <c r="H8" i="22"/>
  <c r="C62" i="26"/>
  <c r="C40" i="26"/>
  <c r="E63" i="26"/>
  <c r="E59" i="26" s="1"/>
  <c r="E40" i="26"/>
  <c r="D40" i="26"/>
  <c r="F40" i="26"/>
  <c r="G59" i="26"/>
  <c r="D63" i="26"/>
  <c r="D59" i="26" s="1"/>
  <c r="E59" i="25"/>
  <c r="L7" i="22"/>
  <c r="C26" i="25" s="1"/>
  <c r="C25" i="25" s="1"/>
  <c r="G25" i="25" s="1"/>
  <c r="K7" i="22"/>
  <c r="M7" i="22" s="1"/>
  <c r="H7" i="22"/>
  <c r="D59" i="25"/>
  <c r="E62" i="25"/>
  <c r="H8" i="25"/>
  <c r="C59" i="25"/>
  <c r="C62" i="25"/>
  <c r="E59" i="24"/>
  <c r="E40" i="24"/>
  <c r="D40" i="24"/>
  <c r="C40" i="24"/>
  <c r="H8" i="24"/>
  <c r="C59" i="24"/>
  <c r="C62" i="24"/>
  <c r="F62" i="23"/>
  <c r="D59" i="23"/>
  <c r="C59" i="23"/>
  <c r="G6" i="22"/>
  <c r="C24" i="36" s="1"/>
  <c r="G24" i="36" s="1"/>
  <c r="H6" i="22"/>
  <c r="C26" i="39" l="1"/>
  <c r="C25" i="39" s="1"/>
  <c r="G25" i="39" s="1"/>
  <c r="I25" i="39" s="1"/>
  <c r="C26" i="37"/>
  <c r="C25" i="37" s="1"/>
  <c r="G25" i="37" s="1"/>
  <c r="I25" i="37" s="1"/>
  <c r="I26" i="37" s="1"/>
  <c r="C26" i="38"/>
  <c r="C25" i="38" s="1"/>
  <c r="G25" i="38" s="1"/>
  <c r="I25" i="38" s="1"/>
  <c r="I26" i="38" s="1"/>
  <c r="I26" i="39"/>
  <c r="C26" i="28"/>
  <c r="C25" i="28" s="1"/>
  <c r="G25" i="28" s="1"/>
  <c r="C26" i="26"/>
  <c r="C25" i="26" s="1"/>
  <c r="G25" i="26" s="1"/>
  <c r="C24" i="35"/>
  <c r="G24" i="35" s="1"/>
  <c r="C24" i="34"/>
  <c r="G24" i="34" s="1"/>
  <c r="C24" i="24"/>
  <c r="G24" i="24" s="1"/>
  <c r="C24" i="23"/>
  <c r="G24" i="23" s="1"/>
  <c r="L6" i="22"/>
  <c r="C26" i="36" s="1"/>
  <c r="C25" i="36" s="1"/>
  <c r="G25" i="36" s="1"/>
  <c r="K6" i="22"/>
  <c r="M6" i="22" s="1"/>
  <c r="E26" i="38" l="1"/>
  <c r="C35" i="38" s="1"/>
  <c r="I28" i="38"/>
  <c r="E26" i="37"/>
  <c r="C35" i="37" s="1"/>
  <c r="I28" i="37"/>
  <c r="I28" i="39"/>
  <c r="E26" i="39"/>
  <c r="C35" i="39" s="1"/>
  <c r="C26" i="35"/>
  <c r="C25" i="35" s="1"/>
  <c r="G25" i="35" s="1"/>
  <c r="C26" i="34"/>
  <c r="C25" i="34" s="1"/>
  <c r="G25" i="34" s="1"/>
  <c r="C26" i="24"/>
  <c r="C25" i="24" s="1"/>
  <c r="G25" i="24" s="1"/>
  <c r="C26" i="21"/>
  <c r="C25" i="21" s="1"/>
  <c r="C26" i="23"/>
  <c r="C25" i="23" s="1"/>
  <c r="G25" i="23" s="1"/>
  <c r="D5" i="22"/>
  <c r="F5" i="22" s="1"/>
  <c r="G5" i="22" s="1"/>
  <c r="C24" i="21" s="1"/>
  <c r="G24" i="21" s="1"/>
  <c r="E8" i="21"/>
  <c r="E9" i="21"/>
  <c r="G63" i="21"/>
  <c r="D63" i="21" s="1"/>
  <c r="G62" i="21"/>
  <c r="F58" i="21"/>
  <c r="F62" i="21" s="1"/>
  <c r="E58" i="21"/>
  <c r="E62" i="21" s="1"/>
  <c r="D58" i="21"/>
  <c r="D62" i="21" s="1"/>
  <c r="C58" i="21"/>
  <c r="C62" i="21" s="1"/>
  <c r="F56" i="21"/>
  <c r="E56" i="21"/>
  <c r="D56" i="21"/>
  <c r="E51" i="21"/>
  <c r="D51" i="21"/>
  <c r="C51" i="21"/>
  <c r="E48" i="21"/>
  <c r="D48" i="21"/>
  <c r="C48" i="21"/>
  <c r="F47" i="21"/>
  <c r="E47" i="21"/>
  <c r="D47" i="21"/>
  <c r="F45" i="21"/>
  <c r="E45" i="21"/>
  <c r="D45" i="21"/>
  <c r="F44" i="21"/>
  <c r="E44" i="21"/>
  <c r="D44" i="21"/>
  <c r="F43" i="21"/>
  <c r="E43" i="21"/>
  <c r="D43" i="21"/>
  <c r="E42" i="21"/>
  <c r="D42" i="21"/>
  <c r="C42" i="21"/>
  <c r="C40" i="21" s="1"/>
  <c r="F41" i="21"/>
  <c r="E41" i="21"/>
  <c r="D41" i="21"/>
  <c r="C41" i="21"/>
  <c r="G40" i="21"/>
  <c r="G32" i="21"/>
  <c r="E32" i="21"/>
  <c r="F32" i="21" s="1"/>
  <c r="G25" i="21"/>
  <c r="E24" i="21"/>
  <c r="E25" i="21" s="1"/>
  <c r="G15" i="21"/>
  <c r="B13" i="21"/>
  <c r="E12" i="21"/>
  <c r="B12" i="21"/>
  <c r="H9" i="21"/>
  <c r="B9" i="21"/>
  <c r="E10" i="21"/>
  <c r="B8" i="21"/>
  <c r="F60" i="39" l="1"/>
  <c r="F61" i="39" s="1"/>
  <c r="F64" i="39" s="1"/>
  <c r="E35" i="39"/>
  <c r="D60" i="39"/>
  <c r="D61" i="39" s="1"/>
  <c r="D64" i="39" s="1"/>
  <c r="C52" i="39"/>
  <c r="E60" i="39"/>
  <c r="E61" i="39" s="1"/>
  <c r="E64" i="39" s="1"/>
  <c r="G60" i="39"/>
  <c r="G61" i="39" s="1"/>
  <c r="G64" i="39" s="1"/>
  <c r="C60" i="39"/>
  <c r="C61" i="39" s="1"/>
  <c r="C64" i="39" s="1"/>
  <c r="D52" i="39"/>
  <c r="E52" i="39"/>
  <c r="F52" i="39"/>
  <c r="G52" i="39"/>
  <c r="E40" i="21"/>
  <c r="F40" i="21"/>
  <c r="C52" i="37"/>
  <c r="C60" i="37"/>
  <c r="C61" i="37" s="1"/>
  <c r="C64" i="37" s="1"/>
  <c r="G60" i="37"/>
  <c r="G61" i="37" s="1"/>
  <c r="G64" i="37" s="1"/>
  <c r="D60" i="37"/>
  <c r="D61" i="37" s="1"/>
  <c r="D64" i="37" s="1"/>
  <c r="D52" i="37"/>
  <c r="E52" i="37"/>
  <c r="F52" i="37"/>
  <c r="E35" i="37"/>
  <c r="G52" i="37"/>
  <c r="E60" i="37"/>
  <c r="E61" i="37" s="1"/>
  <c r="E64" i="37" s="1"/>
  <c r="F60" i="37"/>
  <c r="F61" i="37" s="1"/>
  <c r="F64" i="37" s="1"/>
  <c r="E63" i="21"/>
  <c r="F63" i="21"/>
  <c r="C52" i="38"/>
  <c r="G60" i="38"/>
  <c r="G61" i="38" s="1"/>
  <c r="G64" i="38" s="1"/>
  <c r="D52" i="38"/>
  <c r="E52" i="38"/>
  <c r="C60" i="38"/>
  <c r="C61" i="38" s="1"/>
  <c r="C64" i="38" s="1"/>
  <c r="F52" i="38"/>
  <c r="E35" i="38"/>
  <c r="D60" i="38"/>
  <c r="D61" i="38" s="1"/>
  <c r="D64" i="38" s="1"/>
  <c r="E60" i="38"/>
  <c r="E61" i="38" s="1"/>
  <c r="E64" i="38" s="1"/>
  <c r="F60" i="38"/>
  <c r="F61" i="38" s="1"/>
  <c r="F64" i="38" s="1"/>
  <c r="G52" i="38"/>
  <c r="D40" i="21"/>
  <c r="C59" i="21"/>
  <c r="D59" i="21"/>
  <c r="L5" i="22"/>
  <c r="K5" i="22"/>
  <c r="M5" i="22" s="1"/>
  <c r="H5" i="22"/>
  <c r="G59" i="21"/>
  <c r="F59" i="21"/>
  <c r="E59" i="21"/>
  <c r="H8" i="21"/>
  <c r="E53" i="38" l="1"/>
  <c r="E39" i="38"/>
  <c r="E50" i="38" s="1"/>
  <c r="E54" i="38" s="1"/>
  <c r="E55" i="38" s="1"/>
  <c r="E57" i="38" s="1"/>
  <c r="G53" i="37"/>
  <c r="G39" i="37"/>
  <c r="G50" i="37" s="1"/>
  <c r="G54" i="37" s="1"/>
  <c r="G55" i="37" s="1"/>
  <c r="G57" i="37" s="1"/>
  <c r="C53" i="37"/>
  <c r="C39" i="37"/>
  <c r="C50" i="37" s="1"/>
  <c r="C54" i="37" s="1"/>
  <c r="C55" i="37" s="1"/>
  <c r="C57" i="37" s="1"/>
  <c r="G53" i="38"/>
  <c r="G39" i="38"/>
  <c r="G50" i="38" s="1"/>
  <c r="G54" i="38" s="1"/>
  <c r="G55" i="38" s="1"/>
  <c r="G57" i="38" s="1"/>
  <c r="F53" i="37"/>
  <c r="F39" i="37"/>
  <c r="F50" i="37" s="1"/>
  <c r="F54" i="37" s="1"/>
  <c r="F55" i="37" s="1"/>
  <c r="F57" i="37" s="1"/>
  <c r="C53" i="39"/>
  <c r="C39" i="39"/>
  <c r="C50" i="39" s="1"/>
  <c r="C54" i="39" s="1"/>
  <c r="C55" i="39" s="1"/>
  <c r="C57" i="39" s="1"/>
  <c r="F53" i="38"/>
  <c r="F39" i="38"/>
  <c r="F50" i="38" s="1"/>
  <c r="F54" i="38" s="1"/>
  <c r="F55" i="38" s="1"/>
  <c r="F57" i="38" s="1"/>
  <c r="C53" i="38"/>
  <c r="C39" i="38"/>
  <c r="C50" i="38" s="1"/>
  <c r="C54" i="38" s="1"/>
  <c r="C55" i="38" s="1"/>
  <c r="C57" i="38" s="1"/>
  <c r="E39" i="37"/>
  <c r="E50" i="37" s="1"/>
  <c r="E54" i="37" s="1"/>
  <c r="E55" i="37" s="1"/>
  <c r="E57" i="37" s="1"/>
  <c r="E53" i="37"/>
  <c r="G53" i="39"/>
  <c r="G39" i="39"/>
  <c r="G50" i="39" s="1"/>
  <c r="G54" i="39" s="1"/>
  <c r="G55" i="39" s="1"/>
  <c r="G57" i="39" s="1"/>
  <c r="D53" i="38"/>
  <c r="D39" i="38"/>
  <c r="D50" i="38" s="1"/>
  <c r="D54" i="38" s="1"/>
  <c r="D55" i="38" s="1"/>
  <c r="D57" i="38" s="1"/>
  <c r="D53" i="37"/>
  <c r="D39" i="37"/>
  <c r="D50" i="37" s="1"/>
  <c r="D54" i="37" s="1"/>
  <c r="D55" i="37" s="1"/>
  <c r="D57" i="37" s="1"/>
  <c r="F39" i="39"/>
  <c r="F50" i="39" s="1"/>
  <c r="F54" i="39" s="1"/>
  <c r="F55" i="39" s="1"/>
  <c r="F57" i="39" s="1"/>
  <c r="F53" i="39"/>
  <c r="D53" i="39"/>
  <c r="D39" i="39"/>
  <c r="D50" i="39" s="1"/>
  <c r="D54" i="39" s="1"/>
  <c r="D55" i="39" s="1"/>
  <c r="D57" i="39" s="1"/>
  <c r="E53" i="39"/>
  <c r="E39" i="39"/>
  <c r="E50" i="39" s="1"/>
  <c r="E54" i="39" s="1"/>
  <c r="E55" i="39" s="1"/>
  <c r="E57" i="39" s="1"/>
  <c r="F8" i="32"/>
  <c r="I8" i="32" s="1"/>
  <c r="F8" i="21" l="1"/>
  <c r="I8" i="21" s="1"/>
  <c r="F8" i="31" l="1"/>
  <c r="I8" i="31" s="1"/>
  <c r="F13" i="35"/>
  <c r="F13" i="34"/>
  <c r="F13" i="24"/>
  <c r="F13" i="30"/>
  <c r="F13" i="31"/>
  <c r="F13" i="25"/>
  <c r="F13" i="28"/>
  <c r="F13" i="33"/>
  <c r="F13" i="23"/>
  <c r="F13" i="32"/>
  <c r="F13" i="26"/>
  <c r="F13" i="21"/>
  <c r="F8" i="33"/>
  <c r="I8" i="33" s="1"/>
  <c r="F8" i="35" l="1"/>
  <c r="I8" i="35" s="1"/>
  <c r="I10" i="35" s="1"/>
  <c r="F8" i="34"/>
  <c r="I8" i="34" s="1"/>
  <c r="I10" i="34" s="1"/>
  <c r="F9" i="33"/>
  <c r="I9" i="33" s="1"/>
  <c r="I10" i="33" s="1"/>
  <c r="H13" i="24"/>
  <c r="I13" i="24"/>
  <c r="F14" i="35"/>
  <c r="H13" i="32"/>
  <c r="I13" i="32"/>
  <c r="H13" i="26"/>
  <c r="I13" i="26"/>
  <c r="I13" i="31"/>
  <c r="H13" i="31"/>
  <c r="I13" i="25"/>
  <c r="H13" i="25"/>
  <c r="H13" i="35"/>
  <c r="I13" i="35"/>
  <c r="I13" i="30"/>
  <c r="H13" i="30"/>
  <c r="H13" i="28"/>
  <c r="I13" i="28"/>
  <c r="I13" i="23"/>
  <c r="H13" i="23"/>
  <c r="H13" i="34"/>
  <c r="I13" i="34"/>
  <c r="I13" i="21"/>
  <c r="H13" i="21"/>
  <c r="I13" i="33"/>
  <c r="H13" i="33"/>
  <c r="F12" i="33" l="1"/>
  <c r="I12" i="33" s="1"/>
  <c r="F12" i="35"/>
  <c r="F12" i="34"/>
  <c r="I12" i="34" s="1"/>
  <c r="H15" i="32"/>
  <c r="H15" i="25"/>
  <c r="H15" i="26"/>
  <c r="H15" i="30"/>
  <c r="H15" i="31"/>
  <c r="H15" i="24"/>
  <c r="H15" i="34"/>
  <c r="H15" i="28"/>
  <c r="H15" i="23"/>
  <c r="H15" i="33"/>
  <c r="H15" i="21"/>
  <c r="H14" i="35"/>
  <c r="H15" i="35" s="1"/>
  <c r="I15" i="34" l="1"/>
  <c r="D17" i="34" s="1"/>
  <c r="I17" i="34" s="1"/>
  <c r="I12" i="35"/>
  <c r="F15" i="35"/>
  <c r="F15" i="33"/>
  <c r="F15" i="34"/>
  <c r="I14" i="35"/>
  <c r="I15" i="33"/>
  <c r="D17" i="33" s="1"/>
  <c r="I17" i="33" s="1"/>
  <c r="I15" i="35" l="1"/>
  <c r="D17" i="35" s="1"/>
  <c r="I17" i="35" s="1"/>
  <c r="F8" i="23" l="1"/>
  <c r="I8" i="23" s="1"/>
  <c r="F8" i="24"/>
  <c r="I8" i="24" s="1"/>
  <c r="F8" i="25" l="1"/>
  <c r="I8" i="25" s="1"/>
  <c r="F9" i="32" l="1"/>
  <c r="I9" i="32" s="1"/>
  <c r="I10" i="32" s="1"/>
  <c r="F9" i="21"/>
  <c r="I9" i="21" s="1"/>
  <c r="I10" i="21" s="1"/>
  <c r="F9" i="30"/>
  <c r="I9" i="30" s="1"/>
  <c r="I10" i="30" s="1"/>
  <c r="F8" i="28"/>
  <c r="I8" i="28" s="1"/>
  <c r="I10" i="28" s="1"/>
  <c r="F9" i="24"/>
  <c r="I9" i="24" s="1"/>
  <c r="I10" i="24" s="1"/>
  <c r="F9" i="23"/>
  <c r="I9" i="23" s="1"/>
  <c r="I10" i="23" s="1"/>
  <c r="F9" i="25"/>
  <c r="I9" i="25" s="1"/>
  <c r="I10" i="25" s="1"/>
  <c r="F9" i="31"/>
  <c r="I9" i="31" s="1"/>
  <c r="I10" i="31" s="1"/>
  <c r="F8" i="26"/>
  <c r="I8" i="26" s="1"/>
  <c r="I10" i="26" s="1"/>
  <c r="F12" i="32" l="1"/>
  <c r="F12" i="26"/>
  <c r="F12" i="28"/>
  <c r="F12" i="25"/>
  <c r="F12" i="21"/>
  <c r="F12" i="24"/>
  <c r="F12" i="31"/>
  <c r="F12" i="30"/>
  <c r="F12" i="23"/>
  <c r="I12" i="30" l="1"/>
  <c r="I15" i="30" s="1"/>
  <c r="D17" i="30" s="1"/>
  <c r="I17" i="30" s="1"/>
  <c r="F15" i="30"/>
  <c r="I12" i="23"/>
  <c r="I15" i="23" s="1"/>
  <c r="D17" i="23" s="1"/>
  <c r="I17" i="23" s="1"/>
  <c r="F15" i="23"/>
  <c r="I12" i="24"/>
  <c r="I15" i="24" s="1"/>
  <c r="D17" i="24" s="1"/>
  <c r="I17" i="24" s="1"/>
  <c r="F15" i="24"/>
  <c r="I12" i="32"/>
  <c r="I15" i="32" s="1"/>
  <c r="D17" i="32" s="1"/>
  <c r="I17" i="32" s="1"/>
  <c r="F15" i="32"/>
  <c r="I12" i="26"/>
  <c r="I15" i="26" s="1"/>
  <c r="D17" i="26" s="1"/>
  <c r="I17" i="26" s="1"/>
  <c r="F15" i="26"/>
  <c r="I12" i="21"/>
  <c r="I15" i="21" s="1"/>
  <c r="D17" i="21" s="1"/>
  <c r="I17" i="21" s="1"/>
  <c r="F15" i="21"/>
  <c r="I12" i="28"/>
  <c r="I15" i="28" s="1"/>
  <c r="D17" i="28" s="1"/>
  <c r="I17" i="28" s="1"/>
  <c r="F15" i="28"/>
  <c r="I12" i="31"/>
  <c r="I15" i="31" s="1"/>
  <c r="D17" i="31" s="1"/>
  <c r="I17" i="31" s="1"/>
  <c r="F15" i="31"/>
  <c r="I12" i="25"/>
  <c r="I15" i="25" s="1"/>
  <c r="D17" i="25" s="1"/>
  <c r="I17" i="25" s="1"/>
  <c r="F15" i="25"/>
  <c r="D24" i="26" l="1"/>
  <c r="D24" i="34"/>
  <c r="H24" i="34" s="1"/>
  <c r="I24" i="34" s="1"/>
  <c r="D24" i="30"/>
  <c r="H24" i="30" s="1"/>
  <c r="I24" i="30" s="1"/>
  <c r="D25" i="21"/>
  <c r="H25" i="21" s="1"/>
  <c r="I25" i="21" s="1"/>
  <c r="D24" i="25"/>
  <c r="H24" i="25" s="1"/>
  <c r="I24" i="25" s="1"/>
  <c r="I26" i="25" s="1"/>
  <c r="D25" i="25"/>
  <c r="H25" i="25" s="1"/>
  <c r="I25" i="25" s="1"/>
  <c r="D24" i="21"/>
  <c r="H24" i="21" s="1"/>
  <c r="I24" i="21" s="1"/>
  <c r="D25" i="30"/>
  <c r="H25" i="30" s="1"/>
  <c r="I25" i="30" s="1"/>
  <c r="D24" i="23"/>
  <c r="H24" i="23" s="1"/>
  <c r="I24" i="23" s="1"/>
  <c r="D24" i="24"/>
  <c r="H24" i="24" s="1"/>
  <c r="I24" i="24" s="1"/>
  <c r="D25" i="28"/>
  <c r="H25" i="28" s="1"/>
  <c r="I25" i="28" s="1"/>
  <c r="D24" i="32"/>
  <c r="H24" i="32" s="1"/>
  <c r="I24" i="32" s="1"/>
  <c r="D24" i="31"/>
  <c r="H24" i="31" s="1"/>
  <c r="I24" i="31" s="1"/>
  <c r="I26" i="31" s="1"/>
  <c r="D25" i="31"/>
  <c r="H25" i="31" s="1"/>
  <c r="I25" i="31" s="1"/>
  <c r="D24" i="28"/>
  <c r="H24" i="28" s="1"/>
  <c r="I24" i="28" s="1"/>
  <c r="D24" i="33"/>
  <c r="H24" i="33" s="1"/>
  <c r="I24" i="33" s="1"/>
  <c r="D25" i="26"/>
  <c r="H25" i="26" s="1"/>
  <c r="D25" i="23"/>
  <c r="H25" i="23" s="1"/>
  <c r="I25" i="23" s="1"/>
  <c r="D25" i="36"/>
  <c r="H25" i="36" s="1"/>
  <c r="I25" i="36" s="1"/>
  <c r="D25" i="32"/>
  <c r="H25" i="32" s="1"/>
  <c r="I25" i="32" s="1"/>
  <c r="D24" i="36"/>
  <c r="H24" i="36" s="1"/>
  <c r="I24" i="36" s="1"/>
  <c r="D25" i="24"/>
  <c r="H25" i="24" s="1"/>
  <c r="I25" i="24" s="1"/>
  <c r="D25" i="34"/>
  <c r="H25" i="34" s="1"/>
  <c r="I25" i="34" s="1"/>
  <c r="D24" i="35"/>
  <c r="H24" i="35" s="1"/>
  <c r="I24" i="35" s="1"/>
  <c r="D25" i="33"/>
  <c r="H25" i="33" s="1"/>
  <c r="I25" i="33" s="1"/>
  <c r="D25" i="35"/>
  <c r="H25" i="35" s="1"/>
  <c r="I25" i="35" s="1"/>
  <c r="I26" i="34" l="1"/>
  <c r="I26" i="33"/>
  <c r="I28" i="33" s="1"/>
  <c r="I26" i="30"/>
  <c r="E26" i="30" s="1"/>
  <c r="C35" i="30" s="1"/>
  <c r="H24" i="26"/>
  <c r="J24" i="26" s="1"/>
  <c r="I25" i="26"/>
  <c r="J25" i="26"/>
  <c r="I26" i="32"/>
  <c r="E26" i="32" s="1"/>
  <c r="C35" i="32" s="1"/>
  <c r="I28" i="25"/>
  <c r="E26" i="25"/>
  <c r="C35" i="25" s="1"/>
  <c r="I26" i="24"/>
  <c r="I26" i="23"/>
  <c r="I26" i="36"/>
  <c r="I26" i="28"/>
  <c r="I26" i="21"/>
  <c r="E26" i="34"/>
  <c r="C35" i="34" s="1"/>
  <c r="I28" i="34"/>
  <c r="I28" i="31"/>
  <c r="E26" i="31"/>
  <c r="C35" i="31" s="1"/>
  <c r="I26" i="35"/>
  <c r="I24" i="26" l="1"/>
  <c r="I26" i="26" s="1"/>
  <c r="E26" i="33"/>
  <c r="C35" i="33" s="1"/>
  <c r="E60" i="33" s="1"/>
  <c r="E61" i="33" s="1"/>
  <c r="E64" i="33" s="1"/>
  <c r="I28" i="30"/>
  <c r="I28" i="32"/>
  <c r="C52" i="31"/>
  <c r="E52" i="31"/>
  <c r="F52" i="31"/>
  <c r="D60" i="31"/>
  <c r="D61" i="31" s="1"/>
  <c r="D64" i="31" s="1"/>
  <c r="E60" i="31"/>
  <c r="E61" i="31" s="1"/>
  <c r="E64" i="31" s="1"/>
  <c r="G60" i="31"/>
  <c r="G61" i="31" s="1"/>
  <c r="G64" i="31" s="1"/>
  <c r="F60" i="31"/>
  <c r="F61" i="31" s="1"/>
  <c r="F64" i="31" s="1"/>
  <c r="D52" i="31"/>
  <c r="C60" i="31"/>
  <c r="C61" i="31" s="1"/>
  <c r="C64" i="31" s="1"/>
  <c r="G52" i="31"/>
  <c r="E35" i="31"/>
  <c r="I28" i="24"/>
  <c r="E26" i="24"/>
  <c r="C35" i="24" s="1"/>
  <c r="E26" i="26"/>
  <c r="C35" i="26" s="1"/>
  <c r="I28" i="26"/>
  <c r="E26" i="36"/>
  <c r="C35" i="36" s="1"/>
  <c r="I28" i="36"/>
  <c r="C60" i="34"/>
  <c r="C61" i="34" s="1"/>
  <c r="C64" i="34" s="1"/>
  <c r="D60" i="34"/>
  <c r="D61" i="34" s="1"/>
  <c r="D64" i="34" s="1"/>
  <c r="F60" i="34"/>
  <c r="F61" i="34" s="1"/>
  <c r="F64" i="34" s="1"/>
  <c r="E60" i="34"/>
  <c r="E61" i="34" s="1"/>
  <c r="E64" i="34" s="1"/>
  <c r="G60" i="34"/>
  <c r="G61" i="34" s="1"/>
  <c r="G64" i="34" s="1"/>
  <c r="C52" i="34"/>
  <c r="F52" i="34"/>
  <c r="D52" i="34"/>
  <c r="E52" i="34"/>
  <c r="G52" i="34"/>
  <c r="E35" i="34"/>
  <c r="G60" i="32"/>
  <c r="G61" i="32" s="1"/>
  <c r="G64" i="32" s="1"/>
  <c r="E52" i="32"/>
  <c r="F60" i="32"/>
  <c r="F61" i="32" s="1"/>
  <c r="F64" i="32" s="1"/>
  <c r="F52" i="32"/>
  <c r="E35" i="32"/>
  <c r="E60" i="32"/>
  <c r="E61" i="32" s="1"/>
  <c r="E64" i="32" s="1"/>
  <c r="D60" i="32"/>
  <c r="D61" i="32" s="1"/>
  <c r="D64" i="32" s="1"/>
  <c r="G52" i="32"/>
  <c r="C52" i="32"/>
  <c r="D52" i="32"/>
  <c r="C60" i="32"/>
  <c r="C61" i="32" s="1"/>
  <c r="C64" i="32" s="1"/>
  <c r="I28" i="23"/>
  <c r="E26" i="23"/>
  <c r="C35" i="23" s="1"/>
  <c r="I28" i="35"/>
  <c r="E26" i="35"/>
  <c r="C35" i="35" s="1"/>
  <c r="I28" i="28"/>
  <c r="E26" i="28"/>
  <c r="C35" i="28" s="1"/>
  <c r="I28" i="21"/>
  <c r="E26" i="21"/>
  <c r="C35" i="21" s="1"/>
  <c r="F52" i="30"/>
  <c r="G52" i="30"/>
  <c r="E35" i="30"/>
  <c r="E60" i="30"/>
  <c r="E61" i="30" s="1"/>
  <c r="E64" i="30" s="1"/>
  <c r="F60" i="30"/>
  <c r="F61" i="30" s="1"/>
  <c r="F64" i="30" s="1"/>
  <c r="D60" i="30"/>
  <c r="D61" i="30" s="1"/>
  <c r="D64" i="30" s="1"/>
  <c r="C52" i="30"/>
  <c r="E52" i="30"/>
  <c r="D52" i="30"/>
  <c r="G60" i="30"/>
  <c r="G61" i="30" s="1"/>
  <c r="G64" i="30" s="1"/>
  <c r="C60" i="30"/>
  <c r="C61" i="30" s="1"/>
  <c r="C64" i="30" s="1"/>
  <c r="E35" i="25"/>
  <c r="G52" i="25"/>
  <c r="D52" i="25"/>
  <c r="D60" i="25"/>
  <c r="D61" i="25" s="1"/>
  <c r="D64" i="25" s="1"/>
  <c r="E52" i="25"/>
  <c r="E60" i="25"/>
  <c r="E61" i="25" s="1"/>
  <c r="E64" i="25" s="1"/>
  <c r="F60" i="25"/>
  <c r="F61" i="25" s="1"/>
  <c r="F64" i="25" s="1"/>
  <c r="F52" i="25"/>
  <c r="G60" i="25"/>
  <c r="G61" i="25" s="1"/>
  <c r="G64" i="25" s="1"/>
  <c r="C52" i="25"/>
  <c r="C60" i="25"/>
  <c r="C61" i="25" s="1"/>
  <c r="C64" i="25" s="1"/>
  <c r="D60" i="33" l="1"/>
  <c r="D61" i="33" s="1"/>
  <c r="D64" i="33" s="1"/>
  <c r="G60" i="33"/>
  <c r="G61" i="33" s="1"/>
  <c r="G64" i="33" s="1"/>
  <c r="G52" i="33"/>
  <c r="G53" i="33" s="1"/>
  <c r="C60" i="33"/>
  <c r="C61" i="33" s="1"/>
  <c r="C64" i="33" s="1"/>
  <c r="E35" i="33"/>
  <c r="E52" i="33"/>
  <c r="C52" i="33"/>
  <c r="F60" i="33"/>
  <c r="F61" i="33" s="1"/>
  <c r="F64" i="33" s="1"/>
  <c r="D52" i="33"/>
  <c r="D53" i="33" s="1"/>
  <c r="F52" i="33"/>
  <c r="F53" i="33" s="1"/>
  <c r="E39" i="30"/>
  <c r="E50" i="30" s="1"/>
  <c r="E54" i="30" s="1"/>
  <c r="E55" i="30" s="1"/>
  <c r="E57" i="30" s="1"/>
  <c r="E53" i="30"/>
  <c r="E39" i="34"/>
  <c r="E50" i="34" s="1"/>
  <c r="E54" i="34" s="1"/>
  <c r="E55" i="34" s="1"/>
  <c r="E57" i="34" s="1"/>
  <c r="E53" i="34"/>
  <c r="G53" i="31"/>
  <c r="G39" i="31"/>
  <c r="G50" i="31" s="1"/>
  <c r="G54" i="31" s="1"/>
  <c r="G55" i="31" s="1"/>
  <c r="G57" i="31" s="1"/>
  <c r="E53" i="31"/>
  <c r="E39" i="31"/>
  <c r="E50" i="31" s="1"/>
  <c r="E54" i="31" s="1"/>
  <c r="E55" i="31" s="1"/>
  <c r="E57" i="31" s="1"/>
  <c r="D53" i="30"/>
  <c r="D39" i="30"/>
  <c r="D50" i="30" s="1"/>
  <c r="D54" i="30" s="1"/>
  <c r="D55" i="30" s="1"/>
  <c r="D57" i="30" s="1"/>
  <c r="F39" i="30"/>
  <c r="F50" i="30" s="1"/>
  <c r="F54" i="30" s="1"/>
  <c r="F55" i="30" s="1"/>
  <c r="F57" i="30" s="1"/>
  <c r="F53" i="30"/>
  <c r="C53" i="33"/>
  <c r="C39" i="33"/>
  <c r="C50" i="33" s="1"/>
  <c r="C54" i="33" s="1"/>
  <c r="C55" i="33" s="1"/>
  <c r="C57" i="33" s="1"/>
  <c r="D60" i="35"/>
  <c r="D61" i="35" s="1"/>
  <c r="D64" i="35" s="1"/>
  <c r="G60" i="35"/>
  <c r="G61" i="35" s="1"/>
  <c r="G64" i="35" s="1"/>
  <c r="E35" i="35"/>
  <c r="F52" i="35"/>
  <c r="D52" i="35"/>
  <c r="F60" i="35"/>
  <c r="F61" i="35" s="1"/>
  <c r="F64" i="35" s="1"/>
  <c r="E60" i="35"/>
  <c r="E61" i="35" s="1"/>
  <c r="E64" i="35" s="1"/>
  <c r="C60" i="35"/>
  <c r="C61" i="35" s="1"/>
  <c r="C64" i="35" s="1"/>
  <c r="C52" i="35"/>
  <c r="E52" i="35"/>
  <c r="G52" i="35"/>
  <c r="G39" i="34"/>
  <c r="G50" i="34" s="1"/>
  <c r="G54" i="34" s="1"/>
  <c r="G55" i="34" s="1"/>
  <c r="G57" i="34" s="1"/>
  <c r="G53" i="34"/>
  <c r="F39" i="31"/>
  <c r="F50" i="31" s="1"/>
  <c r="F54" i="31" s="1"/>
  <c r="F55" i="31" s="1"/>
  <c r="F57" i="31" s="1"/>
  <c r="F53" i="31"/>
  <c r="E39" i="33"/>
  <c r="E50" i="33" s="1"/>
  <c r="E54" i="33" s="1"/>
  <c r="E55" i="33" s="1"/>
  <c r="E57" i="33" s="1"/>
  <c r="E53" i="33"/>
  <c r="D53" i="34"/>
  <c r="D39" i="34"/>
  <c r="D50" i="34" s="1"/>
  <c r="D54" i="34" s="1"/>
  <c r="D55" i="34" s="1"/>
  <c r="D57" i="34" s="1"/>
  <c r="E39" i="25"/>
  <c r="E50" i="25" s="1"/>
  <c r="E54" i="25" s="1"/>
  <c r="E55" i="25" s="1"/>
  <c r="E57" i="25" s="1"/>
  <c r="E53" i="25"/>
  <c r="G39" i="32"/>
  <c r="G50" i="32" s="1"/>
  <c r="G54" i="32" s="1"/>
  <c r="G55" i="32" s="1"/>
  <c r="G57" i="32" s="1"/>
  <c r="G53" i="32"/>
  <c r="D39" i="32"/>
  <c r="D50" i="32" s="1"/>
  <c r="D54" i="32" s="1"/>
  <c r="D55" i="32" s="1"/>
  <c r="D57" i="32" s="1"/>
  <c r="D53" i="32"/>
  <c r="E39" i="32"/>
  <c r="E50" i="32" s="1"/>
  <c r="E54" i="32" s="1"/>
  <c r="E55" i="32" s="1"/>
  <c r="E57" i="32" s="1"/>
  <c r="E53" i="32"/>
  <c r="D52" i="26"/>
  <c r="E35" i="26"/>
  <c r="G52" i="26"/>
  <c r="E60" i="26"/>
  <c r="E61" i="26" s="1"/>
  <c r="E64" i="26" s="1"/>
  <c r="G60" i="26"/>
  <c r="G61" i="26" s="1"/>
  <c r="G64" i="26" s="1"/>
  <c r="F60" i="26"/>
  <c r="F61" i="26" s="1"/>
  <c r="F64" i="26" s="1"/>
  <c r="C60" i="26"/>
  <c r="C61" i="26" s="1"/>
  <c r="C64" i="26" s="1"/>
  <c r="F52" i="26"/>
  <c r="E52" i="26"/>
  <c r="C52" i="26"/>
  <c r="D60" i="26"/>
  <c r="D61" i="26" s="1"/>
  <c r="D64" i="26" s="1"/>
  <c r="C52" i="23"/>
  <c r="E35" i="23"/>
  <c r="D60" i="23"/>
  <c r="D61" i="23" s="1"/>
  <c r="D64" i="23" s="1"/>
  <c r="G60" i="23"/>
  <c r="G61" i="23" s="1"/>
  <c r="G64" i="23" s="1"/>
  <c r="E52" i="23"/>
  <c r="E60" i="23"/>
  <c r="E61" i="23" s="1"/>
  <c r="E64" i="23" s="1"/>
  <c r="C60" i="23"/>
  <c r="C61" i="23" s="1"/>
  <c r="C64" i="23" s="1"/>
  <c r="D52" i="23"/>
  <c r="F60" i="23"/>
  <c r="F61" i="23" s="1"/>
  <c r="F64" i="23" s="1"/>
  <c r="F52" i="23"/>
  <c r="G52" i="23"/>
  <c r="C39" i="31"/>
  <c r="C50" i="31" s="1"/>
  <c r="C54" i="31" s="1"/>
  <c r="C55" i="31" s="1"/>
  <c r="C57" i="31" s="1"/>
  <c r="C53" i="31"/>
  <c r="F53" i="25"/>
  <c r="F39" i="25"/>
  <c r="F50" i="25" s="1"/>
  <c r="F54" i="25" s="1"/>
  <c r="F55" i="25" s="1"/>
  <c r="F57" i="25" s="1"/>
  <c r="C53" i="32"/>
  <c r="C39" i="32"/>
  <c r="C50" i="32" s="1"/>
  <c r="C54" i="32" s="1"/>
  <c r="C55" i="32" s="1"/>
  <c r="C57" i="32" s="1"/>
  <c r="E60" i="24"/>
  <c r="E61" i="24" s="1"/>
  <c r="E64" i="24" s="1"/>
  <c r="D60" i="24"/>
  <c r="D61" i="24" s="1"/>
  <c r="D64" i="24" s="1"/>
  <c r="E35" i="24"/>
  <c r="G52" i="24"/>
  <c r="C52" i="24"/>
  <c r="F52" i="24"/>
  <c r="D52" i="24"/>
  <c r="G60" i="24"/>
  <c r="G61" i="24" s="1"/>
  <c r="G64" i="24" s="1"/>
  <c r="E52" i="24"/>
  <c r="F60" i="24"/>
  <c r="F61" i="24" s="1"/>
  <c r="F64" i="24" s="1"/>
  <c r="C60" i="24"/>
  <c r="C61" i="24" s="1"/>
  <c r="C64" i="24" s="1"/>
  <c r="C53" i="25"/>
  <c r="C39" i="25"/>
  <c r="C50" i="25" s="1"/>
  <c r="C54" i="25" s="1"/>
  <c r="C55" i="25" s="1"/>
  <c r="C57" i="25" s="1"/>
  <c r="G39" i="25"/>
  <c r="G50" i="25" s="1"/>
  <c r="G54" i="25" s="1"/>
  <c r="G55" i="25" s="1"/>
  <c r="G57" i="25" s="1"/>
  <c r="G53" i="25"/>
  <c r="E60" i="21"/>
  <c r="E61" i="21" s="1"/>
  <c r="E64" i="21" s="1"/>
  <c r="E52" i="21"/>
  <c r="C52" i="21"/>
  <c r="D52" i="21"/>
  <c r="D60" i="21"/>
  <c r="D61" i="21" s="1"/>
  <c r="D64" i="21" s="1"/>
  <c r="G60" i="21"/>
  <c r="G61" i="21" s="1"/>
  <c r="G64" i="21" s="1"/>
  <c r="F52" i="21"/>
  <c r="F60" i="21"/>
  <c r="F61" i="21" s="1"/>
  <c r="F64" i="21" s="1"/>
  <c r="G52" i="21"/>
  <c r="C60" i="21"/>
  <c r="C61" i="21" s="1"/>
  <c r="C64" i="21" s="1"/>
  <c r="E35" i="21"/>
  <c r="C53" i="34"/>
  <c r="C39" i="34"/>
  <c r="C50" i="34" s="1"/>
  <c r="C54" i="34" s="1"/>
  <c r="C55" i="34" s="1"/>
  <c r="C57" i="34" s="1"/>
  <c r="C53" i="30"/>
  <c r="C39" i="30"/>
  <c r="C50" i="30" s="1"/>
  <c r="C54" i="30" s="1"/>
  <c r="C55" i="30" s="1"/>
  <c r="C57" i="30" s="1"/>
  <c r="G53" i="30"/>
  <c r="G39" i="30"/>
  <c r="G50" i="30" s="1"/>
  <c r="G54" i="30" s="1"/>
  <c r="G55" i="30" s="1"/>
  <c r="G57" i="30" s="1"/>
  <c r="C52" i="28"/>
  <c r="E52" i="28"/>
  <c r="E35" i="28"/>
  <c r="E60" i="28"/>
  <c r="E61" i="28" s="1"/>
  <c r="E64" i="28" s="1"/>
  <c r="D60" i="28"/>
  <c r="D61" i="28" s="1"/>
  <c r="D64" i="28" s="1"/>
  <c r="G60" i="28"/>
  <c r="G61" i="28" s="1"/>
  <c r="G64" i="28" s="1"/>
  <c r="F60" i="28"/>
  <c r="F61" i="28" s="1"/>
  <c r="F64" i="28" s="1"/>
  <c r="F52" i="28"/>
  <c r="G52" i="28"/>
  <c r="D52" i="28"/>
  <c r="C60" i="28"/>
  <c r="C61" i="28" s="1"/>
  <c r="C64" i="28" s="1"/>
  <c r="D53" i="25"/>
  <c r="D39" i="25"/>
  <c r="D50" i="25" s="1"/>
  <c r="D54" i="25" s="1"/>
  <c r="D55" i="25" s="1"/>
  <c r="D57" i="25" s="1"/>
  <c r="F53" i="32"/>
  <c r="F39" i="32"/>
  <c r="F50" i="32" s="1"/>
  <c r="F54" i="32" s="1"/>
  <c r="F55" i="32" s="1"/>
  <c r="F57" i="32" s="1"/>
  <c r="F39" i="34"/>
  <c r="F50" i="34" s="1"/>
  <c r="F54" i="34" s="1"/>
  <c r="F55" i="34" s="1"/>
  <c r="F57" i="34" s="1"/>
  <c r="F53" i="34"/>
  <c r="G60" i="36"/>
  <c r="G61" i="36" s="1"/>
  <c r="G64" i="36" s="1"/>
  <c r="E35" i="36"/>
  <c r="D60" i="36"/>
  <c r="D61" i="36" s="1"/>
  <c r="D64" i="36" s="1"/>
  <c r="E60" i="36"/>
  <c r="E61" i="36" s="1"/>
  <c r="E64" i="36" s="1"/>
  <c r="F60" i="36"/>
  <c r="F61" i="36" s="1"/>
  <c r="F64" i="36" s="1"/>
  <c r="D52" i="36"/>
  <c r="C60" i="36"/>
  <c r="C61" i="36" s="1"/>
  <c r="C64" i="36" s="1"/>
  <c r="E52" i="36"/>
  <c r="G52" i="36"/>
  <c r="F52" i="36"/>
  <c r="C52" i="36"/>
  <c r="D53" i="31"/>
  <c r="D39" i="31"/>
  <c r="D50" i="31" s="1"/>
  <c r="D54" i="31" s="1"/>
  <c r="D55" i="31" s="1"/>
  <c r="D57" i="31" s="1"/>
  <c r="F39" i="33" l="1"/>
  <c r="F50" i="33" s="1"/>
  <c r="F54" i="33" s="1"/>
  <c r="F55" i="33" s="1"/>
  <c r="F57" i="33" s="1"/>
  <c r="D39" i="33"/>
  <c r="D50" i="33" s="1"/>
  <c r="D54" i="33" s="1"/>
  <c r="D55" i="33" s="1"/>
  <c r="D57" i="33" s="1"/>
  <c r="G39" i="33"/>
  <c r="G50" i="33" s="1"/>
  <c r="G54" i="33" s="1"/>
  <c r="G55" i="33" s="1"/>
  <c r="G57" i="33" s="1"/>
  <c r="F39" i="26"/>
  <c r="F50" i="26" s="1"/>
  <c r="F54" i="26" s="1"/>
  <c r="F55" i="26" s="1"/>
  <c r="F57" i="26" s="1"/>
  <c r="F53" i="26"/>
  <c r="G53" i="35"/>
  <c r="G39" i="35"/>
  <c r="G50" i="35" s="1"/>
  <c r="G54" i="35" s="1"/>
  <c r="G55" i="35" s="1"/>
  <c r="G57" i="35" s="1"/>
  <c r="D39" i="36"/>
  <c r="D50" i="36" s="1"/>
  <c r="D54" i="36" s="1"/>
  <c r="D55" i="36" s="1"/>
  <c r="D57" i="36" s="1"/>
  <c r="D53" i="36"/>
  <c r="E39" i="21"/>
  <c r="E50" i="21" s="1"/>
  <c r="E54" i="21" s="1"/>
  <c r="E55" i="21" s="1"/>
  <c r="E57" i="21" s="1"/>
  <c r="E53" i="21"/>
  <c r="E53" i="26"/>
  <c r="E39" i="26"/>
  <c r="E50" i="26" s="1"/>
  <c r="E54" i="26" s="1"/>
  <c r="E55" i="26" s="1"/>
  <c r="E57" i="26" s="1"/>
  <c r="D53" i="26"/>
  <c r="D39" i="26"/>
  <c r="D50" i="26" s="1"/>
  <c r="D54" i="26" s="1"/>
  <c r="D55" i="26" s="1"/>
  <c r="D57" i="26" s="1"/>
  <c r="F53" i="35"/>
  <c r="F39" i="35"/>
  <c r="F50" i="35" s="1"/>
  <c r="F54" i="35" s="1"/>
  <c r="F55" i="35" s="1"/>
  <c r="F57" i="35" s="1"/>
  <c r="D39" i="28"/>
  <c r="D50" i="28" s="1"/>
  <c r="D54" i="28" s="1"/>
  <c r="D55" i="28" s="1"/>
  <c r="D57" i="28" s="1"/>
  <c r="D53" i="28"/>
  <c r="E39" i="28"/>
  <c r="E50" i="28" s="1"/>
  <c r="E54" i="28" s="1"/>
  <c r="E55" i="28" s="1"/>
  <c r="E57" i="28" s="1"/>
  <c r="E53" i="28"/>
  <c r="C39" i="21"/>
  <c r="C50" i="21" s="1"/>
  <c r="C54" i="21" s="1"/>
  <c r="C55" i="21" s="1"/>
  <c r="C57" i="21" s="1"/>
  <c r="C53" i="21"/>
  <c r="G53" i="24"/>
  <c r="G39" i="24"/>
  <c r="G50" i="24" s="1"/>
  <c r="G54" i="24" s="1"/>
  <c r="G55" i="24" s="1"/>
  <c r="G57" i="24" s="1"/>
  <c r="C53" i="26"/>
  <c r="C39" i="26"/>
  <c r="C50" i="26" s="1"/>
  <c r="C54" i="26" s="1"/>
  <c r="C55" i="26" s="1"/>
  <c r="C57" i="26" s="1"/>
  <c r="D39" i="35"/>
  <c r="D50" i="35" s="1"/>
  <c r="D54" i="35" s="1"/>
  <c r="D55" i="35" s="1"/>
  <c r="D57" i="35" s="1"/>
  <c r="D53" i="35"/>
  <c r="F53" i="28"/>
  <c r="F39" i="28"/>
  <c r="F50" i="28" s="1"/>
  <c r="F54" i="28" s="1"/>
  <c r="F55" i="28" s="1"/>
  <c r="F57" i="28" s="1"/>
  <c r="G39" i="28"/>
  <c r="G50" i="28" s="1"/>
  <c r="G54" i="28" s="1"/>
  <c r="G55" i="28" s="1"/>
  <c r="G57" i="28" s="1"/>
  <c r="G53" i="28"/>
  <c r="D53" i="23"/>
  <c r="D39" i="23"/>
  <c r="D50" i="23" s="1"/>
  <c r="D54" i="23" s="1"/>
  <c r="D55" i="23" s="1"/>
  <c r="D57" i="23" s="1"/>
  <c r="G39" i="36"/>
  <c r="G50" i="36" s="1"/>
  <c r="G54" i="36" s="1"/>
  <c r="G55" i="36" s="1"/>
  <c r="G57" i="36" s="1"/>
  <c r="G53" i="36"/>
  <c r="F39" i="36"/>
  <c r="F50" i="36" s="1"/>
  <c r="F54" i="36" s="1"/>
  <c r="F55" i="36" s="1"/>
  <c r="F57" i="36" s="1"/>
  <c r="F53" i="36"/>
  <c r="D39" i="24"/>
  <c r="D50" i="24" s="1"/>
  <c r="D54" i="24" s="1"/>
  <c r="D55" i="24" s="1"/>
  <c r="D57" i="24" s="1"/>
  <c r="D53" i="24"/>
  <c r="F39" i="23"/>
  <c r="F50" i="23" s="1"/>
  <c r="F54" i="23" s="1"/>
  <c r="F55" i="23" s="1"/>
  <c r="F57" i="23" s="1"/>
  <c r="F53" i="23"/>
  <c r="D53" i="21"/>
  <c r="D39" i="21"/>
  <c r="D50" i="21" s="1"/>
  <c r="D54" i="21" s="1"/>
  <c r="D55" i="21" s="1"/>
  <c r="D57" i="21" s="1"/>
  <c r="C39" i="23"/>
  <c r="C50" i="23" s="1"/>
  <c r="C54" i="23" s="1"/>
  <c r="C55" i="23" s="1"/>
  <c r="C57" i="23" s="1"/>
  <c r="C53" i="23"/>
  <c r="C53" i="36"/>
  <c r="C39" i="36"/>
  <c r="C50" i="36" s="1"/>
  <c r="C54" i="36" s="1"/>
  <c r="C55" i="36" s="1"/>
  <c r="C57" i="36" s="1"/>
  <c r="F53" i="21"/>
  <c r="F39" i="21"/>
  <c r="F50" i="21" s="1"/>
  <c r="F54" i="21" s="1"/>
  <c r="F55" i="21" s="1"/>
  <c r="F57" i="21" s="1"/>
  <c r="G39" i="23"/>
  <c r="G50" i="23" s="1"/>
  <c r="G54" i="23" s="1"/>
  <c r="G55" i="23" s="1"/>
  <c r="G57" i="23" s="1"/>
  <c r="G53" i="23"/>
  <c r="C53" i="35"/>
  <c r="C39" i="35"/>
  <c r="C50" i="35" s="1"/>
  <c r="C54" i="35" s="1"/>
  <c r="C55" i="35" s="1"/>
  <c r="C57" i="35" s="1"/>
  <c r="G39" i="21"/>
  <c r="G50" i="21" s="1"/>
  <c r="G54" i="21" s="1"/>
  <c r="G55" i="21" s="1"/>
  <c r="G57" i="21" s="1"/>
  <c r="G53" i="21"/>
  <c r="E39" i="23"/>
  <c r="E50" i="23" s="1"/>
  <c r="E54" i="23" s="1"/>
  <c r="E55" i="23" s="1"/>
  <c r="E57" i="23" s="1"/>
  <c r="E53" i="23"/>
  <c r="C53" i="28"/>
  <c r="C39" i="28"/>
  <c r="C50" i="28" s="1"/>
  <c r="C54" i="28" s="1"/>
  <c r="C55" i="28" s="1"/>
  <c r="C57" i="28" s="1"/>
  <c r="E53" i="36"/>
  <c r="E39" i="36"/>
  <c r="E50" i="36" s="1"/>
  <c r="E54" i="36" s="1"/>
  <c r="E55" i="36" s="1"/>
  <c r="E57" i="36" s="1"/>
  <c r="C39" i="24"/>
  <c r="C50" i="24" s="1"/>
  <c r="C54" i="24" s="1"/>
  <c r="C55" i="24" s="1"/>
  <c r="C57" i="24" s="1"/>
  <c r="C53" i="24"/>
  <c r="G53" i="26"/>
  <c r="G39" i="26"/>
  <c r="G50" i="26" s="1"/>
  <c r="G54" i="26" s="1"/>
  <c r="G55" i="26" s="1"/>
  <c r="G57" i="26" s="1"/>
  <c r="F53" i="24"/>
  <c r="F39" i="24"/>
  <c r="F50" i="24" s="1"/>
  <c r="F54" i="24" s="1"/>
  <c r="F55" i="24" s="1"/>
  <c r="F57" i="24" s="1"/>
  <c r="E39" i="24"/>
  <c r="E50" i="24" s="1"/>
  <c r="E54" i="24" s="1"/>
  <c r="E55" i="24" s="1"/>
  <c r="E57" i="24" s="1"/>
  <c r="E53" i="24"/>
  <c r="E53" i="35"/>
  <c r="E39" i="35"/>
  <c r="E50" i="35" s="1"/>
  <c r="E54" i="35" s="1"/>
  <c r="E55" i="35" s="1"/>
  <c r="E57" i="35" s="1"/>
</calcChain>
</file>

<file path=xl/comments1.xml><?xml version="1.0" encoding="utf-8"?>
<comments xmlns="http://schemas.openxmlformats.org/spreadsheetml/2006/main">
  <authors>
    <author>consultoria</author>
  </authors>
  <commentList>
    <comment ref="B66" authorId="0">
      <text>
        <r>
          <rPr>
            <b/>
            <sz val="9"/>
            <color indexed="81"/>
            <rFont val="Tahoma"/>
            <family val="2"/>
          </rPr>
          <t>consultoria:</t>
        </r>
        <r>
          <rPr>
            <sz val="9"/>
            <color indexed="81"/>
            <rFont val="Tahoma"/>
            <family val="2"/>
          </rPr>
          <t xml:space="preserve">
13/07</t>
        </r>
      </text>
    </comment>
  </commentList>
</comments>
</file>

<file path=xl/comments2.xml><?xml version="1.0" encoding="utf-8"?>
<comments xmlns="http://schemas.openxmlformats.org/spreadsheetml/2006/main">
  <authors>
    <author>consultoria</author>
  </authors>
  <commentList>
    <comment ref="B67" authorId="0">
      <text>
        <r>
          <rPr>
            <b/>
            <sz val="9"/>
            <color indexed="81"/>
            <rFont val="Tahoma"/>
            <family val="2"/>
          </rPr>
          <t>consultoria:</t>
        </r>
        <r>
          <rPr>
            <sz val="9"/>
            <color indexed="81"/>
            <rFont val="Tahoma"/>
            <family val="2"/>
          </rPr>
          <t xml:space="preserve">
13/07</t>
        </r>
      </text>
    </comment>
  </commentList>
</comments>
</file>

<file path=xl/comments3.xml><?xml version="1.0" encoding="utf-8"?>
<comments xmlns="http://schemas.openxmlformats.org/spreadsheetml/2006/main">
  <authors>
    <author>consultoria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consultoria:</t>
        </r>
        <r>
          <rPr>
            <sz val="9"/>
            <color indexed="81"/>
            <rFont val="Tahoma"/>
            <family val="2"/>
          </rPr>
          <t xml:space="preserve">
carga do pead a 6,97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consultoria:</t>
        </r>
        <r>
          <rPr>
            <sz val="9"/>
            <color indexed="81"/>
            <rFont val="Tahoma"/>
            <family val="2"/>
          </rPr>
          <t xml:space="preserve">
13/07</t>
        </r>
      </text>
    </comment>
  </commentList>
</comments>
</file>

<file path=xl/sharedStrings.xml><?xml version="1.0" encoding="utf-8"?>
<sst xmlns="http://schemas.openxmlformats.org/spreadsheetml/2006/main" count="1470" uniqueCount="112">
  <si>
    <t>Empresa:</t>
  </si>
  <si>
    <t>Senir Embalagens</t>
  </si>
  <si>
    <t xml:space="preserve">Produto: </t>
  </si>
  <si>
    <t>Composição do produto</t>
  </si>
  <si>
    <t xml:space="preserve">Qtde </t>
  </si>
  <si>
    <t>Preço Unitário</t>
  </si>
  <si>
    <t>Perda %</t>
  </si>
  <si>
    <t>Perda R$</t>
  </si>
  <si>
    <t>Total</t>
  </si>
  <si>
    <t>Total Insumos</t>
  </si>
  <si>
    <t>Frete s/ Compra</t>
  </si>
  <si>
    <t>Total Insumos + Frete sobre a compra</t>
  </si>
  <si>
    <t>Turnos</t>
  </si>
  <si>
    <t>Horas Turno</t>
  </si>
  <si>
    <t>Dias Trab.</t>
  </si>
  <si>
    <t>Tempo Setup</t>
  </si>
  <si>
    <t>Salario, depreciação, manutencao e energia</t>
  </si>
  <si>
    <t>Tempo em minutos trabalhados mensal</t>
  </si>
  <si>
    <t xml:space="preserve"> Custo Fixo </t>
  </si>
  <si>
    <t xml:space="preserve"> Despesas Médio R$ </t>
  </si>
  <si>
    <t>Fatur. Médio R$</t>
  </si>
  <si>
    <t>%</t>
  </si>
  <si>
    <t>Custo Fixo R$</t>
  </si>
  <si>
    <t>Recuperação de produtos com defeito</t>
  </si>
  <si>
    <t xml:space="preserve"> Tipo NF </t>
  </si>
  <si>
    <t xml:space="preserve"> Custo Variáveis R$</t>
  </si>
  <si>
    <t xml:space="preserve"> Custo Variáveis % </t>
  </si>
  <si>
    <t xml:space="preserve"> Comissão </t>
  </si>
  <si>
    <t xml:space="preserve">SIMULA </t>
  </si>
  <si>
    <t xml:space="preserve"> Frete </t>
  </si>
  <si>
    <t xml:space="preserve"> ICMS </t>
  </si>
  <si>
    <t xml:space="preserve"> COFINS </t>
  </si>
  <si>
    <t xml:space="preserve"> PIS </t>
  </si>
  <si>
    <t xml:space="preserve"> Inadimplência </t>
  </si>
  <si>
    <t xml:space="preserve"> Despesas Financeiras </t>
  </si>
  <si>
    <t xml:space="preserve"> CUSTO TOTAL + VARIÁVEIS VENDAS </t>
  </si>
  <si>
    <t xml:space="preserve"> Margem Lucro </t>
  </si>
  <si>
    <t>Preço de venda Calculado</t>
  </si>
  <si>
    <t>Lucro R$</t>
  </si>
  <si>
    <t>Preço de venda Praticado</t>
  </si>
  <si>
    <t>Galão 05 LT Verde Reciclado</t>
  </si>
  <si>
    <t>TABELA</t>
  </si>
  <si>
    <t>ID</t>
  </si>
  <si>
    <t>Fardo</t>
  </si>
  <si>
    <t>Insumos Principais</t>
  </si>
  <si>
    <t>Preço Unidade</t>
  </si>
  <si>
    <t>Agregados ao insumo principal</t>
  </si>
  <si>
    <t xml:space="preserve">Total </t>
  </si>
  <si>
    <t>Custo de Processo - SENIR</t>
  </si>
  <si>
    <t>Tempo gasto por Garrafa em minutos</t>
  </si>
  <si>
    <t>Eficiência Projetada</t>
  </si>
  <si>
    <t>Tempo em minutos sobre Eficiência</t>
  </si>
  <si>
    <t>Custo x Minuto</t>
  </si>
  <si>
    <t>Custo do Processo</t>
  </si>
  <si>
    <t xml:space="preserve">Custo do Set Up </t>
  </si>
  <si>
    <t>Garrafas x hora</t>
  </si>
  <si>
    <t>Total FARDO</t>
  </si>
  <si>
    <t>Total UNIDADE</t>
  </si>
  <si>
    <t>TOTAL X UNIDADE (CALCULO SOMENTE PARA ENLACE DE PRODUTOS ENVASADOS)</t>
  </si>
  <si>
    <t>R$</t>
  </si>
  <si>
    <t>Custo Total x FARDO</t>
  </si>
  <si>
    <t>Custo Total x UNIDADE</t>
  </si>
  <si>
    <t>Custos Variáveis</t>
  </si>
  <si>
    <t>&lt;=</t>
  </si>
  <si>
    <t xml:space="preserve">IRPJ/CSLL </t>
  </si>
  <si>
    <t>Preço de venda Calculado + IPI</t>
  </si>
  <si>
    <t>Margem Calculado</t>
  </si>
  <si>
    <t xml:space="preserve">IPI </t>
  </si>
  <si>
    <t>Margem Calculado com desconto IPI</t>
  </si>
  <si>
    <t>Preço de venda Praticado + IPI</t>
  </si>
  <si>
    <t>Margem Praticado</t>
  </si>
  <si>
    <t>Dólar dia</t>
  </si>
  <si>
    <t>Margem Praticado com desconto IPI</t>
  </si>
  <si>
    <t xml:space="preserve">GALAO 05 LT AZUL PEROLIZADO FD 50 </t>
  </si>
  <si>
    <t>Produto</t>
  </si>
  <si>
    <t>Garrafas x Fardo</t>
  </si>
  <si>
    <t>Ciclo x Segundos</t>
  </si>
  <si>
    <t>Quantidade x Ciclo</t>
  </si>
  <si>
    <t>Tempo gasto x garrafa (Seg)</t>
  </si>
  <si>
    <t>Tempo gasto x Garrafa (Min)</t>
  </si>
  <si>
    <t>Tempo gasto x fardo (min)</t>
  </si>
  <si>
    <t>Eficiência Real</t>
  </si>
  <si>
    <t>Tempo em minutos Calculado sobre eficiência</t>
  </si>
  <si>
    <t>Produção máxima por hora</t>
  </si>
  <si>
    <t>Produção sobre a eficiência</t>
  </si>
  <si>
    <t>Ciclos de Processo x Produto - Maquinas 02 e 03 - BMT 10.0 S E BMT 10.0 D</t>
  </si>
  <si>
    <t>Galão 05 LT Azul Perolado</t>
  </si>
  <si>
    <t xml:space="preserve">GALAO 05 LT BCO. LEITOSO RECICLADO FD 50 </t>
  </si>
  <si>
    <t>Galão 05 LT Branco leitoso Reciclado</t>
  </si>
  <si>
    <t>Com o processo antigo estava dando 2,4403% de margem</t>
  </si>
  <si>
    <t xml:space="preserve">GALAO 05 LT BCO. LEITOSO RECICLADO FD 50 - Henlau </t>
  </si>
  <si>
    <t>GALAO 05 LT BRANCO FD 50 PC</t>
  </si>
  <si>
    <t xml:space="preserve">Galão 05 LT Branco </t>
  </si>
  <si>
    <t xml:space="preserve">GALAO 05 LT CRISTAL FD 50 </t>
  </si>
  <si>
    <t>Galão 05 LT Cristal</t>
  </si>
  <si>
    <t>Com o processo antigo estava dando -0,1829% de margem</t>
  </si>
  <si>
    <t xml:space="preserve">GALAO 05 LT LARANJA PEROLIZADO 50 </t>
  </si>
  <si>
    <t>Galão 05 LT Laranja Perolado</t>
  </si>
  <si>
    <t>GALAO 05 LT PINK PEROLIZADO 50 PC</t>
  </si>
  <si>
    <t>Galão 05 LT Pink Perolado</t>
  </si>
  <si>
    <t>GALAO 05 LT ROXO MAX 50 PC</t>
  </si>
  <si>
    <t>Galão 05 LT Roxo Max</t>
  </si>
  <si>
    <t>GALAO 05 LT VERDE REC. FARDO 50 PC</t>
  </si>
  <si>
    <t>MAQUINAS 02 E 03 - BMT 10.0S E BMT 10.0D</t>
  </si>
  <si>
    <t>GALAO 05 LT CRISTAL FD 50 - HENLAU</t>
  </si>
  <si>
    <t>GALAO 05 LT CANELA FD 50 (LARILIMP)</t>
  </si>
  <si>
    <t>27/07 - decidido galão a 1,42 para manter preço cliente ralph</t>
  </si>
  <si>
    <t>Preço definido po Ralph a R$ 1,42 a unidade em 07/08</t>
  </si>
  <si>
    <t>Preço cliente paga R$ 1,35 a unidade em 07/08</t>
  </si>
  <si>
    <t>Ralph falou c cliente 21/08, R$ 1,35 a um</t>
  </si>
  <si>
    <t>24/08 - informado cliente a 1,45 ainda com PEAD 6,97</t>
  </si>
  <si>
    <t>GALAO 05 LT CRISTAL FD 50 - TEIXEIRA 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</si>
</sst>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00_);_(&quot;R$&quot;* \(#,##0.0000\);_(&quot;R$&quot;* &quot;-&quot;??_);_(@_)"/>
    <numFmt numFmtId="165" formatCode="0.0000%"/>
    <numFmt numFmtId="166" formatCode="0.00000"/>
    <numFmt numFmtId="167" formatCode="0.000"/>
    <numFmt numFmtId="168" formatCode="_-&quot;R$&quot;\ * #,##0.0000_-;\-&quot;R$&quot;\ * #,##0.0000_-;_-&quot;R$&quot;\ * &quot;-&quot;??_-;_-@_-"/>
    <numFmt numFmtId="169" formatCode="_-&quot;R$&quot;\ * #,##0.0000_-;\-&quot;R$&quot;\ * #,##0.0000_-;_-&quot;R$&quot;\ * &quot;-&quot;????_-;_-@_-"/>
    <numFmt numFmtId="170" formatCode="0.0000"/>
    <numFmt numFmtId="171" formatCode="_(&quot;R$&quot;* #,##0.00_);_(&quot;R$&quot;* \(#,##0.00\);_(&quot;R$&quot;* &quot;-&quot;??_);_(@_)"/>
    <numFmt numFmtId="172" formatCode="_-* #,##0_-;\-* #,##0_-;_-* &quot;-&quot;??_-;_-@_-"/>
    <numFmt numFmtId="173" formatCode="_-* #,##0.0000_-;\-* #,##0.0000_-;_-* &quot;-&quot;??_-;_-@_-"/>
    <numFmt numFmtId="174" formatCode="&quot;R$&quot;\ #,##0.0000;[Red]\-&quot;R$&quot;\ #,##0.0000"/>
    <numFmt numFmtId="175" formatCode="_-&quot;R$&quot;\ * #,##0.00000_-;\-&quot;R$&quot;\ * #,##0.00000_-;_-&quot;R$&quot;\ * &quot;-&quot;??_-;_-@_-"/>
    <numFmt numFmtId="176" formatCode="0.000000"/>
    <numFmt numFmtId="177" formatCode="0.000%"/>
    <numFmt numFmtId="178" formatCode="_(* #,##0.00_);_(* \(#,##0.00\);_(* &quot;-&quot;??_);_(@_)"/>
    <numFmt numFmtId="179" formatCode="_(&quot;R$ &quot;* #,##0.00_);_(&quot;R$ &quot;* \(#,##0.00\);_(&quot;R$ &quot;* &quot;-&quot;??_);_(@_)"/>
    <numFmt numFmtId="180" formatCode="_(* #,##0_);_(* \(#,##0\);_(* &quot;-&quot;_);_(@_)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8.5"/>
      <name val="Arial"/>
      <family val="2"/>
    </font>
    <font>
      <b/>
      <i/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.5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name val="Eras Bk BT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i/>
      <u/>
      <sz val="14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EC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9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6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37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9" fillId="28" borderId="0" applyNumberFormat="0" applyBorder="0" applyAlignment="0" applyProtection="0"/>
    <xf numFmtId="0" fontId="40" fillId="29" borderId="0" applyNumberFormat="0" applyBorder="0" applyAlignment="0" applyProtection="0"/>
    <xf numFmtId="0" fontId="41" fillId="45" borderId="45" applyNumberFormat="0" applyAlignment="0" applyProtection="0"/>
    <xf numFmtId="0" fontId="41" fillId="45" borderId="45" applyNumberFormat="0" applyAlignment="0" applyProtection="0"/>
    <xf numFmtId="0" fontId="42" fillId="46" borderId="46" applyNumberFormat="0" applyAlignment="0" applyProtection="0"/>
    <xf numFmtId="0" fontId="43" fillId="0" borderId="47" applyNumberFormat="0" applyFill="0" applyAlignment="0" applyProtection="0"/>
    <xf numFmtId="0" fontId="42" fillId="46" borderId="46" applyNumberFormat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44" fillId="32" borderId="45" applyNumberFormat="0" applyAlignment="0" applyProtection="0"/>
    <xf numFmtId="0" fontId="45" fillId="0" borderId="0" applyNumberFormat="0" applyFill="0" applyBorder="0" applyAlignment="0" applyProtection="0"/>
    <xf numFmtId="0" fontId="40" fillId="29" borderId="0" applyNumberFormat="0" applyBorder="0" applyAlignment="0" applyProtection="0"/>
    <xf numFmtId="0" fontId="46" fillId="0" borderId="48" applyNumberFormat="0" applyFill="0" applyAlignment="0" applyProtection="0"/>
    <xf numFmtId="0" fontId="47" fillId="0" borderId="49" applyNumberFormat="0" applyFill="0" applyAlignment="0" applyProtection="0"/>
    <xf numFmtId="0" fontId="48" fillId="0" borderId="50" applyNumberFormat="0" applyFill="0" applyAlignment="0" applyProtection="0"/>
    <xf numFmtId="0" fontId="48" fillId="0" borderId="0" applyNumberFormat="0" applyFill="0" applyBorder="0" applyAlignment="0" applyProtection="0"/>
    <xf numFmtId="0" fontId="39" fillId="28" borderId="0" applyNumberFormat="0" applyBorder="0" applyAlignment="0" applyProtection="0"/>
    <xf numFmtId="0" fontId="44" fillId="32" borderId="45" applyNumberFormat="0" applyAlignment="0" applyProtection="0"/>
    <xf numFmtId="0" fontId="43" fillId="0" borderId="47" applyNumberFormat="0" applyFill="0" applyAlignment="0" applyProtection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9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48" borderId="51" applyNumberFormat="0" applyFont="0" applyAlignment="0" applyProtection="0"/>
    <xf numFmtId="0" fontId="9" fillId="48" borderId="51" applyNumberFormat="0" applyFont="0" applyAlignment="0" applyProtection="0"/>
    <xf numFmtId="0" fontId="51" fillId="45" borderId="52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1" fillId="45" borderId="52" applyNumberFormat="0" applyAlignment="0" applyProtection="0"/>
    <xf numFmtId="180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6" fillId="0" borderId="48" applyNumberFormat="0" applyFill="0" applyAlignment="0" applyProtection="0"/>
    <xf numFmtId="0" fontId="47" fillId="0" borderId="49" applyNumberFormat="0" applyFill="0" applyAlignment="0" applyProtection="0"/>
    <xf numFmtId="0" fontId="48" fillId="0" borderId="50" applyNumberFormat="0" applyFill="0" applyAlignment="0" applyProtection="0"/>
    <xf numFmtId="0" fontId="48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53" applyNumberFormat="0" applyFill="0" applyAlignment="0" applyProtection="0"/>
    <xf numFmtId="0" fontId="52" fillId="0" borderId="0" applyNumberFormat="0" applyFill="0" applyBorder="0" applyAlignment="0" applyProtection="0"/>
  </cellStyleXfs>
  <cellXfs count="304">
    <xf numFmtId="0" fontId="0" fillId="0" borderId="0" xfId="0"/>
    <xf numFmtId="0" fontId="7" fillId="2" borderId="3" xfId="4" applyFont="1" applyFill="1" applyBorder="1" applyAlignment="1">
      <alignment horizontal="center"/>
    </xf>
    <xf numFmtId="0" fontId="9" fillId="0" borderId="0" xfId="4" applyFont="1" applyBorder="1"/>
    <xf numFmtId="0" fontId="8" fillId="0" borderId="0" xfId="4" applyFont="1" applyFill="1" applyBorder="1" applyAlignment="1">
      <alignment horizontal="right"/>
    </xf>
    <xf numFmtId="0" fontId="7" fillId="0" borderId="0" xfId="4" applyFont="1" applyFill="1" applyBorder="1" applyAlignment="1">
      <alignment horizontal="center"/>
    </xf>
    <xf numFmtId="0" fontId="8" fillId="0" borderId="6" xfId="4" applyFont="1" applyFill="1" applyBorder="1" applyAlignment="1">
      <alignment horizontal="center"/>
    </xf>
    <xf numFmtId="0" fontId="8" fillId="0" borderId="9" xfId="4" applyFont="1" applyFill="1" applyBorder="1"/>
    <xf numFmtId="0" fontId="0" fillId="0" borderId="10" xfId="0" applyBorder="1"/>
    <xf numFmtId="0" fontId="8" fillId="0" borderId="0" xfId="4" applyFont="1" applyFill="1" applyBorder="1"/>
    <xf numFmtId="167" fontId="8" fillId="0" borderId="0" xfId="4" applyNumberFormat="1" applyFont="1" applyFill="1" applyBorder="1"/>
    <xf numFmtId="0" fontId="0" fillId="0" borderId="0" xfId="0" applyFill="1"/>
    <xf numFmtId="0" fontId="8" fillId="5" borderId="1" xfId="4" applyFont="1" applyFill="1" applyBorder="1"/>
    <xf numFmtId="10" fontId="10" fillId="5" borderId="2" xfId="4" applyNumberFormat="1" applyFont="1" applyFill="1" applyBorder="1"/>
    <xf numFmtId="169" fontId="8" fillId="5" borderId="1" xfId="4" applyNumberFormat="1" applyFont="1" applyFill="1" applyBorder="1"/>
    <xf numFmtId="10" fontId="8" fillId="5" borderId="2" xfId="3" applyNumberFormat="1" applyFont="1" applyFill="1" applyBorder="1"/>
    <xf numFmtId="9" fontId="12" fillId="0" borderId="0" xfId="3" applyFont="1"/>
    <xf numFmtId="10" fontId="10" fillId="0" borderId="0" xfId="4" applyNumberFormat="1" applyFont="1" applyFill="1" applyBorder="1"/>
    <xf numFmtId="168" fontId="8" fillId="0" borderId="0" xfId="4" applyNumberFormat="1" applyFont="1" applyFill="1" applyBorder="1" applyAlignment="1">
      <alignment wrapText="1"/>
    </xf>
    <xf numFmtId="169" fontId="8" fillId="0" borderId="0" xfId="4" applyNumberFormat="1" applyFont="1" applyFill="1" applyBorder="1"/>
    <xf numFmtId="10" fontId="8" fillId="0" borderId="0" xfId="3" applyNumberFormat="1" applyFont="1" applyFill="1" applyBorder="1"/>
    <xf numFmtId="0" fontId="0" fillId="0" borderId="0" xfId="0" applyFill="1" applyBorder="1" applyAlignment="1">
      <alignment wrapText="1"/>
    </xf>
    <xf numFmtId="9" fontId="12" fillId="0" borderId="0" xfId="3" applyFont="1" applyFill="1"/>
    <xf numFmtId="168" fontId="7" fillId="7" borderId="12" xfId="4" applyNumberFormat="1" applyFont="1" applyFill="1" applyBorder="1" applyAlignment="1">
      <alignment horizontal="center"/>
    </xf>
    <xf numFmtId="169" fontId="8" fillId="0" borderId="0" xfId="4" applyNumberFormat="1" applyFont="1" applyFill="1" applyBorder="1" applyAlignment="1">
      <alignment horizontal="center"/>
    </xf>
    <xf numFmtId="0" fontId="8" fillId="0" borderId="0" xfId="4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74" fontId="2" fillId="0" borderId="0" xfId="0" applyNumberFormat="1" applyFont="1" applyFill="1" applyBorder="1"/>
    <xf numFmtId="0" fontId="0" fillId="0" borderId="0" xfId="0" applyBorder="1"/>
    <xf numFmtId="169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wrapText="1"/>
    </xf>
    <xf numFmtId="44" fontId="0" fillId="0" borderId="0" xfId="2" applyFont="1" applyFill="1" applyBorder="1" applyAlignment="1"/>
    <xf numFmtId="169" fontId="8" fillId="13" borderId="21" xfId="4" applyNumberFormat="1" applyFont="1" applyFill="1" applyBorder="1" applyAlignment="1">
      <alignment horizontal="center"/>
    </xf>
    <xf numFmtId="44" fontId="8" fillId="13" borderId="1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9" borderId="3" xfId="4" applyFont="1" applyFill="1" applyBorder="1"/>
    <xf numFmtId="0" fontId="15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center"/>
    </xf>
    <xf numFmtId="10" fontId="16" fillId="0" borderId="14" xfId="6" applyNumberFormat="1" applyFont="1" applyFill="1" applyBorder="1" applyAlignment="1">
      <alignment horizontal="center"/>
    </xf>
    <xf numFmtId="10" fontId="16" fillId="0" borderId="12" xfId="6" applyNumberFormat="1" applyFont="1" applyFill="1" applyBorder="1" applyAlignment="1">
      <alignment horizontal="center"/>
    </xf>
    <xf numFmtId="169" fontId="8" fillId="7" borderId="11" xfId="4" applyNumberFormat="1" applyFont="1" applyFill="1" applyBorder="1" applyAlignment="1">
      <alignment horizontal="left"/>
    </xf>
    <xf numFmtId="168" fontId="8" fillId="7" borderId="4" xfId="4" applyNumberFormat="1" applyFont="1" applyFill="1" applyBorder="1" applyAlignment="1">
      <alignment horizontal="right"/>
    </xf>
    <xf numFmtId="169" fontId="17" fillId="16" borderId="11" xfId="4" applyNumberFormat="1" applyFont="1" applyFill="1" applyBorder="1" applyAlignment="1">
      <alignment horizontal="left"/>
    </xf>
    <xf numFmtId="0" fontId="8" fillId="17" borderId="5" xfId="4" applyFont="1" applyFill="1" applyBorder="1"/>
    <xf numFmtId="0" fontId="7" fillId="9" borderId="3" xfId="4" applyFont="1" applyFill="1" applyBorder="1"/>
    <xf numFmtId="165" fontId="16" fillId="16" borderId="13" xfId="3" applyNumberFormat="1" applyFont="1" applyFill="1" applyBorder="1" applyAlignment="1">
      <alignment horizontal="right"/>
    </xf>
    <xf numFmtId="0" fontId="21" fillId="0" borderId="8" xfId="4" applyFont="1" applyFill="1" applyBorder="1"/>
    <xf numFmtId="0" fontId="0" fillId="0" borderId="27" xfId="0" applyBorder="1"/>
    <xf numFmtId="0" fontId="0" fillId="0" borderId="6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7" fillId="0" borderId="0" xfId="4" applyFont="1" applyFill="1" applyBorder="1"/>
    <xf numFmtId="0" fontId="7" fillId="2" borderId="1" xfId="4" applyFont="1" applyFill="1" applyBorder="1" applyAlignment="1">
      <alignment horizontal="center"/>
    </xf>
    <xf numFmtId="0" fontId="9" fillId="0" borderId="9" xfId="4" applyFont="1" applyBorder="1"/>
    <xf numFmtId="0" fontId="2" fillId="0" borderId="1" xfId="0" applyFont="1" applyBorder="1" applyAlignment="1">
      <alignment horizontal="center"/>
    </xf>
    <xf numFmtId="0" fontId="8" fillId="0" borderId="10" xfId="4" applyFont="1" applyFill="1" applyBorder="1" applyAlignment="1">
      <alignment horizontal="center"/>
    </xf>
    <xf numFmtId="0" fontId="8" fillId="0" borderId="1" xfId="4" applyFont="1" applyFill="1" applyBorder="1" applyAlignment="1">
      <alignment horizontal="center"/>
    </xf>
    <xf numFmtId="0" fontId="8" fillId="0" borderId="12" xfId="4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8" fillId="0" borderId="5" xfId="10" applyFont="1" applyBorder="1" applyProtection="1">
      <protection hidden="1"/>
    </xf>
    <xf numFmtId="168" fontId="9" fillId="0" borderId="29" xfId="2" applyNumberFormat="1" applyFont="1" applyBorder="1" applyProtection="1">
      <protection hidden="1"/>
    </xf>
    <xf numFmtId="165" fontId="9" fillId="0" borderId="7" xfId="11" applyNumberFormat="1" applyFont="1" applyFill="1" applyBorder="1" applyAlignment="1">
      <alignment horizontal="right"/>
    </xf>
    <xf numFmtId="164" fontId="9" fillId="0" borderId="7" xfId="12" applyNumberFormat="1" applyFont="1" applyFill="1" applyBorder="1" applyAlignment="1">
      <alignment horizontal="right"/>
    </xf>
    <xf numFmtId="164" fontId="9" fillId="0" borderId="9" xfId="4" applyNumberFormat="1" applyFont="1" applyFill="1" applyBorder="1" applyAlignment="1">
      <alignment horizontal="right"/>
    </xf>
    <xf numFmtId="0" fontId="28" fillId="0" borderId="11" xfId="10" applyFont="1" applyBorder="1" applyProtection="1">
      <protection hidden="1"/>
    </xf>
    <xf numFmtId="0" fontId="0" fillId="0" borderId="14" xfId="0" applyBorder="1"/>
    <xf numFmtId="0" fontId="0" fillId="0" borderId="12" xfId="0" applyBorder="1"/>
    <xf numFmtId="0" fontId="0" fillId="0" borderId="30" xfId="0" applyBorder="1" applyAlignment="1">
      <alignment horizontal="center"/>
    </xf>
    <xf numFmtId="0" fontId="29" fillId="3" borderId="11" xfId="4" applyFont="1" applyFill="1" applyBorder="1"/>
    <xf numFmtId="164" fontId="9" fillId="3" borderId="14" xfId="12" applyNumberFormat="1" applyFont="1" applyFill="1" applyBorder="1" applyAlignment="1">
      <alignment horizontal="right"/>
    </xf>
    <xf numFmtId="176" fontId="9" fillId="3" borderId="14" xfId="4" applyNumberFormat="1" applyFont="1" applyFill="1" applyBorder="1" applyAlignment="1">
      <alignment horizontal="right"/>
    </xf>
    <xf numFmtId="164" fontId="9" fillId="3" borderId="2" xfId="12" applyNumberFormat="1" applyFont="1" applyFill="1" applyBorder="1" applyAlignment="1">
      <alignment horizontal="right"/>
    </xf>
    <xf numFmtId="164" fontId="8" fillId="3" borderId="3" xfId="4" applyNumberFormat="1" applyFon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8" fillId="0" borderId="13" xfId="4" applyFont="1" applyFill="1" applyBorder="1" applyAlignment="1">
      <alignment horizontal="center"/>
    </xf>
    <xf numFmtId="0" fontId="8" fillId="0" borderId="3" xfId="4" applyFont="1" applyFill="1" applyBorder="1" applyAlignment="1">
      <alignment horizontal="center"/>
    </xf>
    <xf numFmtId="170" fontId="9" fillId="0" borderId="6" xfId="4" applyNumberFormat="1" applyFont="1" applyFill="1" applyBorder="1" applyAlignment="1">
      <alignment horizontal="right"/>
    </xf>
    <xf numFmtId="164" fontId="9" fillId="0" borderId="4" xfId="11" applyNumberFormat="1" applyFont="1" applyFill="1" applyBorder="1" applyAlignment="1">
      <alignment horizontal="right"/>
    </xf>
    <xf numFmtId="165" fontId="9" fillId="0" borderId="4" xfId="12" applyNumberFormat="1" applyFont="1" applyFill="1" applyBorder="1" applyAlignment="1">
      <alignment horizontal="right"/>
    </xf>
    <xf numFmtId="164" fontId="9" fillId="0" borderId="6" xfId="12" applyNumberFormat="1" applyFont="1" applyFill="1" applyBorder="1" applyAlignment="1">
      <alignment horizontal="right"/>
    </xf>
    <xf numFmtId="164" fontId="9" fillId="0" borderId="4" xfId="4" applyNumberFormat="1" applyFont="1" applyFill="1" applyBorder="1" applyAlignment="1">
      <alignment horizontal="right"/>
    </xf>
    <xf numFmtId="0" fontId="28" fillId="0" borderId="8" xfId="10" applyFont="1" applyBorder="1" applyProtection="1">
      <protection hidden="1"/>
    </xf>
    <xf numFmtId="166" fontId="9" fillId="0" borderId="9" xfId="4" applyNumberFormat="1" applyFont="1" applyFill="1" applyBorder="1" applyAlignment="1">
      <alignment horizontal="right"/>
    </xf>
    <xf numFmtId="168" fontId="9" fillId="0" borderId="32" xfId="2" applyNumberFormat="1" applyFont="1" applyBorder="1" applyProtection="1">
      <protection hidden="1"/>
    </xf>
    <xf numFmtId="165" fontId="9" fillId="0" borderId="7" xfId="12" applyNumberFormat="1" applyFont="1" applyFill="1" applyBorder="1" applyAlignment="1">
      <alignment horizontal="right"/>
    </xf>
    <xf numFmtId="164" fontId="9" fillId="0" borderId="9" xfId="12" applyNumberFormat="1" applyFont="1" applyFill="1" applyBorder="1" applyAlignment="1">
      <alignment horizontal="right"/>
    </xf>
    <xf numFmtId="164" fontId="9" fillId="0" borderId="7" xfId="4" applyNumberFormat="1" applyFont="1" applyFill="1" applyBorder="1" applyAlignment="1">
      <alignment horizontal="right"/>
    </xf>
    <xf numFmtId="166" fontId="9" fillId="0" borderId="12" xfId="4" applyNumberFormat="1" applyFont="1" applyFill="1" applyBorder="1" applyAlignment="1">
      <alignment horizontal="right"/>
    </xf>
    <xf numFmtId="168" fontId="9" fillId="0" borderId="33" xfId="2" applyNumberFormat="1" applyFont="1" applyBorder="1" applyProtection="1">
      <protection hidden="1"/>
    </xf>
    <xf numFmtId="165" fontId="9" fillId="0" borderId="10" xfId="12" applyNumberFormat="1" applyFont="1" applyFill="1" applyBorder="1" applyAlignment="1">
      <alignment horizontal="right"/>
    </xf>
    <xf numFmtId="164" fontId="9" fillId="0" borderId="12" xfId="12" applyNumberFormat="1" applyFont="1" applyFill="1" applyBorder="1" applyAlignment="1">
      <alignment horizontal="right"/>
    </xf>
    <xf numFmtId="164" fontId="9" fillId="0" borderId="10" xfId="4" applyNumberFormat="1" applyFont="1" applyFill="1" applyBorder="1" applyAlignment="1">
      <alignment horizontal="right"/>
    </xf>
    <xf numFmtId="0" fontId="8" fillId="3" borderId="11" xfId="4" applyFont="1" applyFill="1" applyBorder="1"/>
    <xf numFmtId="167" fontId="8" fillId="3" borderId="14" xfId="4" applyNumberFormat="1" applyFont="1" applyFill="1" applyBorder="1" applyAlignment="1">
      <alignment horizontal="right"/>
    </xf>
    <xf numFmtId="167" fontId="8" fillId="3" borderId="2" xfId="4" applyNumberFormat="1" applyFont="1" applyFill="1" applyBorder="1" applyAlignment="1">
      <alignment horizontal="right"/>
    </xf>
    <xf numFmtId="164" fontId="8" fillId="3" borderId="2" xfId="12" applyNumberFormat="1" applyFont="1" applyFill="1" applyBorder="1" applyAlignment="1">
      <alignment horizontal="right"/>
    </xf>
    <xf numFmtId="165" fontId="8" fillId="3" borderId="2" xfId="12" applyNumberFormat="1" applyFont="1" applyFill="1" applyBorder="1" applyAlignment="1">
      <alignment horizontal="right"/>
    </xf>
    <xf numFmtId="164" fontId="8" fillId="3" borderId="3" xfId="12" applyNumberFormat="1" applyFont="1" applyFill="1" applyBorder="1" applyAlignment="1">
      <alignment horizontal="right"/>
    </xf>
    <xf numFmtId="164" fontId="8" fillId="0" borderId="0" xfId="12" applyNumberFormat="1" applyFont="1" applyFill="1" applyBorder="1"/>
    <xf numFmtId="168" fontId="8" fillId="5" borderId="2" xfId="4" applyNumberFormat="1" applyFont="1" applyFill="1" applyBorder="1" applyAlignment="1"/>
    <xf numFmtId="0" fontId="0" fillId="5" borderId="2" xfId="0" applyFill="1" applyBorder="1"/>
    <xf numFmtId="0" fontId="30" fillId="10" borderId="34" xfId="0" applyFont="1" applyFill="1" applyBorder="1" applyAlignment="1">
      <alignment horizontal="center" vertical="center"/>
    </xf>
    <xf numFmtId="0" fontId="30" fillId="10" borderId="35" xfId="0" applyFont="1" applyFill="1" applyBorder="1" applyAlignment="1">
      <alignment horizontal="center" vertical="center"/>
    </xf>
    <xf numFmtId="0" fontId="30" fillId="10" borderId="13" xfId="0" applyFont="1" applyFill="1" applyBorder="1" applyAlignment="1">
      <alignment horizontal="center" vertical="center"/>
    </xf>
    <xf numFmtId="0" fontId="8" fillId="10" borderId="34" xfId="0" applyFont="1" applyFill="1" applyBorder="1" applyAlignment="1">
      <alignment horizontal="center" vertical="center"/>
    </xf>
    <xf numFmtId="0" fontId="8" fillId="10" borderId="36" xfId="0" applyFont="1" applyFill="1" applyBorder="1" applyAlignment="1">
      <alignment horizontal="center" vertical="center"/>
    </xf>
    <xf numFmtId="0" fontId="8" fillId="10" borderId="35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2" fillId="10" borderId="13" xfId="0" applyFont="1" applyFill="1" applyBorder="1"/>
    <xf numFmtId="170" fontId="8" fillId="9" borderId="3" xfId="7" applyNumberFormat="1" applyFont="1" applyFill="1" applyBorder="1" applyAlignment="1">
      <alignment horizontal="center"/>
    </xf>
    <xf numFmtId="171" fontId="8" fillId="9" borderId="13" xfId="7" applyNumberFormat="1" applyFont="1" applyFill="1" applyBorder="1" applyAlignment="1">
      <alignment horizontal="center"/>
    </xf>
    <xf numFmtId="172" fontId="8" fillId="9" borderId="13" xfId="1" applyNumberFormat="1" applyFont="1" applyFill="1" applyBorder="1"/>
    <xf numFmtId="10" fontId="8" fillId="9" borderId="1" xfId="3" applyNumberFormat="1" applyFont="1" applyFill="1" applyBorder="1"/>
    <xf numFmtId="173" fontId="8" fillId="9" borderId="1" xfId="1" applyNumberFormat="1" applyFont="1" applyFill="1" applyBorder="1"/>
    <xf numFmtId="168" fontId="8" fillId="9" borderId="1" xfId="4" applyNumberFormat="1" applyFont="1" applyFill="1" applyBorder="1" applyAlignment="1">
      <alignment horizontal="center" wrapText="1"/>
    </xf>
    <xf numFmtId="168" fontId="8" fillId="9" borderId="13" xfId="4" applyNumberFormat="1" applyFont="1" applyFill="1" applyBorder="1" applyAlignment="1">
      <alignment horizontal="center" wrapText="1"/>
    </xf>
    <xf numFmtId="0" fontId="5" fillId="6" borderId="4" xfId="0" applyFont="1" applyFill="1" applyBorder="1"/>
    <xf numFmtId="170" fontId="32" fillId="2" borderId="13" xfId="7" applyNumberFormat="1" applyFont="1" applyFill="1" applyBorder="1" applyAlignment="1">
      <alignment horizontal="center"/>
    </xf>
    <xf numFmtId="171" fontId="32" fillId="2" borderId="13" xfId="7" applyNumberFormat="1" applyFont="1" applyFill="1" applyBorder="1" applyAlignment="1">
      <alignment horizontal="center"/>
    </xf>
    <xf numFmtId="172" fontId="32" fillId="2" borderId="13" xfId="1" applyNumberFormat="1" applyFont="1" applyFill="1" applyBorder="1"/>
    <xf numFmtId="10" fontId="32" fillId="2" borderId="5" xfId="3" applyNumberFormat="1" applyFont="1" applyFill="1" applyBorder="1"/>
    <xf numFmtId="173" fontId="32" fillId="2" borderId="1" xfId="1" applyNumberFormat="1" applyFont="1" applyFill="1" applyBorder="1"/>
    <xf numFmtId="168" fontId="32" fillId="2" borderId="1" xfId="4" applyNumberFormat="1" applyFont="1" applyFill="1" applyBorder="1" applyAlignment="1">
      <alignment horizontal="center" wrapText="1"/>
    </xf>
    <xf numFmtId="168" fontId="32" fillId="2" borderId="13" xfId="4" applyNumberFormat="1" applyFont="1" applyFill="1" applyBorder="1" applyAlignment="1">
      <alignment horizontal="center" wrapText="1"/>
    </xf>
    <xf numFmtId="0" fontId="11" fillId="8" borderId="1" xfId="4" applyFont="1" applyFill="1" applyBorder="1" applyAlignment="1">
      <alignment horizontal="left"/>
    </xf>
    <xf numFmtId="0" fontId="13" fillId="7" borderId="14" xfId="0" applyFont="1" applyFill="1" applyBorder="1" applyAlignment="1">
      <alignment horizontal="left" vertical="center"/>
    </xf>
    <xf numFmtId="168" fontId="7" fillId="7" borderId="2" xfId="4" applyNumberFormat="1" applyFont="1" applyFill="1" applyBorder="1" applyAlignment="1">
      <alignment horizontal="center"/>
    </xf>
    <xf numFmtId="168" fontId="14" fillId="7" borderId="3" xfId="4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3" fillId="19" borderId="1" xfId="0" applyFont="1" applyFill="1" applyBorder="1"/>
    <xf numFmtId="0" fontId="27" fillId="19" borderId="2" xfId="0" applyFont="1" applyFill="1" applyBorder="1"/>
    <xf numFmtId="0" fontId="0" fillId="19" borderId="2" xfId="0" applyFill="1" applyBorder="1"/>
    <xf numFmtId="0" fontId="0" fillId="19" borderId="3" xfId="0" applyFill="1" applyBorder="1"/>
    <xf numFmtId="0" fontId="8" fillId="19" borderId="2" xfId="0" applyFont="1" applyFill="1" applyBorder="1" applyAlignment="1">
      <alignment horizontal="center"/>
    </xf>
    <xf numFmtId="169" fontId="33" fillId="19" borderId="3" xfId="0" applyNumberFormat="1" applyFont="1" applyFill="1" applyBorder="1"/>
    <xf numFmtId="177" fontId="0" fillId="0" borderId="0" xfId="3" applyNumberFormat="1" applyFont="1"/>
    <xf numFmtId="0" fontId="8" fillId="13" borderId="37" xfId="4" applyFont="1" applyFill="1" applyBorder="1" applyAlignment="1">
      <alignment horizontal="center" vertical="center"/>
    </xf>
    <xf numFmtId="0" fontId="8" fillId="13" borderId="37" xfId="4" applyFont="1" applyFill="1" applyBorder="1" applyAlignment="1">
      <alignment horizontal="center" vertical="center" wrapText="1"/>
    </xf>
    <xf numFmtId="0" fontId="8" fillId="21" borderId="25" xfId="4" applyFont="1" applyFill="1" applyBorder="1" applyAlignment="1">
      <alignment horizontal="center" vertical="center"/>
    </xf>
    <xf numFmtId="165" fontId="8" fillId="13" borderId="23" xfId="3" applyNumberFormat="1" applyFont="1" applyFill="1" applyBorder="1" applyAlignment="1">
      <alignment horizontal="center"/>
    </xf>
    <xf numFmtId="168" fontId="34" fillId="13" borderId="23" xfId="2" applyNumberFormat="1" applyFont="1" applyFill="1" applyBorder="1" applyAlignment="1">
      <alignment wrapText="1"/>
    </xf>
    <xf numFmtId="175" fontId="8" fillId="15" borderId="20" xfId="2" applyNumberFormat="1" applyFont="1" applyFill="1" applyBorder="1" applyAlignment="1">
      <alignment horizontal="center"/>
    </xf>
    <xf numFmtId="0" fontId="0" fillId="0" borderId="2" xfId="0" applyBorder="1" applyAlignment="1"/>
    <xf numFmtId="0" fontId="8" fillId="0" borderId="9" xfId="4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9" fontId="7" fillId="0" borderId="0" xfId="2" applyNumberFormat="1" applyFont="1" applyFill="1" applyBorder="1" applyAlignment="1">
      <alignment horizontal="center" vertical="center" wrapText="1"/>
    </xf>
    <xf numFmtId="10" fontId="0" fillId="0" borderId="0" xfId="0" applyNumberFormat="1"/>
    <xf numFmtId="169" fontId="8" fillId="9" borderId="1" xfId="4" applyNumberFormat="1" applyFont="1" applyFill="1" applyBorder="1" applyAlignment="1">
      <alignment horizontal="left"/>
    </xf>
    <xf numFmtId="9" fontId="8" fillId="9" borderId="4" xfId="4" applyNumberFormat="1" applyFont="1" applyFill="1" applyBorder="1" applyAlignment="1">
      <alignment horizontal="center"/>
    </xf>
    <xf numFmtId="9" fontId="8" fillId="9" borderId="5" xfId="4" applyNumberFormat="1" applyFont="1" applyFill="1" applyBorder="1" applyAlignment="1">
      <alignment horizontal="center"/>
    </xf>
    <xf numFmtId="9" fontId="8" fillId="9" borderId="6" xfId="4" applyNumberFormat="1" applyFont="1" applyFill="1" applyBorder="1" applyAlignment="1">
      <alignment horizontal="center"/>
    </xf>
    <xf numFmtId="169" fontId="8" fillId="22" borderId="1" xfId="4" applyNumberFormat="1" applyFont="1" applyFill="1" applyBorder="1" applyAlignment="1">
      <alignment horizontal="left"/>
    </xf>
    <xf numFmtId="168" fontId="8" fillId="22" borderId="13" xfId="4" applyNumberFormat="1" applyFont="1" applyFill="1" applyBorder="1" applyAlignment="1">
      <alignment vertical="center"/>
    </xf>
    <xf numFmtId="168" fontId="8" fillId="22" borderId="1" xfId="4" applyNumberFormat="1" applyFont="1" applyFill="1" applyBorder="1" applyAlignment="1">
      <alignment vertical="center"/>
    </xf>
    <xf numFmtId="168" fontId="8" fillId="22" borderId="3" xfId="4" applyNumberFormat="1" applyFont="1" applyFill="1" applyBorder="1" applyAlignment="1">
      <alignment vertical="center"/>
    </xf>
    <xf numFmtId="165" fontId="8" fillId="22" borderId="13" xfId="3" applyNumberFormat="1" applyFont="1" applyFill="1" applyBorder="1" applyAlignment="1">
      <alignment horizontal="center"/>
    </xf>
    <xf numFmtId="165" fontId="8" fillId="22" borderId="1" xfId="3" applyNumberFormat="1" applyFont="1" applyFill="1" applyBorder="1" applyAlignment="1">
      <alignment horizontal="center"/>
    </xf>
    <xf numFmtId="165" fontId="8" fillId="22" borderId="3" xfId="3" applyNumberFormat="1" applyFont="1" applyFill="1" applyBorder="1" applyAlignment="1">
      <alignment horizontal="center"/>
    </xf>
    <xf numFmtId="169" fontId="9" fillId="0" borderId="16" xfId="4" applyNumberFormat="1" applyFont="1" applyFill="1" applyBorder="1" applyAlignment="1">
      <alignment horizontal="left"/>
    </xf>
    <xf numFmtId="165" fontId="9" fillId="0" borderId="15" xfId="3" applyNumberFormat="1" applyFont="1" applyFill="1" applyBorder="1" applyAlignment="1">
      <alignment horizontal="center"/>
    </xf>
    <xf numFmtId="165" fontId="9" fillId="0" borderId="16" xfId="3" applyNumberFormat="1" applyFont="1" applyFill="1" applyBorder="1" applyAlignment="1">
      <alignment horizontal="center"/>
    </xf>
    <xf numFmtId="165" fontId="9" fillId="9" borderId="12" xfId="3" applyNumberFormat="1" applyFont="1" applyFill="1" applyBorder="1" applyAlignment="1">
      <alignment horizontal="center"/>
    </xf>
    <xf numFmtId="0" fontId="14" fillId="9" borderId="1" xfId="4" applyFont="1" applyFill="1" applyBorder="1" applyAlignment="1">
      <alignment horizontal="center"/>
    </xf>
    <xf numFmtId="165" fontId="9" fillId="0" borderId="17" xfId="3" applyNumberFormat="1" applyFont="1" applyFill="1" applyBorder="1" applyAlignment="1">
      <alignment horizontal="center"/>
    </xf>
    <xf numFmtId="165" fontId="9" fillId="9" borderId="3" xfId="3" applyNumberFormat="1" applyFont="1" applyFill="1" applyBorder="1" applyAlignment="1">
      <alignment horizontal="center"/>
    </xf>
    <xf numFmtId="165" fontId="9" fillId="0" borderId="40" xfId="3" applyNumberFormat="1" applyFont="1" applyFill="1" applyBorder="1" applyAlignment="1">
      <alignment horizontal="center"/>
    </xf>
    <xf numFmtId="165" fontId="9" fillId="0" borderId="41" xfId="3" applyNumberFormat="1" applyFont="1" applyFill="1" applyBorder="1" applyAlignment="1">
      <alignment horizontal="center"/>
    </xf>
    <xf numFmtId="165" fontId="9" fillId="0" borderId="42" xfId="3" applyNumberFormat="1" applyFont="1" applyFill="1" applyBorder="1" applyAlignment="1">
      <alignment horizontal="center"/>
    </xf>
    <xf numFmtId="169" fontId="9" fillId="0" borderId="11" xfId="4" applyNumberFormat="1" applyFont="1" applyFill="1" applyBorder="1" applyAlignment="1">
      <alignment horizontal="left"/>
    </xf>
    <xf numFmtId="165" fontId="9" fillId="0" borderId="10" xfId="3" applyNumberFormat="1" applyFont="1" applyFill="1" applyBorder="1" applyAlignment="1">
      <alignment horizontal="center"/>
    </xf>
    <xf numFmtId="165" fontId="9" fillId="0" borderId="11" xfId="3" applyNumberFormat="1" applyFont="1" applyFill="1" applyBorder="1" applyAlignment="1">
      <alignment horizontal="center"/>
    </xf>
    <xf numFmtId="169" fontId="16" fillId="0" borderId="14" xfId="4" applyNumberFormat="1" applyFont="1" applyFill="1" applyBorder="1" applyAlignment="1">
      <alignment horizontal="left"/>
    </xf>
    <xf numFmtId="168" fontId="8" fillId="7" borderId="27" xfId="4" applyNumberFormat="1" applyFont="1" applyFill="1" applyBorder="1" applyAlignment="1">
      <alignment horizontal="right"/>
    </xf>
    <xf numFmtId="44" fontId="8" fillId="0" borderId="0" xfId="4" applyNumberFormat="1" applyFont="1" applyFill="1" applyBorder="1" applyAlignment="1">
      <alignment horizontal="center"/>
    </xf>
    <xf numFmtId="165" fontId="16" fillId="16" borderId="2" xfId="3" applyNumberFormat="1" applyFont="1" applyFill="1" applyBorder="1" applyAlignment="1">
      <alignment horizontal="right"/>
    </xf>
    <xf numFmtId="0" fontId="8" fillId="17" borderId="8" xfId="4" applyFont="1" applyFill="1" applyBorder="1"/>
    <xf numFmtId="168" fontId="18" fillId="17" borderId="7" xfId="2" applyNumberFormat="1" applyFont="1" applyFill="1" applyBorder="1" applyAlignment="1" applyProtection="1">
      <alignment horizontal="right"/>
      <protection hidden="1"/>
    </xf>
    <xf numFmtId="168" fontId="18" fillId="17" borderId="0" xfId="2" applyNumberFormat="1" applyFont="1" applyFill="1" applyBorder="1" applyAlignment="1" applyProtection="1">
      <alignment horizontal="right"/>
      <protection hidden="1"/>
    </xf>
    <xf numFmtId="0" fontId="8" fillId="17" borderId="1" xfId="4" applyFont="1" applyFill="1" applyBorder="1"/>
    <xf numFmtId="168" fontId="18" fillId="17" borderId="13" xfId="2" applyNumberFormat="1" applyFont="1" applyFill="1" applyBorder="1" applyAlignment="1" applyProtection="1">
      <alignment horizontal="right"/>
      <protection hidden="1"/>
    </xf>
    <xf numFmtId="168" fontId="18" fillId="17" borderId="2" xfId="2" applyNumberFormat="1" applyFont="1" applyFill="1" applyBorder="1" applyAlignment="1" applyProtection="1">
      <alignment horizontal="right"/>
      <protection hidden="1"/>
    </xf>
    <xf numFmtId="0" fontId="8" fillId="18" borderId="1" xfId="4" applyFont="1" applyFill="1" applyBorder="1"/>
    <xf numFmtId="168" fontId="8" fillId="18" borderId="13" xfId="2" applyNumberFormat="1" applyFont="1" applyFill="1" applyBorder="1" applyAlignment="1">
      <alignment horizontal="right"/>
    </xf>
    <xf numFmtId="168" fontId="8" fillId="18" borderId="2" xfId="2" applyNumberFormat="1" applyFont="1" applyFill="1" applyBorder="1" applyAlignment="1">
      <alignment horizontal="right"/>
    </xf>
    <xf numFmtId="0" fontId="8" fillId="18" borderId="8" xfId="4" applyFont="1" applyFill="1" applyBorder="1"/>
    <xf numFmtId="165" fontId="19" fillId="18" borderId="7" xfId="3" applyNumberFormat="1" applyFont="1" applyFill="1" applyBorder="1" applyAlignment="1">
      <alignment horizontal="right"/>
    </xf>
    <xf numFmtId="165" fontId="19" fillId="18" borderId="0" xfId="3" applyNumberFormat="1" applyFont="1" applyFill="1" applyBorder="1" applyAlignment="1">
      <alignment horizontal="right"/>
    </xf>
    <xf numFmtId="10" fontId="35" fillId="0" borderId="1" xfId="6" applyNumberFormat="1" applyFont="1" applyFill="1" applyBorder="1"/>
    <xf numFmtId="165" fontId="36" fillId="0" borderId="13" xfId="3" applyNumberFormat="1" applyFont="1" applyFill="1" applyBorder="1"/>
    <xf numFmtId="165" fontId="35" fillId="0" borderId="13" xfId="6" applyNumberFormat="1" applyFont="1" applyFill="1" applyBorder="1"/>
    <xf numFmtId="165" fontId="35" fillId="0" borderId="2" xfId="6" applyNumberFormat="1" applyFont="1" applyFill="1" applyBorder="1"/>
    <xf numFmtId="165" fontId="36" fillId="0" borderId="2" xfId="3" applyNumberFormat="1" applyFont="1" applyFill="1" applyBorder="1"/>
    <xf numFmtId="168" fontId="8" fillId="17" borderId="4" xfId="2" applyNumberFormat="1" applyFont="1" applyFill="1" applyBorder="1" applyAlignment="1">
      <alignment horizontal="right"/>
    </xf>
    <xf numFmtId="168" fontId="8" fillId="17" borderId="27" xfId="2" applyNumberFormat="1" applyFont="1" applyFill="1" applyBorder="1" applyAlignment="1">
      <alignment horizontal="right"/>
    </xf>
    <xf numFmtId="168" fontId="8" fillId="24" borderId="4" xfId="2" applyNumberFormat="1" applyFont="1" applyFill="1" applyBorder="1" applyAlignment="1">
      <alignment horizontal="right"/>
    </xf>
    <xf numFmtId="168" fontId="7" fillId="9" borderId="4" xfId="2" applyNumberFormat="1" applyFont="1" applyFill="1" applyBorder="1" applyAlignment="1">
      <alignment horizontal="right"/>
    </xf>
    <xf numFmtId="44" fontId="8" fillId="0" borderId="27" xfId="4" applyNumberFormat="1" applyFont="1" applyFill="1" applyBorder="1"/>
    <xf numFmtId="0" fontId="20" fillId="25" borderId="1" xfId="4" applyFont="1" applyFill="1" applyBorder="1"/>
    <xf numFmtId="168" fontId="20" fillId="25" borderId="13" xfId="2" applyNumberFormat="1" applyFont="1" applyFill="1" applyBorder="1" applyAlignment="1">
      <alignment horizontal="right"/>
    </xf>
    <xf numFmtId="168" fontId="20" fillId="25" borderId="2" xfId="2" applyNumberFormat="1" applyFont="1" applyFill="1" applyBorder="1" applyAlignment="1">
      <alignment horizontal="right"/>
    </xf>
    <xf numFmtId="0" fontId="26" fillId="26" borderId="11" xfId="4" applyFont="1" applyFill="1" applyBorder="1"/>
    <xf numFmtId="165" fontId="26" fillId="26" borderId="10" xfId="3" applyNumberFormat="1" applyFont="1" applyFill="1" applyBorder="1" applyAlignment="1">
      <alignment horizontal="right"/>
    </xf>
    <xf numFmtId="165" fontId="26" fillId="26" borderId="14" xfId="3" applyNumberFormat="1" applyFont="1" applyFill="1" applyBorder="1" applyAlignment="1">
      <alignment horizontal="right"/>
    </xf>
    <xf numFmtId="0" fontId="8" fillId="0" borderId="11" xfId="4" applyFont="1" applyFill="1" applyBorder="1"/>
    <xf numFmtId="168" fontId="8" fillId="0" borderId="10" xfId="2" applyNumberFormat="1" applyFont="1" applyFill="1" applyBorder="1" applyAlignment="1">
      <alignment horizontal="right"/>
    </xf>
    <xf numFmtId="10" fontId="35" fillId="0" borderId="1" xfId="6" applyNumberFormat="1" applyFont="1" applyBorder="1"/>
    <xf numFmtId="165" fontId="35" fillId="0" borderId="13" xfId="6" applyNumberFormat="1" applyFont="1" applyBorder="1"/>
    <xf numFmtId="0" fontId="8" fillId="6" borderId="43" xfId="4" applyFont="1" applyFill="1" applyBorder="1" applyAlignment="1">
      <alignment horizontal="center"/>
    </xf>
    <xf numFmtId="0" fontId="8" fillId="6" borderId="21" xfId="4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0" fontId="35" fillId="0" borderId="11" xfId="6" applyNumberFormat="1" applyFont="1" applyBorder="1"/>
    <xf numFmtId="165" fontId="8" fillId="0" borderId="10" xfId="6" applyNumberFormat="1" applyFont="1" applyBorder="1"/>
    <xf numFmtId="165" fontId="8" fillId="0" borderId="14" xfId="6" applyNumberFormat="1" applyFont="1" applyBorder="1"/>
    <xf numFmtId="2" fontId="8" fillId="6" borderId="44" xfId="4" applyNumberFormat="1" applyFont="1" applyFill="1" applyBorder="1" applyAlignment="1">
      <alignment horizontal="center"/>
    </xf>
    <xf numFmtId="2" fontId="8" fillId="6" borderId="22" xfId="4" applyNumberFormat="1" applyFont="1" applyFill="1" applyBorder="1" applyAlignment="1">
      <alignment horizontal="center"/>
    </xf>
    <xf numFmtId="169" fontId="18" fillId="5" borderId="3" xfId="4" applyNumberFormat="1" applyFont="1" applyFill="1" applyBorder="1" applyAlignment="1"/>
    <xf numFmtId="176" fontId="9" fillId="0" borderId="4" xfId="4" applyNumberFormat="1" applyFont="1" applyFill="1" applyBorder="1"/>
    <xf numFmtId="176" fontId="9" fillId="0" borderId="10" xfId="4" applyNumberFormat="1" applyFont="1" applyFill="1" applyBorder="1"/>
    <xf numFmtId="0" fontId="0" fillId="0" borderId="0" xfId="0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6" fillId="0" borderId="7" xfId="0" applyFont="1" applyBorder="1" applyAlignment="1">
      <alignment horizontal="left" vertical="center"/>
    </xf>
    <xf numFmtId="2" fontId="0" fillId="0" borderId="7" xfId="0" applyNumberFormat="1" applyBorder="1" applyAlignment="1">
      <alignment horizontal="center" vertical="center"/>
    </xf>
    <xf numFmtId="10" fontId="0" fillId="0" borderId="7" xfId="3" applyNumberFormat="1" applyFon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6" fillId="0" borderId="7" xfId="0" applyFont="1" applyBorder="1"/>
    <xf numFmtId="173" fontId="0" fillId="0" borderId="7" xfId="1" applyNumberFormat="1" applyFont="1" applyBorder="1" applyAlignment="1">
      <alignment horizontal="center" vertical="center"/>
    </xf>
    <xf numFmtId="0" fontId="0" fillId="0" borderId="7" xfId="0" applyBorder="1"/>
    <xf numFmtId="0" fontId="56" fillId="0" borderId="10" xfId="0" applyFont="1" applyBorder="1"/>
    <xf numFmtId="173" fontId="0" fillId="0" borderId="10" xfId="1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0" fontId="0" fillId="0" borderId="10" xfId="3" applyNumberFormat="1" applyFont="1" applyBorder="1" applyAlignment="1">
      <alignment horizontal="center" vertical="center"/>
    </xf>
    <xf numFmtId="170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2" fontId="11" fillId="8" borderId="3" xfId="4" applyNumberFormat="1" applyFont="1" applyFill="1" applyBorder="1" applyAlignment="1">
      <alignment horizontal="center"/>
    </xf>
    <xf numFmtId="0" fontId="57" fillId="0" borderId="0" xfId="0" applyFont="1"/>
    <xf numFmtId="0" fontId="0" fillId="0" borderId="11" xfId="0" applyBorder="1"/>
    <xf numFmtId="168" fontId="9" fillId="0" borderId="54" xfId="2" applyNumberFormat="1" applyFont="1" applyBorder="1" applyProtection="1">
      <protection hidden="1"/>
    </xf>
    <xf numFmtId="165" fontId="9" fillId="0" borderId="4" xfId="11" applyNumberFormat="1" applyFont="1" applyFill="1" applyBorder="1" applyAlignment="1">
      <alignment horizontal="right"/>
    </xf>
    <xf numFmtId="164" fontId="9" fillId="0" borderId="4" xfId="12" applyNumberFormat="1" applyFont="1" applyFill="1" applyBorder="1" applyAlignment="1">
      <alignment horizontal="right"/>
    </xf>
    <xf numFmtId="166" fontId="9" fillId="0" borderId="4" xfId="4" applyNumberFormat="1" applyFont="1" applyFill="1" applyBorder="1"/>
    <xf numFmtId="166" fontId="9" fillId="0" borderId="10" xfId="4" applyNumberFormat="1" applyFont="1" applyFill="1" applyBorder="1"/>
    <xf numFmtId="0" fontId="58" fillId="0" borderId="0" xfId="0" applyFont="1"/>
    <xf numFmtId="44" fontId="8" fillId="0" borderId="0" xfId="2" applyFont="1" applyFill="1" applyBorder="1" applyAlignment="1">
      <alignment horizontal="center"/>
    </xf>
    <xf numFmtId="168" fontId="8" fillId="10" borderId="1" xfId="2" applyNumberFormat="1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44" fontId="8" fillId="13" borderId="23" xfId="2" applyFont="1" applyFill="1" applyBorder="1" applyAlignment="1">
      <alignment horizontal="center" vertical="center" wrapText="1"/>
    </xf>
    <xf numFmtId="44" fontId="0" fillId="13" borderId="24" xfId="2" applyFont="1" applyFill="1" applyBorder="1" applyAlignment="1">
      <alignment horizontal="center" vertical="center" wrapText="1"/>
    </xf>
    <xf numFmtId="165" fontId="8" fillId="14" borderId="39" xfId="6" applyNumberFormat="1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168" fontId="7" fillId="22" borderId="1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169" fontId="7" fillId="23" borderId="1" xfId="2" applyNumberFormat="1" applyFont="1" applyFill="1" applyBorder="1" applyAlignment="1">
      <alignment horizontal="center" vertical="center" wrapText="1"/>
    </xf>
    <xf numFmtId="0" fontId="8" fillId="13" borderId="18" xfId="4" applyFont="1" applyFill="1" applyBorder="1" applyAlignment="1">
      <alignment horizontal="center" vertical="center" wrapText="1"/>
    </xf>
    <xf numFmtId="0" fontId="8" fillId="13" borderId="19" xfId="4" applyFont="1" applyFill="1" applyBorder="1" applyAlignment="1">
      <alignment horizontal="center" vertical="center" wrapText="1"/>
    </xf>
    <xf numFmtId="0" fontId="8" fillId="21" borderId="38" xfId="4" applyFont="1" applyFill="1" applyBorder="1" applyAlignment="1">
      <alignment horizontal="center" vertical="center" wrapText="1"/>
    </xf>
    <xf numFmtId="0" fontId="0" fillId="21" borderId="26" xfId="0" applyFill="1" applyBorder="1" applyAlignment="1">
      <alignment wrapText="1"/>
    </xf>
    <xf numFmtId="9" fontId="31" fillId="4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8" fillId="4" borderId="7" xfId="0" applyNumberFormat="1" applyFont="1" applyFill="1" applyBorder="1" applyAlignment="1">
      <alignment horizontal="center" vertical="center" wrapText="1"/>
    </xf>
    <xf numFmtId="9" fontId="8" fillId="4" borderId="4" xfId="0" applyNumberFormat="1" applyFont="1" applyFill="1" applyBorder="1" applyAlignment="1">
      <alignment horizontal="center" vertical="center" wrapText="1"/>
    </xf>
    <xf numFmtId="9" fontId="8" fillId="4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3" fillId="7" borderId="2" xfId="0" applyFont="1" applyFill="1" applyBorder="1" applyAlignment="1">
      <alignment horizontal="left" vertical="center" wrapText="1"/>
    </xf>
    <xf numFmtId="169" fontId="14" fillId="12" borderId="1" xfId="4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70" fontId="14" fillId="20" borderId="1" xfId="5" applyNumberFormat="1" applyFont="1" applyFill="1" applyBorder="1" applyAlignment="1">
      <alignment horizontal="center" wrapText="1"/>
    </xf>
    <xf numFmtId="0" fontId="1" fillId="20" borderId="2" xfId="0" applyFont="1" applyFill="1" applyBorder="1" applyAlignment="1">
      <alignment horizontal="center" wrapText="1"/>
    </xf>
    <xf numFmtId="0" fontId="1" fillId="20" borderId="3" xfId="0" applyFont="1" applyFill="1" applyBorder="1" applyAlignment="1">
      <alignment horizontal="center" wrapText="1"/>
    </xf>
    <xf numFmtId="0" fontId="22" fillId="11" borderId="5" xfId="0" applyFont="1" applyFill="1" applyBorder="1" applyAlignment="1">
      <alignment horizontal="left" vertical="center" wrapText="1"/>
    </xf>
    <xf numFmtId="0" fontId="22" fillId="11" borderId="27" xfId="0" applyFont="1" applyFill="1" applyBorder="1" applyAlignment="1">
      <alignment horizontal="left" vertical="center" wrapText="1"/>
    </xf>
    <xf numFmtId="0" fontId="22" fillId="11" borderId="11" xfId="0" applyFont="1" applyFill="1" applyBorder="1" applyAlignment="1">
      <alignment horizontal="left" vertical="center" wrapText="1"/>
    </xf>
    <xf numFmtId="0" fontId="22" fillId="11" borderId="14" xfId="0" applyFont="1" applyFill="1" applyBorder="1" applyAlignment="1">
      <alignment horizontal="left" vertical="center" wrapText="1"/>
    </xf>
    <xf numFmtId="0" fontId="22" fillId="11" borderId="6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3" fillId="0" borderId="2" xfId="0" applyFont="1" applyBorder="1" applyAlignment="1">
      <alignment wrapText="1"/>
    </xf>
    <xf numFmtId="0" fontId="8" fillId="3" borderId="1" xfId="4" applyFont="1" applyFill="1" applyBorder="1" applyAlignment="1">
      <alignment horizontal="center" wrapText="1"/>
    </xf>
    <xf numFmtId="0" fontId="8" fillId="3" borderId="2" xfId="4" applyFont="1" applyFill="1" applyBorder="1" applyAlignment="1">
      <alignment horizontal="center" wrapText="1"/>
    </xf>
    <xf numFmtId="0" fontId="8" fillId="0" borderId="8" xfId="4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1" xfId="0" applyFont="1" applyBorder="1" applyAlignment="1">
      <alignment wrapText="1"/>
    </xf>
    <xf numFmtId="0" fontId="8" fillId="0" borderId="1" xfId="4" applyFont="1" applyFill="1" applyBorder="1" applyAlignment="1">
      <alignment wrapText="1"/>
    </xf>
    <xf numFmtId="0" fontId="8" fillId="0" borderId="2" xfId="4" applyFont="1" applyFill="1" applyBorder="1" applyAlignment="1">
      <alignment wrapText="1"/>
    </xf>
    <xf numFmtId="0" fontId="8" fillId="0" borderId="3" xfId="4" applyFont="1" applyFill="1" applyBorder="1" applyAlignment="1">
      <alignment wrapText="1"/>
    </xf>
    <xf numFmtId="0" fontId="55" fillId="19" borderId="0" xfId="0" applyFont="1" applyFill="1" applyAlignment="1">
      <alignment horizontal="center" vertical="center" wrapText="1"/>
    </xf>
    <xf numFmtId="0" fontId="0" fillId="0" borderId="0" xfId="0" applyFont="1"/>
  </cellXfs>
  <cellStyles count="117">
    <cellStyle name="20% - Accent1" xfId="13"/>
    <cellStyle name="20% - Accent2" xfId="14"/>
    <cellStyle name="20% - Accent3" xfId="15"/>
    <cellStyle name="20% - Accent4" xfId="16"/>
    <cellStyle name="20% - Accent5" xfId="17"/>
    <cellStyle name="20% - Accent6" xfId="18"/>
    <cellStyle name="20% - Ênfase1 2" xfId="19"/>
    <cellStyle name="20% - Ênfase2 2" xfId="20"/>
    <cellStyle name="20% - Ênfase3 2" xfId="21"/>
    <cellStyle name="20% - Ênfase4 2" xfId="22"/>
    <cellStyle name="20% - Ênfase5 2" xfId="23"/>
    <cellStyle name="20% - Ênfase6 2" xfId="24"/>
    <cellStyle name="40% - Accent1" xfId="25"/>
    <cellStyle name="40% - Accent2" xfId="26"/>
    <cellStyle name="40% - Accent3" xfId="27"/>
    <cellStyle name="40% - Accent4" xfId="28"/>
    <cellStyle name="40% - Accent5" xfId="29"/>
    <cellStyle name="40% - Accent6" xfId="30"/>
    <cellStyle name="40% - Ênfase1 2" xfId="31"/>
    <cellStyle name="40% - Ênfase2 2" xfId="32"/>
    <cellStyle name="40% - Ênfase3 2" xfId="33"/>
    <cellStyle name="40% - Ênfase4 2" xfId="34"/>
    <cellStyle name="40% - Ênfase5 2" xfId="35"/>
    <cellStyle name="40% - Ênfase6 2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Ênfase1 2" xfId="43"/>
    <cellStyle name="60% - Ênfase2 2" xfId="44"/>
    <cellStyle name="60% - Ênfase3 2" xfId="45"/>
    <cellStyle name="60% - Ênfase4 2" xfId="46"/>
    <cellStyle name="60% - Ênfase5 2" xfId="47"/>
    <cellStyle name="60% - Ênfase6 2" xfId="48"/>
    <cellStyle name="Accent1" xfId="49"/>
    <cellStyle name="Accent2" xfId="50"/>
    <cellStyle name="Accent3" xfId="51"/>
    <cellStyle name="Accent4" xfId="52"/>
    <cellStyle name="Accent5" xfId="53"/>
    <cellStyle name="Accent6" xfId="54"/>
    <cellStyle name="Bad" xfId="55"/>
    <cellStyle name="Bom 2" xfId="56"/>
    <cellStyle name="Calculation" xfId="57"/>
    <cellStyle name="Cálculo 2" xfId="58"/>
    <cellStyle name="Célula de Verificação 2" xfId="59"/>
    <cellStyle name="Célula Vinculada 2" xfId="60"/>
    <cellStyle name="Check Cell" xfId="61"/>
    <cellStyle name="Comma_SALARIOS" xfId="62"/>
    <cellStyle name="Currency_ESTOQUES_TVA" xfId="63"/>
    <cellStyle name="Ênfase1 2" xfId="64"/>
    <cellStyle name="Ênfase2 2" xfId="65"/>
    <cellStyle name="Ênfase3 2" xfId="66"/>
    <cellStyle name="Ênfase4 2" xfId="67"/>
    <cellStyle name="Ênfase5 2" xfId="68"/>
    <cellStyle name="Ênfase6 2" xfId="69"/>
    <cellStyle name="Entrada 2" xfId="70"/>
    <cellStyle name="Explanatory Text" xfId="71"/>
    <cellStyle name="Good" xfId="72"/>
    <cellStyle name="Heading 1" xfId="73"/>
    <cellStyle name="Heading 2" xfId="74"/>
    <cellStyle name="Heading 3" xfId="75"/>
    <cellStyle name="Heading 4" xfId="76"/>
    <cellStyle name="Incorreto 2" xfId="77"/>
    <cellStyle name="Input" xfId="78"/>
    <cellStyle name="Linked Cell" xfId="79"/>
    <cellStyle name="Moeda" xfId="2" builtinId="4"/>
    <cellStyle name="Moeda 2" xfId="7"/>
    <cellStyle name="Moeda 2 2" xfId="80"/>
    <cellStyle name="Moeda 2 4" xfId="81"/>
    <cellStyle name="Moeda 5" xfId="5"/>
    <cellStyle name="Moeda 5 2" xfId="11"/>
    <cellStyle name="Moeda 5 3" xfId="12"/>
    <cellStyle name="Neutra 2" xfId="82"/>
    <cellStyle name="Neutral" xfId="83"/>
    <cellStyle name="Normal" xfId="0" builtinId="0"/>
    <cellStyle name="Normal 2" xfId="4"/>
    <cellStyle name="Normal 2 2" xfId="10"/>
    <cellStyle name="Normal 2 3" xfId="84"/>
    <cellStyle name="Normal 2 4" xfId="85"/>
    <cellStyle name="Normal 2_FICHAS DE CUSTO PALASH JANEIRO 2011" xfId="86"/>
    <cellStyle name="Normal 3" xfId="87"/>
    <cellStyle name="Normal 3 2" xfId="88"/>
    <cellStyle name="Normal 3 3" xfId="89"/>
    <cellStyle name="Normal 4" xfId="90"/>
    <cellStyle name="Normal 5" xfId="91"/>
    <cellStyle name="Normal 6" xfId="92"/>
    <cellStyle name="Normal 7" xfId="93"/>
    <cellStyle name="Nota 2" xfId="94"/>
    <cellStyle name="Note" xfId="95"/>
    <cellStyle name="Output" xfId="96"/>
    <cellStyle name="Porcentagem" xfId="3" builtinId="5"/>
    <cellStyle name="Porcentagem 2" xfId="6"/>
    <cellStyle name="Porcentagem 2 2" xfId="97"/>
    <cellStyle name="Porcentagem 2 3" xfId="98"/>
    <cellStyle name="Porcentagem 2 4" xfId="99"/>
    <cellStyle name="Porcentagem 3 2" xfId="100"/>
    <cellStyle name="Porcentagem 4" xfId="101"/>
    <cellStyle name="Saída 2" xfId="102"/>
    <cellStyle name="Separador de milhares [0] 2" xfId="9"/>
    <cellStyle name="Separador de milhares [0] 3" xfId="103"/>
    <cellStyle name="Separador de milhares 2" xfId="8"/>
    <cellStyle name="Separador de milhares 2 2" xfId="104"/>
    <cellStyle name="Separador de milhares 2 3" xfId="105"/>
    <cellStyle name="Separador de milhares 3 2" xfId="106"/>
    <cellStyle name="Texto de Aviso 2" xfId="107"/>
    <cellStyle name="Texto Explicativo 2" xfId="108"/>
    <cellStyle name="Title" xfId="109"/>
    <cellStyle name="Título 1 2" xfId="110"/>
    <cellStyle name="Título 2 2" xfId="111"/>
    <cellStyle name="Título 3 2" xfId="112"/>
    <cellStyle name="Título 4 2" xfId="113"/>
    <cellStyle name="Título 5" xfId="114"/>
    <cellStyle name="Total 2" xfId="115"/>
    <cellStyle name="Vírgula" xfId="1" builtinId="3"/>
    <cellStyle name="Warning Text" xfId="1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enrique/Base%20de%20dados%20Insumos%20at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enrique/SENIR/Custos%20de%20Processo%20SENIR/Maquinas%20-%20Consumo%20de%20Energ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enrique/SENIR/Custos%20de%20Processo%20SENIR/Deprecia&#231;&#227;o%20de%20Equipament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enrique/SENIR/Custos%20de%20Processo%20SENIR/Manuten&#231;&#227;o%20ratead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Henrique/SENIR/Custos%20de%20Processo%20SENIR/M&#227;o%20de%20Obra%20por%20maqu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éria Prima Quimicos"/>
      <sheetName val="Matéria Prima Plásticos"/>
      <sheetName val="Embalagens-sacos-rótulos"/>
      <sheetName val="Insumos Revenda"/>
    </sheetNames>
    <sheetDataSet>
      <sheetData sheetId="0" refreshError="1"/>
      <sheetData sheetId="1">
        <row r="2">
          <cell r="A2">
            <v>944</v>
          </cell>
          <cell r="B2" t="str">
            <v>PEAD SOPRO BRANCO LEITOSO</v>
          </cell>
          <cell r="C2" t="str">
            <v>Kg</v>
          </cell>
          <cell r="D2">
            <v>4350</v>
          </cell>
          <cell r="E2">
            <v>1000</v>
          </cell>
          <cell r="F2" t="str">
            <v>Senir</v>
          </cell>
          <cell r="G2">
            <v>0</v>
          </cell>
          <cell r="H2">
            <v>0.27250000000000002</v>
          </cell>
          <cell r="I2">
            <v>4350</v>
          </cell>
          <cell r="J2">
            <v>4350</v>
          </cell>
          <cell r="K2">
            <v>1000</v>
          </cell>
          <cell r="L2" t="str">
            <v>Senir</v>
          </cell>
          <cell r="M2">
            <v>0</v>
          </cell>
          <cell r="N2">
            <v>0.27250000000000002</v>
          </cell>
          <cell r="O2">
            <v>4350</v>
          </cell>
          <cell r="P2">
            <v>4.3499999999999996</v>
          </cell>
        </row>
        <row r="3">
          <cell r="A3">
            <v>945</v>
          </cell>
          <cell r="B3" t="str">
            <v>PEAD SOPRO CANELA</v>
          </cell>
          <cell r="C3" t="str">
            <v>Kg</v>
          </cell>
          <cell r="D3">
            <v>13350</v>
          </cell>
          <cell r="E3">
            <v>3000</v>
          </cell>
          <cell r="F3" t="str">
            <v>Senir</v>
          </cell>
          <cell r="G3">
            <v>0</v>
          </cell>
          <cell r="H3">
            <v>0.27250000000000002</v>
          </cell>
          <cell r="I3">
            <v>13350</v>
          </cell>
          <cell r="J3">
            <v>8900</v>
          </cell>
          <cell r="K3">
            <v>2000</v>
          </cell>
          <cell r="L3" t="str">
            <v>Senir</v>
          </cell>
          <cell r="M3">
            <v>0</v>
          </cell>
          <cell r="N3">
            <v>0.27250000000000002</v>
          </cell>
          <cell r="O3">
            <v>8900</v>
          </cell>
          <cell r="P3">
            <v>4.45</v>
          </cell>
        </row>
        <row r="4">
          <cell r="A4">
            <v>947</v>
          </cell>
          <cell r="B4" t="str">
            <v>PEAD SOPRO VERDE</v>
          </cell>
          <cell r="C4" t="str">
            <v>Kg</v>
          </cell>
          <cell r="D4">
            <v>3450</v>
          </cell>
          <cell r="E4">
            <v>1000</v>
          </cell>
          <cell r="F4" t="str">
            <v>Senir</v>
          </cell>
          <cell r="G4">
            <v>0</v>
          </cell>
          <cell r="H4">
            <v>0.27250000000000002</v>
          </cell>
          <cell r="I4">
            <v>3450</v>
          </cell>
          <cell r="J4">
            <v>14691.25</v>
          </cell>
          <cell r="K4">
            <v>4025</v>
          </cell>
          <cell r="L4" t="str">
            <v>Senir</v>
          </cell>
          <cell r="M4">
            <v>0</v>
          </cell>
          <cell r="N4">
            <v>0.27250000000000002</v>
          </cell>
          <cell r="O4">
            <v>14691.25</v>
          </cell>
          <cell r="P4">
            <v>3.6101990049751245</v>
          </cell>
        </row>
        <row r="5">
          <cell r="A5">
            <v>1135</v>
          </cell>
          <cell r="B5" t="str">
            <v>MASTER BATCH AZUL PEROLADO</v>
          </cell>
          <cell r="C5" t="str">
            <v>Kg</v>
          </cell>
          <cell r="D5">
            <v>507.423</v>
          </cell>
          <cell r="E5">
            <v>25.55</v>
          </cell>
          <cell r="F5" t="str">
            <v>Senir</v>
          </cell>
          <cell r="G5">
            <v>0</v>
          </cell>
          <cell r="H5">
            <v>0.27250000000000002</v>
          </cell>
          <cell r="I5">
            <v>507.423</v>
          </cell>
          <cell r="J5">
            <v>1095.1199999999999</v>
          </cell>
          <cell r="K5">
            <v>52</v>
          </cell>
          <cell r="L5" t="str">
            <v>Senir</v>
          </cell>
          <cell r="M5">
            <v>1</v>
          </cell>
          <cell r="N5">
            <v>0.27250000000000002</v>
          </cell>
          <cell r="O5">
            <v>796.69979999999987</v>
          </cell>
          <cell r="P5">
            <v>16.816541586073498</v>
          </cell>
        </row>
        <row r="6">
          <cell r="A6">
            <v>1212</v>
          </cell>
          <cell r="B6" t="str">
            <v>PEHD BOMBONA PRETO</v>
          </cell>
          <cell r="C6" t="str">
            <v>Kg</v>
          </cell>
          <cell r="D6">
            <v>3500</v>
          </cell>
          <cell r="E6">
            <v>1000</v>
          </cell>
          <cell r="F6" t="str">
            <v>Senir</v>
          </cell>
          <cell r="G6">
            <v>0</v>
          </cell>
          <cell r="H6">
            <v>0.27250000000000002</v>
          </cell>
          <cell r="I6">
            <v>3500</v>
          </cell>
          <cell r="J6">
            <v>10762.5</v>
          </cell>
          <cell r="K6">
            <v>3075</v>
          </cell>
          <cell r="L6" t="str">
            <v>Senir</v>
          </cell>
          <cell r="M6">
            <v>0</v>
          </cell>
          <cell r="N6">
            <v>0.27250000000000002</v>
          </cell>
          <cell r="O6">
            <v>10762.5</v>
          </cell>
          <cell r="P6">
            <v>3.5</v>
          </cell>
        </row>
        <row r="7">
          <cell r="A7">
            <v>1213</v>
          </cell>
          <cell r="B7" t="str">
            <v>PEHD BOMBONA AZUL</v>
          </cell>
          <cell r="C7" t="str">
            <v>Kg</v>
          </cell>
          <cell r="D7">
            <v>8295.4</v>
          </cell>
          <cell r="E7">
            <v>2242</v>
          </cell>
          <cell r="F7" t="str">
            <v>Senir</v>
          </cell>
          <cell r="G7">
            <v>0</v>
          </cell>
          <cell r="H7">
            <v>0.27250000000000002</v>
          </cell>
          <cell r="I7">
            <v>8295.4</v>
          </cell>
          <cell r="J7">
            <v>8676.5</v>
          </cell>
          <cell r="K7">
            <v>2345</v>
          </cell>
          <cell r="L7" t="str">
            <v>Senir</v>
          </cell>
          <cell r="M7">
            <v>0</v>
          </cell>
          <cell r="N7">
            <v>0.27250000000000002</v>
          </cell>
          <cell r="O7">
            <v>8676.5</v>
          </cell>
          <cell r="P7">
            <v>3.7</v>
          </cell>
        </row>
        <row r="8">
          <cell r="A8">
            <v>1318</v>
          </cell>
          <cell r="B8" t="str">
            <v>MASTER BATCH AZUL BOMBONA</v>
          </cell>
          <cell r="C8" t="str">
            <v>Kg</v>
          </cell>
          <cell r="D8">
            <v>687.5</v>
          </cell>
          <cell r="E8">
            <v>25</v>
          </cell>
          <cell r="F8" t="str">
            <v>Senir</v>
          </cell>
          <cell r="G8">
            <v>0</v>
          </cell>
          <cell r="H8">
            <v>0.27250000000000002</v>
          </cell>
          <cell r="I8">
            <v>687.5</v>
          </cell>
          <cell r="J8">
            <v>625</v>
          </cell>
          <cell r="K8">
            <v>25</v>
          </cell>
          <cell r="L8" t="str">
            <v>Senir</v>
          </cell>
          <cell r="M8">
            <v>0</v>
          </cell>
          <cell r="N8">
            <v>0.27250000000000002</v>
          </cell>
          <cell r="O8">
            <v>625</v>
          </cell>
          <cell r="P8">
            <v>26.25</v>
          </cell>
        </row>
        <row r="9">
          <cell r="A9">
            <v>1324</v>
          </cell>
          <cell r="B9" t="str">
            <v>PEHD VIRGEM GM 8250 ALTO PESO MOLECULAR (KARTCHER)</v>
          </cell>
          <cell r="C9" t="str">
            <v>Kg</v>
          </cell>
          <cell r="D9">
            <v>8857.3343999999997</v>
          </cell>
          <cell r="E9">
            <v>1375</v>
          </cell>
          <cell r="F9" t="str">
            <v>Senir</v>
          </cell>
          <cell r="G9">
            <v>1</v>
          </cell>
          <cell r="H9">
            <v>0.27250000000000002</v>
          </cell>
          <cell r="I9">
            <v>6443.7107759999999</v>
          </cell>
          <cell r="O9">
            <v>0</v>
          </cell>
          <cell r="P9">
            <v>4.6863351098181818</v>
          </cell>
        </row>
        <row r="10">
          <cell r="A10">
            <v>1380</v>
          </cell>
          <cell r="B10" t="str">
            <v>MASTER BATCH BRANCO</v>
          </cell>
          <cell r="C10" t="str">
            <v>Kg</v>
          </cell>
          <cell r="D10">
            <v>372.5</v>
          </cell>
          <cell r="E10">
            <v>25</v>
          </cell>
          <cell r="F10" t="str">
            <v>Senir</v>
          </cell>
          <cell r="G10">
            <v>0</v>
          </cell>
          <cell r="H10">
            <v>0.27250000000000002</v>
          </cell>
          <cell r="I10">
            <v>372.5</v>
          </cell>
          <cell r="J10">
            <v>862.5</v>
          </cell>
          <cell r="K10">
            <v>75</v>
          </cell>
          <cell r="L10" t="str">
            <v>Senir</v>
          </cell>
          <cell r="M10">
            <v>0</v>
          </cell>
          <cell r="N10">
            <v>0.27250000000000002</v>
          </cell>
          <cell r="O10">
            <v>862.5</v>
          </cell>
          <cell r="P10">
            <v>12.35</v>
          </cell>
        </row>
        <row r="11">
          <cell r="A11">
            <v>1520</v>
          </cell>
          <cell r="B11" t="str">
            <v>MASTER BATCH AZUL BEBE</v>
          </cell>
          <cell r="C11" t="str">
            <v>Kg</v>
          </cell>
          <cell r="D11">
            <v>552.5</v>
          </cell>
          <cell r="E11">
            <v>25</v>
          </cell>
          <cell r="F11" t="str">
            <v>Senir</v>
          </cell>
          <cell r="G11">
            <v>0</v>
          </cell>
          <cell r="H11">
            <v>0.27250000000000002</v>
          </cell>
          <cell r="I11">
            <v>552.5</v>
          </cell>
          <cell r="P11">
            <v>22.1</v>
          </cell>
        </row>
        <row r="12">
          <cell r="A12">
            <v>1535</v>
          </cell>
          <cell r="B12" t="str">
            <v>MASTER BATCH ROXO</v>
          </cell>
          <cell r="C12" t="str">
            <v>Kg</v>
          </cell>
          <cell r="D12">
            <v>652.5</v>
          </cell>
          <cell r="E12">
            <v>25</v>
          </cell>
          <cell r="F12" t="str">
            <v>Senir</v>
          </cell>
          <cell r="G12">
            <v>0</v>
          </cell>
          <cell r="H12">
            <v>0.27250000000000002</v>
          </cell>
          <cell r="I12">
            <v>652.5</v>
          </cell>
          <cell r="P12">
            <v>26.1</v>
          </cell>
        </row>
        <row r="13">
          <cell r="A13">
            <v>1621</v>
          </cell>
          <cell r="B13" t="str">
            <v>MASTER BATCH LARANJA FOSFORECENTE</v>
          </cell>
          <cell r="C13" t="str">
            <v>Kg</v>
          </cell>
          <cell r="P13">
            <v>34.799999999999997</v>
          </cell>
        </row>
        <row r="14">
          <cell r="A14">
            <v>1622</v>
          </cell>
          <cell r="B14" t="str">
            <v>MASTER BATCH ROSA FOSFORECENTE (MAGENTA) 17502./10</v>
          </cell>
          <cell r="C14" t="str">
            <v>Kg</v>
          </cell>
          <cell r="D14">
            <v>1485.64</v>
          </cell>
          <cell r="E14">
            <v>52</v>
          </cell>
          <cell r="F14" t="str">
            <v>Senir</v>
          </cell>
          <cell r="G14">
            <v>1</v>
          </cell>
          <cell r="H14">
            <v>0.27250000000000002</v>
          </cell>
          <cell r="I14">
            <v>1080.8031000000001</v>
          </cell>
          <cell r="J14">
            <v>1321.92</v>
          </cell>
          <cell r="K14">
            <v>51</v>
          </cell>
          <cell r="L14" t="str">
            <v>Senir</v>
          </cell>
          <cell r="M14">
            <v>1</v>
          </cell>
          <cell r="N14">
            <v>0.27250000000000002</v>
          </cell>
          <cell r="O14">
            <v>961.69680000000005</v>
          </cell>
          <cell r="P14">
            <v>19.830096116504858</v>
          </cell>
        </row>
        <row r="15">
          <cell r="A15">
            <v>3737</v>
          </cell>
          <cell r="B15" t="str">
            <v>PP HOMO PRB-0131 RANDON GALAO DE AGUA</v>
          </cell>
          <cell r="C15" t="str">
            <v>Kg</v>
          </cell>
          <cell r="D15">
            <v>4207.2449999999999</v>
          </cell>
          <cell r="E15">
            <v>500</v>
          </cell>
          <cell r="F15" t="str">
            <v>Senir</v>
          </cell>
          <cell r="G15">
            <v>0.5</v>
          </cell>
          <cell r="H15">
            <v>0.32250000000000001</v>
          </cell>
          <cell r="I15">
            <v>3528.8267437499999</v>
          </cell>
          <cell r="P15">
            <v>7.0576534874999997</v>
          </cell>
        </row>
        <row r="16">
          <cell r="A16">
            <v>3738</v>
          </cell>
          <cell r="B16" t="str">
            <v xml:space="preserve"> PRE FORMA 24 GRS (AROMATIZANTE)</v>
          </cell>
          <cell r="C16" t="str">
            <v>Unidade</v>
          </cell>
          <cell r="D16">
            <v>16800</v>
          </cell>
          <cell r="E16">
            <v>80000</v>
          </cell>
          <cell r="F16" t="str">
            <v>Senir</v>
          </cell>
          <cell r="G16">
            <v>0</v>
          </cell>
          <cell r="H16">
            <v>0.27250000000000002</v>
          </cell>
          <cell r="I16">
            <v>16800</v>
          </cell>
          <cell r="J16">
            <v>16800</v>
          </cell>
          <cell r="K16">
            <v>80000</v>
          </cell>
          <cell r="L16" t="str">
            <v>Senir</v>
          </cell>
          <cell r="M16">
            <v>0</v>
          </cell>
          <cell r="N16">
            <v>0.27250000000000002</v>
          </cell>
          <cell r="O16">
            <v>16800</v>
          </cell>
          <cell r="P16">
            <v>0.21</v>
          </cell>
        </row>
        <row r="17">
          <cell r="A17">
            <v>3752</v>
          </cell>
          <cell r="B17" t="str">
            <v>MASTER BATCH AZUL GALAO AGUA</v>
          </cell>
          <cell r="C17" t="str">
            <v>Kg</v>
          </cell>
          <cell r="D17">
            <v>2400</v>
          </cell>
          <cell r="E17">
            <v>200</v>
          </cell>
          <cell r="F17" t="str">
            <v>Senir</v>
          </cell>
          <cell r="G17">
            <v>0</v>
          </cell>
          <cell r="H17">
            <v>0.27250000000000002</v>
          </cell>
          <cell r="I17">
            <v>2400</v>
          </cell>
          <cell r="O17">
            <v>0</v>
          </cell>
          <cell r="P17">
            <v>12</v>
          </cell>
        </row>
        <row r="18">
          <cell r="A18">
            <v>5242</v>
          </cell>
          <cell r="B18" t="str">
            <v>PRE FORMA 33 GRS (ALCOOL SEFE/DETERGENTE 1 LT)</v>
          </cell>
          <cell r="C18" t="str">
            <v>Unidade</v>
          </cell>
          <cell r="D18">
            <v>5064.576</v>
          </cell>
          <cell r="E18">
            <v>20928</v>
          </cell>
          <cell r="F18" t="str">
            <v>Senir</v>
          </cell>
          <cell r="G18">
            <v>0</v>
          </cell>
          <cell r="H18">
            <v>0.27250000000000002</v>
          </cell>
          <cell r="I18">
            <v>5064.576</v>
          </cell>
          <cell r="J18">
            <v>9680</v>
          </cell>
          <cell r="K18">
            <v>40000</v>
          </cell>
          <cell r="L18" t="str">
            <v>Senir</v>
          </cell>
          <cell r="M18">
            <v>0</v>
          </cell>
          <cell r="N18">
            <v>0.27250000000000002</v>
          </cell>
          <cell r="O18">
            <v>9680</v>
          </cell>
          <cell r="P18">
            <v>0.24200000000000002</v>
          </cell>
        </row>
        <row r="19">
          <cell r="A19">
            <v>5341</v>
          </cell>
          <cell r="B19" t="str">
            <v>PRE FORMA 16 GRS (DETERGENTE 500 ML)</v>
          </cell>
          <cell r="C19" t="str">
            <v>Unidade</v>
          </cell>
          <cell r="D19">
            <v>6300</v>
          </cell>
          <cell r="E19">
            <v>60000</v>
          </cell>
          <cell r="F19" t="str">
            <v>Senir</v>
          </cell>
          <cell r="G19">
            <v>0</v>
          </cell>
          <cell r="H19">
            <v>0.27250000000000002</v>
          </cell>
          <cell r="I19">
            <v>6300</v>
          </cell>
          <cell r="J19">
            <v>2651</v>
          </cell>
          <cell r="K19">
            <v>22000</v>
          </cell>
          <cell r="L19" t="str">
            <v>Senir</v>
          </cell>
          <cell r="M19">
            <v>1</v>
          </cell>
          <cell r="N19">
            <v>0.27250000000000002</v>
          </cell>
          <cell r="O19">
            <v>1928.6025</v>
          </cell>
          <cell r="P19">
            <v>0.10034881097560977</v>
          </cell>
        </row>
        <row r="20">
          <cell r="A20">
            <v>5380</v>
          </cell>
          <cell r="B20" t="str">
            <v>PP HOMO (POLIPROPILENO) H604 - BRASKEM (GALAO DE AGUA)</v>
          </cell>
          <cell r="C20" t="str">
            <v>Kg</v>
          </cell>
          <cell r="D20">
            <v>8.19</v>
          </cell>
          <cell r="E20">
            <v>1</v>
          </cell>
          <cell r="F20" t="str">
            <v>Senir</v>
          </cell>
          <cell r="G20">
            <v>0.5</v>
          </cell>
          <cell r="H20">
            <v>0.32250000000000001</v>
          </cell>
          <cell r="I20">
            <v>6.8693624999999994</v>
          </cell>
          <cell r="P20">
            <v>6.8693624999999994</v>
          </cell>
        </row>
        <row r="21">
          <cell r="A21">
            <v>5649</v>
          </cell>
          <cell r="B21" t="str">
            <v>PRE FORMA 52 GRS (GALAO 2L)</v>
          </cell>
          <cell r="C21" t="str">
            <v>Unidade</v>
          </cell>
          <cell r="D21">
            <v>4976.6400000000003</v>
          </cell>
          <cell r="E21">
            <v>13824</v>
          </cell>
          <cell r="F21" t="str">
            <v>Senir</v>
          </cell>
          <cell r="G21">
            <v>0</v>
          </cell>
          <cell r="H21">
            <v>0.27250000000000002</v>
          </cell>
          <cell r="I21">
            <v>4976.6400000000003</v>
          </cell>
          <cell r="J21">
            <v>3317.73</v>
          </cell>
          <cell r="K21">
            <v>9216</v>
          </cell>
          <cell r="L21" t="str">
            <v xml:space="preserve">Senir </v>
          </cell>
          <cell r="M21">
            <v>0</v>
          </cell>
          <cell r="N21">
            <v>0.27250000000000002</v>
          </cell>
          <cell r="O21">
            <v>3317.73</v>
          </cell>
          <cell r="P21">
            <v>0.35999869791666672</v>
          </cell>
        </row>
        <row r="22">
          <cell r="A22">
            <v>5859</v>
          </cell>
          <cell r="B22" t="str">
            <v>PRE FORMA 17/18GR PCO 28 GARGALO ALTO (GARRAFA 510 ML)</v>
          </cell>
          <cell r="C22" t="str">
            <v>Unidade</v>
          </cell>
          <cell r="D22">
            <v>5180</v>
          </cell>
          <cell r="E22">
            <v>37000</v>
          </cell>
          <cell r="F22" t="str">
            <v>Senir</v>
          </cell>
          <cell r="G22">
            <v>0</v>
          </cell>
          <cell r="H22">
            <v>0.27250000000000002</v>
          </cell>
          <cell r="I22">
            <v>5180</v>
          </cell>
          <cell r="J22">
            <v>5180</v>
          </cell>
          <cell r="K22">
            <v>37000</v>
          </cell>
          <cell r="L22" t="str">
            <v>Senir</v>
          </cell>
          <cell r="M22">
            <v>0</v>
          </cell>
          <cell r="N22">
            <v>0.27250000000000002</v>
          </cell>
          <cell r="O22">
            <v>5180</v>
          </cell>
          <cell r="P22">
            <v>0.14000000000000001</v>
          </cell>
        </row>
        <row r="23">
          <cell r="A23">
            <v>6089</v>
          </cell>
          <cell r="B23" t="str">
            <v>PRE FORMA 24GR CRISTAL PCO 28 GARGALO ALTO</v>
          </cell>
          <cell r="C23" t="str">
            <v>Unidade</v>
          </cell>
          <cell r="D23">
            <v>14964</v>
          </cell>
          <cell r="E23">
            <v>87000</v>
          </cell>
          <cell r="F23" t="str">
            <v>Senir</v>
          </cell>
          <cell r="G23">
            <v>0</v>
          </cell>
          <cell r="H23">
            <v>0.27250000000000002</v>
          </cell>
          <cell r="I23">
            <v>14964</v>
          </cell>
          <cell r="P23">
            <v>0.17199999999999999</v>
          </cell>
        </row>
        <row r="24">
          <cell r="A24">
            <v>6541</v>
          </cell>
          <cell r="B24" t="str">
            <v>PEAD SOPRO VIRGEM HS5403 - BRASKEM</v>
          </cell>
          <cell r="C24" t="str">
            <v>Kg</v>
          </cell>
          <cell r="D24">
            <v>16372.92</v>
          </cell>
          <cell r="E24">
            <v>2350</v>
          </cell>
          <cell r="F24" t="str">
            <v>Senir</v>
          </cell>
          <cell r="G24">
            <v>1</v>
          </cell>
          <cell r="H24">
            <v>0.27250000000000002</v>
          </cell>
          <cell r="I24">
            <v>11911.299299999999</v>
          </cell>
          <cell r="J24">
            <v>47899.370600000002</v>
          </cell>
          <cell r="K24">
            <v>6875</v>
          </cell>
          <cell r="L24" t="str">
            <v>Senir</v>
          </cell>
          <cell r="M24">
            <v>1</v>
          </cell>
          <cell r="N24">
            <v>0.27250000000000002</v>
          </cell>
          <cell r="O24">
            <v>34846.792111499999</v>
          </cell>
          <cell r="P24">
            <v>5.0686277952845522</v>
          </cell>
        </row>
        <row r="25">
          <cell r="A25">
            <v>8906</v>
          </cell>
          <cell r="B25" t="str">
            <v>PEAD SOPRO VIRGEM HS5407 - BRASKEM</v>
          </cell>
          <cell r="C25" t="str">
            <v>Kg</v>
          </cell>
          <cell r="D25">
            <v>3731.7474999999999</v>
          </cell>
          <cell r="E25">
            <v>500</v>
          </cell>
          <cell r="F25" t="str">
            <v>Senir</v>
          </cell>
          <cell r="G25">
            <v>1</v>
          </cell>
          <cell r="H25">
            <v>0.27250000000000002</v>
          </cell>
          <cell r="I25">
            <v>2714.84630625</v>
          </cell>
          <cell r="J25">
            <v>9866.0394000000015</v>
          </cell>
          <cell r="K25">
            <v>1375</v>
          </cell>
          <cell r="L25" t="str">
            <v>Senir</v>
          </cell>
          <cell r="M25">
            <v>1</v>
          </cell>
          <cell r="N25">
            <v>0.27250000000000002</v>
          </cell>
          <cell r="O25">
            <v>7177.5436635000005</v>
          </cell>
          <cell r="P25">
            <v>5.2759413172</v>
          </cell>
        </row>
        <row r="26">
          <cell r="I26">
            <v>0</v>
          </cell>
          <cell r="O26">
            <v>0</v>
          </cell>
        </row>
        <row r="27">
          <cell r="I27">
            <v>0</v>
          </cell>
          <cell r="O27">
            <v>0</v>
          </cell>
        </row>
      </sheetData>
      <sheetData sheetId="2">
        <row r="2">
          <cell r="A2">
            <v>1</v>
          </cell>
          <cell r="B2" t="str">
            <v>BOMBONA 200 LTS</v>
          </cell>
          <cell r="C2" t="str">
            <v>Unidade</v>
          </cell>
          <cell r="D2">
            <v>40</v>
          </cell>
          <cell r="E2">
            <v>1</v>
          </cell>
          <cell r="F2" t="str">
            <v>Dhermon</v>
          </cell>
          <cell r="G2">
            <v>0</v>
          </cell>
          <cell r="H2">
            <v>0</v>
          </cell>
          <cell r="I2">
            <v>40</v>
          </cell>
          <cell r="J2">
            <v>40</v>
          </cell>
          <cell r="K2">
            <v>1</v>
          </cell>
          <cell r="L2" t="str">
            <v>Dhermon</v>
          </cell>
          <cell r="M2">
            <v>0</v>
          </cell>
          <cell r="N2">
            <v>0</v>
          </cell>
          <cell r="O2">
            <v>40</v>
          </cell>
          <cell r="P2">
            <v>40</v>
          </cell>
        </row>
        <row r="3">
          <cell r="A3">
            <v>129</v>
          </cell>
          <cell r="B3" t="str">
            <v>EMBALAGEM 100ML C/ TAMPA</v>
          </cell>
          <cell r="C3" t="str">
            <v>Unidade</v>
          </cell>
          <cell r="D3">
            <v>1120</v>
          </cell>
          <cell r="E3">
            <v>4000</v>
          </cell>
          <cell r="F3" t="str">
            <v>Dhermon</v>
          </cell>
          <cell r="G3">
            <v>0</v>
          </cell>
          <cell r="H3">
            <v>0</v>
          </cell>
          <cell r="I3">
            <v>1120</v>
          </cell>
          <cell r="J3">
            <v>1120</v>
          </cell>
          <cell r="K3">
            <v>4000</v>
          </cell>
          <cell r="L3" t="str">
            <v>Dhermon</v>
          </cell>
          <cell r="M3">
            <v>0</v>
          </cell>
          <cell r="N3">
            <v>0</v>
          </cell>
          <cell r="O3">
            <v>1120</v>
          </cell>
          <cell r="P3">
            <v>0.28000000000000003</v>
          </cell>
        </row>
        <row r="4">
          <cell r="A4">
            <v>379</v>
          </cell>
          <cell r="B4" t="str">
            <v>BALDE 2.8 C/TAMPA</v>
          </cell>
          <cell r="C4" t="str">
            <v>Unidade</v>
          </cell>
          <cell r="D4">
            <v>3312</v>
          </cell>
          <cell r="E4">
            <v>1600</v>
          </cell>
          <cell r="F4" t="str">
            <v xml:space="preserve">Senir </v>
          </cell>
          <cell r="G4">
            <v>1</v>
          </cell>
          <cell r="H4">
            <v>0.27250000000000002</v>
          </cell>
          <cell r="I4">
            <v>2409.48</v>
          </cell>
          <cell r="J4">
            <v>3007.5</v>
          </cell>
          <cell r="K4">
            <v>1500</v>
          </cell>
          <cell r="L4" t="str">
            <v xml:space="preserve">Senir </v>
          </cell>
          <cell r="M4">
            <v>1</v>
          </cell>
          <cell r="N4">
            <v>0.27250000000000002</v>
          </cell>
          <cell r="O4">
            <v>2187.9562500000002</v>
          </cell>
          <cell r="P4">
            <v>1.4830439516129035</v>
          </cell>
        </row>
        <row r="5">
          <cell r="A5">
            <v>394</v>
          </cell>
          <cell r="B5" t="str">
            <v>BARRICA DE PAPELAO 45 LITROS</v>
          </cell>
          <cell r="C5" t="str">
            <v>Unidade</v>
          </cell>
          <cell r="D5">
            <v>3240</v>
          </cell>
          <cell r="E5">
            <v>400</v>
          </cell>
          <cell r="F5" t="str">
            <v xml:space="preserve">Senir </v>
          </cell>
          <cell r="G5">
            <v>1</v>
          </cell>
          <cell r="H5">
            <v>0.27250000000000002</v>
          </cell>
          <cell r="I5">
            <v>2357.1</v>
          </cell>
          <cell r="J5">
            <v>3240</v>
          </cell>
          <cell r="K5">
            <v>400</v>
          </cell>
          <cell r="L5" t="str">
            <v xml:space="preserve">Senir </v>
          </cell>
          <cell r="M5">
            <v>1</v>
          </cell>
          <cell r="N5">
            <v>0.27250000000000002</v>
          </cell>
          <cell r="O5">
            <v>2357.1</v>
          </cell>
          <cell r="P5">
            <v>5.8927499999999995</v>
          </cell>
        </row>
        <row r="6">
          <cell r="A6">
            <v>443</v>
          </cell>
          <cell r="B6" t="str">
            <v>ROTULO MANGA PLASTICA AMACIANTE BARB. REQUINTE 5L</v>
          </cell>
          <cell r="C6" t="str">
            <v>Milhero</v>
          </cell>
          <cell r="D6">
            <v>4620</v>
          </cell>
          <cell r="E6">
            <v>70000</v>
          </cell>
          <cell r="F6" t="str">
            <v xml:space="preserve">Senir </v>
          </cell>
          <cell r="G6">
            <v>0</v>
          </cell>
          <cell r="H6">
            <v>0.27250000000000002</v>
          </cell>
          <cell r="I6">
            <v>4620</v>
          </cell>
          <cell r="P6">
            <v>6.6000000000000003E-2</v>
          </cell>
        </row>
        <row r="7">
          <cell r="A7">
            <v>513</v>
          </cell>
          <cell r="B7" t="str">
            <v>SACO P/ BASE 42X65X0,15</v>
          </cell>
          <cell r="C7" t="str">
            <v>Kg</v>
          </cell>
          <cell r="D7">
            <v>1392</v>
          </cell>
          <cell r="E7">
            <v>240</v>
          </cell>
          <cell r="F7" t="str">
            <v xml:space="preserve">Senir </v>
          </cell>
          <cell r="G7">
            <v>0</v>
          </cell>
          <cell r="H7">
            <v>0.27250000000000002</v>
          </cell>
          <cell r="I7">
            <v>1392</v>
          </cell>
          <cell r="J7">
            <v>1438.4</v>
          </cell>
          <cell r="K7">
            <v>248</v>
          </cell>
          <cell r="L7" t="str">
            <v xml:space="preserve">Senir </v>
          </cell>
          <cell r="M7">
            <v>0</v>
          </cell>
          <cell r="N7">
            <v>0.27250000000000002</v>
          </cell>
          <cell r="O7">
            <v>1438.4</v>
          </cell>
          <cell r="P7">
            <v>5.8</v>
          </cell>
        </row>
        <row r="8">
          <cell r="A8">
            <v>515</v>
          </cell>
          <cell r="B8" t="str">
            <v>SACO CANELA (0,88X1,40X0,13)</v>
          </cell>
          <cell r="C8" t="str">
            <v>Kg</v>
          </cell>
          <cell r="D8">
            <v>1276</v>
          </cell>
          <cell r="E8">
            <v>220</v>
          </cell>
          <cell r="F8" t="str">
            <v xml:space="preserve">Senir </v>
          </cell>
          <cell r="G8">
            <v>0</v>
          </cell>
          <cell r="H8">
            <v>0.27250000000000002</v>
          </cell>
          <cell r="I8">
            <v>1276</v>
          </cell>
          <cell r="O8">
            <v>0</v>
          </cell>
          <cell r="P8">
            <v>5.8</v>
          </cell>
        </row>
        <row r="9">
          <cell r="A9">
            <v>529</v>
          </cell>
          <cell r="B9" t="str">
            <v>SACO PLASTICO P/ CORANTE (18X25X20)</v>
          </cell>
          <cell r="C9" t="str">
            <v>Kg</v>
          </cell>
          <cell r="D9">
            <v>226.5</v>
          </cell>
          <cell r="E9">
            <v>15</v>
          </cell>
          <cell r="F9" t="str">
            <v>Grafitex</v>
          </cell>
          <cell r="G9">
            <v>0</v>
          </cell>
          <cell r="H9">
            <v>0</v>
          </cell>
          <cell r="I9">
            <v>226.5</v>
          </cell>
          <cell r="J9">
            <v>181.2</v>
          </cell>
          <cell r="K9">
            <v>12</v>
          </cell>
          <cell r="L9" t="str">
            <v>Grafitex</v>
          </cell>
          <cell r="M9">
            <v>0</v>
          </cell>
          <cell r="N9">
            <v>0</v>
          </cell>
          <cell r="O9">
            <v>181.2</v>
          </cell>
          <cell r="P9">
            <v>15.1</v>
          </cell>
        </row>
        <row r="10">
          <cell r="A10">
            <v>567</v>
          </cell>
          <cell r="B10" t="str">
            <v>CAIXA PAPELAO AGUA SANITARIA BARBAREX 3X5 LTS</v>
          </cell>
          <cell r="C10" t="str">
            <v>Unidade</v>
          </cell>
          <cell r="D10">
            <v>3975.9999999999995</v>
          </cell>
          <cell r="E10">
            <v>4000</v>
          </cell>
          <cell r="F10" t="str">
            <v xml:space="preserve">Senir </v>
          </cell>
          <cell r="G10">
            <v>1</v>
          </cell>
          <cell r="H10">
            <v>0.27250000000000002</v>
          </cell>
          <cell r="I10">
            <v>2892.5399999999995</v>
          </cell>
          <cell r="J10">
            <v>4671.3294999999998</v>
          </cell>
          <cell r="K10">
            <v>4700</v>
          </cell>
          <cell r="L10" t="str">
            <v xml:space="preserve">Senir </v>
          </cell>
          <cell r="M10">
            <v>1</v>
          </cell>
          <cell r="N10">
            <v>0.27250000000000002</v>
          </cell>
          <cell r="O10">
            <v>3398.3922112499995</v>
          </cell>
          <cell r="P10">
            <v>0.72309565646551721</v>
          </cell>
        </row>
        <row r="11">
          <cell r="A11">
            <v>572</v>
          </cell>
          <cell r="B11" t="str">
            <v>CAIXA PAPELAO AGUA SANITARIA BARBAREX 12X1 LT</v>
          </cell>
          <cell r="C11" t="str">
            <v>Unidade</v>
          </cell>
          <cell r="D11">
            <v>2915.97</v>
          </cell>
          <cell r="E11">
            <v>2627</v>
          </cell>
          <cell r="F11" t="str">
            <v xml:space="preserve">Senir </v>
          </cell>
          <cell r="G11">
            <v>0</v>
          </cell>
          <cell r="H11">
            <v>0.27250000000000002</v>
          </cell>
          <cell r="I11">
            <v>2915.97</v>
          </cell>
          <cell r="J11">
            <v>3352.0889999999999</v>
          </cell>
          <cell r="K11">
            <v>2626</v>
          </cell>
          <cell r="L11" t="str">
            <v xml:space="preserve">Senir </v>
          </cell>
          <cell r="M11">
            <v>1</v>
          </cell>
          <cell r="N11">
            <v>0.27250000000000002</v>
          </cell>
          <cell r="O11">
            <v>2438.6447475</v>
          </cell>
          <cell r="P11">
            <v>5.9</v>
          </cell>
        </row>
        <row r="12">
          <cell r="A12">
            <v>589</v>
          </cell>
          <cell r="B12" t="str">
            <v>CAIXA PRODUTO DE LIMPEZA BARBAREX 3X5 LT</v>
          </cell>
          <cell r="C12" t="str">
            <v>Unidade</v>
          </cell>
          <cell r="D12">
            <v>5617.5</v>
          </cell>
          <cell r="E12">
            <v>5350</v>
          </cell>
          <cell r="F12" t="str">
            <v xml:space="preserve">Senir </v>
          </cell>
          <cell r="G12">
            <v>1</v>
          </cell>
          <cell r="H12">
            <v>0.27250000000000002</v>
          </cell>
          <cell r="I12">
            <v>4086.7312499999998</v>
          </cell>
          <cell r="J12">
            <v>5118.75</v>
          </cell>
          <cell r="K12">
            <v>4875</v>
          </cell>
          <cell r="L12" t="str">
            <v xml:space="preserve">Senir </v>
          </cell>
          <cell r="M12">
            <v>1</v>
          </cell>
          <cell r="N12">
            <v>0.27250000000000002</v>
          </cell>
          <cell r="O12">
            <v>3723.890625</v>
          </cell>
          <cell r="P12">
            <v>0.76387499999999997</v>
          </cell>
        </row>
        <row r="13">
          <cell r="A13">
            <v>1133</v>
          </cell>
          <cell r="B13" t="str">
            <v>SACO CANELA 0,30X0,40X0,13</v>
          </cell>
          <cell r="C13" t="str">
            <v>Kg</v>
          </cell>
          <cell r="D13">
            <v>649</v>
          </cell>
          <cell r="E13">
            <v>110</v>
          </cell>
          <cell r="F13" t="str">
            <v xml:space="preserve">Senir </v>
          </cell>
          <cell r="G13">
            <v>0</v>
          </cell>
          <cell r="H13">
            <v>0.27250000000000002</v>
          </cell>
          <cell r="I13">
            <v>649</v>
          </cell>
          <cell r="J13">
            <v>789.6</v>
          </cell>
          <cell r="K13">
            <v>141</v>
          </cell>
          <cell r="L13" t="str">
            <v xml:space="preserve">Senir </v>
          </cell>
          <cell r="M13">
            <v>0</v>
          </cell>
          <cell r="N13">
            <v>0.27250000000000002</v>
          </cell>
          <cell r="O13">
            <v>789.6</v>
          </cell>
          <cell r="P13">
            <v>5.9</v>
          </cell>
        </row>
        <row r="14">
          <cell r="A14">
            <v>1240</v>
          </cell>
          <cell r="B14" t="str">
            <v xml:space="preserve"> ETIQUETA 96 X 85 ROLO C/ 1022</v>
          </cell>
          <cell r="C14" t="str">
            <v>Unidade</v>
          </cell>
          <cell r="D14">
            <v>2300</v>
          </cell>
          <cell r="E14">
            <v>51100</v>
          </cell>
          <cell r="F14" t="str">
            <v>Tabor</v>
          </cell>
          <cell r="G14">
            <v>0</v>
          </cell>
          <cell r="H14">
            <v>0</v>
          </cell>
          <cell r="I14">
            <v>2300</v>
          </cell>
          <cell r="J14">
            <v>2346</v>
          </cell>
          <cell r="K14">
            <v>52122</v>
          </cell>
          <cell r="L14" t="str">
            <v>Tabor</v>
          </cell>
          <cell r="M14">
            <v>0</v>
          </cell>
          <cell r="N14">
            <v>0</v>
          </cell>
          <cell r="O14">
            <v>2346</v>
          </cell>
          <cell r="P14">
            <v>5.9</v>
          </cell>
        </row>
        <row r="15">
          <cell r="A15">
            <v>1326</v>
          </cell>
          <cell r="B15" t="str">
            <v>SACO DE TRIPOLI 30 X 46 X 0,15</v>
          </cell>
          <cell r="C15" t="str">
            <v>Kg</v>
          </cell>
          <cell r="D15">
            <v>1190.8</v>
          </cell>
          <cell r="E15">
            <v>260</v>
          </cell>
          <cell r="F15" t="str">
            <v>Dhermon</v>
          </cell>
          <cell r="G15">
            <v>0.5</v>
          </cell>
          <cell r="H15">
            <v>0.18</v>
          </cell>
          <cell r="I15">
            <v>1083.6279999999999</v>
          </cell>
          <cell r="J15">
            <v>789.6</v>
          </cell>
          <cell r="K15">
            <v>141</v>
          </cell>
          <cell r="L15" t="str">
            <v xml:space="preserve">Senir </v>
          </cell>
          <cell r="M15">
            <v>0</v>
          </cell>
          <cell r="N15">
            <v>0.27250000000000002</v>
          </cell>
          <cell r="O15">
            <v>789.6</v>
          </cell>
          <cell r="P15">
            <v>4.6713915211970081</v>
          </cell>
        </row>
        <row r="16">
          <cell r="A16">
            <v>1382</v>
          </cell>
          <cell r="B16" t="str">
            <v>SACO CANELA 92X152X0,10 (50LT)</v>
          </cell>
          <cell r="C16" t="str">
            <v>Kg</v>
          </cell>
          <cell r="D16">
            <v>2421.8200000000002</v>
          </cell>
          <cell r="E16">
            <v>578</v>
          </cell>
          <cell r="F16" t="str">
            <v>Dhermon</v>
          </cell>
          <cell r="G16">
            <v>0.5</v>
          </cell>
          <cell r="H16">
            <v>0.18</v>
          </cell>
          <cell r="I16">
            <v>2203.8562000000002</v>
          </cell>
          <cell r="J16">
            <v>1599.85</v>
          </cell>
          <cell r="K16">
            <v>653</v>
          </cell>
          <cell r="L16" t="str">
            <v xml:space="preserve">Senir </v>
          </cell>
          <cell r="M16">
            <v>0.5</v>
          </cell>
          <cell r="N16">
            <v>0.27250000000000002</v>
          </cell>
          <cell r="O16">
            <v>1381.8704375</v>
          </cell>
          <cell r="P16">
            <v>3.8129000000000004</v>
          </cell>
        </row>
        <row r="17">
          <cell r="A17">
            <v>1383</v>
          </cell>
          <cell r="B17" t="str">
            <v>SACO CANELA 85X220X0,10</v>
          </cell>
          <cell r="C17" t="str">
            <v>Kg</v>
          </cell>
          <cell r="D17">
            <v>885</v>
          </cell>
          <cell r="E17">
            <v>150</v>
          </cell>
          <cell r="F17" t="str">
            <v xml:space="preserve">Senir </v>
          </cell>
          <cell r="G17">
            <v>0</v>
          </cell>
          <cell r="H17">
            <v>0.27250000000000002</v>
          </cell>
          <cell r="I17">
            <v>885</v>
          </cell>
          <cell r="J17">
            <v>1276</v>
          </cell>
          <cell r="K17">
            <v>220</v>
          </cell>
          <cell r="L17" t="str">
            <v xml:space="preserve">Senir </v>
          </cell>
          <cell r="M17">
            <v>0</v>
          </cell>
          <cell r="N17">
            <v>0.27250000000000002</v>
          </cell>
          <cell r="O17">
            <v>1276</v>
          </cell>
          <cell r="P17">
            <v>3.8129000000000004</v>
          </cell>
        </row>
        <row r="18">
          <cell r="A18">
            <v>1465</v>
          </cell>
          <cell r="B18" t="str">
            <v>CAIXA PAPELAO DUPLA RHERMONS (335X335X295) (TRANSPORTADORA)</v>
          </cell>
          <cell r="C18" t="str">
            <v>Unidade</v>
          </cell>
          <cell r="D18">
            <v>1599.85</v>
          </cell>
          <cell r="E18">
            <v>653</v>
          </cell>
          <cell r="F18" t="str">
            <v xml:space="preserve">Senir </v>
          </cell>
          <cell r="G18">
            <v>0.5</v>
          </cell>
          <cell r="H18">
            <v>0.27250000000000002</v>
          </cell>
          <cell r="I18">
            <v>1381.8704375</v>
          </cell>
          <cell r="J18">
            <v>1599.85</v>
          </cell>
          <cell r="K18">
            <v>653</v>
          </cell>
          <cell r="L18" t="str">
            <v xml:space="preserve">Senir </v>
          </cell>
          <cell r="M18">
            <v>0.5</v>
          </cell>
          <cell r="N18">
            <v>0.27250000000000002</v>
          </cell>
          <cell r="O18">
            <v>1381.8704375</v>
          </cell>
          <cell r="P18">
            <v>2.1161875000000001</v>
          </cell>
        </row>
        <row r="19">
          <cell r="A19">
            <v>1483</v>
          </cell>
          <cell r="B19" t="str">
            <v>BOBINA TUBULAR CANELA 23,5X0,14.5</v>
          </cell>
          <cell r="C19" t="str">
            <v>Kg</v>
          </cell>
          <cell r="D19">
            <v>790.25</v>
          </cell>
          <cell r="E19">
            <v>136.25</v>
          </cell>
          <cell r="F19" t="str">
            <v xml:space="preserve">Senir </v>
          </cell>
          <cell r="G19">
            <v>0</v>
          </cell>
          <cell r="H19">
            <v>0.27250000000000002</v>
          </cell>
          <cell r="I19">
            <v>790.25</v>
          </cell>
          <cell r="J19">
            <v>9012.7528999999995</v>
          </cell>
          <cell r="K19">
            <v>1967.85</v>
          </cell>
          <cell r="L19" t="str">
            <v>Dhermon</v>
          </cell>
          <cell r="M19">
            <v>0.5</v>
          </cell>
          <cell r="N19">
            <v>0</v>
          </cell>
          <cell r="O19">
            <v>9012.7528999999995</v>
          </cell>
          <cell r="P19">
            <v>5.8</v>
          </cell>
        </row>
        <row r="20">
          <cell r="A20">
            <v>1489</v>
          </cell>
          <cell r="B20" t="str">
            <v xml:space="preserve"> ETIQUETA 40X40 ROLO C/ 650</v>
          </cell>
          <cell r="C20" t="str">
            <v>Rolo</v>
          </cell>
          <cell r="D20">
            <v>700.5</v>
          </cell>
          <cell r="E20">
            <v>150</v>
          </cell>
          <cell r="F20" t="str">
            <v xml:space="preserve">Senir </v>
          </cell>
          <cell r="G20">
            <v>0</v>
          </cell>
          <cell r="H20">
            <v>0.27250000000000002</v>
          </cell>
          <cell r="I20">
            <v>700.5</v>
          </cell>
          <cell r="J20">
            <v>440</v>
          </cell>
          <cell r="K20">
            <v>100</v>
          </cell>
          <cell r="L20" t="str">
            <v xml:space="preserve">Senir </v>
          </cell>
          <cell r="M20">
            <v>0</v>
          </cell>
          <cell r="N20">
            <v>0.27250000000000002</v>
          </cell>
          <cell r="O20">
            <v>440</v>
          </cell>
          <cell r="P20">
            <v>5.8</v>
          </cell>
        </row>
        <row r="21">
          <cell r="A21">
            <v>1510</v>
          </cell>
          <cell r="B21" t="str">
            <v xml:space="preserve"> SACO CANELA 91X220X0,10</v>
          </cell>
          <cell r="C21" t="str">
            <v>Kg</v>
          </cell>
          <cell r="D21">
            <v>14121.971600000001</v>
          </cell>
          <cell r="E21">
            <v>3083.4</v>
          </cell>
          <cell r="F21" t="str">
            <v>Dhermon</v>
          </cell>
          <cell r="G21">
            <v>0.5</v>
          </cell>
          <cell r="H21">
            <v>0</v>
          </cell>
          <cell r="I21">
            <v>14121.971600000001</v>
          </cell>
          <cell r="J21">
            <v>9012.7528999999995</v>
          </cell>
          <cell r="K21">
            <v>1967.85</v>
          </cell>
          <cell r="L21" t="str">
            <v>Dhermon</v>
          </cell>
          <cell r="M21">
            <v>0.5</v>
          </cell>
          <cell r="N21">
            <v>0</v>
          </cell>
          <cell r="O21">
            <v>9012.7528999999995</v>
          </cell>
          <cell r="P21">
            <v>4.5799999010146006</v>
          </cell>
        </row>
        <row r="22">
          <cell r="A22">
            <v>1550</v>
          </cell>
          <cell r="B22" t="str">
            <v>STRETCH MANUAL 500 X 25 MICRAS X 3</v>
          </cell>
          <cell r="C22" t="str">
            <v>Kg</v>
          </cell>
          <cell r="D22">
            <v>1029.5999999999999</v>
          </cell>
          <cell r="E22">
            <v>132</v>
          </cell>
          <cell r="F22" t="str">
            <v>Rhermons</v>
          </cell>
          <cell r="G22">
            <v>0</v>
          </cell>
          <cell r="H22">
            <v>0</v>
          </cell>
          <cell r="I22">
            <v>1029.5999999999999</v>
          </cell>
          <cell r="J22">
            <v>4491.8999999999996</v>
          </cell>
          <cell r="K22">
            <v>504</v>
          </cell>
          <cell r="L22" t="str">
            <v xml:space="preserve">Senir </v>
          </cell>
          <cell r="M22">
            <v>1</v>
          </cell>
          <cell r="N22">
            <v>0.27250000000000002</v>
          </cell>
          <cell r="O22">
            <v>3267.8572499999996</v>
          </cell>
          <cell r="P22">
            <v>6.7570082547169807</v>
          </cell>
        </row>
        <row r="23">
          <cell r="A23">
            <v>1554</v>
          </cell>
          <cell r="B23" t="str">
            <v>SACO CANELA 101 X 150 (20LT)</v>
          </cell>
          <cell r="C23" t="str">
            <v>Kg</v>
          </cell>
          <cell r="D23">
            <v>3393</v>
          </cell>
          <cell r="E23">
            <v>585</v>
          </cell>
          <cell r="F23" t="str">
            <v xml:space="preserve">Senir </v>
          </cell>
          <cell r="G23">
            <v>0</v>
          </cell>
          <cell r="H23">
            <v>0.27250000000000002</v>
          </cell>
          <cell r="I23">
            <v>3393</v>
          </cell>
          <cell r="J23">
            <v>942.69</v>
          </cell>
          <cell r="K23">
            <v>224.45</v>
          </cell>
          <cell r="L23" t="str">
            <v xml:space="preserve">Senir </v>
          </cell>
          <cell r="M23">
            <v>0</v>
          </cell>
          <cell r="N23">
            <v>0.27250000000000002</v>
          </cell>
          <cell r="O23">
            <v>942.69</v>
          </cell>
          <cell r="P23">
            <v>5.3563407251837667</v>
          </cell>
        </row>
        <row r="24">
          <cell r="A24">
            <v>1566</v>
          </cell>
          <cell r="B24" t="str">
            <v xml:space="preserve"> SACO CANELA 101 X 126 X 14 (25 LT)</v>
          </cell>
          <cell r="C24" t="str">
            <v>Kg</v>
          </cell>
          <cell r="D24">
            <v>841</v>
          </cell>
          <cell r="E24">
            <v>125</v>
          </cell>
          <cell r="F24" t="str">
            <v xml:space="preserve">Senir </v>
          </cell>
          <cell r="G24">
            <v>0</v>
          </cell>
          <cell r="H24">
            <v>0.27250000000000002</v>
          </cell>
          <cell r="I24">
            <v>841</v>
          </cell>
          <cell r="J24">
            <v>2246.5801000000001</v>
          </cell>
          <cell r="K24">
            <v>534.9</v>
          </cell>
          <cell r="L24" t="str">
            <v xml:space="preserve">Senir </v>
          </cell>
          <cell r="M24">
            <v>0</v>
          </cell>
          <cell r="N24">
            <v>0.27250000000000002</v>
          </cell>
          <cell r="O24">
            <v>2246.5801000000001</v>
          </cell>
          <cell r="P24">
            <v>0.94</v>
          </cell>
        </row>
        <row r="25">
          <cell r="A25">
            <v>1989</v>
          </cell>
          <cell r="B25" t="str">
            <v xml:space="preserve"> ETIQUETA 40X40 ROLO C/ 2500</v>
          </cell>
          <cell r="C25" t="str">
            <v>Rolo</v>
          </cell>
          <cell r="D25">
            <v>1026</v>
          </cell>
          <cell r="E25">
            <v>54</v>
          </cell>
          <cell r="F25" t="str">
            <v>Tabor</v>
          </cell>
          <cell r="G25">
            <v>0</v>
          </cell>
          <cell r="H25">
            <v>0</v>
          </cell>
          <cell r="I25">
            <v>1026</v>
          </cell>
          <cell r="J25">
            <v>1140</v>
          </cell>
          <cell r="K25">
            <v>60</v>
          </cell>
          <cell r="L25" t="str">
            <v xml:space="preserve">Senir </v>
          </cell>
          <cell r="M25">
            <v>0</v>
          </cell>
          <cell r="N25">
            <v>0.27250000000000002</v>
          </cell>
          <cell r="O25">
            <v>1140</v>
          </cell>
          <cell r="P25">
            <v>19</v>
          </cell>
        </row>
        <row r="26">
          <cell r="A26">
            <v>2258</v>
          </cell>
          <cell r="B26" t="str">
            <v xml:space="preserve"> CAIXA PAPELAO AMACIANTE REQUINTE 3X5</v>
          </cell>
          <cell r="C26" t="str">
            <v>Unidade</v>
          </cell>
          <cell r="D26">
            <v>806.52</v>
          </cell>
          <cell r="E26">
            <v>858</v>
          </cell>
          <cell r="F26" t="str">
            <v xml:space="preserve">Senir </v>
          </cell>
          <cell r="G26">
            <v>0</v>
          </cell>
          <cell r="H26">
            <v>0.27250000000000002</v>
          </cell>
          <cell r="I26">
            <v>806.52</v>
          </cell>
          <cell r="J26">
            <v>1920.8344</v>
          </cell>
          <cell r="K26">
            <v>18104</v>
          </cell>
          <cell r="L26" t="str">
            <v>Tabor</v>
          </cell>
          <cell r="M26">
            <v>0</v>
          </cell>
          <cell r="N26">
            <v>0</v>
          </cell>
          <cell r="O26">
            <v>1920.8344</v>
          </cell>
          <cell r="P26">
            <v>0.94</v>
          </cell>
        </row>
        <row r="27">
          <cell r="A27">
            <v>2316</v>
          </cell>
          <cell r="B27" t="str">
            <v xml:space="preserve"> CAIXA PAPELAO PRODUTO DE LIMPEZA 6X2 CILINDRICA DESINFETANTE</v>
          </cell>
          <cell r="C27" t="str">
            <v>Unidade</v>
          </cell>
          <cell r="D27">
            <v>5955.75</v>
          </cell>
          <cell r="E27">
            <v>5294</v>
          </cell>
          <cell r="F27" t="str">
            <v xml:space="preserve">Senir </v>
          </cell>
          <cell r="G27">
            <v>1</v>
          </cell>
          <cell r="H27">
            <v>0.27250000000000002</v>
          </cell>
          <cell r="I27">
            <v>4332.8081249999996</v>
          </cell>
          <cell r="J27">
            <v>5540.625</v>
          </cell>
          <cell r="K27">
            <v>4925</v>
          </cell>
          <cell r="L27" t="str">
            <v xml:space="preserve">Senir </v>
          </cell>
          <cell r="M27">
            <v>1</v>
          </cell>
          <cell r="N27">
            <v>0.27250000000000002</v>
          </cell>
          <cell r="O27">
            <v>4030.8046875</v>
          </cell>
          <cell r="P27">
            <v>0.81843749999999993</v>
          </cell>
        </row>
        <row r="28">
          <cell r="A28">
            <v>2411</v>
          </cell>
          <cell r="B28" t="str">
            <v>ROTULO BOPP MET 26X8.3 (AGUA SANITARIA 1 LT UNIDADE)</v>
          </cell>
          <cell r="C28" t="str">
            <v>Unidade</v>
          </cell>
          <cell r="D28">
            <v>4204.4359999999997</v>
          </cell>
          <cell r="E28">
            <v>164880</v>
          </cell>
          <cell r="F28" t="str">
            <v xml:space="preserve">Senir </v>
          </cell>
          <cell r="G28">
            <v>1</v>
          </cell>
          <cell r="H28">
            <v>0.27250000000000002</v>
          </cell>
          <cell r="I28">
            <v>3058.7271899999996</v>
          </cell>
          <cell r="J28">
            <v>7630.5157999999992</v>
          </cell>
          <cell r="K28">
            <v>299236</v>
          </cell>
          <cell r="L28" t="str">
            <v xml:space="preserve">Senir </v>
          </cell>
          <cell r="M28">
            <v>1</v>
          </cell>
          <cell r="N28">
            <v>0.27250000000000002</v>
          </cell>
          <cell r="O28">
            <v>5551.2002444999998</v>
          </cell>
          <cell r="P28">
            <v>0.94</v>
          </cell>
        </row>
        <row r="29">
          <cell r="A29">
            <v>2447</v>
          </cell>
          <cell r="B29" t="str">
            <v xml:space="preserve"> ETIQUETA DHERMON 100X150 ROLO C/ 584 ETIQUETAS (UNIDADE)</v>
          </cell>
          <cell r="C29" t="str">
            <v>Unidade</v>
          </cell>
          <cell r="D29">
            <v>1944.72</v>
          </cell>
          <cell r="E29">
            <v>17520</v>
          </cell>
          <cell r="F29" t="str">
            <v>Tabor</v>
          </cell>
          <cell r="G29">
            <v>0</v>
          </cell>
          <cell r="H29">
            <v>0</v>
          </cell>
          <cell r="I29">
            <v>1944.72</v>
          </cell>
          <cell r="J29">
            <v>1920.8344</v>
          </cell>
          <cell r="K29">
            <v>18104</v>
          </cell>
          <cell r="L29" t="str">
            <v>Tabor</v>
          </cell>
          <cell r="M29">
            <v>0</v>
          </cell>
          <cell r="N29">
            <v>0</v>
          </cell>
          <cell r="O29">
            <v>1920.8344</v>
          </cell>
          <cell r="P29">
            <v>3.5289614287096149E-2</v>
          </cell>
        </row>
        <row r="30">
          <cell r="A30">
            <v>2729</v>
          </cell>
          <cell r="B30" t="str">
            <v>ROTULO MANGA LAMINADO PLASTICA AGUA SANITARIA BARB. 5 LTS UM</v>
          </cell>
          <cell r="C30" t="str">
            <v>Unidade</v>
          </cell>
          <cell r="D30">
            <v>6098.4</v>
          </cell>
          <cell r="E30">
            <v>50400</v>
          </cell>
          <cell r="F30" t="str">
            <v xml:space="preserve">Senir </v>
          </cell>
          <cell r="G30">
            <v>1</v>
          </cell>
          <cell r="H30">
            <v>0.27250000000000002</v>
          </cell>
          <cell r="I30">
            <v>4436.5859999999993</v>
          </cell>
          <cell r="J30">
            <v>6413</v>
          </cell>
          <cell r="K30">
            <v>53000</v>
          </cell>
          <cell r="L30" t="str">
            <v xml:space="preserve">Senir </v>
          </cell>
          <cell r="M30">
            <v>1</v>
          </cell>
          <cell r="N30">
            <v>0.27250000000000002</v>
          </cell>
          <cell r="O30">
            <v>4665.4575000000004</v>
          </cell>
          <cell r="P30">
            <v>9</v>
          </cell>
        </row>
        <row r="31">
          <cell r="A31">
            <v>2868</v>
          </cell>
          <cell r="B31" t="str">
            <v>ROTULO MANGA PLASTICA CLORO LIQUIDO BARB. 5L (UN)</v>
          </cell>
          <cell r="C31" t="str">
            <v>Unidade</v>
          </cell>
          <cell r="D31">
            <v>4930.4949999999999</v>
          </cell>
          <cell r="E31">
            <v>57000</v>
          </cell>
          <cell r="F31" t="str">
            <v xml:space="preserve">Senir </v>
          </cell>
          <cell r="G31">
            <v>1</v>
          </cell>
          <cell r="H31">
            <v>0.27250000000000002</v>
          </cell>
          <cell r="I31">
            <v>3586.9351124999998</v>
          </cell>
          <cell r="J31">
            <v>758.34</v>
          </cell>
          <cell r="K31">
            <v>198</v>
          </cell>
          <cell r="L31" t="str">
            <v xml:space="preserve">Senir </v>
          </cell>
          <cell r="M31">
            <v>0</v>
          </cell>
          <cell r="N31">
            <v>0.27250000000000002</v>
          </cell>
          <cell r="O31">
            <v>758.34</v>
          </cell>
          <cell r="P31">
            <v>6.2928686184210519E-2</v>
          </cell>
        </row>
        <row r="32">
          <cell r="A32">
            <v>4243</v>
          </cell>
          <cell r="B32" t="str">
            <v>FITA ADESIVA 48 X 1200 HOT MELT (ROLOS)</v>
          </cell>
          <cell r="C32" t="str">
            <v>Rolo</v>
          </cell>
          <cell r="D32">
            <v>2484</v>
          </cell>
          <cell r="E32">
            <v>54</v>
          </cell>
          <cell r="F32" t="str">
            <v>Dhermon</v>
          </cell>
          <cell r="G32">
            <v>0</v>
          </cell>
          <cell r="H32">
            <v>0.18</v>
          </cell>
          <cell r="I32">
            <v>2484</v>
          </cell>
          <cell r="J32">
            <v>2760</v>
          </cell>
          <cell r="K32">
            <v>60</v>
          </cell>
          <cell r="L32" t="str">
            <v>Dhermon</v>
          </cell>
          <cell r="M32">
            <v>0</v>
          </cell>
          <cell r="N32">
            <v>0.18</v>
          </cell>
          <cell r="O32">
            <v>0</v>
          </cell>
          <cell r="P32">
            <v>29.7</v>
          </cell>
        </row>
        <row r="33">
          <cell r="A33">
            <v>5407</v>
          </cell>
          <cell r="B33" t="str">
            <v>SACO PLASTICO VIRGEM (SF10 - 76X150X0,8) P/ G. DET. 1 LT</v>
          </cell>
          <cell r="C33" t="str">
            <v>Kg</v>
          </cell>
          <cell r="D33">
            <v>1873.3498999999999</v>
          </cell>
          <cell r="E33">
            <v>208.15</v>
          </cell>
          <cell r="F33" t="str">
            <v xml:space="preserve">Senir </v>
          </cell>
          <cell r="G33">
            <v>0</v>
          </cell>
          <cell r="H33">
            <v>0.27250000000000002</v>
          </cell>
          <cell r="I33">
            <v>1873.3498999999999</v>
          </cell>
          <cell r="J33">
            <v>1199.25</v>
          </cell>
          <cell r="K33">
            <v>133.25</v>
          </cell>
          <cell r="L33" t="str">
            <v xml:space="preserve">Senir </v>
          </cell>
          <cell r="M33">
            <v>0</v>
          </cell>
          <cell r="N33">
            <v>0.27250000000000002</v>
          </cell>
          <cell r="O33">
            <v>1199.25</v>
          </cell>
          <cell r="P33">
            <v>8.9999995195772282</v>
          </cell>
        </row>
        <row r="34">
          <cell r="A34">
            <v>5408</v>
          </cell>
          <cell r="B34" t="str">
            <v>SACO PLASTICO VIRGEM (SF12- 80X150X0,8) P/ G. 1LT LIMPADORES</v>
          </cell>
          <cell r="C34" t="str">
            <v>Kg</v>
          </cell>
          <cell r="D34">
            <v>1745.0998999999999</v>
          </cell>
          <cell r="E34">
            <v>193.9</v>
          </cell>
          <cell r="F34" t="str">
            <v xml:space="preserve">Senir </v>
          </cell>
          <cell r="G34">
            <v>0</v>
          </cell>
          <cell r="H34">
            <v>0.27250000000000002</v>
          </cell>
          <cell r="I34">
            <v>1745.0998999999999</v>
          </cell>
          <cell r="J34">
            <v>548.34</v>
          </cell>
          <cell r="K34">
            <v>3800</v>
          </cell>
          <cell r="L34" t="str">
            <v>Dhermon</v>
          </cell>
          <cell r="M34">
            <v>0</v>
          </cell>
          <cell r="N34">
            <v>0</v>
          </cell>
          <cell r="O34">
            <v>548.34</v>
          </cell>
          <cell r="P34">
            <v>8.9999994842702424</v>
          </cell>
        </row>
        <row r="35">
          <cell r="A35">
            <v>5409</v>
          </cell>
          <cell r="B35" t="str">
            <v>SACO PLASTICO VIRGEM (SF11 - 83X140X0,8) P/ G. 500ML DET.</v>
          </cell>
          <cell r="C35" t="str">
            <v>Kg</v>
          </cell>
          <cell r="D35">
            <v>1876.5</v>
          </cell>
          <cell r="E35">
            <v>208.5</v>
          </cell>
          <cell r="F35" t="str">
            <v xml:space="preserve">Senir </v>
          </cell>
          <cell r="G35">
            <v>0</v>
          </cell>
          <cell r="H35">
            <v>0.27250000000000002</v>
          </cell>
          <cell r="I35">
            <v>1876.5</v>
          </cell>
          <cell r="J35">
            <v>6413</v>
          </cell>
          <cell r="K35">
            <v>53000</v>
          </cell>
          <cell r="L35" t="str">
            <v xml:space="preserve">Senir </v>
          </cell>
          <cell r="M35">
            <v>1</v>
          </cell>
          <cell r="N35">
            <v>0.27250000000000002</v>
          </cell>
          <cell r="O35">
            <v>4665.4575000000004</v>
          </cell>
          <cell r="P35">
            <v>9</v>
          </cell>
        </row>
        <row r="36">
          <cell r="A36">
            <v>5432</v>
          </cell>
          <cell r="B36" t="str">
            <v>CAIXA PAPELAO P/ FRASCOS AROMATIZANTE 500 UND</v>
          </cell>
          <cell r="C36" t="str">
            <v>Unidade</v>
          </cell>
          <cell r="D36">
            <v>957.42299999999989</v>
          </cell>
          <cell r="E36">
            <v>243</v>
          </cell>
          <cell r="F36" t="str">
            <v xml:space="preserve">Senir </v>
          </cell>
          <cell r="G36">
            <v>1</v>
          </cell>
          <cell r="H36">
            <v>0.27250000000000002</v>
          </cell>
          <cell r="I36">
            <v>696.5252324999999</v>
          </cell>
          <cell r="J36">
            <v>758.34</v>
          </cell>
          <cell r="K36">
            <v>198</v>
          </cell>
          <cell r="L36" t="str">
            <v xml:space="preserve">Senir </v>
          </cell>
          <cell r="M36">
            <v>0</v>
          </cell>
          <cell r="N36">
            <v>0.27250000000000002</v>
          </cell>
          <cell r="O36">
            <v>758.34</v>
          </cell>
          <cell r="P36">
            <v>6.0018810024752477E-2</v>
          </cell>
        </row>
        <row r="37">
          <cell r="A37">
            <v>5447</v>
          </cell>
          <cell r="B37" t="str">
            <v>ABRACADEIRA NYLON 150X3.6MM</v>
          </cell>
          <cell r="C37" t="str">
            <v>Unidade</v>
          </cell>
          <cell r="D37">
            <v>594</v>
          </cell>
          <cell r="E37">
            <v>20</v>
          </cell>
          <cell r="F37" t="str">
            <v>Rhermons</v>
          </cell>
          <cell r="G37">
            <v>0</v>
          </cell>
          <cell r="H37">
            <v>0</v>
          </cell>
          <cell r="I37">
            <v>594</v>
          </cell>
          <cell r="O37">
            <v>0</v>
          </cell>
          <cell r="P37">
            <v>6.2928686184210519E-2</v>
          </cell>
        </row>
        <row r="38">
          <cell r="A38">
            <v>5624</v>
          </cell>
          <cell r="B38" t="str">
            <v>SACO PLASTICO GALAO DE AGUA 95X150X09</v>
          </cell>
          <cell r="C38" t="str">
            <v>Kg</v>
          </cell>
          <cell r="D38">
            <v>3617.1749</v>
          </cell>
          <cell r="E38">
            <v>425.55</v>
          </cell>
          <cell r="F38" t="str">
            <v>Dhermon</v>
          </cell>
          <cell r="G38">
            <v>0.5</v>
          </cell>
          <cell r="H38">
            <v>0.18</v>
          </cell>
          <cell r="I38">
            <v>3291.6291590000001</v>
          </cell>
          <cell r="J38">
            <v>1199.25</v>
          </cell>
          <cell r="K38">
            <v>133.25</v>
          </cell>
          <cell r="L38" t="str">
            <v xml:space="preserve">Senir </v>
          </cell>
          <cell r="M38">
            <v>0</v>
          </cell>
          <cell r="N38">
            <v>0.27250000000000002</v>
          </cell>
          <cell r="O38">
            <v>0</v>
          </cell>
          <cell r="P38">
            <v>24</v>
          </cell>
        </row>
        <row r="39">
          <cell r="A39">
            <v>5730</v>
          </cell>
          <cell r="B39" t="str">
            <v>ETIQUETA 100X235 BOPP FOSCA ROLO C/ 380 (UNIDADE)</v>
          </cell>
          <cell r="C39" t="str">
            <v>Unidade</v>
          </cell>
          <cell r="D39">
            <v>549.1</v>
          </cell>
          <cell r="E39">
            <v>3800</v>
          </cell>
          <cell r="F39" t="str">
            <v>Dhermon</v>
          </cell>
          <cell r="G39">
            <v>0</v>
          </cell>
          <cell r="H39">
            <v>0</v>
          </cell>
          <cell r="I39">
            <v>0</v>
          </cell>
          <cell r="J39">
            <v>548.34</v>
          </cell>
          <cell r="K39">
            <v>3800</v>
          </cell>
          <cell r="L39" t="str">
            <v>Dhermon</v>
          </cell>
          <cell r="M39">
            <v>0</v>
          </cell>
          <cell r="N39">
            <v>0</v>
          </cell>
          <cell r="O39">
            <v>0</v>
          </cell>
          <cell r="P39">
            <v>8.9999995195772282</v>
          </cell>
        </row>
        <row r="40">
          <cell r="A40">
            <v>6773</v>
          </cell>
          <cell r="B40" t="str">
            <v>ETIQUETA BOPP 50 X 40/1 BRANCA P/ GALAO</v>
          </cell>
          <cell r="C40" t="str">
            <v>Unidade</v>
          </cell>
          <cell r="D40">
            <v>764</v>
          </cell>
          <cell r="E40">
            <v>32000</v>
          </cell>
          <cell r="F40" t="str">
            <v>Tabor</v>
          </cell>
          <cell r="G40">
            <v>0</v>
          </cell>
          <cell r="H40">
            <v>0.27250000000000002</v>
          </cell>
          <cell r="I40">
            <v>0</v>
          </cell>
          <cell r="O40">
            <v>0</v>
          </cell>
          <cell r="P40">
            <v>8.9999994842702424</v>
          </cell>
        </row>
        <row r="41">
          <cell r="A41">
            <v>9017</v>
          </cell>
          <cell r="B41" t="str">
            <v xml:space="preserve"> SACO CANELA 93X220X0,10</v>
          </cell>
          <cell r="C41" t="str">
            <v>Kg</v>
          </cell>
          <cell r="D41">
            <v>3120.98</v>
          </cell>
          <cell r="E41">
            <v>538.1</v>
          </cell>
          <cell r="F41" t="str">
            <v xml:space="preserve">Senir </v>
          </cell>
          <cell r="G41">
            <v>0</v>
          </cell>
          <cell r="H41">
            <v>0.27250000000000002</v>
          </cell>
          <cell r="I41">
            <v>0</v>
          </cell>
          <cell r="J41">
            <v>1148.4000000000001</v>
          </cell>
          <cell r="K41">
            <v>198</v>
          </cell>
          <cell r="L41" t="str">
            <v xml:space="preserve">Senir </v>
          </cell>
          <cell r="M41">
            <v>0</v>
          </cell>
          <cell r="N41">
            <v>0.27250000000000002</v>
          </cell>
          <cell r="O41">
            <v>0</v>
          </cell>
          <cell r="P41">
            <v>5.8</v>
          </cell>
        </row>
        <row r="42">
          <cell r="A42">
            <v>10039</v>
          </cell>
          <cell r="B42" t="str">
            <v>SACO PLASTICO 96X150X0,08 (PET 2 LTS ANTONIO)</v>
          </cell>
          <cell r="C42" t="str">
            <v>Kg</v>
          </cell>
          <cell r="D42">
            <v>764.2</v>
          </cell>
          <cell r="E42">
            <v>96.8</v>
          </cell>
          <cell r="F42" t="str">
            <v xml:space="preserve">Senir </v>
          </cell>
          <cell r="G42">
            <v>0</v>
          </cell>
          <cell r="H42">
            <v>0.27250000000000002</v>
          </cell>
          <cell r="I42">
            <v>0</v>
          </cell>
          <cell r="J42">
            <v>758.34</v>
          </cell>
          <cell r="K42">
            <v>198</v>
          </cell>
          <cell r="L42" t="str">
            <v xml:space="preserve">Senir </v>
          </cell>
          <cell r="M42">
            <v>0</v>
          </cell>
          <cell r="N42">
            <v>0.27250000000000002</v>
          </cell>
          <cell r="O42">
            <v>0</v>
          </cell>
          <cell r="P42">
            <v>7.8946280991735547</v>
          </cell>
        </row>
        <row r="43">
          <cell r="A43">
            <v>10270</v>
          </cell>
          <cell r="B43" t="str">
            <v>ETIQUETA 60X30 ROLO C/ 2500</v>
          </cell>
          <cell r="C43" t="str">
            <v>Rolo</v>
          </cell>
          <cell r="D43">
            <v>408</v>
          </cell>
          <cell r="E43">
            <v>17</v>
          </cell>
          <cell r="F43" t="str">
            <v>Tabor</v>
          </cell>
          <cell r="G43">
            <v>0</v>
          </cell>
          <cell r="H43">
            <v>0.27250000000000002</v>
          </cell>
          <cell r="I43">
            <v>408</v>
          </cell>
          <cell r="O43">
            <v>0</v>
          </cell>
          <cell r="P43">
            <v>24</v>
          </cell>
        </row>
        <row r="44">
          <cell r="A44">
            <v>5624</v>
          </cell>
          <cell r="B44" t="str">
            <v>SACO PLASTICO GALAO DE AGUA 95X150X09</v>
          </cell>
          <cell r="C44" t="str">
            <v>Kg</v>
          </cell>
          <cell r="D44">
            <v>3617.1749</v>
          </cell>
          <cell r="E44">
            <v>425.55</v>
          </cell>
          <cell r="F44" t="str">
            <v>Dhermon</v>
          </cell>
          <cell r="G44">
            <v>0.5</v>
          </cell>
          <cell r="H44">
            <v>0.18</v>
          </cell>
          <cell r="I44">
            <v>0</v>
          </cell>
          <cell r="J44">
            <v>1199.25</v>
          </cell>
          <cell r="K44">
            <v>133.25</v>
          </cell>
          <cell r="L44" t="str">
            <v xml:space="preserve">Senir </v>
          </cell>
          <cell r="M44">
            <v>0</v>
          </cell>
          <cell r="N44">
            <v>0.27250000000000002</v>
          </cell>
          <cell r="O44">
            <v>0</v>
          </cell>
          <cell r="P44">
            <v>8.0366484591982825</v>
          </cell>
        </row>
        <row r="45">
          <cell r="A45">
            <v>5730</v>
          </cell>
          <cell r="B45" t="str">
            <v>ETIQUETA 100X235 BOPP FOSCA ROLO C/ 380 (UNIDADE)</v>
          </cell>
          <cell r="C45" t="str">
            <v>Unidade</v>
          </cell>
          <cell r="D45">
            <v>549.1</v>
          </cell>
          <cell r="E45">
            <v>3800</v>
          </cell>
          <cell r="F45" t="str">
            <v>Dhermon</v>
          </cell>
          <cell r="G45">
            <v>0</v>
          </cell>
          <cell r="H45">
            <v>0</v>
          </cell>
          <cell r="I45">
            <v>0</v>
          </cell>
          <cell r="J45">
            <v>548.34</v>
          </cell>
          <cell r="K45">
            <v>3800</v>
          </cell>
          <cell r="L45" t="str">
            <v>Dhermon</v>
          </cell>
          <cell r="M45">
            <v>0</v>
          </cell>
          <cell r="N45">
            <v>0</v>
          </cell>
          <cell r="O45">
            <v>0</v>
          </cell>
          <cell r="P45">
            <v>0.1444</v>
          </cell>
        </row>
        <row r="46">
          <cell r="A46">
            <v>6773</v>
          </cell>
          <cell r="B46" t="str">
            <v>ETIQUETA BOPP 50 X 40/1 BRANCA P/ GALAO</v>
          </cell>
          <cell r="C46" t="str">
            <v>Unidade</v>
          </cell>
          <cell r="D46">
            <v>764</v>
          </cell>
          <cell r="E46">
            <v>32000</v>
          </cell>
          <cell r="F46" t="str">
            <v>Tabor</v>
          </cell>
          <cell r="G46">
            <v>0</v>
          </cell>
          <cell r="H46">
            <v>0.27250000000000002</v>
          </cell>
          <cell r="I46">
            <v>0</v>
          </cell>
          <cell r="O46">
            <v>0</v>
          </cell>
          <cell r="P46">
            <v>2.3875E-2</v>
          </cell>
        </row>
        <row r="47">
          <cell r="A47">
            <v>9017</v>
          </cell>
          <cell r="B47" t="str">
            <v xml:space="preserve"> SACO CANELA 93X220X0,10</v>
          </cell>
          <cell r="C47" t="str">
            <v>Kg</v>
          </cell>
          <cell r="D47">
            <v>3010.2</v>
          </cell>
          <cell r="E47">
            <v>519</v>
          </cell>
          <cell r="F47" t="str">
            <v xml:space="preserve">Senir </v>
          </cell>
          <cell r="G47">
            <v>0</v>
          </cell>
          <cell r="H47">
            <v>0.27250000000000002</v>
          </cell>
          <cell r="I47">
            <v>0</v>
          </cell>
          <cell r="J47">
            <v>330.6</v>
          </cell>
          <cell r="K47">
            <v>57</v>
          </cell>
          <cell r="L47" t="str">
            <v xml:space="preserve">Senir </v>
          </cell>
          <cell r="M47">
            <v>0</v>
          </cell>
          <cell r="N47">
            <v>0.27250000000000002</v>
          </cell>
          <cell r="O47">
            <v>0</v>
          </cell>
          <cell r="P47">
            <v>5.8</v>
          </cell>
        </row>
        <row r="48">
          <cell r="A48">
            <v>10039</v>
          </cell>
          <cell r="B48" t="str">
            <v>SACO PLASTICO 96X150X0,08 (PET 2 LTS ANTONIO)</v>
          </cell>
          <cell r="C48" t="str">
            <v>Kg</v>
          </cell>
          <cell r="D48">
            <v>1132.07</v>
          </cell>
          <cell r="E48">
            <v>143.30000000000001</v>
          </cell>
          <cell r="F48" t="str">
            <v xml:space="preserve">Senir </v>
          </cell>
          <cell r="G48">
            <v>0</v>
          </cell>
          <cell r="H48">
            <v>0.27250000000000002</v>
          </cell>
          <cell r="I48">
            <v>1132.07</v>
          </cell>
          <cell r="J48">
            <v>764.2</v>
          </cell>
          <cell r="K48">
            <v>96.8</v>
          </cell>
          <cell r="L48" t="str">
            <v xml:space="preserve">Senir </v>
          </cell>
          <cell r="M48">
            <v>0</v>
          </cell>
          <cell r="N48">
            <v>0.27250000000000002</v>
          </cell>
          <cell r="O48">
            <v>764.2</v>
          </cell>
          <cell r="P48">
            <v>7.8978342357351092</v>
          </cell>
        </row>
        <row r="49">
          <cell r="A49">
            <v>10270</v>
          </cell>
          <cell r="B49" t="str">
            <v>ETIQUETA 60X30 ROLO C/ 2500</v>
          </cell>
          <cell r="C49" t="str">
            <v>Rolo</v>
          </cell>
          <cell r="D49">
            <v>408</v>
          </cell>
          <cell r="E49">
            <v>17</v>
          </cell>
          <cell r="F49" t="str">
            <v>Tabor</v>
          </cell>
          <cell r="G49">
            <v>0</v>
          </cell>
          <cell r="H49">
            <v>0.27250000000000002</v>
          </cell>
          <cell r="I49">
            <v>408</v>
          </cell>
          <cell r="J49">
            <v>408</v>
          </cell>
          <cell r="K49">
            <v>17</v>
          </cell>
          <cell r="L49" t="str">
            <v>Tabor</v>
          </cell>
          <cell r="M49">
            <v>0</v>
          </cell>
          <cell r="N49">
            <v>0.27250000000000002</v>
          </cell>
          <cell r="O49">
            <v>408</v>
          </cell>
          <cell r="P49">
            <v>24</v>
          </cell>
        </row>
        <row r="50">
          <cell r="I50">
            <v>0</v>
          </cell>
          <cell r="O50">
            <v>0</v>
          </cell>
        </row>
        <row r="51">
          <cell r="I51">
            <v>0</v>
          </cell>
          <cell r="O51">
            <v>0</v>
          </cell>
        </row>
        <row r="52">
          <cell r="I52">
            <v>0</v>
          </cell>
          <cell r="O52">
            <v>0</v>
          </cell>
        </row>
        <row r="53">
          <cell r="I53">
            <v>0</v>
          </cell>
          <cell r="O53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quina 01 ENERGIA"/>
      <sheetName val="Maquinas 02 e 03 ENERGIA"/>
      <sheetName val="Maquina 04 ENERGIA"/>
      <sheetName val="Maquina 05 ENERGIA"/>
      <sheetName val="Maquina 06 ENERGIA"/>
      <sheetName val="Maquina 07 ENERGIA"/>
    </sheetNames>
    <sheetDataSet>
      <sheetData sheetId="0">
        <row r="23">
          <cell r="K23">
            <v>9262.0907528832031</v>
          </cell>
        </row>
      </sheetData>
      <sheetData sheetId="1">
        <row r="25">
          <cell r="K25">
            <v>25693.645697017633</v>
          </cell>
        </row>
      </sheetData>
      <sheetData sheetId="2">
        <row r="22">
          <cell r="K22">
            <v>7455.5220622427314</v>
          </cell>
        </row>
      </sheetData>
      <sheetData sheetId="3">
        <row r="22">
          <cell r="K22">
            <v>7455.3983675353929</v>
          </cell>
        </row>
      </sheetData>
      <sheetData sheetId="4">
        <row r="18">
          <cell r="K18">
            <v>19717.343562977676</v>
          </cell>
        </row>
      </sheetData>
      <sheetData sheetId="5">
        <row r="21">
          <cell r="K21">
            <v>6705.265046130794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QUINA 01 DEPRECIAÇÃO"/>
      <sheetName val="MAQUINAS 02 E 03 DEPRECIAÇÃO"/>
      <sheetName val="MAQUINA 04 DEPRECIAÇÃO"/>
      <sheetName val="MAQUINA 05 DEPRECIAÇÃO"/>
      <sheetName val="MAQUINA 06 DEPRECIAÇÃO"/>
      <sheetName val="MAQUINA 07 DEPRECIAÇÃO"/>
    </sheetNames>
    <sheetDataSet>
      <sheetData sheetId="0">
        <row r="42">
          <cell r="G42">
            <v>4381.601963322546</v>
          </cell>
        </row>
      </sheetData>
      <sheetData sheetId="1">
        <row r="66">
          <cell r="G66">
            <v>5359.7341693635381</v>
          </cell>
        </row>
      </sheetData>
      <sheetData sheetId="2">
        <row r="58">
          <cell r="G58">
            <v>2398.3650377562021</v>
          </cell>
        </row>
      </sheetData>
      <sheetData sheetId="3">
        <row r="58">
          <cell r="G58">
            <v>2387.2539266450913</v>
          </cell>
        </row>
      </sheetData>
      <sheetData sheetId="4">
        <row r="38">
          <cell r="G38">
            <v>4833.432874865156</v>
          </cell>
        </row>
      </sheetData>
      <sheetData sheetId="5">
        <row r="58">
          <cell r="G58">
            <v>2670.7398058252425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tenção"/>
      <sheetName val="Plan2"/>
      <sheetName val="Plan3"/>
    </sheetNames>
    <sheetDataSet>
      <sheetData sheetId="0">
        <row r="15">
          <cell r="E15">
            <v>3619.9560000000001</v>
          </cell>
        </row>
        <row r="16">
          <cell r="E16">
            <v>3619.9560000000001</v>
          </cell>
        </row>
        <row r="17">
          <cell r="F17">
            <v>5515.34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QUINA 01 MÃO DE OBRA"/>
      <sheetName val="MAQUINA 02 MÃO DE OBRA"/>
      <sheetName val="MAQUINA 03 MÃO DE OBRA"/>
      <sheetName val="MAQUINA 04 MÃO DE OBRA"/>
      <sheetName val="ROTULADEIRA 5LTS Mão de Obra"/>
      <sheetName val="MAQUINA 05 MÃO DE OBRA"/>
      <sheetName val="MAQUINA 06 MÃO DE OBRA"/>
      <sheetName val="MAQUINA 07 MÃO DE OBRA"/>
      <sheetName val="ROTULADEIRA BOPP 1 MAO DE OBRA"/>
      <sheetName val="ROTULADEIRA BOPP 2 MAO DE OBRA"/>
    </sheetNames>
    <sheetDataSet>
      <sheetData sheetId="0">
        <row r="12">
          <cell r="L12">
            <v>4566.329342</v>
          </cell>
        </row>
      </sheetData>
      <sheetData sheetId="1">
        <row r="12">
          <cell r="L12">
            <v>12716.713776000001</v>
          </cell>
        </row>
      </sheetData>
      <sheetData sheetId="2">
        <row r="12">
          <cell r="L12">
            <v>13150.817006000001</v>
          </cell>
        </row>
      </sheetData>
      <sheetData sheetId="3">
        <row r="12">
          <cell r="L12">
            <v>6203.7188880000003</v>
          </cell>
        </row>
      </sheetData>
      <sheetData sheetId="4"/>
      <sheetData sheetId="5">
        <row r="12">
          <cell r="L12">
            <v>4642.6861499999995</v>
          </cell>
        </row>
      </sheetData>
      <sheetData sheetId="6">
        <row r="12">
          <cell r="L12">
            <v>5363.2731999999996</v>
          </cell>
        </row>
      </sheetData>
      <sheetData sheetId="7">
        <row r="12">
          <cell r="L12">
            <v>5286.3920000000007</v>
          </cell>
        </row>
      </sheetData>
      <sheetData sheetId="8"/>
      <sheetData sheetId="9">
        <row r="10">
          <cell r="L10">
            <v>2669.319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14" sqref="A14:I14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73</v>
      </c>
      <c r="D2" s="291"/>
      <c r="E2" s="291"/>
      <c r="F2" s="291"/>
      <c r="G2" s="291"/>
      <c r="H2" s="291"/>
      <c r="I2" s="56">
        <v>1194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5" t="s">
        <v>44</v>
      </c>
      <c r="C7" s="296"/>
      <c r="D7" s="297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66">
        <v>1135</v>
      </c>
      <c r="B8" s="67" t="str">
        <f>IF(A8&lt;&gt;0,VLOOKUP(A8,'[1]Matéria Prima Plásticos'!$A$2:$B$61,2),"")</f>
        <v>MASTER BATCH AZUL PEROLADO</v>
      </c>
      <c r="C8" s="48"/>
      <c r="D8" s="49"/>
      <c r="E8" s="224">
        <f>0.14*(750/125750)</f>
        <v>8.349900596421472E-4</v>
      </c>
      <c r="F8" s="68">
        <f>IF(A8&lt;&gt;0,VLOOKUP(A8,'[1]Matéria Prima Plásticos'!$A$2:$P$61,16),"")</f>
        <v>16.816541586073498</v>
      </c>
      <c r="G8" s="69">
        <v>6.4999999999999997E-3</v>
      </c>
      <c r="H8" s="70">
        <f>E8*G8</f>
        <v>5.4274353876739566E-6</v>
      </c>
      <c r="I8" s="71">
        <f>(F8+H8)*E8</f>
        <v>1.4041649593784756E-2</v>
      </c>
    </row>
    <row r="9" spans="1:11" ht="15.75" thickBot="1">
      <c r="A9" s="52">
        <v>6541</v>
      </c>
      <c r="B9" s="72" t="str">
        <f>IF(A9&lt;&gt;0,VLOOKUP(A9,'[1]Matéria Prima Plásticos'!$A$2:$B$61,2),"")</f>
        <v>PEAD SOPRO VIRGEM HS5403 - BRASKEM</v>
      </c>
      <c r="C9" s="73"/>
      <c r="D9" s="74"/>
      <c r="E9" s="225">
        <f>0.14*(125000/125750)</f>
        <v>0.13916500994035788</v>
      </c>
      <c r="F9" s="68">
        <f>IF(A9&lt;&gt;0,VLOOKUP(A9,'[1]Matéria Prima Plásticos'!$A$2:$P$61,16),"")</f>
        <v>5.0686277952845522</v>
      </c>
      <c r="G9" s="69">
        <v>6.4999999999999997E-3</v>
      </c>
      <c r="H9" s="70">
        <f>E9*G9</f>
        <v>9.0457256461232616E-4</v>
      </c>
      <c r="I9" s="71">
        <f>(F9+H9)*E9</f>
        <v>0.70550152236469499</v>
      </c>
    </row>
    <row r="10" spans="1:11" ht="15.75" thickBot="1">
      <c r="A10" s="75"/>
      <c r="B10" s="76" t="s">
        <v>9</v>
      </c>
      <c r="C10" s="77"/>
      <c r="D10" s="77"/>
      <c r="E10" s="78">
        <f>SUM(E8:E9)</f>
        <v>0.14000000000000004</v>
      </c>
      <c r="F10" s="79"/>
      <c r="G10" s="79"/>
      <c r="H10" s="79"/>
      <c r="I10" s="80">
        <f>I8+I9</f>
        <v>0.71954317195847972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 xml:space="preserve">GALAO 05 LT AZUL PEROLIZADO FD 50 </v>
      </c>
      <c r="C12" s="27"/>
      <c r="D12" s="58"/>
      <c r="E12" s="84">
        <f>D4</f>
        <v>50</v>
      </c>
      <c r="F12" s="85">
        <f>I10</f>
        <v>0.71954317195847972</v>
      </c>
      <c r="G12" s="86">
        <v>0</v>
      </c>
      <c r="H12" s="87">
        <v>0</v>
      </c>
      <c r="I12" s="88">
        <f>E12*F12</f>
        <v>35.977158597923989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29.29954307297308</v>
      </c>
      <c r="G15" s="104">
        <f>SUM(G8:G14)</f>
        <v>4.2999999999999997E-2</v>
      </c>
      <c r="H15" s="103">
        <f>SUM(H8:H9)+SUM(H12:H14)</f>
        <v>0.52670999901014592</v>
      </c>
      <c r="I15" s="105">
        <f>SUM(I12:I14)</f>
        <v>36.825090579809661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0.01</v>
      </c>
      <c r="D17" s="107">
        <f>I15*C17</f>
        <v>0.36825090579809661</v>
      </c>
      <c r="E17" s="13" t="s">
        <v>11</v>
      </c>
      <c r="F17" s="14"/>
      <c r="G17" s="108"/>
      <c r="H17" s="108"/>
      <c r="I17" s="223">
        <f>I15+D17</f>
        <v>37.19334148560776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03'!G5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03'!L6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0.89201288778399257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11.988</v>
      </c>
      <c r="G32" s="149">
        <f>H32*G58</f>
        <v>4.9950000000000001E-2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57.854777276883404</v>
      </c>
      <c r="D35" s="262"/>
      <c r="E35" s="264">
        <f>C35/D4</f>
        <v>1.1570955455376681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0"/>
      <c r="I38" s="151"/>
    </row>
    <row r="39" spans="1:14" ht="15.75" thickBot="1">
      <c r="A39" s="57"/>
      <c r="B39" s="159" t="s">
        <v>25</v>
      </c>
      <c r="C39" s="160">
        <f>C52*C40</f>
        <v>6.2699758625193835</v>
      </c>
      <c r="D39" s="160">
        <f>D52*D40</f>
        <v>13.742747025894271</v>
      </c>
      <c r="E39" s="161">
        <f>E52*E40</f>
        <v>19.773697638055197</v>
      </c>
      <c r="F39" s="160">
        <f>F52*F40</f>
        <v>26.914127158110592</v>
      </c>
      <c r="G39" s="162">
        <f>G52*G40</f>
        <v>40.481954638499161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8.8000000000000009E-2</v>
      </c>
      <c r="D40" s="163">
        <f>SUM(D41:D48)</f>
        <v>0.17275000000000001</v>
      </c>
      <c r="E40" s="164">
        <f>SUM(E41:E48)</f>
        <v>0.22925000000000004</v>
      </c>
      <c r="F40" s="163">
        <f>SUM(F41:F48)</f>
        <v>0.28575</v>
      </c>
      <c r="G40" s="165">
        <f>SUM(G41:G48)</f>
        <v>0.37050000000000005</v>
      </c>
      <c r="H40" s="23"/>
      <c r="I40" s="151"/>
    </row>
    <row r="41" spans="1:14" ht="15.75" thickBot="1">
      <c r="A41" s="57"/>
      <c r="B41" s="166" t="s">
        <v>27</v>
      </c>
      <c r="C41" s="167">
        <f>G41</f>
        <v>0.02</v>
      </c>
      <c r="D41" s="167">
        <f>G41</f>
        <v>0.02</v>
      </c>
      <c r="E41" s="168">
        <f>G41</f>
        <v>0.02</v>
      </c>
      <c r="F41" s="167">
        <f>G41</f>
        <v>0.02</v>
      </c>
      <c r="G41" s="169">
        <v>0.02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6.0000000000000001E-3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1.2E-2</v>
      </c>
      <c r="D48" s="177">
        <f>G48</f>
        <v>1.2E-2</v>
      </c>
      <c r="E48" s="178">
        <f>G48</f>
        <v>1.2E-2</v>
      </c>
      <c r="F48" s="177">
        <v>1.2E-2</v>
      </c>
      <c r="G48" s="172">
        <v>1.2E-2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64.124753139402785</v>
      </c>
      <c r="D50" s="42">
        <f>$C$35+D39</f>
        <v>71.597524302777671</v>
      </c>
      <c r="E50" s="180">
        <f>$C$35+E39</f>
        <v>77.628474914938607</v>
      </c>
      <c r="F50" s="42">
        <f>$C$35+F39</f>
        <v>84.768904434993999</v>
      </c>
      <c r="G50" s="42">
        <f>$C$35+G39</f>
        <v>98.336731915382558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71.249725710447535</v>
      </c>
      <c r="D52" s="184">
        <f>$C$35/(1-D40-D51)</f>
        <v>79.552804780864079</v>
      </c>
      <c r="E52" s="185">
        <f>$C$35/(1-E40-E51)</f>
        <v>86.253861016598449</v>
      </c>
      <c r="F52" s="184">
        <f>$C$35/(1-F40-F51)</f>
        <v>94.187671594437759</v>
      </c>
      <c r="G52" s="184">
        <f>$C$35/(1-G40-G51)</f>
        <v>109.26303546153618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71.249725710447535</v>
      </c>
      <c r="D53" s="187">
        <f>D52+(D56*D52)</f>
        <v>83.132680996002961</v>
      </c>
      <c r="E53" s="188">
        <f>E52+(E56*E52)</f>
        <v>92.722900592843331</v>
      </c>
      <c r="F53" s="187">
        <f>F52+(F56*F52)</f>
        <v>104.07737711185372</v>
      </c>
      <c r="G53" s="187">
        <f>G52+(G56*G52)</f>
        <v>125.6524907807666</v>
      </c>
      <c r="H53" s="8"/>
      <c r="I53" s="58"/>
    </row>
    <row r="54" spans="1:9" ht="15.75" thickBot="1">
      <c r="A54" s="57"/>
      <c r="B54" s="189" t="s">
        <v>38</v>
      </c>
      <c r="C54" s="190">
        <f>C52-C50</f>
        <v>7.1249725710447507</v>
      </c>
      <c r="D54" s="190">
        <f>D52-D50</f>
        <v>7.9552804780864079</v>
      </c>
      <c r="E54" s="191">
        <f>E52-E50</f>
        <v>8.6253861016598421</v>
      </c>
      <c r="F54" s="190">
        <f>F52-F50</f>
        <v>9.4187671594437603</v>
      </c>
      <c r="G54" s="190">
        <f>G52-G50</f>
        <v>10.926303546153619</v>
      </c>
      <c r="H54" s="8"/>
      <c r="I54" s="58"/>
    </row>
    <row r="55" spans="1:9" ht="15.75" thickBot="1">
      <c r="A55" s="57"/>
      <c r="B55" s="192" t="s">
        <v>66</v>
      </c>
      <c r="C55" s="193">
        <f>C54/C52</f>
        <v>9.9999999999999964E-2</v>
      </c>
      <c r="D55" s="193">
        <f>D54/D52</f>
        <v>0.1</v>
      </c>
      <c r="E55" s="194">
        <f>E54/E52</f>
        <v>9.9999999999999964E-2</v>
      </c>
      <c r="F55" s="193">
        <f>F54/F52</f>
        <v>9.9999999999999839E-2</v>
      </c>
      <c r="G55" s="193">
        <f>G54/G52</f>
        <v>0.10000000000000002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9.9999999999999964E-2</v>
      </c>
      <c r="D57" s="196">
        <f>D55-D56</f>
        <v>5.5000000000000007E-2</v>
      </c>
      <c r="E57" s="199">
        <f>E55-E56</f>
        <v>2.4999999999999967E-2</v>
      </c>
      <c r="F57" s="196">
        <f>F55-F56</f>
        <v>-5.0000000000001571E-3</v>
      </c>
      <c r="G57" s="196">
        <f>G55-G56</f>
        <v>-4.9999999999999975E-2</v>
      </c>
      <c r="H57" s="8"/>
      <c r="I57" s="58"/>
    </row>
    <row r="58" spans="1:9" ht="16.5" thickBot="1">
      <c r="A58" s="57"/>
      <c r="B58" s="44" t="s">
        <v>39</v>
      </c>
      <c r="C58" s="200">
        <f>G58</f>
        <v>99.9</v>
      </c>
      <c r="D58" s="200">
        <f>G58</f>
        <v>99.9</v>
      </c>
      <c r="E58" s="201">
        <f>G58</f>
        <v>99.9</v>
      </c>
      <c r="F58" s="202">
        <f>G58</f>
        <v>99.9</v>
      </c>
      <c r="G58" s="203">
        <v>99.9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99.9</v>
      </c>
      <c r="D59" s="187">
        <f>D58+(D63*D58)</f>
        <v>104.3955</v>
      </c>
      <c r="E59" s="188">
        <f>E58+(E63*E58)</f>
        <v>107.39250000000001</v>
      </c>
      <c r="F59" s="187">
        <f>F58+(F63*F58)</f>
        <v>110.3895</v>
      </c>
      <c r="G59" s="187">
        <f>G58+(G63*G58)</f>
        <v>114.88500000000001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33.254022723116599</v>
      </c>
      <c r="D60" s="206">
        <f>-((D58*D40)+($C$35-D58))</f>
        <v>24.787497723116598</v>
      </c>
      <c r="E60" s="207">
        <f>-((E58*E40)+($C$35-E58))</f>
        <v>19.143147723116599</v>
      </c>
      <c r="F60" s="206">
        <f>-((F58*F40)+($C$35-F58))</f>
        <v>13.498797723116599</v>
      </c>
      <c r="G60" s="206">
        <f>-((G58*G40)+($C$35-G58))</f>
        <v>5.0322727231165914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0.33287310033149747</v>
      </c>
      <c r="D61" s="209">
        <f>D60/D58</f>
        <v>0.24812310033149745</v>
      </c>
      <c r="E61" s="210">
        <f>E60/E58</f>
        <v>0.19162310033149746</v>
      </c>
      <c r="F61" s="209">
        <f>F60/F58</f>
        <v>0.13512310033149749</v>
      </c>
      <c r="G61" s="209">
        <f>G60/G58</f>
        <v>5.037310033149741E-2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1.9980000000000002</v>
      </c>
      <c r="D62" s="212">
        <f t="shared" ref="D62:F62" si="1">D58/$D$4</f>
        <v>1.9980000000000002</v>
      </c>
      <c r="E62" s="212">
        <f t="shared" si="1"/>
        <v>1.9980000000000002</v>
      </c>
      <c r="F62" s="212">
        <f t="shared" si="1"/>
        <v>1.9980000000000002</v>
      </c>
      <c r="G62" s="212">
        <f>G58/$D$4</f>
        <v>1.9980000000000002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0.33287310033149747</v>
      </c>
      <c r="D64" s="219">
        <f>D61-D63</f>
        <v>0.20312310033149744</v>
      </c>
      <c r="E64" s="220">
        <f>E61-E63</f>
        <v>0.11662310033149746</v>
      </c>
      <c r="F64" s="219">
        <f>F61-F63</f>
        <v>3.0123100331497496E-2</v>
      </c>
      <c r="G64" s="219">
        <f>G61-G63</f>
        <v>-9.9626899668502578E-2</v>
      </c>
      <c r="H64" s="221">
        <v>99.9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19:C20"/>
    <mergeCell ref="D19:E20"/>
    <mergeCell ref="C1:H1"/>
    <mergeCell ref="C2:H2"/>
    <mergeCell ref="B6:I6"/>
    <mergeCell ref="B7:D7"/>
    <mergeCell ref="B11:D11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37:G37"/>
    <mergeCell ref="C32:D32"/>
    <mergeCell ref="H32:I32"/>
    <mergeCell ref="C34:D34"/>
    <mergeCell ref="E34:F34"/>
    <mergeCell ref="C35:D35"/>
    <mergeCell ref="E35:F35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14" sqref="A14:I14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87</v>
      </c>
      <c r="D2" s="291"/>
      <c r="E2" s="291"/>
      <c r="F2" s="291"/>
      <c r="G2" s="291"/>
      <c r="H2" s="291"/>
      <c r="I2" s="56">
        <v>1197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5" t="s">
        <v>44</v>
      </c>
      <c r="C7" s="296"/>
      <c r="D7" s="297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66">
        <v>944</v>
      </c>
      <c r="B8" s="67" t="str">
        <f>IF(A8&lt;&gt;0,VLOOKUP(A8,'[1]Matéria Prima Plásticos'!$A$2:$B$61,2),"")</f>
        <v>PEAD SOPRO BRANCO LEITOSO</v>
      </c>
      <c r="C8" s="48"/>
      <c r="D8" s="49"/>
      <c r="E8" s="224">
        <f>0.145*(100000/125000)</f>
        <v>0.11599999999999999</v>
      </c>
      <c r="F8" s="68">
        <f>IF(A8&lt;&gt;0,VLOOKUP(A8,'[1]Matéria Prima Plásticos'!$A$2:$P$61,16),"")</f>
        <v>4.3499999999999996</v>
      </c>
      <c r="G8" s="69">
        <v>6.4999999999999997E-3</v>
      </c>
      <c r="H8" s="70">
        <f>E8*G8</f>
        <v>7.539999999999999E-4</v>
      </c>
      <c r="I8" s="71">
        <f>(F8+H8)*E8</f>
        <v>0.50468746399999986</v>
      </c>
    </row>
    <row r="9" spans="1:11" ht="15.75" thickBot="1">
      <c r="A9" s="52">
        <v>6541</v>
      </c>
      <c r="B9" s="72" t="str">
        <f>IF(A9&lt;&gt;0,VLOOKUP(A9,'[1]Matéria Prima Plásticos'!$A$2:$B$61,2),"")</f>
        <v>PEAD SOPRO VIRGEM HS5403 - BRASKEM</v>
      </c>
      <c r="C9" s="73"/>
      <c r="D9" s="74"/>
      <c r="E9" s="225">
        <f>0.145*(25000/125000)</f>
        <v>2.8999999999999998E-2</v>
      </c>
      <c r="F9" s="68">
        <f>IF(A9&lt;&gt;0,VLOOKUP(A9,'[1]Matéria Prima Plásticos'!$A$2:$P$61,16),"")</f>
        <v>5.0686277952845522</v>
      </c>
      <c r="G9" s="69">
        <v>6.4999999999999997E-3</v>
      </c>
      <c r="H9" s="70">
        <f>E9*G9</f>
        <v>1.8849999999999997E-4</v>
      </c>
      <c r="I9" s="71">
        <f>(F9+H9)*E9</f>
        <v>0.14699567256325199</v>
      </c>
    </row>
    <row r="10" spans="1:11" ht="15.75" thickBot="1">
      <c r="A10" s="75"/>
      <c r="B10" s="76" t="s">
        <v>9</v>
      </c>
      <c r="C10" s="77"/>
      <c r="D10" s="77"/>
      <c r="E10" s="78">
        <f>SUM(E8:E9)</f>
        <v>0.14499999999999999</v>
      </c>
      <c r="F10" s="79"/>
      <c r="G10" s="79"/>
      <c r="H10" s="79"/>
      <c r="I10" s="80">
        <f>I8+I9</f>
        <v>0.65168313656325183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 xml:space="preserve">GALAO 05 LT BCO. LEITOSO RECICLADO FD 50 </v>
      </c>
      <c r="C12" s="27"/>
      <c r="D12" s="58"/>
      <c r="E12" s="84">
        <f>D4</f>
        <v>50</v>
      </c>
      <c r="F12" s="85">
        <f>I10</f>
        <v>0.65168313656325183</v>
      </c>
      <c r="G12" s="86">
        <v>0</v>
      </c>
      <c r="H12" s="87">
        <v>0</v>
      </c>
      <c r="I12" s="88">
        <f>E12*F12</f>
        <v>32.584156828162591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29.231683037577852</v>
      </c>
      <c r="G15" s="104">
        <f>SUM(G8:G14)</f>
        <v>4.2999999999999997E-2</v>
      </c>
      <c r="H15" s="103">
        <f>SUM(H8:H9)+SUM(H12:H14)</f>
        <v>0.52674249901014591</v>
      </c>
      <c r="I15" s="105">
        <f>SUM(I12:I14)</f>
        <v>33.432088810048263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0.01</v>
      </c>
      <c r="D17" s="107">
        <f>I15*C17</f>
        <v>0.33432088810048266</v>
      </c>
      <c r="E17" s="13" t="s">
        <v>11</v>
      </c>
      <c r="F17" s="14"/>
      <c r="G17" s="108"/>
      <c r="H17" s="108"/>
      <c r="I17" s="223">
        <f>I15+D17</f>
        <v>33.766409698148749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03'!G6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03'!L6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0.82415285238876468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11.4</v>
      </c>
      <c r="G32" s="149">
        <f>H32*G58</f>
        <v>4.7500000000000001E-2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53.837395489424388</v>
      </c>
      <c r="D35" s="262"/>
      <c r="E35" s="264">
        <f>C35/D4</f>
        <v>1.0767479097884878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0"/>
      <c r="I38" s="151"/>
    </row>
    <row r="39" spans="1:14" ht="15.75" thickBot="1">
      <c r="A39" s="57"/>
      <c r="B39" s="159" t="s">
        <v>25</v>
      </c>
      <c r="C39" s="160">
        <f>C52*C40</f>
        <v>5.8345945850607714</v>
      </c>
      <c r="D39" s="160">
        <f>D52*D40</f>
        <v>12.788463486831301</v>
      </c>
      <c r="E39" s="161">
        <f>E52*E40</f>
        <v>18.400630512039573</v>
      </c>
      <c r="F39" s="160">
        <f>F52*F40</f>
        <v>25.045235264310975</v>
      </c>
      <c r="G39" s="162">
        <f>G52*G40</f>
        <v>37.670925455772874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8.8000000000000009E-2</v>
      </c>
      <c r="D40" s="163">
        <f>SUM(D41:D48)</f>
        <v>0.17275000000000001</v>
      </c>
      <c r="E40" s="164">
        <f>SUM(E41:E48)</f>
        <v>0.22925000000000004</v>
      </c>
      <c r="F40" s="163">
        <f>SUM(F41:F48)</f>
        <v>0.28575</v>
      </c>
      <c r="G40" s="165">
        <f>SUM(G41:G48)</f>
        <v>0.37050000000000005</v>
      </c>
      <c r="H40" s="23"/>
      <c r="I40" s="151"/>
    </row>
    <row r="41" spans="1:14" ht="15.75" thickBot="1">
      <c r="A41" s="57"/>
      <c r="B41" s="166" t="s">
        <v>27</v>
      </c>
      <c r="C41" s="167">
        <f>G41</f>
        <v>0.02</v>
      </c>
      <c r="D41" s="167">
        <f>G41</f>
        <v>0.02</v>
      </c>
      <c r="E41" s="168">
        <f>G41</f>
        <v>0.02</v>
      </c>
      <c r="F41" s="167">
        <f>G41</f>
        <v>0.02</v>
      </c>
      <c r="G41" s="169">
        <v>0.02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6.0000000000000001E-3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1.2E-2</v>
      </c>
      <c r="D48" s="177">
        <f>G48</f>
        <v>1.2E-2</v>
      </c>
      <c r="E48" s="178">
        <f>G48</f>
        <v>1.2E-2</v>
      </c>
      <c r="F48" s="177">
        <v>1.2E-2</v>
      </c>
      <c r="G48" s="172">
        <v>1.2E-2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59.671990074485159</v>
      </c>
      <c r="D50" s="42">
        <f>$C$35+D39</f>
        <v>66.625858976255685</v>
      </c>
      <c r="E50" s="180">
        <f>$C$35+E39</f>
        <v>72.238026001463965</v>
      </c>
      <c r="F50" s="42">
        <f>$C$35+F39</f>
        <v>78.882630753735356</v>
      </c>
      <c r="G50" s="42">
        <f>$C$35+G39</f>
        <v>91.508320945197255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66.302211193872395</v>
      </c>
      <c r="D52" s="184">
        <f>$C$35/(1-D40-D51)</f>
        <v>74.028732195839652</v>
      </c>
      <c r="E52" s="185">
        <f>$C$35/(1-E40-E51)</f>
        <v>80.264473334959959</v>
      </c>
      <c r="F52" s="184">
        <f>$C$35/(1-F40-F51)</f>
        <v>87.647367504150395</v>
      </c>
      <c r="G52" s="184">
        <f>$C$35/(1-G40-G51)</f>
        <v>101.67591216133029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66.302211193872395</v>
      </c>
      <c r="D53" s="187">
        <f>D52+(D56*D52)</f>
        <v>77.36002514465244</v>
      </c>
      <c r="E53" s="188">
        <f>E52+(E56*E52)</f>
        <v>86.284308835081958</v>
      </c>
      <c r="F53" s="187">
        <f>F52+(F56*F52)</f>
        <v>96.850341092086182</v>
      </c>
      <c r="G53" s="187">
        <f>G52+(G56*G52)</f>
        <v>116.92729898552983</v>
      </c>
      <c r="H53" s="8"/>
      <c r="I53" s="58"/>
    </row>
    <row r="54" spans="1:9" ht="15.75" thickBot="1">
      <c r="A54" s="57"/>
      <c r="B54" s="189" t="s">
        <v>38</v>
      </c>
      <c r="C54" s="190">
        <f>C52-C50</f>
        <v>6.6302211193872367</v>
      </c>
      <c r="D54" s="190">
        <f>D52-D50</f>
        <v>7.4028732195839666</v>
      </c>
      <c r="E54" s="191">
        <f>E52-E50</f>
        <v>8.0264473334959945</v>
      </c>
      <c r="F54" s="190">
        <f>F52-F50</f>
        <v>8.7647367504150395</v>
      </c>
      <c r="G54" s="190">
        <f>G52-G50</f>
        <v>10.167591216133033</v>
      </c>
      <c r="H54" s="8"/>
      <c r="I54" s="58"/>
    </row>
    <row r="55" spans="1:9" ht="15.75" thickBot="1">
      <c r="A55" s="57"/>
      <c r="B55" s="192" t="s">
        <v>66</v>
      </c>
      <c r="C55" s="193">
        <f>C54/C52</f>
        <v>9.9999999999999964E-2</v>
      </c>
      <c r="D55" s="193">
        <f>D54/D52</f>
        <v>0.10000000000000002</v>
      </c>
      <c r="E55" s="194">
        <f>E54/E52</f>
        <v>9.9999999999999978E-2</v>
      </c>
      <c r="F55" s="193">
        <f>F54/F52</f>
        <v>0.1</v>
      </c>
      <c r="G55" s="193">
        <f>G54/G52</f>
        <v>0.10000000000000005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9.9999999999999964E-2</v>
      </c>
      <c r="D57" s="196">
        <f>D55-D56</f>
        <v>5.5000000000000021E-2</v>
      </c>
      <c r="E57" s="199">
        <f>E55-E56</f>
        <v>2.4999999999999981E-2</v>
      </c>
      <c r="F57" s="196">
        <f>F55-F56</f>
        <v>-4.9999999999999906E-3</v>
      </c>
      <c r="G57" s="196">
        <f>G55-G56</f>
        <v>-4.9999999999999947E-2</v>
      </c>
      <c r="H57" s="8"/>
      <c r="I57" s="58"/>
    </row>
    <row r="58" spans="1:9" ht="16.5" thickBot="1">
      <c r="A58" s="57"/>
      <c r="B58" s="44" t="s">
        <v>39</v>
      </c>
      <c r="C58" s="200">
        <f>G58</f>
        <v>95</v>
      </c>
      <c r="D58" s="200">
        <f>G58</f>
        <v>95</v>
      </c>
      <c r="E58" s="201">
        <f>G58</f>
        <v>95</v>
      </c>
      <c r="F58" s="202">
        <f>G58</f>
        <v>95</v>
      </c>
      <c r="G58" s="203">
        <v>95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95</v>
      </c>
      <c r="D59" s="187">
        <f>D58+(D63*D58)</f>
        <v>99.275000000000006</v>
      </c>
      <c r="E59" s="188">
        <f>E58+(E63*E58)</f>
        <v>102.125</v>
      </c>
      <c r="F59" s="187">
        <f>F58+(F63*F58)</f>
        <v>104.97499999999999</v>
      </c>
      <c r="G59" s="187">
        <f>G58+(G63*G58)</f>
        <v>109.25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32.802604510575613</v>
      </c>
      <c r="D60" s="206">
        <f>-((D58*D40)+($C$35-D58))</f>
        <v>24.751354510575609</v>
      </c>
      <c r="E60" s="207">
        <f>-((E58*E40)+($C$35-E58))</f>
        <v>19.38385451057561</v>
      </c>
      <c r="F60" s="206">
        <f>-((F58*F40)+($C$35-F58))</f>
        <v>14.01635451057561</v>
      </c>
      <c r="G60" s="206">
        <f>-((G58*G40)+($C$35-G58))</f>
        <v>5.9651045105756069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0.34529057379553274</v>
      </c>
      <c r="D61" s="209">
        <f>D60/D58</f>
        <v>0.26054057379553275</v>
      </c>
      <c r="E61" s="210">
        <f>E60/E58</f>
        <v>0.20404057379553273</v>
      </c>
      <c r="F61" s="209">
        <f>F60/F58</f>
        <v>0.14754057379553273</v>
      </c>
      <c r="G61" s="209">
        <f>G60/G58</f>
        <v>6.2790573795532698E-2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1.9</v>
      </c>
      <c r="D62" s="212">
        <f t="shared" ref="D62:F62" si="1">D58/$D$4</f>
        <v>1.9</v>
      </c>
      <c r="E62" s="212">
        <f t="shared" si="1"/>
        <v>1.9</v>
      </c>
      <c r="F62" s="212">
        <f t="shared" si="1"/>
        <v>1.9</v>
      </c>
      <c r="G62" s="212">
        <f>G58/$D$4</f>
        <v>1.9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0.34529057379553274</v>
      </c>
      <c r="D64" s="219">
        <f>D61-D63</f>
        <v>0.21554057379553276</v>
      </c>
      <c r="E64" s="220">
        <f>E61-E63</f>
        <v>0.12904057379553274</v>
      </c>
      <c r="F64" s="219">
        <f>F61-F63</f>
        <v>4.2540573795532735E-2</v>
      </c>
      <c r="G64" s="219">
        <f>G61-G63</f>
        <v>-8.7209426204467297E-2</v>
      </c>
      <c r="H64" s="221">
        <v>85.17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19:C20"/>
    <mergeCell ref="D19:E20"/>
    <mergeCell ref="C1:H1"/>
    <mergeCell ref="C2:H2"/>
    <mergeCell ref="B6:I6"/>
    <mergeCell ref="B7:D7"/>
    <mergeCell ref="B11:D11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37:G37"/>
    <mergeCell ref="C32:D32"/>
    <mergeCell ref="H32:I32"/>
    <mergeCell ref="C34:D34"/>
    <mergeCell ref="E34:F34"/>
    <mergeCell ref="C35:D35"/>
    <mergeCell ref="E35:F35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14" sqref="A14:I14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105</v>
      </c>
      <c r="D2" s="291"/>
      <c r="E2" s="291"/>
      <c r="F2" s="291"/>
      <c r="G2" s="291"/>
      <c r="H2" s="291"/>
      <c r="I2" s="56"/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5" t="s">
        <v>44</v>
      </c>
      <c r="C7" s="296"/>
      <c r="D7" s="297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66">
        <v>945</v>
      </c>
      <c r="B8" s="67" t="str">
        <f>IF(A8&lt;&gt;0,VLOOKUP(A8,'[1]Matéria Prima Plásticos'!$A$2:$B$61,2),"")</f>
        <v>PEAD SOPRO CANELA</v>
      </c>
      <c r="C8" s="48"/>
      <c r="D8" s="49"/>
      <c r="E8" s="224">
        <v>0.14000000000000001</v>
      </c>
      <c r="F8" s="68">
        <f>IF(A8&lt;&gt;0,VLOOKUP(A8,'[1]Matéria Prima Plásticos'!$A$2:$P$61,16),"")</f>
        <v>4.45</v>
      </c>
      <c r="G8" s="69">
        <v>6.4999999999999997E-3</v>
      </c>
      <c r="H8" s="70">
        <f>E8*G8</f>
        <v>9.1E-4</v>
      </c>
      <c r="I8" s="71">
        <f>(F8+H8)*E8</f>
        <v>0.62312740000000011</v>
      </c>
    </row>
    <row r="9" spans="1:11" ht="15.75" thickBot="1">
      <c r="A9" s="52"/>
      <c r="B9" s="72"/>
      <c r="C9" s="73"/>
      <c r="D9" s="74"/>
      <c r="E9" s="225"/>
      <c r="F9" s="68"/>
      <c r="G9" s="69"/>
      <c r="H9" s="70"/>
      <c r="I9" s="71"/>
    </row>
    <row r="10" spans="1:11" ht="15.75" thickBot="1">
      <c r="A10" s="75"/>
      <c r="B10" s="76" t="s">
        <v>9</v>
      </c>
      <c r="C10" s="77"/>
      <c r="D10" s="77"/>
      <c r="E10" s="78">
        <f>SUM(E8:E9)</f>
        <v>0.14000000000000001</v>
      </c>
      <c r="F10" s="79"/>
      <c r="G10" s="79"/>
      <c r="H10" s="79"/>
      <c r="I10" s="80">
        <f>I8+I9</f>
        <v>0.62312740000000011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>GALAO 05 LT CANELA FD 50 (LARILIMP)</v>
      </c>
      <c r="C12" s="27"/>
      <c r="D12" s="58"/>
      <c r="E12" s="84">
        <f>D4</f>
        <v>50</v>
      </c>
      <c r="F12" s="85">
        <f>I10</f>
        <v>0.62312740000000011</v>
      </c>
      <c r="G12" s="86">
        <v>0</v>
      </c>
      <c r="H12" s="87">
        <v>0</v>
      </c>
      <c r="I12" s="88">
        <f>E12*F12</f>
        <v>31.156370000000006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29.2031273010146</v>
      </c>
      <c r="G15" s="104">
        <f>SUM(G8:G14)</f>
        <v>3.6500000000000005E-2</v>
      </c>
      <c r="H15" s="103">
        <f>SUM(H8:H9)+SUM(H12:H14)</f>
        <v>0.52670999901014592</v>
      </c>
      <c r="I15" s="105">
        <f>SUM(I12:I14)</f>
        <v>32.004301981885675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0.01</v>
      </c>
      <c r="D17" s="107">
        <f>I15*C17</f>
        <v>0.32004301981885674</v>
      </c>
      <c r="E17" s="13" t="s">
        <v>11</v>
      </c>
      <c r="F17" s="14"/>
      <c r="G17" s="108"/>
      <c r="H17" s="108"/>
      <c r="I17" s="223">
        <f>I15+D17</f>
        <v>32.324345001704529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03'!G6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03'!L6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0.79559711582551296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8.16</v>
      </c>
      <c r="G32" s="149">
        <f>H32*G58</f>
        <v>3.4000000000000002E-2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49.141830792980166</v>
      </c>
      <c r="D35" s="262"/>
      <c r="E35" s="264">
        <f>C35/D4</f>
        <v>0.98283661585960336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1"/>
      <c r="I38" s="151"/>
    </row>
    <row r="39" spans="1:14" ht="15.75" thickBot="1">
      <c r="A39" s="57"/>
      <c r="B39" s="159" t="s">
        <v>25</v>
      </c>
      <c r="C39" s="160">
        <f>C52*C40</f>
        <v>5.3257156524412004</v>
      </c>
      <c r="D39" s="160">
        <f>D52*D40</f>
        <v>11.673085279460054</v>
      </c>
      <c r="E39" s="161">
        <f>E52*E40</f>
        <v>16.7957729545892</v>
      </c>
      <c r="F39" s="160">
        <f>F52*F40</f>
        <v>22.860851687576854</v>
      </c>
      <c r="G39" s="162">
        <f>G52*G40</f>
        <v>34.3853603565612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8.8000000000000009E-2</v>
      </c>
      <c r="D40" s="163">
        <f>SUM(D41:D48)</f>
        <v>0.17275000000000001</v>
      </c>
      <c r="E40" s="164">
        <f>SUM(E41:E48)</f>
        <v>0.22925000000000004</v>
      </c>
      <c r="F40" s="163">
        <f>SUM(F41:F48)</f>
        <v>0.28575</v>
      </c>
      <c r="G40" s="165">
        <f>SUM(G41:G48)</f>
        <v>0.37050000000000005</v>
      </c>
      <c r="H40" s="23"/>
      <c r="I40" s="151"/>
    </row>
    <row r="41" spans="1:14" ht="15.75" thickBot="1">
      <c r="A41" s="57"/>
      <c r="B41" s="166" t="s">
        <v>27</v>
      </c>
      <c r="C41" s="167">
        <f>G41</f>
        <v>0.02</v>
      </c>
      <c r="D41" s="167">
        <f>G41</f>
        <v>0.02</v>
      </c>
      <c r="E41" s="168">
        <f>G41</f>
        <v>0.02</v>
      </c>
      <c r="F41" s="167">
        <f>G41</f>
        <v>0.02</v>
      </c>
      <c r="G41" s="169">
        <v>0.02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6.0000000000000001E-3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1.2E-2</v>
      </c>
      <c r="D48" s="177">
        <f>G48</f>
        <v>1.2E-2</v>
      </c>
      <c r="E48" s="178">
        <f>G48</f>
        <v>1.2E-2</v>
      </c>
      <c r="F48" s="177">
        <v>1.2E-2</v>
      </c>
      <c r="G48" s="172">
        <v>1.2E-2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54.467546445421362</v>
      </c>
      <c r="D50" s="42">
        <f>$C$35+D39</f>
        <v>60.814916072440219</v>
      </c>
      <c r="E50" s="180">
        <f>$C$35+E39</f>
        <v>65.937603747569369</v>
      </c>
      <c r="F50" s="42">
        <f>$C$35+F39</f>
        <v>72.002682480557013</v>
      </c>
      <c r="G50" s="42">
        <f>$C$35+G39</f>
        <v>83.527191149541366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60.519496050468177</v>
      </c>
      <c r="D52" s="184">
        <f>$C$35/(1-D40-D51)</f>
        <v>67.572128969378014</v>
      </c>
      <c r="E52" s="185">
        <f>$C$35/(1-E40-E51)</f>
        <v>73.264004163965964</v>
      </c>
      <c r="F52" s="184">
        <f>$C$35/(1-F40-F51)</f>
        <v>80.00298053395224</v>
      </c>
      <c r="G52" s="184">
        <f>$C$35/(1-G40-G51)</f>
        <v>92.807990166157069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60.519496050468177</v>
      </c>
      <c r="D53" s="187">
        <f>D52+(D56*D52)</f>
        <v>70.61287477300003</v>
      </c>
      <c r="E53" s="188">
        <f>E52+(E56*E52)</f>
        <v>78.758804476263407</v>
      </c>
      <c r="F53" s="187">
        <f>F52+(F56*F52)</f>
        <v>88.403293490017219</v>
      </c>
      <c r="G53" s="187">
        <f>G52+(G56*G52)</f>
        <v>106.72918869108062</v>
      </c>
      <c r="H53" s="8"/>
      <c r="I53" s="58"/>
    </row>
    <row r="54" spans="1:9" ht="15.75" thickBot="1">
      <c r="A54" s="57"/>
      <c r="B54" s="189" t="s">
        <v>38</v>
      </c>
      <c r="C54" s="190">
        <f>C52-C50</f>
        <v>6.0519496050468149</v>
      </c>
      <c r="D54" s="190">
        <f>D52-D50</f>
        <v>6.7572128969377943</v>
      </c>
      <c r="E54" s="191">
        <f>E52-E50</f>
        <v>7.326400416396595</v>
      </c>
      <c r="F54" s="190">
        <f>F52-F50</f>
        <v>8.0002980533952268</v>
      </c>
      <c r="G54" s="190">
        <f>G52-G50</f>
        <v>9.2807990166157026</v>
      </c>
      <c r="H54" s="8"/>
      <c r="I54" s="58"/>
    </row>
    <row r="55" spans="1:9" ht="15.75" thickBot="1">
      <c r="A55" s="57"/>
      <c r="B55" s="192" t="s">
        <v>66</v>
      </c>
      <c r="C55" s="193">
        <f>C54/C52</f>
        <v>9.999999999999995E-2</v>
      </c>
      <c r="D55" s="193">
        <f>D54/D52</f>
        <v>9.9999999999999895E-2</v>
      </c>
      <c r="E55" s="194">
        <f>E54/E52</f>
        <v>9.9999999999999978E-2</v>
      </c>
      <c r="F55" s="193">
        <f>F54/F52</f>
        <v>0.10000000000000003</v>
      </c>
      <c r="G55" s="193">
        <f>G54/G52</f>
        <v>9.999999999999995E-2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9.999999999999995E-2</v>
      </c>
      <c r="D57" s="196">
        <f>D55-D56</f>
        <v>5.4999999999999896E-2</v>
      </c>
      <c r="E57" s="199">
        <f>E55-E56</f>
        <v>2.4999999999999981E-2</v>
      </c>
      <c r="F57" s="196">
        <f>F55-F56</f>
        <v>-4.9999999999999628E-3</v>
      </c>
      <c r="G57" s="196">
        <f>G55-G56</f>
        <v>-5.0000000000000044E-2</v>
      </c>
      <c r="H57" s="8"/>
      <c r="I57" s="58"/>
    </row>
    <row r="58" spans="1:9" ht="16.5" thickBot="1">
      <c r="A58" s="57"/>
      <c r="B58" s="44" t="s">
        <v>39</v>
      </c>
      <c r="C58" s="200">
        <f>G58</f>
        <v>68</v>
      </c>
      <c r="D58" s="200">
        <f>G58</f>
        <v>68</v>
      </c>
      <c r="E58" s="201">
        <f>G58</f>
        <v>68</v>
      </c>
      <c r="F58" s="202">
        <f>G58</f>
        <v>68</v>
      </c>
      <c r="G58" s="203">
        <v>68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68</v>
      </c>
      <c r="D59" s="187">
        <f>D58+(D63*D58)</f>
        <v>71.06</v>
      </c>
      <c r="E59" s="188">
        <f>E58+(E63*E58)</f>
        <v>73.099999999999994</v>
      </c>
      <c r="F59" s="187">
        <f>F58+(F63*F58)</f>
        <v>75.14</v>
      </c>
      <c r="G59" s="187">
        <f>G58+(G63*G58)</f>
        <v>78.2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12.874169207019833</v>
      </c>
      <c r="D60" s="206">
        <f>-((D58*D40)+($C$35-D58))</f>
        <v>7.1111692070198327</v>
      </c>
      <c r="E60" s="207">
        <f>-((E58*E40)+($C$35-E58))</f>
        <v>3.2691692070198322</v>
      </c>
      <c r="F60" s="206">
        <f>-((F58*F40)+($C$35-F58))</f>
        <v>-0.57283079298016659</v>
      </c>
      <c r="G60" s="206">
        <f>-((G58*G40)+($C$35-G58))</f>
        <v>-6.3358307929801683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0.18932601775029165</v>
      </c>
      <c r="D61" s="209">
        <f>D60/D58</f>
        <v>0.10457601775029166</v>
      </c>
      <c r="E61" s="210">
        <f>E60/E58</f>
        <v>4.8076017750291647E-2</v>
      </c>
      <c r="F61" s="209">
        <f>F60/F58</f>
        <v>-8.4239822497083321E-3</v>
      </c>
      <c r="G61" s="209">
        <f>G60/G58</f>
        <v>-9.3173982249708354E-2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1.36</v>
      </c>
      <c r="D62" s="212">
        <f t="shared" ref="D62:F62" si="1">D58/$D$4</f>
        <v>1.36</v>
      </c>
      <c r="E62" s="212">
        <f t="shared" si="1"/>
        <v>1.36</v>
      </c>
      <c r="F62" s="212">
        <f t="shared" si="1"/>
        <v>1.36</v>
      </c>
      <c r="G62" s="212">
        <f>G58/$D$4</f>
        <v>1.36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0.18932601775029165</v>
      </c>
      <c r="D64" s="219">
        <f>D61-D63</f>
        <v>5.9576017750291657E-2</v>
      </c>
      <c r="E64" s="220">
        <f>E61-E63</f>
        <v>-2.692398224970835E-2</v>
      </c>
      <c r="F64" s="219">
        <f>F61-F63</f>
        <v>-0.11342398224970833</v>
      </c>
      <c r="G64" s="219">
        <f>G61-G63</f>
        <v>-0.24317398224970835</v>
      </c>
      <c r="H64" s="221">
        <v>85.17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37:G37"/>
    <mergeCell ref="C32:D32"/>
    <mergeCell ref="H32:I32"/>
    <mergeCell ref="C34:D34"/>
    <mergeCell ref="E34:F34"/>
    <mergeCell ref="C35:D35"/>
    <mergeCell ref="E35:F35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19:C20"/>
    <mergeCell ref="D19:E20"/>
    <mergeCell ref="C1:H1"/>
    <mergeCell ref="C2:H2"/>
    <mergeCell ref="B6:I6"/>
    <mergeCell ref="B7:D7"/>
    <mergeCell ref="B11:D11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14" sqref="A14:I14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102</v>
      </c>
      <c r="D2" s="291"/>
      <c r="E2" s="291"/>
      <c r="F2" s="291"/>
      <c r="G2" s="291"/>
      <c r="H2" s="291"/>
      <c r="I2" s="56">
        <v>1206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5" t="s">
        <v>44</v>
      </c>
      <c r="C7" s="296"/>
      <c r="D7" s="297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66">
        <v>947</v>
      </c>
      <c r="B8" s="67" t="str">
        <f>IF(A8&lt;&gt;0,VLOOKUP(A8,'[1]Matéria Prima Plásticos'!$A$2:$B$61,2),"")</f>
        <v>PEAD SOPRO VERDE</v>
      </c>
      <c r="C8" s="48"/>
      <c r="D8" s="49"/>
      <c r="E8" s="250">
        <f>0.155*(750000/850000)</f>
        <v>0.13676470588235293</v>
      </c>
      <c r="F8" s="68">
        <f>IF(A8&lt;&gt;0,VLOOKUP(A8,'[1]Matéria Prima Plásticos'!$A$2:$P$61,16),"")</f>
        <v>3.6101990049751245</v>
      </c>
      <c r="G8" s="69">
        <v>6.4999999999999997E-3</v>
      </c>
      <c r="H8" s="70">
        <f>E8*G8</f>
        <v>8.8897058823529402E-4</v>
      </c>
      <c r="I8" s="71">
        <f>(F8+H8)*E8</f>
        <v>0.49386938489322418</v>
      </c>
    </row>
    <row r="9" spans="1:11" ht="15.75" thickBot="1">
      <c r="A9" s="52">
        <v>945</v>
      </c>
      <c r="B9" s="72" t="str">
        <f>IF(A9&lt;&gt;0,VLOOKUP(A9,'[1]Matéria Prima Plásticos'!$A$2:$B$61,2),"")</f>
        <v>PEAD SOPRO CANELA</v>
      </c>
      <c r="C9" s="73"/>
      <c r="D9" s="74"/>
      <c r="E9" s="251">
        <f>0.155*(100000/850000)</f>
        <v>1.8235294117647058E-2</v>
      </c>
      <c r="F9" s="68">
        <f>IF(A9&lt;&gt;0,VLOOKUP(A9,'[1]Matéria Prima Plásticos'!$A$2:$P$61,16),"")</f>
        <v>4.45</v>
      </c>
      <c r="G9" s="69">
        <v>6.4999999999999997E-3</v>
      </c>
      <c r="H9" s="70">
        <f>E9*G9</f>
        <v>1.1852941176470587E-4</v>
      </c>
      <c r="I9" s="71">
        <f>(F9+H9)*E9</f>
        <v>8.1149220242214534E-2</v>
      </c>
    </row>
    <row r="10" spans="1:11" ht="15.75" thickBot="1">
      <c r="A10" s="75"/>
      <c r="B10" s="76" t="s">
        <v>9</v>
      </c>
      <c r="C10" s="77"/>
      <c r="D10" s="77"/>
      <c r="E10" s="78">
        <f>SUM(E8:E9)</f>
        <v>0.15499999999999997</v>
      </c>
      <c r="F10" s="79"/>
      <c r="G10" s="79"/>
      <c r="H10" s="79"/>
      <c r="I10" s="80">
        <f>I8+I9</f>
        <v>0.57501860513543868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>GALAO 05 LT VERDE REC. FARDO 50 PC</v>
      </c>
      <c r="C12" s="27"/>
      <c r="D12" s="58"/>
      <c r="E12" s="84">
        <f>D4</f>
        <v>50</v>
      </c>
      <c r="F12" s="85">
        <f>I10</f>
        <v>0.57501860513543868</v>
      </c>
      <c r="G12" s="86">
        <v>0</v>
      </c>
      <c r="H12" s="87">
        <v>0</v>
      </c>
      <c r="I12" s="88">
        <f>E12*F12</f>
        <v>28.750930256771934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29.155018506150039</v>
      </c>
      <c r="G15" s="104">
        <f>SUM(G8:G14)</f>
        <v>4.2999999999999997E-2</v>
      </c>
      <c r="H15" s="103">
        <f>SUM(H8:H9)+SUM(H12:H14)</f>
        <v>0.52680749901014601</v>
      </c>
      <c r="I15" s="105">
        <f>SUM(I12:I14)</f>
        <v>29.598862238657606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0.01</v>
      </c>
      <c r="D17" s="107">
        <f>I15*C17</f>
        <v>0.29598862238657608</v>
      </c>
      <c r="E17" s="13" t="s">
        <v>11</v>
      </c>
      <c r="F17" s="14"/>
      <c r="G17" s="108"/>
      <c r="H17" s="108"/>
      <c r="I17" s="223">
        <f>I15+D17</f>
        <v>29.894850861044183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03'!G12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03'!L12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0.74748832096095152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9.1140000000000008</v>
      </c>
      <c r="G32" s="149">
        <f>H32*G58</f>
        <v>3.7975000000000002E-2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47.670311652319825</v>
      </c>
      <c r="D35" s="262"/>
      <c r="E35" s="264">
        <f>C35/D4</f>
        <v>0.95340623304639649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1"/>
      <c r="I38" s="151"/>
    </row>
    <row r="39" spans="1:14" ht="15.75" thickBot="1">
      <c r="A39" s="57"/>
      <c r="B39" s="159" t="s">
        <v>25</v>
      </c>
      <c r="C39" s="160">
        <f>C52*C40</f>
        <v>5.1662406716799811</v>
      </c>
      <c r="D39" s="160">
        <f>D52*D40</f>
        <v>11.323542575370574</v>
      </c>
      <c r="E39" s="161">
        <f>E52*E40</f>
        <v>16.292834806253182</v>
      </c>
      <c r="F39" s="160">
        <f>F52*F40</f>
        <v>22.176298827269662</v>
      </c>
      <c r="G39" s="162">
        <f>G52*G40</f>
        <v>33.355713819045327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8.8000000000000009E-2</v>
      </c>
      <c r="D40" s="163">
        <f>SUM(D41:D48)</f>
        <v>0.17275000000000001</v>
      </c>
      <c r="E40" s="164">
        <f>SUM(E41:E48)</f>
        <v>0.22925000000000004</v>
      </c>
      <c r="F40" s="163">
        <f>SUM(F41:F48)</f>
        <v>0.28575</v>
      </c>
      <c r="G40" s="165">
        <f>SUM(G41:G48)</f>
        <v>0.37050000000000005</v>
      </c>
      <c r="H40" s="23"/>
      <c r="I40" s="151"/>
    </row>
    <row r="41" spans="1:14" ht="15.75" thickBot="1">
      <c r="A41" s="57"/>
      <c r="B41" s="166" t="s">
        <v>27</v>
      </c>
      <c r="C41" s="167">
        <f>G41</f>
        <v>0.02</v>
      </c>
      <c r="D41" s="167">
        <f>G41</f>
        <v>0.02</v>
      </c>
      <c r="E41" s="168">
        <f>G41</f>
        <v>0.02</v>
      </c>
      <c r="F41" s="167">
        <f>G41</f>
        <v>0.02</v>
      </c>
      <c r="G41" s="169">
        <v>0.02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6.0000000000000001E-3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1.2E-2</v>
      </c>
      <c r="D48" s="177">
        <f>G48</f>
        <v>1.2E-2</v>
      </c>
      <c r="E48" s="178">
        <f>G48</f>
        <v>1.2E-2</v>
      </c>
      <c r="F48" s="177">
        <v>1.2E-2</v>
      </c>
      <c r="G48" s="172">
        <v>1.2E-2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52.836552323999804</v>
      </c>
      <c r="D50" s="42">
        <f>$C$35+D39</f>
        <v>58.993854227690399</v>
      </c>
      <c r="E50" s="180">
        <f>$C$35+E39</f>
        <v>63.963146458573007</v>
      </c>
      <c r="F50" s="42">
        <f>$C$35+F39</f>
        <v>69.846610479589486</v>
      </c>
      <c r="G50" s="42">
        <f>$C$35+G39</f>
        <v>81.026025471365159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58.707280359999778</v>
      </c>
      <c r="D52" s="184">
        <f>$C$35/(1-D40-D51)</f>
        <v>65.548726919655991</v>
      </c>
      <c r="E52" s="185">
        <f>$C$35/(1-E40-E51)</f>
        <v>71.070162731747786</v>
      </c>
      <c r="F52" s="184">
        <f>$C$35/(1-F40-F51)</f>
        <v>77.607344977321645</v>
      </c>
      <c r="G52" s="184">
        <f>$C$35/(1-G40-G51)</f>
        <v>90.028917190405721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58.707280359999778</v>
      </c>
      <c r="D53" s="187">
        <f>D52+(D56*D52)</f>
        <v>68.498419631040505</v>
      </c>
      <c r="E53" s="188">
        <f>E52+(E56*E52)</f>
        <v>76.400424936628866</v>
      </c>
      <c r="F53" s="187">
        <f>F52+(F56*F52)</f>
        <v>85.756116199940422</v>
      </c>
      <c r="G53" s="187">
        <f>G52+(G56*G52)</f>
        <v>103.53325476896657</v>
      </c>
      <c r="H53" s="8"/>
      <c r="I53" s="58"/>
    </row>
    <row r="54" spans="1:9" ht="15.75" thickBot="1">
      <c r="A54" s="57"/>
      <c r="B54" s="189" t="s">
        <v>38</v>
      </c>
      <c r="C54" s="190">
        <f>C52-C50</f>
        <v>5.8707280359999743</v>
      </c>
      <c r="D54" s="190">
        <f>D52-D50</f>
        <v>6.554872691965592</v>
      </c>
      <c r="E54" s="191">
        <f>E52-E50</f>
        <v>7.1070162731747786</v>
      </c>
      <c r="F54" s="190">
        <f>F52-F50</f>
        <v>7.7607344977321588</v>
      </c>
      <c r="G54" s="190">
        <f>G52-G50</f>
        <v>9.0028917190405622</v>
      </c>
      <c r="H54" s="8"/>
      <c r="I54" s="58"/>
    </row>
    <row r="55" spans="1:9" ht="15.75" thickBot="1">
      <c r="A55" s="57"/>
      <c r="B55" s="192" t="s">
        <v>66</v>
      </c>
      <c r="C55" s="193">
        <f>C54/C52</f>
        <v>9.9999999999999936E-2</v>
      </c>
      <c r="D55" s="193">
        <f>D54/D52</f>
        <v>9.9999999999999895E-2</v>
      </c>
      <c r="E55" s="194">
        <f>E54/E52</f>
        <v>0.1</v>
      </c>
      <c r="F55" s="193">
        <f>F54/F52</f>
        <v>9.9999999999999922E-2</v>
      </c>
      <c r="G55" s="193">
        <f>G54/G52</f>
        <v>9.9999999999999895E-2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9.9999999999999936E-2</v>
      </c>
      <c r="D57" s="196">
        <f>D55-D56</f>
        <v>5.4999999999999896E-2</v>
      </c>
      <c r="E57" s="199">
        <f>E55-E56</f>
        <v>2.5000000000000008E-2</v>
      </c>
      <c r="F57" s="196">
        <f>F55-F56</f>
        <v>-5.0000000000000738E-3</v>
      </c>
      <c r="G57" s="196">
        <f>G55-G56</f>
        <v>-5.00000000000001E-2</v>
      </c>
      <c r="H57" s="8"/>
      <c r="I57" s="58"/>
    </row>
    <row r="58" spans="1:9" ht="16.5" thickBot="1">
      <c r="A58" s="57"/>
      <c r="B58" s="44" t="s">
        <v>39</v>
      </c>
      <c r="C58" s="200">
        <f>G58</f>
        <v>75.95</v>
      </c>
      <c r="D58" s="200">
        <f>G58</f>
        <v>75.95</v>
      </c>
      <c r="E58" s="201">
        <f>G58</f>
        <v>75.95</v>
      </c>
      <c r="F58" s="202">
        <f>G58</f>
        <v>75.95</v>
      </c>
      <c r="G58" s="203">
        <v>75.95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75.95</v>
      </c>
      <c r="D59" s="187">
        <f>D58+(D63*D58)</f>
        <v>79.367750000000001</v>
      </c>
      <c r="E59" s="188">
        <f>E58+(E63*E58)</f>
        <v>81.646250000000009</v>
      </c>
      <c r="F59" s="187">
        <f>F58+(F63*F58)</f>
        <v>83.924750000000003</v>
      </c>
      <c r="G59" s="187">
        <f>G58+(G63*G58)</f>
        <v>87.342500000000001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21.596088347680176</v>
      </c>
      <c r="D60" s="206">
        <f>-((D58*D40)+($C$35-D58))</f>
        <v>15.159325847680176</v>
      </c>
      <c r="E60" s="207">
        <f>-((E58*E40)+($C$35-E58))</f>
        <v>10.868150847680173</v>
      </c>
      <c r="F60" s="206">
        <f>-((F58*F40)+($C$35-F58))</f>
        <v>6.5769758476801776</v>
      </c>
      <c r="G60" s="206">
        <f>-((G58*G40)+($C$35-G58))</f>
        <v>0.14021334768017368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0.2843461270267304</v>
      </c>
      <c r="D61" s="209">
        <f>D60/D58</f>
        <v>0.19959612702673041</v>
      </c>
      <c r="E61" s="210">
        <f>E60/E58</f>
        <v>0.14309612702673039</v>
      </c>
      <c r="F61" s="209">
        <f>F60/F58</f>
        <v>8.6596127026730446E-2</v>
      </c>
      <c r="G61" s="209">
        <f>G60/G58</f>
        <v>1.8461270267303973E-3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1.5190000000000001</v>
      </c>
      <c r="D62" s="212">
        <f t="shared" ref="D62:F62" si="1">D58/$D$4</f>
        <v>1.5190000000000001</v>
      </c>
      <c r="E62" s="212">
        <f t="shared" si="1"/>
        <v>1.5190000000000001</v>
      </c>
      <c r="F62" s="212">
        <f t="shared" si="1"/>
        <v>1.5190000000000001</v>
      </c>
      <c r="G62" s="212">
        <f>G58/$D$4</f>
        <v>1.5190000000000001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0.2843461270267304</v>
      </c>
      <c r="D64" s="219">
        <f>D61-D63</f>
        <v>0.15459612702673042</v>
      </c>
      <c r="E64" s="220">
        <f>E61-E63</f>
        <v>6.8096127026730388E-2</v>
      </c>
      <c r="F64" s="219">
        <f>F61-F63</f>
        <v>-1.840387297326955E-2</v>
      </c>
      <c r="G64" s="219">
        <f>G61-G63</f>
        <v>-0.1481538729732696</v>
      </c>
      <c r="H64" s="221">
        <v>72.33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37:G37"/>
    <mergeCell ref="C32:D32"/>
    <mergeCell ref="H32:I32"/>
    <mergeCell ref="C34:D34"/>
    <mergeCell ref="E34:F34"/>
    <mergeCell ref="C35:D35"/>
    <mergeCell ref="E35:F35"/>
    <mergeCell ref="C31:D31"/>
    <mergeCell ref="H31:I31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21:B23"/>
    <mergeCell ref="B19:C20"/>
    <mergeCell ref="D19:E20"/>
    <mergeCell ref="C1:H1"/>
    <mergeCell ref="C2:H2"/>
    <mergeCell ref="B6:I6"/>
    <mergeCell ref="B7:D7"/>
    <mergeCell ref="B11:D11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workbookViewId="0">
      <selection activeCell="A14" sqref="A14:I14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90</v>
      </c>
      <c r="D2" s="291"/>
      <c r="E2" s="291"/>
      <c r="F2" s="291"/>
      <c r="G2" s="291"/>
      <c r="H2" s="291"/>
      <c r="I2" s="56">
        <v>1197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5" t="s">
        <v>44</v>
      </c>
      <c r="C7" s="296"/>
      <c r="D7" s="297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66">
        <v>944</v>
      </c>
      <c r="B8" s="67" t="str">
        <f>IF(A8&lt;&gt;0,VLOOKUP(A8,'[1]Matéria Prima Plásticos'!$A$2:$B$61,2),"")</f>
        <v>PEAD SOPRO BRANCO LEITOSO</v>
      </c>
      <c r="C8" s="48"/>
      <c r="D8" s="49"/>
      <c r="E8" s="224">
        <f>0.145*(100000/125000)</f>
        <v>0.11599999999999999</v>
      </c>
      <c r="F8" s="68">
        <f>IF(A8&lt;&gt;0,VLOOKUP(A8,'[1]Matéria Prima Plásticos'!$A$2:$P$61,16),"")</f>
        <v>4.3499999999999996</v>
      </c>
      <c r="G8" s="69">
        <v>6.4999999999999997E-3</v>
      </c>
      <c r="H8" s="70">
        <f>E8*G8</f>
        <v>7.539999999999999E-4</v>
      </c>
      <c r="I8" s="71">
        <f>(F8+H8)*E8</f>
        <v>0.50468746399999986</v>
      </c>
    </row>
    <row r="9" spans="1:11" ht="15.75" thickBot="1">
      <c r="A9" s="52">
        <v>6541</v>
      </c>
      <c r="B9" s="72" t="str">
        <f>IF(A9&lt;&gt;0,VLOOKUP(A9,'[1]Matéria Prima Plásticos'!$A$2:$B$61,2),"")</f>
        <v>PEAD SOPRO VIRGEM HS5403 - BRASKEM</v>
      </c>
      <c r="C9" s="73"/>
      <c r="D9" s="74"/>
      <c r="E9" s="225">
        <f>0.145*(25000/125000)</f>
        <v>2.8999999999999998E-2</v>
      </c>
      <c r="F9" s="68">
        <f>IF(A9&lt;&gt;0,VLOOKUP(A9,'[1]Matéria Prima Plásticos'!$A$2:$P$61,16),"")</f>
        <v>5.0686277952845522</v>
      </c>
      <c r="G9" s="69">
        <v>6.4999999999999997E-3</v>
      </c>
      <c r="H9" s="70">
        <f>E9*G9</f>
        <v>1.8849999999999997E-4</v>
      </c>
      <c r="I9" s="71">
        <f>(F9+H9)*E9</f>
        <v>0.14699567256325199</v>
      </c>
    </row>
    <row r="10" spans="1:11" ht="15.75" thickBot="1">
      <c r="A10" s="75"/>
      <c r="B10" s="76" t="s">
        <v>9</v>
      </c>
      <c r="C10" s="77"/>
      <c r="D10" s="77"/>
      <c r="E10" s="78">
        <f>SUM(E8:E9)</f>
        <v>0.14499999999999999</v>
      </c>
      <c r="F10" s="79"/>
      <c r="G10" s="79"/>
      <c r="H10" s="79"/>
      <c r="I10" s="80">
        <f>I8+I9</f>
        <v>0.65168313656325183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 xml:space="preserve">GALAO 05 LT BCO. LEITOSO RECICLADO FD 50 - Henlau </v>
      </c>
      <c r="C12" s="27"/>
      <c r="D12" s="58"/>
      <c r="E12" s="84">
        <f>D4</f>
        <v>50</v>
      </c>
      <c r="F12" s="85">
        <f>I10</f>
        <v>0.65168313656325183</v>
      </c>
      <c r="G12" s="86">
        <v>0</v>
      </c>
      <c r="H12" s="87">
        <v>0</v>
      </c>
      <c r="I12" s="88">
        <f>E12*F12</f>
        <v>32.584156828162591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29.231683037577852</v>
      </c>
      <c r="G15" s="104">
        <f>SUM(G8:G14)</f>
        <v>4.2999999999999997E-2</v>
      </c>
      <c r="H15" s="103">
        <f>SUM(H8:H9)+SUM(H12:H14)</f>
        <v>0.52674249901014591</v>
      </c>
      <c r="I15" s="105">
        <f>SUM(I12:I14)</f>
        <v>33.432088810048263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</v>
      </c>
      <c r="D17" s="107">
        <f>I15*C17</f>
        <v>0</v>
      </c>
      <c r="E17" s="13" t="s">
        <v>11</v>
      </c>
      <c r="F17" s="14"/>
      <c r="G17" s="108"/>
      <c r="H17" s="108"/>
      <c r="I17" s="223">
        <f>I15+D17</f>
        <v>33.432088810048263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03'!G6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03'!L6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0.82415285238876468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v>0.06</v>
      </c>
      <c r="F32" s="148">
        <f>G58*E32</f>
        <v>4.2</v>
      </c>
      <c r="G32" s="149">
        <f>H32*G58</f>
        <v>3.5000000000000003E-2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46.290574601323904</v>
      </c>
      <c r="D35" s="262"/>
      <c r="E35" s="264">
        <f>C35/D4</f>
        <v>0.92581149202647806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0"/>
      <c r="I38" s="151"/>
    </row>
    <row r="39" spans="1:14" ht="15.75" thickBot="1">
      <c r="A39" s="57"/>
      <c r="B39" s="159" t="s">
        <v>25</v>
      </c>
      <c r="C39" s="160">
        <f>C52*C40</f>
        <v>3.0714125327892638</v>
      </c>
      <c r="D39" s="160">
        <f>D52*D40</f>
        <v>8.5813610472655117</v>
      </c>
      <c r="E39" s="161">
        <f>E52*E40</f>
        <v>12.992978783509274</v>
      </c>
      <c r="F39" s="160">
        <f>F52*F40</f>
        <v>19.39569601939586</v>
      </c>
      <c r="G39" s="162">
        <f>G52*G40</f>
        <v>27.121790405180967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5.6000000000000001E-2</v>
      </c>
      <c r="D40" s="163">
        <f>SUM(D41:D48)</f>
        <v>0.14075000000000001</v>
      </c>
      <c r="E40" s="164">
        <f>SUM(E41:E48)</f>
        <v>0.19725000000000004</v>
      </c>
      <c r="F40" s="163">
        <f>SUM(F41:F48)</f>
        <v>0.26574999999999999</v>
      </c>
      <c r="G40" s="165">
        <f>SUM(G41:G48)</f>
        <v>0.33250000000000002</v>
      </c>
      <c r="H40" s="23"/>
      <c r="I40" s="151"/>
    </row>
    <row r="41" spans="1:14" ht="15.75" thickBot="1">
      <c r="A41" s="57"/>
      <c r="B41" s="166" t="s">
        <v>27</v>
      </c>
      <c r="C41" s="167">
        <f>G41</f>
        <v>0</v>
      </c>
      <c r="D41" s="167">
        <f>G41</f>
        <v>0</v>
      </c>
      <c r="E41" s="168">
        <f>G41</f>
        <v>0</v>
      </c>
      <c r="F41" s="167">
        <f>G41</f>
        <v>0</v>
      </c>
      <c r="G41" s="169">
        <v>0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0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0</v>
      </c>
      <c r="D48" s="177">
        <f>G48</f>
        <v>0</v>
      </c>
      <c r="E48" s="178">
        <f>G48</f>
        <v>0</v>
      </c>
      <c r="F48" s="177">
        <v>1.2E-2</v>
      </c>
      <c r="G48" s="172">
        <v>0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49.361987134113164</v>
      </c>
      <c r="D50" s="42">
        <f>$C$35+D39</f>
        <v>54.871935648589414</v>
      </c>
      <c r="E50" s="180">
        <f>$C$35+E39</f>
        <v>59.283553384833176</v>
      </c>
      <c r="F50" s="42">
        <f>$C$35+F39</f>
        <v>65.686270620719768</v>
      </c>
      <c r="G50" s="42">
        <f>$C$35+G39</f>
        <v>73.412365006504871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54.846652371236857</v>
      </c>
      <c r="D52" s="184">
        <f>$C$35/(1-D40-D51)</f>
        <v>60.968817387321572</v>
      </c>
      <c r="E52" s="185">
        <f>$C$35/(1-E40-E51)</f>
        <v>65.870614872036867</v>
      </c>
      <c r="F52" s="184">
        <f>$C$35/(1-F40-F51)</f>
        <v>72.984745134133064</v>
      </c>
      <c r="G52" s="184">
        <f>$C$35/(1-G40-G51)</f>
        <v>81.569294451672079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54.846652371236857</v>
      </c>
      <c r="D53" s="187">
        <f>D52+(D56*D52)</f>
        <v>63.712414169751042</v>
      </c>
      <c r="E53" s="188">
        <f>E52+(E56*E52)</f>
        <v>70.810910987439627</v>
      </c>
      <c r="F53" s="187">
        <f>F52+(F56*F52)</f>
        <v>80.648143373217039</v>
      </c>
      <c r="G53" s="187">
        <f>G52+(G56*G52)</f>
        <v>93.80468861942289</v>
      </c>
      <c r="H53" s="8"/>
      <c r="I53" s="58"/>
    </row>
    <row r="54" spans="1:9" ht="15.75" thickBot="1">
      <c r="A54" s="57"/>
      <c r="B54" s="189" t="s">
        <v>38</v>
      </c>
      <c r="C54" s="190">
        <f>C52-C50</f>
        <v>5.4846652371236928</v>
      </c>
      <c r="D54" s="190">
        <f>D52-D50</f>
        <v>6.0968817387321579</v>
      </c>
      <c r="E54" s="191">
        <f>E52-E50</f>
        <v>6.587061487203691</v>
      </c>
      <c r="F54" s="190">
        <f>F52-F50</f>
        <v>7.2984745134132964</v>
      </c>
      <c r="G54" s="190">
        <f>G52-G50</f>
        <v>8.1569294451672079</v>
      </c>
      <c r="H54" s="8"/>
      <c r="I54" s="58"/>
    </row>
    <row r="55" spans="1:9" ht="15.75" thickBot="1">
      <c r="A55" s="57"/>
      <c r="B55" s="192" t="s">
        <v>66</v>
      </c>
      <c r="C55" s="193">
        <f>C54/C52</f>
        <v>0.10000000000000013</v>
      </c>
      <c r="D55" s="193">
        <f>D54/D52</f>
        <v>0.1</v>
      </c>
      <c r="E55" s="194">
        <f>E54/E52</f>
        <v>0.10000000000000006</v>
      </c>
      <c r="F55" s="193">
        <f>F54/F52</f>
        <v>9.9999999999999867E-2</v>
      </c>
      <c r="G55" s="193">
        <f>G54/G52</f>
        <v>0.1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0.10000000000000013</v>
      </c>
      <c r="D57" s="196">
        <f>D55-D56</f>
        <v>5.5000000000000007E-2</v>
      </c>
      <c r="E57" s="199">
        <f>E55-E56</f>
        <v>2.5000000000000064E-2</v>
      </c>
      <c r="F57" s="196">
        <f>F55-F56</f>
        <v>-5.0000000000001293E-3</v>
      </c>
      <c r="G57" s="196">
        <f>G55-G56</f>
        <v>-4.9999999999999989E-2</v>
      </c>
      <c r="H57" s="8"/>
      <c r="I57" s="58"/>
    </row>
    <row r="58" spans="1:9" ht="16.5" thickBot="1">
      <c r="A58" s="57"/>
      <c r="B58" s="44" t="s">
        <v>39</v>
      </c>
      <c r="C58" s="200">
        <f>G58</f>
        <v>70</v>
      </c>
      <c r="D58" s="200">
        <f>G58</f>
        <v>70</v>
      </c>
      <c r="E58" s="201">
        <f>G58</f>
        <v>70</v>
      </c>
      <c r="F58" s="202">
        <f>G58</f>
        <v>70</v>
      </c>
      <c r="G58" s="203">
        <v>70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70</v>
      </c>
      <c r="D59" s="187">
        <f>D58+(D63*D58)</f>
        <v>73.150000000000006</v>
      </c>
      <c r="E59" s="188">
        <f>E58+(E63*E58)</f>
        <v>75.25</v>
      </c>
      <c r="F59" s="187">
        <f>F58+(F63*F58)</f>
        <v>77.349999999999994</v>
      </c>
      <c r="G59" s="187">
        <f>G58+(G63*G58)</f>
        <v>80.5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19.789425398676094</v>
      </c>
      <c r="D60" s="206">
        <f>-((D58*D40)+($C$35-D58))</f>
        <v>13.856925398676095</v>
      </c>
      <c r="E60" s="207">
        <f>-((E58*E40)+($C$35-E58))</f>
        <v>9.9019253986760933</v>
      </c>
      <c r="F60" s="206">
        <f>-((F58*F40)+($C$35-F58))</f>
        <v>5.106925398676097</v>
      </c>
      <c r="G60" s="206">
        <f>-((G58*G40)+($C$35-G58))</f>
        <v>0.43442539867609398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0.28270607712394419</v>
      </c>
      <c r="D61" s="209">
        <f>D60/D58</f>
        <v>0.19795607712394422</v>
      </c>
      <c r="E61" s="210">
        <f>E60/E58</f>
        <v>0.1414560771239442</v>
      </c>
      <c r="F61" s="209">
        <f>F60/F58</f>
        <v>7.2956077123944238E-2</v>
      </c>
      <c r="G61" s="209">
        <f>G60/G58</f>
        <v>6.2060771239441995E-3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1.4</v>
      </c>
      <c r="D62" s="212">
        <f t="shared" ref="D62:F62" si="1">D58/$D$4</f>
        <v>1.4</v>
      </c>
      <c r="E62" s="212">
        <f t="shared" si="1"/>
        <v>1.4</v>
      </c>
      <c r="F62" s="212">
        <f t="shared" si="1"/>
        <v>1.4</v>
      </c>
      <c r="G62" s="212">
        <f>G58/$D$4</f>
        <v>1.4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0.28270607712394419</v>
      </c>
      <c r="D64" s="219">
        <f>D61-D63</f>
        <v>0.15295607712394421</v>
      </c>
      <c r="E64" s="220">
        <f>E61-E63</f>
        <v>6.6456077123944204E-2</v>
      </c>
      <c r="F64" s="219">
        <f>F61-F63</f>
        <v>-3.2043922876055758E-2</v>
      </c>
      <c r="G64" s="219">
        <f>G61-G63</f>
        <v>-0.1437939228760558</v>
      </c>
      <c r="H64" s="221">
        <v>85.17</v>
      </c>
      <c r="I64" s="222"/>
    </row>
    <row r="65" spans="2:9">
      <c r="G65" s="27"/>
      <c r="H65" s="27"/>
      <c r="I65" s="27"/>
    </row>
    <row r="66" spans="2:9">
      <c r="B66" s="245" t="s">
        <v>89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B19:C20"/>
    <mergeCell ref="D19:E20"/>
    <mergeCell ref="C1:H1"/>
    <mergeCell ref="C2:H2"/>
    <mergeCell ref="B6:I6"/>
    <mergeCell ref="B7:D7"/>
    <mergeCell ref="B11:D11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37:G37"/>
    <mergeCell ref="C32:D32"/>
    <mergeCell ref="H32:I32"/>
    <mergeCell ref="C34:D34"/>
    <mergeCell ref="E34:F34"/>
    <mergeCell ref="C35:D35"/>
    <mergeCell ref="E35:F35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"/>
  <sheetViews>
    <sheetView topLeftCell="A37" workbookViewId="0">
      <selection activeCell="C69" sqref="C69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104</v>
      </c>
      <c r="D2" s="291"/>
      <c r="E2" s="291"/>
      <c r="F2" s="291"/>
      <c r="G2" s="291"/>
      <c r="H2" s="291"/>
      <c r="I2" s="56">
        <v>1201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9" t="s">
        <v>44</v>
      </c>
      <c r="C7" s="300"/>
      <c r="D7" s="301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52">
        <v>6541</v>
      </c>
      <c r="B8" s="67" t="str">
        <f>IF(A8&lt;&gt;0,VLOOKUP(A8,'[1]Matéria Prima Plásticos'!$A$2:$B$61,2),"")</f>
        <v>PEAD SOPRO VIRGEM HS5403 - BRASKEM</v>
      </c>
      <c r="C8" s="48"/>
      <c r="D8" s="48"/>
      <c r="E8" s="224">
        <v>0.14000000000000001</v>
      </c>
      <c r="F8" s="247">
        <f>IF(A8&lt;&gt;0,VLOOKUP(A8,'[1]Matéria Prima Plásticos'!$A$2:$P$61,16),"")</f>
        <v>5.0686277952845522</v>
      </c>
      <c r="G8" s="248">
        <v>6.4999999999999997E-3</v>
      </c>
      <c r="H8" s="249">
        <f>E8*G8</f>
        <v>9.1E-4</v>
      </c>
      <c r="I8" s="88">
        <f>(F8+H8)*E8</f>
        <v>0.70973529133983737</v>
      </c>
    </row>
    <row r="9" spans="1:11" ht="15.75" thickBot="1">
      <c r="B9" s="246"/>
      <c r="C9" s="73"/>
      <c r="D9" s="73"/>
      <c r="E9" s="7"/>
      <c r="F9" s="7"/>
      <c r="G9" s="7"/>
      <c r="H9" s="7"/>
      <c r="I9" s="7"/>
    </row>
    <row r="10" spans="1:11" ht="15.75" thickBot="1">
      <c r="A10" s="75"/>
      <c r="B10" s="76" t="s">
        <v>9</v>
      </c>
      <c r="C10" s="77"/>
      <c r="D10" s="77"/>
      <c r="E10" s="78">
        <f>SUM(E8:E8)</f>
        <v>0.14000000000000001</v>
      </c>
      <c r="F10" s="79"/>
      <c r="G10" s="79"/>
      <c r="H10" s="79"/>
      <c r="I10" s="80">
        <f>SUM(I8:I9)</f>
        <v>0.70973529133983737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>GALAO 05 LT CRISTAL FD 50 - HENLAU</v>
      </c>
      <c r="C12" s="27"/>
      <c r="D12" s="58"/>
      <c r="E12" s="84">
        <f>D4</f>
        <v>50</v>
      </c>
      <c r="F12" s="85">
        <f>I10</f>
        <v>0.70973529133983737</v>
      </c>
      <c r="G12" s="86">
        <v>0</v>
      </c>
      <c r="H12" s="87">
        <v>0</v>
      </c>
      <c r="I12" s="88">
        <f>E12*F12</f>
        <v>35.486764566991866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29.289735192354438</v>
      </c>
      <c r="G15" s="104">
        <f>SUM(G8:G14)</f>
        <v>3.6500000000000005E-2</v>
      </c>
      <c r="H15" s="103">
        <f>SUM(H8:H9)+SUM(H12:H14)</f>
        <v>0.52670999901014592</v>
      </c>
      <c r="I15" s="105">
        <f>SUM(I12:I14)</f>
        <v>36.334696548877538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</v>
      </c>
      <c r="D17" s="107">
        <f>I15*C17</f>
        <v>0</v>
      </c>
      <c r="E17" s="13" t="s">
        <v>11</v>
      </c>
      <c r="F17" s="14"/>
      <c r="G17" s="108"/>
      <c r="H17" s="108"/>
      <c r="I17" s="223">
        <f>I15+D17</f>
        <v>36.334696548877538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03'!G8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03'!L8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0.88220500716535022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v>0.06</v>
      </c>
      <c r="F32" s="148">
        <f>G58*E32</f>
        <v>4.26</v>
      </c>
      <c r="G32" s="149">
        <f>H32*G58</f>
        <v>3.5500000000000004E-2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49.253682340153176</v>
      </c>
      <c r="D35" s="262"/>
      <c r="E35" s="264">
        <f>C35/D4</f>
        <v>0.98507364680306353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0"/>
      <c r="I38" s="151"/>
    </row>
    <row r="39" spans="1:14" ht="15.75" thickBot="1">
      <c r="A39" s="57"/>
      <c r="B39" s="159" t="s">
        <v>25</v>
      </c>
      <c r="C39" s="160">
        <f>C52*C40</f>
        <v>2.052236764173049</v>
      </c>
      <c r="D39" s="160">
        <f>D52*D40</f>
        <v>7.6321875426031385</v>
      </c>
      <c r="E39" s="161">
        <f>E52*E40</f>
        <v>12.079163188920306</v>
      </c>
      <c r="F39" s="160">
        <f>F52*F40</f>
        <v>18.500714459446151</v>
      </c>
      <c r="G39" s="162">
        <f>G52*G40</f>
        <v>26.198767202209137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3.5999999999999997E-2</v>
      </c>
      <c r="D40" s="163">
        <f>SUM(D41:D48)</f>
        <v>0.12075</v>
      </c>
      <c r="E40" s="164">
        <f>SUM(E41:E48)</f>
        <v>0.17725000000000002</v>
      </c>
      <c r="F40" s="163">
        <f>SUM(F41:F48)</f>
        <v>0.24575000000000002</v>
      </c>
      <c r="G40" s="165">
        <f>SUM(G41:G48)</f>
        <v>0.3125</v>
      </c>
      <c r="H40" s="23"/>
      <c r="I40" s="151"/>
    </row>
    <row r="41" spans="1:14" ht="15.75" thickBot="1">
      <c r="A41" s="57"/>
      <c r="B41" s="166" t="s">
        <v>27</v>
      </c>
      <c r="C41" s="167">
        <f>G41</f>
        <v>0</v>
      </c>
      <c r="D41" s="167">
        <f>G41</f>
        <v>0</v>
      </c>
      <c r="E41" s="168">
        <f>G41</f>
        <v>0</v>
      </c>
      <c r="F41" s="167">
        <f>G41</f>
        <v>0</v>
      </c>
      <c r="G41" s="169">
        <v>0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0.03</v>
      </c>
      <c r="D42" s="167">
        <f>G42</f>
        <v>0.03</v>
      </c>
      <c r="E42" s="168">
        <f>G42</f>
        <v>0.03</v>
      </c>
      <c r="F42" s="171">
        <f>G42</f>
        <v>0.03</v>
      </c>
      <c r="G42" s="172">
        <v>0.03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0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0</v>
      </c>
      <c r="D48" s="177">
        <f>G48</f>
        <v>0</v>
      </c>
      <c r="E48" s="178">
        <f>G48</f>
        <v>0</v>
      </c>
      <c r="F48" s="177">
        <v>1.2E-2</v>
      </c>
      <c r="G48" s="172">
        <v>0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51.305919104326222</v>
      </c>
      <c r="D50" s="42">
        <f>$C$35+D39</f>
        <v>56.885869882756317</v>
      </c>
      <c r="E50" s="180">
        <f>$C$35+E39</f>
        <v>61.332845529073481</v>
      </c>
      <c r="F50" s="42">
        <f>$C$35+F39</f>
        <v>67.754396799599334</v>
      </c>
      <c r="G50" s="42">
        <f>$C$35+G39</f>
        <v>75.452449542362316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57.006576782584695</v>
      </c>
      <c r="D52" s="184">
        <f>$C$35/(1-D40-D51)</f>
        <v>63.206522091951463</v>
      </c>
      <c r="E52" s="185">
        <f>$C$35/(1-E40-E51)</f>
        <v>68.147606143414976</v>
      </c>
      <c r="F52" s="184">
        <f>$C$35/(1-F40-F51)</f>
        <v>75.282663110665922</v>
      </c>
      <c r="G52" s="184">
        <f>$C$35/(1-G40-G51)</f>
        <v>83.836055047069237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57.006576782584695</v>
      </c>
      <c r="D53" s="187">
        <f>D52+(D56*D52)</f>
        <v>66.050815586089271</v>
      </c>
      <c r="E53" s="188">
        <f>E52+(E56*E52)</f>
        <v>73.2586766041711</v>
      </c>
      <c r="F53" s="187">
        <f>F52+(F56*F52)</f>
        <v>83.187342737285846</v>
      </c>
      <c r="G53" s="187">
        <f>G52+(G56*G52)</f>
        <v>96.411463304129626</v>
      </c>
      <c r="H53" s="8"/>
      <c r="I53" s="58"/>
    </row>
    <row r="54" spans="1:9" ht="15.75" thickBot="1">
      <c r="A54" s="57"/>
      <c r="B54" s="189" t="s">
        <v>38</v>
      </c>
      <c r="C54" s="190">
        <f>C52-C50</f>
        <v>5.700657678258473</v>
      </c>
      <c r="D54" s="190">
        <f>D52-D50</f>
        <v>6.3206522091951456</v>
      </c>
      <c r="E54" s="191">
        <f>E52-E50</f>
        <v>6.8147606143414947</v>
      </c>
      <c r="F54" s="190">
        <f>F52-F50</f>
        <v>7.5282663110665879</v>
      </c>
      <c r="G54" s="190">
        <f>G52-G50</f>
        <v>8.3836055047069209</v>
      </c>
      <c r="H54" s="8"/>
      <c r="I54" s="58"/>
    </row>
    <row r="55" spans="1:9" ht="15.75" thickBot="1">
      <c r="A55" s="57"/>
      <c r="B55" s="192" t="s">
        <v>66</v>
      </c>
      <c r="C55" s="193">
        <f>C54/C52</f>
        <v>0.10000000000000006</v>
      </c>
      <c r="D55" s="193">
        <f>D54/D52</f>
        <v>9.9999999999999992E-2</v>
      </c>
      <c r="E55" s="194">
        <f>E54/E52</f>
        <v>9.9999999999999964E-2</v>
      </c>
      <c r="F55" s="193">
        <f>F54/F52</f>
        <v>9.999999999999995E-2</v>
      </c>
      <c r="G55" s="193">
        <f>G54/G52</f>
        <v>9.9999999999999964E-2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0.10000000000000006</v>
      </c>
      <c r="D57" s="196">
        <f>D55-D56</f>
        <v>5.4999999999999993E-2</v>
      </c>
      <c r="E57" s="199">
        <f>E55-E56</f>
        <v>2.4999999999999967E-2</v>
      </c>
      <c r="F57" s="196">
        <f>F55-F56</f>
        <v>-5.0000000000000461E-3</v>
      </c>
      <c r="G57" s="196">
        <f>G55-G56</f>
        <v>-5.0000000000000031E-2</v>
      </c>
      <c r="H57" s="8"/>
      <c r="I57" s="58"/>
    </row>
    <row r="58" spans="1:9" ht="16.5" thickBot="1">
      <c r="A58" s="57"/>
      <c r="B58" s="44" t="s">
        <v>39</v>
      </c>
      <c r="C58" s="200">
        <f>G58</f>
        <v>71</v>
      </c>
      <c r="D58" s="200">
        <f>G58</f>
        <v>71</v>
      </c>
      <c r="E58" s="201">
        <f>G58</f>
        <v>71</v>
      </c>
      <c r="F58" s="202">
        <f>G58</f>
        <v>71</v>
      </c>
      <c r="G58" s="203">
        <v>71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71</v>
      </c>
      <c r="D59" s="187">
        <f>D58+(D63*D58)</f>
        <v>74.194999999999993</v>
      </c>
      <c r="E59" s="188">
        <f>E58+(E63*E58)</f>
        <v>76.325000000000003</v>
      </c>
      <c r="F59" s="187">
        <f>F58+(F63*F58)</f>
        <v>78.454999999999998</v>
      </c>
      <c r="G59" s="187">
        <f>G58+(G63*G58)</f>
        <v>81.650000000000006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19.190317659846823</v>
      </c>
      <c r="D60" s="206">
        <f>-((D58*D40)+($C$35-D58))</f>
        <v>13.173067659846824</v>
      </c>
      <c r="E60" s="207">
        <f>-((E58*E40)+($C$35-E58))</f>
        <v>9.1615676598468223</v>
      </c>
      <c r="F60" s="206">
        <f>-((F58*F40)+($C$35-F58))</f>
        <v>4.2980676598468222</v>
      </c>
      <c r="G60" s="206">
        <f>-((G58*G40)+($C$35-G58))</f>
        <v>-0.44118234015317626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0.27028616422319468</v>
      </c>
      <c r="D61" s="209">
        <f>D60/D58</f>
        <v>0.18553616422319472</v>
      </c>
      <c r="E61" s="210">
        <f>E60/E58</f>
        <v>0.12903616422319469</v>
      </c>
      <c r="F61" s="209">
        <f>F60/F58</f>
        <v>6.0536164223194681E-2</v>
      </c>
      <c r="G61" s="209">
        <f>G60/G58</f>
        <v>-6.2138357768052998E-3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1.42</v>
      </c>
      <c r="D62" s="212">
        <f t="shared" ref="D62:F62" si="1">D58/$D$4</f>
        <v>1.42</v>
      </c>
      <c r="E62" s="212">
        <f t="shared" si="1"/>
        <v>1.42</v>
      </c>
      <c r="F62" s="212">
        <f t="shared" si="1"/>
        <v>1.42</v>
      </c>
      <c r="G62" s="212">
        <f>G58/$D$4</f>
        <v>1.42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0.27028616422319468</v>
      </c>
      <c r="D64" s="219">
        <f>D61-D63</f>
        <v>0.1405361642231947</v>
      </c>
      <c r="E64" s="220">
        <f>E61-E63</f>
        <v>5.4036164223194696E-2</v>
      </c>
      <c r="F64" s="219">
        <f>F61-F63</f>
        <v>-4.4463835776805315E-2</v>
      </c>
      <c r="G64" s="219">
        <f>G61-G63</f>
        <v>-0.15621383577680528</v>
      </c>
      <c r="H64" s="221">
        <v>104.61</v>
      </c>
      <c r="I64" s="222"/>
    </row>
    <row r="65" spans="2:9">
      <c r="G65" s="27"/>
      <c r="H65" s="27"/>
      <c r="I65" s="27"/>
    </row>
    <row r="67" spans="2:9">
      <c r="B67" s="245" t="s">
        <v>95</v>
      </c>
    </row>
    <row r="68" spans="2:9">
      <c r="B68" s="252" t="s">
        <v>106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B19:C20"/>
    <mergeCell ref="D19:E20"/>
    <mergeCell ref="C1:H1"/>
    <mergeCell ref="C2:H2"/>
    <mergeCell ref="B6:I6"/>
    <mergeCell ref="B7:D7"/>
    <mergeCell ref="B11:D11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37:G37"/>
    <mergeCell ref="C32:D32"/>
    <mergeCell ref="H32:I32"/>
    <mergeCell ref="C34:D34"/>
    <mergeCell ref="E34:F34"/>
    <mergeCell ref="C35:D35"/>
    <mergeCell ref="E35:F35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9"/>
  <sheetViews>
    <sheetView workbookViewId="0">
      <selection activeCell="K10" sqref="K10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111</v>
      </c>
      <c r="D2" s="291"/>
      <c r="E2" s="291"/>
      <c r="F2" s="291"/>
      <c r="G2" s="291"/>
      <c r="H2" s="291"/>
      <c r="I2" s="56">
        <v>1201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9" t="s">
        <v>44</v>
      </c>
      <c r="C7" s="300"/>
      <c r="D7" s="301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52">
        <v>6541</v>
      </c>
      <c r="B8" s="67" t="str">
        <f>IF(A8&lt;&gt;0,VLOOKUP(A8,'[1]Matéria Prima Plásticos'!$A$2:$B$61,2),"")</f>
        <v>PEAD SOPRO VIRGEM HS5403 - BRASKEM</v>
      </c>
      <c r="C8" s="48"/>
      <c r="D8" s="48"/>
      <c r="E8" s="224">
        <v>0.14000000000000001</v>
      </c>
      <c r="F8" s="247">
        <v>5.07</v>
      </c>
      <c r="G8" s="248">
        <v>6.4999999999999997E-3</v>
      </c>
      <c r="H8" s="249">
        <f>E8*G8</f>
        <v>9.1E-4</v>
      </c>
      <c r="I8" s="88">
        <f>(F8+H8)*E8</f>
        <v>0.7099274000000001</v>
      </c>
    </row>
    <row r="9" spans="1:11" ht="15.75" thickBot="1">
      <c r="B9" s="246"/>
      <c r="C9" s="73"/>
      <c r="D9" s="73"/>
      <c r="E9" s="7"/>
      <c r="F9" s="7"/>
      <c r="G9" s="7"/>
      <c r="H9" s="7"/>
      <c r="I9" s="7"/>
    </row>
    <row r="10" spans="1:11" ht="15.75" thickBot="1">
      <c r="A10" s="75"/>
      <c r="B10" s="76" t="s">
        <v>9</v>
      </c>
      <c r="C10" s="77"/>
      <c r="D10" s="77"/>
      <c r="E10" s="78">
        <f>SUM(E8:E8)</f>
        <v>0.14000000000000001</v>
      </c>
      <c r="F10" s="79"/>
      <c r="G10" s="79"/>
      <c r="H10" s="79"/>
      <c r="I10" s="80">
        <f>SUM(I8:I9)</f>
        <v>0.7099274000000001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>GALAO 05 LT CRISTAL FD 50 - TEIXEIRA PINTO</v>
      </c>
      <c r="C12" s="27"/>
      <c r="D12" s="58"/>
      <c r="E12" s="84">
        <f>D4</f>
        <v>50</v>
      </c>
      <c r="F12" s="85">
        <f>I10</f>
        <v>0.7099274000000001</v>
      </c>
      <c r="G12" s="86">
        <v>0</v>
      </c>
      <c r="H12" s="87">
        <v>0</v>
      </c>
      <c r="I12" s="88">
        <f>E12*F12</f>
        <v>35.496370000000006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29.2899273010146</v>
      </c>
      <c r="G15" s="104">
        <f>SUM(G8:G14)</f>
        <v>3.6500000000000005E-2</v>
      </c>
      <c r="H15" s="103">
        <f>SUM(H8:H9)+SUM(H12:H14)</f>
        <v>0.52670999901014592</v>
      </c>
      <c r="I15" s="105">
        <f>SUM(I12:I14)</f>
        <v>36.344301981885678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</v>
      </c>
      <c r="D17" s="107">
        <f>I15*C17</f>
        <v>0</v>
      </c>
      <c r="E17" s="13" t="s">
        <v>11</v>
      </c>
      <c r="F17" s="14"/>
      <c r="G17" s="108"/>
      <c r="H17" s="108"/>
      <c r="I17" s="223">
        <f>I15+D17</f>
        <v>36.344301981885678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03'!G8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03'!L8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0.88239711582551295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v>0.06</v>
      </c>
      <c r="F32" s="148">
        <f>G58*E32</f>
        <v>4.3499999999999996</v>
      </c>
      <c r="G32" s="149">
        <f>H32*G58</f>
        <v>3.6249999999999998E-2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49.354037773161323</v>
      </c>
      <c r="D35" s="262"/>
      <c r="E35" s="264">
        <f>C35/D4</f>
        <v>0.98708075546322649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1"/>
      <c r="I38" s="151"/>
    </row>
    <row r="39" spans="1:14" ht="15.75" thickBot="1">
      <c r="A39" s="57"/>
      <c r="B39" s="159" t="s">
        <v>25</v>
      </c>
      <c r="C39" s="160">
        <f>C52*C40</f>
        <v>2.0564182405483882</v>
      </c>
      <c r="D39" s="160">
        <f>D52*D40</f>
        <v>7.6477382882377025</v>
      </c>
      <c r="E39" s="161">
        <f>E52*E40</f>
        <v>12.103774742708884</v>
      </c>
      <c r="F39" s="160">
        <f>F52*F40</f>
        <v>18.538410061527546</v>
      </c>
      <c r="G39" s="162">
        <f>G52*G40</f>
        <v>26.252147751681555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3.5999999999999997E-2</v>
      </c>
      <c r="D40" s="163">
        <f>SUM(D41:D48)</f>
        <v>0.12075</v>
      </c>
      <c r="E40" s="164">
        <f>SUM(E41:E48)</f>
        <v>0.17725000000000002</v>
      </c>
      <c r="F40" s="163">
        <f>SUM(F41:F48)</f>
        <v>0.24575000000000002</v>
      </c>
      <c r="G40" s="165">
        <f>SUM(G41:G48)</f>
        <v>0.3125</v>
      </c>
      <c r="H40" s="23"/>
      <c r="I40" s="151"/>
    </row>
    <row r="41" spans="1:14" ht="15.75" thickBot="1">
      <c r="A41" s="57"/>
      <c r="B41" s="166" t="s">
        <v>27</v>
      </c>
      <c r="C41" s="167">
        <f>G41</f>
        <v>0</v>
      </c>
      <c r="D41" s="167">
        <f>G41</f>
        <v>0</v>
      </c>
      <c r="E41" s="168">
        <f>G41</f>
        <v>0</v>
      </c>
      <c r="F41" s="167">
        <f>G41</f>
        <v>0</v>
      </c>
      <c r="G41" s="169">
        <v>0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0.03</v>
      </c>
      <c r="D42" s="167">
        <f>G42</f>
        <v>0.03</v>
      </c>
      <c r="E42" s="168">
        <f>G42</f>
        <v>0.03</v>
      </c>
      <c r="F42" s="171">
        <f>G42</f>
        <v>0.03</v>
      </c>
      <c r="G42" s="172">
        <v>0.03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0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0</v>
      </c>
      <c r="D48" s="177">
        <f>G48</f>
        <v>0</v>
      </c>
      <c r="E48" s="178">
        <f>G48</f>
        <v>0</v>
      </c>
      <c r="F48" s="177">
        <v>1.2E-2</v>
      </c>
      <c r="G48" s="172">
        <v>0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51.410456013709712</v>
      </c>
      <c r="D50" s="42">
        <f>$C$35+D39</f>
        <v>57.001776061399028</v>
      </c>
      <c r="E50" s="180">
        <f>$C$35+E39</f>
        <v>61.457812515870209</v>
      </c>
      <c r="F50" s="42">
        <f>$C$35+F39</f>
        <v>67.892447834688866</v>
      </c>
      <c r="G50" s="42">
        <f>$C$35+G39</f>
        <v>75.606185524842886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57.1227289041219</v>
      </c>
      <c r="D52" s="184">
        <f>$C$35/(1-D40-D51)</f>
        <v>63.335306734887808</v>
      </c>
      <c r="E52" s="185">
        <f>$C$35/(1-E40-E51)</f>
        <v>68.286458350966896</v>
      </c>
      <c r="F52" s="184">
        <f>$C$35/(1-F40-F51)</f>
        <v>75.436053149654299</v>
      </c>
      <c r="G52" s="184">
        <f>$C$35/(1-G40-G51)</f>
        <v>84.006872805380979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57.1227289041219</v>
      </c>
      <c r="D53" s="187">
        <f>D52+(D56*D52)</f>
        <v>66.18539553795776</v>
      </c>
      <c r="E53" s="188">
        <f>E52+(E56*E52)</f>
        <v>73.407942727289409</v>
      </c>
      <c r="F53" s="187">
        <f>F52+(F56*F52)</f>
        <v>83.356838730367997</v>
      </c>
      <c r="G53" s="187">
        <f>G52+(G56*G52)</f>
        <v>96.607903726188127</v>
      </c>
      <c r="H53" s="8"/>
      <c r="I53" s="58"/>
    </row>
    <row r="54" spans="1:9" ht="15.75" thickBot="1">
      <c r="A54" s="57"/>
      <c r="B54" s="189" t="s">
        <v>38</v>
      </c>
      <c r="C54" s="190">
        <f>C52-C50</f>
        <v>5.7122728904121871</v>
      </c>
      <c r="D54" s="190">
        <f>D52-D50</f>
        <v>6.3335306734887808</v>
      </c>
      <c r="E54" s="191">
        <f>E52-E50</f>
        <v>6.8286458350966868</v>
      </c>
      <c r="F54" s="190">
        <f>F52-F50</f>
        <v>7.5436053149654327</v>
      </c>
      <c r="G54" s="190">
        <f>G52-G50</f>
        <v>8.4006872805380937</v>
      </c>
      <c r="H54" s="8"/>
      <c r="I54" s="58"/>
    </row>
    <row r="55" spans="1:9" ht="15.75" thickBot="1">
      <c r="A55" s="57"/>
      <c r="B55" s="192" t="s">
        <v>66</v>
      </c>
      <c r="C55" s="193">
        <f>C54/C52</f>
        <v>9.999999999999995E-2</v>
      </c>
      <c r="D55" s="193">
        <f>D54/D52</f>
        <v>0.1</v>
      </c>
      <c r="E55" s="194">
        <f>E54/E52</f>
        <v>9.9999999999999964E-2</v>
      </c>
      <c r="F55" s="193">
        <f>F54/F52</f>
        <v>0.10000000000000003</v>
      </c>
      <c r="G55" s="193">
        <f>G54/G52</f>
        <v>9.999999999999995E-2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9.999999999999995E-2</v>
      </c>
      <c r="D57" s="196">
        <f>D55-D56</f>
        <v>5.5000000000000007E-2</v>
      </c>
      <c r="E57" s="199">
        <f>E55-E56</f>
        <v>2.4999999999999967E-2</v>
      </c>
      <c r="F57" s="196">
        <f>F55-F56</f>
        <v>-4.9999999999999628E-3</v>
      </c>
      <c r="G57" s="196">
        <f>G55-G56</f>
        <v>-5.0000000000000044E-2</v>
      </c>
      <c r="H57" s="8"/>
      <c r="I57" s="58"/>
    </row>
    <row r="58" spans="1:9" ht="16.5" thickBot="1">
      <c r="A58" s="57"/>
      <c r="B58" s="44" t="s">
        <v>39</v>
      </c>
      <c r="C58" s="200">
        <f>G58</f>
        <v>72.5</v>
      </c>
      <c r="D58" s="200">
        <f>G58</f>
        <v>72.5</v>
      </c>
      <c r="E58" s="201">
        <f>G58</f>
        <v>72.5</v>
      </c>
      <c r="F58" s="202">
        <f>G58</f>
        <v>72.5</v>
      </c>
      <c r="G58" s="203">
        <v>72.5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72.5</v>
      </c>
      <c r="D59" s="187">
        <f>D58+(D63*D58)</f>
        <v>75.762500000000003</v>
      </c>
      <c r="E59" s="188">
        <f>E58+(E63*E58)</f>
        <v>77.9375</v>
      </c>
      <c r="F59" s="187">
        <f>F58+(F63*F58)</f>
        <v>80.112499999999997</v>
      </c>
      <c r="G59" s="187">
        <f>G58+(G63*G58)</f>
        <v>83.375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20.535962226838677</v>
      </c>
      <c r="D60" s="206">
        <f>-((D58*D40)+($C$35-D58))</f>
        <v>14.391587226838677</v>
      </c>
      <c r="E60" s="207">
        <f>-((E58*E40)+($C$35-E58))</f>
        <v>10.295337226838676</v>
      </c>
      <c r="F60" s="206">
        <f>-((F58*F40)+($C$35-F58))</f>
        <v>5.3290872268386735</v>
      </c>
      <c r="G60" s="206">
        <f>-((G58*G40)+($C$35-G58))</f>
        <v>0.48971222683867666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0.28325465140467143</v>
      </c>
      <c r="D61" s="209">
        <f>D60/D58</f>
        <v>0.19850465140467141</v>
      </c>
      <c r="E61" s="210">
        <f>E60/E58</f>
        <v>0.14200465140467139</v>
      </c>
      <c r="F61" s="209">
        <f>F60/F58</f>
        <v>7.3504651404671356E-2</v>
      </c>
      <c r="G61" s="209">
        <f>G60/G58</f>
        <v>6.7546514046714018E-3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1.45</v>
      </c>
      <c r="D62" s="212">
        <f t="shared" ref="D62:F62" si="1">D58/$D$4</f>
        <v>1.45</v>
      </c>
      <c r="E62" s="212">
        <f t="shared" si="1"/>
        <v>1.45</v>
      </c>
      <c r="F62" s="212">
        <f t="shared" si="1"/>
        <v>1.45</v>
      </c>
      <c r="G62" s="212">
        <f>G58/$D$4</f>
        <v>1.45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0.28325465140467143</v>
      </c>
      <c r="D64" s="219">
        <f>D61-D63</f>
        <v>0.1535046514046714</v>
      </c>
      <c r="E64" s="220">
        <f>E61-E63</f>
        <v>6.7004651404671392E-2</v>
      </c>
      <c r="F64" s="219">
        <f>F61-F63</f>
        <v>-3.149534859532864E-2</v>
      </c>
      <c r="G64" s="219">
        <f>G61-G63</f>
        <v>-0.14324534859532859</v>
      </c>
      <c r="H64" s="221">
        <v>104.61</v>
      </c>
      <c r="I64" s="222"/>
    </row>
    <row r="65" spans="2:9">
      <c r="G65" s="27"/>
      <c r="H65" s="27"/>
      <c r="I65" s="27"/>
    </row>
    <row r="67" spans="2:9">
      <c r="B67" s="245" t="s">
        <v>95</v>
      </c>
    </row>
    <row r="68" spans="2:9">
      <c r="B68" s="252" t="s">
        <v>106</v>
      </c>
    </row>
    <row r="69" spans="2:9">
      <c r="B69" s="245" t="s">
        <v>110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B19:C20"/>
    <mergeCell ref="D19:E20"/>
    <mergeCell ref="C1:H1"/>
    <mergeCell ref="C2:H2"/>
    <mergeCell ref="B6:I6"/>
    <mergeCell ref="B7:D7"/>
    <mergeCell ref="B11:D11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37:G37"/>
    <mergeCell ref="C32:D32"/>
    <mergeCell ref="H32:I32"/>
    <mergeCell ref="C34:D34"/>
    <mergeCell ref="E34:F34"/>
    <mergeCell ref="C35:D35"/>
    <mergeCell ref="E35:F35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19" workbookViewId="0">
      <selection activeCell="D49" sqref="D49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105</v>
      </c>
      <c r="D2" s="291"/>
      <c r="E2" s="291"/>
      <c r="F2" s="291"/>
      <c r="G2" s="291"/>
      <c r="H2" s="291"/>
      <c r="I2" s="56"/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5" t="s">
        <v>44</v>
      </c>
      <c r="C7" s="296"/>
      <c r="D7" s="297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66">
        <v>945</v>
      </c>
      <c r="B8" s="67" t="str">
        <f>IF(A8&lt;&gt;0,VLOOKUP(A8,'[1]Matéria Prima Plásticos'!$A$2:$B$61,2),"")</f>
        <v>PEAD SOPRO CANELA</v>
      </c>
      <c r="C8" s="48"/>
      <c r="D8" s="49"/>
      <c r="E8" s="224">
        <v>0.14000000000000001</v>
      </c>
      <c r="F8" s="68">
        <f>IF(A8&lt;&gt;0,VLOOKUP(A8,'[1]Matéria Prima Plásticos'!$A$2:$P$61,16),"")</f>
        <v>4.45</v>
      </c>
      <c r="G8" s="69">
        <v>6.4999999999999997E-3</v>
      </c>
      <c r="H8" s="70">
        <f>E8*G8</f>
        <v>9.1E-4</v>
      </c>
      <c r="I8" s="71">
        <f>(F8+H8)*E8</f>
        <v>0.62312740000000011</v>
      </c>
    </row>
    <row r="9" spans="1:11" ht="15.75" thickBot="1">
      <c r="A9" s="52"/>
      <c r="B9" s="72"/>
      <c r="C9" s="73"/>
      <c r="D9" s="74"/>
      <c r="E9" s="225"/>
      <c r="F9" s="68"/>
      <c r="G9" s="69"/>
      <c r="H9" s="70"/>
      <c r="I9" s="71"/>
    </row>
    <row r="10" spans="1:11" ht="15.75" thickBot="1">
      <c r="A10" s="75"/>
      <c r="B10" s="76" t="s">
        <v>9</v>
      </c>
      <c r="C10" s="77"/>
      <c r="D10" s="77"/>
      <c r="E10" s="78">
        <f>SUM(E8:E9)</f>
        <v>0.14000000000000001</v>
      </c>
      <c r="F10" s="79"/>
      <c r="G10" s="79"/>
      <c r="H10" s="79"/>
      <c r="I10" s="80">
        <f>I8+I9</f>
        <v>0.62312740000000011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>GALAO 05 LT CANELA FD 50 (LARILIMP)</v>
      </c>
      <c r="C12" s="27"/>
      <c r="D12" s="58"/>
      <c r="E12" s="84">
        <f>D4</f>
        <v>50</v>
      </c>
      <c r="F12" s="85">
        <f>I10</f>
        <v>0.62312740000000011</v>
      </c>
      <c r="G12" s="86">
        <v>0</v>
      </c>
      <c r="H12" s="87">
        <v>0</v>
      </c>
      <c r="I12" s="88">
        <f>E12*F12</f>
        <v>31.156370000000006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1489</v>
      </c>
      <c r="B14" s="72" t="str">
        <f>IF(A14&lt;&gt;0,VLOOKUP(A14,'[1]Embalagens-sacos-rótulos'!$A$2:$P$55,2),"")</f>
        <v xml:space="preserve"> ETIQUETA 40X40 ROLO C/ 650</v>
      </c>
      <c r="C14" s="73"/>
      <c r="D14" s="74"/>
      <c r="E14" s="95">
        <v>1.6000000000000001E-3</v>
      </c>
      <c r="F14" s="96">
        <f>IF(A14&lt;&gt;0,VLOOKUP(A14,'[1]Embalagens-sacos-rótulos'!$A$2:$P$55,16),"")</f>
        <v>5.8</v>
      </c>
      <c r="G14" s="97">
        <v>0.02</v>
      </c>
      <c r="H14" s="98">
        <f>F14*G14</f>
        <v>0.11599999999999999</v>
      </c>
      <c r="I14" s="99">
        <f>(F14+H14)*E14</f>
        <v>9.4655999999999994E-3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11.003127301014601</v>
      </c>
      <c r="G15" s="104">
        <f>SUM(G8:G14)</f>
        <v>3.6500000000000005E-2</v>
      </c>
      <c r="H15" s="103">
        <f>SUM(H8:H9)+SUM(H12:H14)</f>
        <v>0.16270999901014599</v>
      </c>
      <c r="I15" s="105">
        <f>SUM(I12:I14)</f>
        <v>32.003975581885676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0.01</v>
      </c>
      <c r="D17" s="107">
        <f>I15*C17</f>
        <v>0.32003975581885674</v>
      </c>
      <c r="E17" s="13" t="s">
        <v>11</v>
      </c>
      <c r="F17" s="14"/>
      <c r="G17" s="108"/>
      <c r="H17" s="108"/>
      <c r="I17" s="223">
        <f>I15+D17</f>
        <v>32.32401533770453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03'!G6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03'!L6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0.79559711582551296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7.92</v>
      </c>
      <c r="G32" s="149">
        <f>H32*G58</f>
        <v>3.3000000000000002E-2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48.900501128980174</v>
      </c>
      <c r="D35" s="262"/>
      <c r="E35" s="264">
        <f>C35/D4</f>
        <v>0.97801002257960346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1"/>
      <c r="I38" s="151"/>
    </row>
    <row r="39" spans="1:14" ht="15.75" thickBot="1">
      <c r="A39" s="57"/>
      <c r="B39" s="159" t="s">
        <v>25</v>
      </c>
      <c r="C39" s="160">
        <f>C52*C40</f>
        <v>3.9966755730416494</v>
      </c>
      <c r="D39" s="160">
        <f>D52*D40</f>
        <v>9.9960542622304764</v>
      </c>
      <c r="E39" s="161">
        <f>E52*E40</f>
        <v>14.81350685666175</v>
      </c>
      <c r="F39" s="160">
        <f>F52*F40</f>
        <v>20.489252148248294</v>
      </c>
      <c r="G39" s="162">
        <f>G52*G40</f>
        <v>31.191311457156605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6.8000000000000005E-2</v>
      </c>
      <c r="D40" s="163">
        <f>SUM(D41:D48)</f>
        <v>0.15275000000000002</v>
      </c>
      <c r="E40" s="164">
        <f>SUM(E41:E48)</f>
        <v>0.20925000000000005</v>
      </c>
      <c r="F40" s="163">
        <f>SUM(F41:F48)</f>
        <v>0.26574999999999999</v>
      </c>
      <c r="G40" s="165">
        <f>SUM(G41:G48)</f>
        <v>0.35050000000000003</v>
      </c>
      <c r="H40" s="23"/>
      <c r="I40" s="151"/>
    </row>
    <row r="41" spans="1:14" ht="15.75" thickBot="1">
      <c r="A41" s="57"/>
      <c r="B41" s="166" t="s">
        <v>27</v>
      </c>
      <c r="C41" s="167">
        <f>G41</f>
        <v>0</v>
      </c>
      <c r="D41" s="167">
        <f>G41</f>
        <v>0</v>
      </c>
      <c r="E41" s="168">
        <f>G41</f>
        <v>0</v>
      </c>
      <c r="F41" s="167">
        <f>G41</f>
        <v>0</v>
      </c>
      <c r="G41" s="169">
        <v>0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6.0000000000000001E-3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1.2E-2</v>
      </c>
      <c r="D48" s="177">
        <f>G48</f>
        <v>1.2E-2</v>
      </c>
      <c r="E48" s="178">
        <f>G48</f>
        <v>1.2E-2</v>
      </c>
      <c r="F48" s="177">
        <v>1.2E-2</v>
      </c>
      <c r="G48" s="172">
        <v>1.2E-2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52.897176702021824</v>
      </c>
      <c r="D50" s="42">
        <f>$C$35+D39</f>
        <v>58.896555391210654</v>
      </c>
      <c r="E50" s="180">
        <f>$C$35+E39</f>
        <v>63.714007985641928</v>
      </c>
      <c r="F50" s="42">
        <f>$C$35+F39</f>
        <v>69.389753277228465</v>
      </c>
      <c r="G50" s="42">
        <f>$C$35+G39</f>
        <v>80.091812586136783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58.774640780024249</v>
      </c>
      <c r="D52" s="184">
        <f>$C$35/(1-D40-D51)</f>
        <v>65.440617101345168</v>
      </c>
      <c r="E52" s="185">
        <f>$C$35/(1-E40-E51)</f>
        <v>70.793342206268804</v>
      </c>
      <c r="F52" s="184">
        <f>$C$35/(1-F40-F51)</f>
        <v>77.099725863587182</v>
      </c>
      <c r="G52" s="184">
        <f>$C$35/(1-G40-G51)</f>
        <v>88.990902873485311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58.774640780024249</v>
      </c>
      <c r="D53" s="187">
        <f>D52+(D56*D52)</f>
        <v>68.385444870905701</v>
      </c>
      <c r="E53" s="188">
        <f>E52+(E56*E52)</f>
        <v>76.102842871738957</v>
      </c>
      <c r="F53" s="187">
        <f>F52+(F56*F52)</f>
        <v>85.195197079263835</v>
      </c>
      <c r="G53" s="187">
        <f>G52+(G56*G52)</f>
        <v>102.33953830450811</v>
      </c>
      <c r="H53" s="8"/>
      <c r="I53" s="58"/>
    </row>
    <row r="54" spans="1:9" ht="15.75" thickBot="1">
      <c r="A54" s="57"/>
      <c r="B54" s="189" t="s">
        <v>38</v>
      </c>
      <c r="C54" s="190">
        <f>C52-C50</f>
        <v>5.8774640780024257</v>
      </c>
      <c r="D54" s="190">
        <f>D52-D50</f>
        <v>6.544061710134514</v>
      </c>
      <c r="E54" s="191">
        <f>E52-E50</f>
        <v>7.0793342206268761</v>
      </c>
      <c r="F54" s="190">
        <f>F52-F50</f>
        <v>7.7099725863587167</v>
      </c>
      <c r="G54" s="190">
        <f>G52-G50</f>
        <v>8.8990902873485282</v>
      </c>
      <c r="H54" s="8"/>
      <c r="I54" s="58"/>
    </row>
    <row r="55" spans="1:9" ht="15.75" thickBot="1">
      <c r="A55" s="57"/>
      <c r="B55" s="192" t="s">
        <v>66</v>
      </c>
      <c r="C55" s="193">
        <f>C54/C52</f>
        <v>0.1</v>
      </c>
      <c r="D55" s="193">
        <f>D54/D52</f>
        <v>9.999999999999995E-2</v>
      </c>
      <c r="E55" s="194">
        <f>E54/E52</f>
        <v>9.9999999999999936E-2</v>
      </c>
      <c r="F55" s="193">
        <f>F54/F52</f>
        <v>9.9999999999999978E-2</v>
      </c>
      <c r="G55" s="193">
        <f>G54/G52</f>
        <v>9.9999999999999964E-2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0.1</v>
      </c>
      <c r="D57" s="196">
        <f>D55-D56</f>
        <v>5.4999999999999952E-2</v>
      </c>
      <c r="E57" s="199">
        <f>E55-E56</f>
        <v>2.4999999999999939E-2</v>
      </c>
      <c r="F57" s="196">
        <f>F55-F56</f>
        <v>-5.0000000000000183E-3</v>
      </c>
      <c r="G57" s="196">
        <f>G55-G56</f>
        <v>-5.0000000000000031E-2</v>
      </c>
      <c r="H57" s="8"/>
      <c r="I57" s="58"/>
    </row>
    <row r="58" spans="1:9" ht="16.5" thickBot="1">
      <c r="A58" s="57"/>
      <c r="B58" s="44" t="s">
        <v>39</v>
      </c>
      <c r="C58" s="200">
        <f>G58</f>
        <v>66</v>
      </c>
      <c r="D58" s="200">
        <f>G58</f>
        <v>66</v>
      </c>
      <c r="E58" s="201">
        <f>G58</f>
        <v>66</v>
      </c>
      <c r="F58" s="202">
        <f>G58</f>
        <v>66</v>
      </c>
      <c r="G58" s="203">
        <v>66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66</v>
      </c>
      <c r="D59" s="187">
        <f>D58+(D63*D58)</f>
        <v>68.97</v>
      </c>
      <c r="E59" s="188">
        <f>E58+(E63*E58)</f>
        <v>70.95</v>
      </c>
      <c r="F59" s="187">
        <f>F58+(F63*F58)</f>
        <v>72.930000000000007</v>
      </c>
      <c r="G59" s="187">
        <f>G58+(G63*G58)</f>
        <v>75.900000000000006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12.611498871019826</v>
      </c>
      <c r="D60" s="206">
        <f>-((D58*D40)+($C$35-D58))</f>
        <v>7.0179988710198238</v>
      </c>
      <c r="E60" s="207">
        <f>-((E58*E40)+($C$35-E58))</f>
        <v>3.2889988710198228</v>
      </c>
      <c r="F60" s="206">
        <f>-((F58*F40)+($C$35-F58))</f>
        <v>-0.44000112898017463</v>
      </c>
      <c r="G60" s="206">
        <f>-((G58*G40)+($C$35-G58))</f>
        <v>-6.033501128980177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0.19108331622757313</v>
      </c>
      <c r="D61" s="209">
        <f>D60/D58</f>
        <v>0.10633331622757308</v>
      </c>
      <c r="E61" s="210">
        <f>E60/E58</f>
        <v>4.9833316227573074E-2</v>
      </c>
      <c r="F61" s="209">
        <f>F60/F58</f>
        <v>-6.6666837724268886E-3</v>
      </c>
      <c r="G61" s="209">
        <f>G60/G58</f>
        <v>-9.1416683772426927E-2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1.32</v>
      </c>
      <c r="D62" s="212">
        <f t="shared" ref="D62:F62" si="1">D58/$D$4</f>
        <v>1.32</v>
      </c>
      <c r="E62" s="212">
        <f t="shared" si="1"/>
        <v>1.32</v>
      </c>
      <c r="F62" s="212">
        <f t="shared" si="1"/>
        <v>1.32</v>
      </c>
      <c r="G62" s="212">
        <f>G58/$D$4</f>
        <v>1.32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0.19108331622757313</v>
      </c>
      <c r="D64" s="219">
        <f>D61-D63</f>
        <v>6.1333316227573084E-2</v>
      </c>
      <c r="E64" s="220">
        <f>E61-E63</f>
        <v>-2.5166683772426923E-2</v>
      </c>
      <c r="F64" s="219">
        <f>F61-F63</f>
        <v>-0.11166668377242689</v>
      </c>
      <c r="G64" s="219">
        <f>G61-G63</f>
        <v>-0.24141668377242692</v>
      </c>
      <c r="H64" s="221">
        <v>85.17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37:G37"/>
    <mergeCell ref="C32:D32"/>
    <mergeCell ref="H32:I32"/>
    <mergeCell ref="C34:D34"/>
    <mergeCell ref="E34:F34"/>
    <mergeCell ref="C35:D35"/>
    <mergeCell ref="E35:F35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19:C20"/>
    <mergeCell ref="D19:E20"/>
    <mergeCell ref="C1:H1"/>
    <mergeCell ref="C2:H2"/>
    <mergeCell ref="B6:I6"/>
    <mergeCell ref="B7:D7"/>
    <mergeCell ref="B11:D11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abSelected="1" workbookViewId="0">
      <selection activeCell="H26" sqref="H26"/>
    </sheetView>
  </sheetViews>
  <sheetFormatPr defaultRowHeight="15"/>
  <cols>
    <col min="2" max="2" width="33.42578125" bestFit="1" customWidth="1"/>
    <col min="3" max="3" width="9.7109375" customWidth="1"/>
    <col min="4" max="4" width="9.5703125" customWidth="1"/>
    <col min="5" max="5" width="11.28515625" customWidth="1"/>
    <col min="6" max="6" width="14.85546875" customWidth="1"/>
    <col min="7" max="7" width="15.5703125" customWidth="1"/>
    <col min="8" max="8" width="12.28515625" customWidth="1"/>
    <col min="9" max="9" width="10.7109375" customWidth="1"/>
    <col min="10" max="10" width="9.42578125" customWidth="1"/>
    <col min="11" max="11" width="24.140625" customWidth="1"/>
    <col min="12" max="12" width="16" bestFit="1" customWidth="1"/>
    <col min="13" max="13" width="14.85546875" bestFit="1" customWidth="1"/>
  </cols>
  <sheetData>
    <row r="2" spans="2:13" ht="18.75">
      <c r="B2" s="302" t="s">
        <v>85</v>
      </c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</row>
    <row r="3" spans="2:13" ht="15.75" thickBot="1"/>
    <row r="4" spans="2:13" s="226" customFormat="1" ht="30" customHeight="1" thickBot="1">
      <c r="B4" s="227" t="s">
        <v>74</v>
      </c>
      <c r="C4" s="227" t="s">
        <v>75</v>
      </c>
      <c r="D4" s="227" t="s">
        <v>76</v>
      </c>
      <c r="E4" s="227" t="s">
        <v>77</v>
      </c>
      <c r="F4" s="227" t="s">
        <v>78</v>
      </c>
      <c r="G4" s="227" t="s">
        <v>79</v>
      </c>
      <c r="H4" s="227" t="s">
        <v>80</v>
      </c>
      <c r="I4" s="227" t="s">
        <v>50</v>
      </c>
      <c r="J4" s="227" t="s">
        <v>81</v>
      </c>
      <c r="K4" s="227" t="s">
        <v>82</v>
      </c>
      <c r="L4" s="227" t="s">
        <v>83</v>
      </c>
      <c r="M4" s="227" t="s">
        <v>84</v>
      </c>
    </row>
    <row r="5" spans="2:13" s="228" customFormat="1">
      <c r="B5" s="229" t="s">
        <v>86</v>
      </c>
      <c r="C5" s="230">
        <v>50</v>
      </c>
      <c r="D5" s="230">
        <f t="shared" ref="D5:D12" si="0">(((8.6*4)+(7.5*2))/6)*2</f>
        <v>16.466666666666665</v>
      </c>
      <c r="E5" s="230">
        <v>6</v>
      </c>
      <c r="F5" s="230">
        <f t="shared" ref="F5" si="1">D5/E5</f>
        <v>2.744444444444444</v>
      </c>
      <c r="G5" s="232">
        <f t="shared" ref="G5:G8" si="2">F5/60</f>
        <v>4.5740740740740735E-2</v>
      </c>
      <c r="H5" s="230">
        <f t="shared" ref="H5" si="3">(F5*C5)/60</f>
        <v>2.2870370370370368</v>
      </c>
      <c r="I5" s="231">
        <v>0.85</v>
      </c>
      <c r="J5" s="231"/>
      <c r="K5" s="232">
        <f t="shared" ref="K5" si="4">G5/I5</f>
        <v>5.3812636165577334E-2</v>
      </c>
      <c r="L5" s="233">
        <f t="shared" ref="L5" si="5">1/G5*60</f>
        <v>1311.7408906882592</v>
      </c>
      <c r="M5" s="233">
        <f t="shared" ref="M5" si="6">1/K5*60</f>
        <v>1114.9797570850205</v>
      </c>
    </row>
    <row r="6" spans="2:13">
      <c r="B6" s="234" t="s">
        <v>88</v>
      </c>
      <c r="C6" s="230">
        <v>50</v>
      </c>
      <c r="D6" s="230">
        <f t="shared" si="0"/>
        <v>16.466666666666665</v>
      </c>
      <c r="E6" s="230">
        <v>6</v>
      </c>
      <c r="F6" s="230">
        <f t="shared" ref="F6" si="7">D6/E6</f>
        <v>2.744444444444444</v>
      </c>
      <c r="G6" s="232">
        <f t="shared" si="2"/>
        <v>4.5740740740740735E-2</v>
      </c>
      <c r="H6" s="230">
        <f t="shared" ref="H6" si="8">(F6*C6)/60</f>
        <v>2.2870370370370368</v>
      </c>
      <c r="I6" s="231">
        <v>0.85</v>
      </c>
      <c r="J6" s="231"/>
      <c r="K6" s="232">
        <f t="shared" ref="K6" si="9">G6/I6</f>
        <v>5.3812636165577334E-2</v>
      </c>
      <c r="L6" s="233">
        <f t="shared" ref="L6" si="10">1/G6*60</f>
        <v>1311.7408906882592</v>
      </c>
      <c r="M6" s="233">
        <f t="shared" ref="M6" si="11">1/K6*60</f>
        <v>1114.9797570850205</v>
      </c>
    </row>
    <row r="7" spans="2:13">
      <c r="B7" s="234" t="s">
        <v>92</v>
      </c>
      <c r="C7" s="230">
        <v>50</v>
      </c>
      <c r="D7" s="230">
        <f t="shared" si="0"/>
        <v>16.466666666666665</v>
      </c>
      <c r="E7" s="230">
        <v>6</v>
      </c>
      <c r="F7" s="230">
        <f t="shared" ref="F7" si="12">D7/E7</f>
        <v>2.744444444444444</v>
      </c>
      <c r="G7" s="232">
        <f t="shared" si="2"/>
        <v>4.5740740740740735E-2</v>
      </c>
      <c r="H7" s="230">
        <f t="shared" ref="H7" si="13">(F7*C7)/60</f>
        <v>2.2870370370370368</v>
      </c>
      <c r="I7" s="231">
        <v>0.85</v>
      </c>
      <c r="J7" s="231"/>
      <c r="K7" s="232">
        <f t="shared" ref="K7" si="14">G7/I7</f>
        <v>5.3812636165577334E-2</v>
      </c>
      <c r="L7" s="233">
        <f t="shared" ref="L7" si="15">1/G7*60</f>
        <v>1311.7408906882592</v>
      </c>
      <c r="M7" s="233">
        <f t="shared" ref="M7" si="16">1/K7*60</f>
        <v>1114.9797570850205</v>
      </c>
    </row>
    <row r="8" spans="2:13">
      <c r="B8" s="234" t="s">
        <v>94</v>
      </c>
      <c r="C8" s="230">
        <v>50</v>
      </c>
      <c r="D8" s="230">
        <f t="shared" si="0"/>
        <v>16.466666666666665</v>
      </c>
      <c r="E8" s="230">
        <v>6</v>
      </c>
      <c r="F8" s="230">
        <f t="shared" ref="F8" si="17">D8/E8</f>
        <v>2.744444444444444</v>
      </c>
      <c r="G8" s="232">
        <f t="shared" si="2"/>
        <v>4.5740740740740735E-2</v>
      </c>
      <c r="H8" s="230">
        <f t="shared" ref="H8" si="18">(F8*C8)/60</f>
        <v>2.2870370370370368</v>
      </c>
      <c r="I8" s="231">
        <v>0.85</v>
      </c>
      <c r="J8" s="231"/>
      <c r="K8" s="232">
        <f t="shared" ref="K8" si="19">G8/I8</f>
        <v>5.3812636165577334E-2</v>
      </c>
      <c r="L8" s="233">
        <f t="shared" ref="L8" si="20">1/G8*60</f>
        <v>1311.7408906882592</v>
      </c>
      <c r="M8" s="233">
        <f t="shared" ref="M8" si="21">1/K8*60</f>
        <v>1114.9797570850205</v>
      </c>
    </row>
    <row r="9" spans="2:13">
      <c r="B9" s="234" t="s">
        <v>97</v>
      </c>
      <c r="C9" s="230">
        <v>50</v>
      </c>
      <c r="D9" s="230">
        <f t="shared" si="0"/>
        <v>16.466666666666665</v>
      </c>
      <c r="E9" s="230">
        <v>6</v>
      </c>
      <c r="F9" s="230">
        <f t="shared" ref="F9" si="22">D9/E9</f>
        <v>2.744444444444444</v>
      </c>
      <c r="G9" s="232">
        <f t="shared" ref="G9" si="23">F9/60</f>
        <v>4.5740740740740735E-2</v>
      </c>
      <c r="H9" s="230">
        <f t="shared" ref="H9" si="24">(F9*C9)/60</f>
        <v>2.2870370370370368</v>
      </c>
      <c r="I9" s="231">
        <v>0.85</v>
      </c>
      <c r="J9" s="231"/>
      <c r="K9" s="232">
        <f t="shared" ref="K9" si="25">G9/I9</f>
        <v>5.3812636165577334E-2</v>
      </c>
      <c r="L9" s="233">
        <f t="shared" ref="L9" si="26">1/G9*60</f>
        <v>1311.7408906882592</v>
      </c>
      <c r="M9" s="233">
        <f t="shared" ref="M9" si="27">1/K9*60</f>
        <v>1114.9797570850205</v>
      </c>
    </row>
    <row r="10" spans="2:13">
      <c r="B10" s="234" t="s">
        <v>99</v>
      </c>
      <c r="C10" s="230">
        <v>50</v>
      </c>
      <c r="D10" s="230">
        <f t="shared" si="0"/>
        <v>16.466666666666665</v>
      </c>
      <c r="E10" s="230">
        <v>6</v>
      </c>
      <c r="F10" s="230">
        <f t="shared" ref="F10" si="28">D10/E10</f>
        <v>2.744444444444444</v>
      </c>
      <c r="G10" s="232">
        <f t="shared" ref="G10" si="29">F10/60</f>
        <v>4.5740740740740735E-2</v>
      </c>
      <c r="H10" s="230">
        <f t="shared" ref="H10" si="30">(F10*C10)/60</f>
        <v>2.2870370370370368</v>
      </c>
      <c r="I10" s="231">
        <v>0.85</v>
      </c>
      <c r="J10" s="231"/>
      <c r="K10" s="232">
        <f t="shared" ref="K10" si="31">G10/I10</f>
        <v>5.3812636165577334E-2</v>
      </c>
      <c r="L10" s="233">
        <f t="shared" ref="L10" si="32">1/G10*60</f>
        <v>1311.7408906882592</v>
      </c>
      <c r="M10" s="233">
        <f t="shared" ref="M10" si="33">1/K10*60</f>
        <v>1114.9797570850205</v>
      </c>
    </row>
    <row r="11" spans="2:13">
      <c r="B11" s="234" t="s">
        <v>101</v>
      </c>
      <c r="C11" s="230">
        <v>50</v>
      </c>
      <c r="D11" s="230">
        <f t="shared" si="0"/>
        <v>16.466666666666665</v>
      </c>
      <c r="E11" s="230">
        <v>6</v>
      </c>
      <c r="F11" s="230">
        <f t="shared" ref="F11" si="34">D11/E11</f>
        <v>2.744444444444444</v>
      </c>
      <c r="G11" s="232">
        <f t="shared" ref="G11" si="35">F11/60</f>
        <v>4.5740740740740735E-2</v>
      </c>
      <c r="H11" s="230">
        <f t="shared" ref="H11" si="36">(F11*C11)/60</f>
        <v>2.2870370370370368</v>
      </c>
      <c r="I11" s="231">
        <v>0.85</v>
      </c>
      <c r="J11" s="231"/>
      <c r="K11" s="232">
        <f t="shared" ref="K11" si="37">G11/I11</f>
        <v>5.3812636165577334E-2</v>
      </c>
      <c r="L11" s="233">
        <f t="shared" ref="L11" si="38">1/G11*60</f>
        <v>1311.7408906882592</v>
      </c>
      <c r="M11" s="233">
        <f t="shared" ref="M11" si="39">1/K11*60</f>
        <v>1114.9797570850205</v>
      </c>
    </row>
    <row r="12" spans="2:13">
      <c r="B12" s="234" t="s">
        <v>40</v>
      </c>
      <c r="C12" s="230">
        <v>50</v>
      </c>
      <c r="D12" s="230">
        <f t="shared" si="0"/>
        <v>16.466666666666665</v>
      </c>
      <c r="E12" s="230">
        <v>6</v>
      </c>
      <c r="F12" s="230">
        <f t="shared" ref="F12" si="40">D12/E12</f>
        <v>2.744444444444444</v>
      </c>
      <c r="G12" s="232">
        <f t="shared" ref="G12" si="41">F12/60</f>
        <v>4.5740740740740735E-2</v>
      </c>
      <c r="H12" s="230">
        <f t="shared" ref="H12" si="42">(F12*C12)/60</f>
        <v>2.2870370370370368</v>
      </c>
      <c r="I12" s="231">
        <v>0.85</v>
      </c>
      <c r="J12" s="231"/>
      <c r="K12" s="232">
        <f t="shared" ref="K12" si="43">G12/I12</f>
        <v>5.3812636165577334E-2</v>
      </c>
      <c r="L12" s="233">
        <f t="shared" ref="L12" si="44">1/G12*60</f>
        <v>1311.7408906882592</v>
      </c>
      <c r="M12" s="233">
        <f t="shared" ref="M12" si="45">1/K12*60</f>
        <v>1114.9797570850205</v>
      </c>
    </row>
    <row r="13" spans="2:13">
      <c r="B13" s="234"/>
      <c r="C13" s="235"/>
      <c r="D13" s="230"/>
      <c r="E13" s="230"/>
      <c r="F13" s="230"/>
      <c r="G13" s="230"/>
      <c r="H13" s="230"/>
      <c r="I13" s="231"/>
      <c r="J13" s="236"/>
      <c r="K13" s="232"/>
      <c r="L13" s="233"/>
      <c r="M13" s="233"/>
    </row>
    <row r="14" spans="2:13" ht="15.75" thickBot="1">
      <c r="B14" s="237"/>
      <c r="C14" s="238"/>
      <c r="D14" s="239"/>
      <c r="E14" s="239"/>
      <c r="F14" s="239"/>
      <c r="G14" s="239"/>
      <c r="H14" s="239"/>
      <c r="I14" s="240"/>
      <c r="J14" s="7"/>
      <c r="K14" s="241"/>
      <c r="L14" s="242"/>
      <c r="M14" s="242"/>
    </row>
    <row r="15" spans="2:13">
      <c r="C15" s="243"/>
    </row>
    <row r="16" spans="2:13">
      <c r="C16" s="243"/>
    </row>
    <row r="17" spans="3:8">
      <c r="C17" s="243"/>
    </row>
    <row r="18" spans="3:8">
      <c r="C18" s="243"/>
    </row>
    <row r="19" spans="3:8">
      <c r="C19" s="243"/>
    </row>
    <row r="20" spans="3:8">
      <c r="C20" s="243"/>
    </row>
    <row r="21" spans="3:8">
      <c r="C21" s="243"/>
    </row>
    <row r="22" spans="3:8">
      <c r="C22" s="243"/>
    </row>
    <row r="23" spans="3:8">
      <c r="C23" s="243"/>
    </row>
    <row r="24" spans="3:8">
      <c r="C24" s="243"/>
    </row>
    <row r="25" spans="3:8">
      <c r="C25" s="243"/>
    </row>
    <row r="26" spans="3:8">
      <c r="C26" s="243"/>
      <c r="H26" s="303"/>
    </row>
  </sheetData>
  <mergeCells count="1">
    <mergeCell ref="B2:M2"/>
  </mergeCells>
  <pageMargins left="0" right="0" top="0" bottom="0" header="0" footer="0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I28" sqref="I28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91</v>
      </c>
      <c r="D2" s="291"/>
      <c r="E2" s="291"/>
      <c r="F2" s="291"/>
      <c r="G2" s="291"/>
      <c r="H2" s="291"/>
      <c r="I2" s="56">
        <v>1198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5" t="s">
        <v>44</v>
      </c>
      <c r="C7" s="296"/>
      <c r="D7" s="297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66">
        <v>1380</v>
      </c>
      <c r="B8" s="67" t="str">
        <f>IF(A8&lt;&gt;0,VLOOKUP(A8,'[1]Matéria Prima Plásticos'!$A$2:$B$61,2),"")</f>
        <v>MASTER BATCH BRANCO</v>
      </c>
      <c r="C8" s="48"/>
      <c r="D8" s="49"/>
      <c r="E8" s="224">
        <f>0.14*(2500/127500)</f>
        <v>2.7450980392156863E-3</v>
      </c>
      <c r="F8" s="68">
        <f>IF(A8&lt;&gt;0,VLOOKUP(A8,'[1]Matéria Prima Plásticos'!$A$2:$P$61,16),"")</f>
        <v>12.35</v>
      </c>
      <c r="G8" s="69">
        <v>6.4999999999999997E-3</v>
      </c>
      <c r="H8" s="70">
        <f>E8*G8</f>
        <v>1.7843137254901961E-5</v>
      </c>
      <c r="I8" s="71">
        <f>(F8+H8)*E8</f>
        <v>3.3902009765474819E-2</v>
      </c>
    </row>
    <row r="9" spans="1:11" ht="15.75" thickBot="1">
      <c r="A9" s="52">
        <v>6541</v>
      </c>
      <c r="B9" s="72" t="str">
        <f>IF(A9&lt;&gt;0,VLOOKUP(A9,'[1]Matéria Prima Plásticos'!$A$2:$B$61,2),"")</f>
        <v>PEAD SOPRO VIRGEM HS5403 - BRASKEM</v>
      </c>
      <c r="C9" s="73"/>
      <c r="D9" s="74"/>
      <c r="E9" s="225">
        <f>0.14*(125000/127500)</f>
        <v>0.13725490196078433</v>
      </c>
      <c r="F9" s="68">
        <f>IF(A9&lt;&gt;0,VLOOKUP(A9,'[1]Matéria Prima Plásticos'!$A$2:$P$61,16),"")</f>
        <v>5.0686277952845522</v>
      </c>
      <c r="G9" s="69">
        <v>6.4999999999999997E-3</v>
      </c>
      <c r="H9" s="70">
        <f>E9*G9</f>
        <v>8.9215686274509809E-4</v>
      </c>
      <c r="I9" s="71">
        <f>(F9+H9)*E9</f>
        <v>0.69581646402021735</v>
      </c>
    </row>
    <row r="10" spans="1:11" ht="15.75" thickBot="1">
      <c r="A10" s="75"/>
      <c r="B10" s="76" t="s">
        <v>9</v>
      </c>
      <c r="C10" s="77"/>
      <c r="D10" s="77"/>
      <c r="E10" s="78">
        <f>SUM(E8:E9)</f>
        <v>0.14000000000000001</v>
      </c>
      <c r="F10" s="79"/>
      <c r="G10" s="79"/>
      <c r="H10" s="79"/>
      <c r="I10" s="80">
        <f>I8+I9</f>
        <v>0.72971847378569221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>GALAO 05 LT BRANCO FD 50 PC</v>
      </c>
      <c r="C12" s="27"/>
      <c r="D12" s="58"/>
      <c r="E12" s="84">
        <f>D4</f>
        <v>50</v>
      </c>
      <c r="F12" s="85">
        <f>I10</f>
        <v>0.72971847378569221</v>
      </c>
      <c r="G12" s="86">
        <v>0</v>
      </c>
      <c r="H12" s="87">
        <v>0</v>
      </c>
      <c r="I12" s="88">
        <f>E12*F12</f>
        <v>36.485923689284611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29.309718374800294</v>
      </c>
      <c r="G15" s="104">
        <f>SUM(G8:G14)</f>
        <v>4.2999999999999997E-2</v>
      </c>
      <c r="H15" s="103">
        <f>SUM(H8:H9)+SUM(H12:H14)</f>
        <v>0.52670999901014592</v>
      </c>
      <c r="I15" s="105">
        <f>SUM(I12:I14)</f>
        <v>37.333855671170284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0.01</v>
      </c>
      <c r="D17" s="107">
        <f>I15*C17</f>
        <v>0.37333855671170285</v>
      </c>
      <c r="E17" s="13" t="s">
        <v>11</v>
      </c>
      <c r="F17" s="14"/>
      <c r="G17" s="108"/>
      <c r="H17" s="108"/>
      <c r="I17" s="223">
        <f>I15+D17</f>
        <v>37.707194227881985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03'!G7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03'!L7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0.90218818961120506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11.529599999999999</v>
      </c>
      <c r="G32" s="149">
        <f>H32*G58</f>
        <v>4.8039999999999999E-2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57.908320019157628</v>
      </c>
      <c r="D35" s="262"/>
      <c r="E35" s="264">
        <f>C35/D4</f>
        <v>1.1581664003831527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0"/>
      <c r="I38" s="151"/>
    </row>
    <row r="39" spans="1:14" ht="15.75" thickBot="1">
      <c r="A39" s="57"/>
      <c r="B39" s="159" t="s">
        <v>25</v>
      </c>
      <c r="C39" s="160">
        <f>C52*C40</f>
        <v>6.2757785242436848</v>
      </c>
      <c r="D39" s="160">
        <f>D52*D40</f>
        <v>13.755465497847343</v>
      </c>
      <c r="E39" s="161">
        <f>E52*E40</f>
        <v>19.791997561523502</v>
      </c>
      <c r="F39" s="160">
        <f>F52*F40</f>
        <v>26.939035320267465</v>
      </c>
      <c r="G39" s="162">
        <f>G52*G40</f>
        <v>40.519419390175457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8.8000000000000009E-2</v>
      </c>
      <c r="D40" s="163">
        <f>SUM(D41:D48)</f>
        <v>0.17275000000000001</v>
      </c>
      <c r="E40" s="164">
        <f>SUM(E41:E48)</f>
        <v>0.22925000000000004</v>
      </c>
      <c r="F40" s="163">
        <f>SUM(F41:F48)</f>
        <v>0.28575</v>
      </c>
      <c r="G40" s="165">
        <f>SUM(G41:G48)</f>
        <v>0.37050000000000005</v>
      </c>
      <c r="H40" s="23"/>
      <c r="I40" s="151"/>
    </row>
    <row r="41" spans="1:14" ht="15.75" thickBot="1">
      <c r="A41" s="57"/>
      <c r="B41" s="166" t="s">
        <v>27</v>
      </c>
      <c r="C41" s="167">
        <f>G41</f>
        <v>0.02</v>
      </c>
      <c r="D41" s="167">
        <f>G41</f>
        <v>0.02</v>
      </c>
      <c r="E41" s="168">
        <f>G41</f>
        <v>0.02</v>
      </c>
      <c r="F41" s="167">
        <f>G41</f>
        <v>0.02</v>
      </c>
      <c r="G41" s="169">
        <v>0.02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6.0000000000000001E-3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1.2E-2</v>
      </c>
      <c r="D48" s="177">
        <f>G48</f>
        <v>1.2E-2</v>
      </c>
      <c r="E48" s="178">
        <f>G48</f>
        <v>1.2E-2</v>
      </c>
      <c r="F48" s="177">
        <v>1.2E-2</v>
      </c>
      <c r="G48" s="172">
        <v>1.2E-2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64.184098543401319</v>
      </c>
      <c r="D50" s="42">
        <f>$C$35+D39</f>
        <v>71.663785517004968</v>
      </c>
      <c r="E50" s="180">
        <f>$C$35+E39</f>
        <v>77.70031758068113</v>
      </c>
      <c r="F50" s="42">
        <f>$C$35+F39</f>
        <v>84.847355339425093</v>
      </c>
      <c r="G50" s="42">
        <f>$C$35+G39</f>
        <v>98.427739409333086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71.315665048223678</v>
      </c>
      <c r="D52" s="184">
        <f>$C$35/(1-D40-D51)</f>
        <v>79.626428352227734</v>
      </c>
      <c r="E52" s="185">
        <f>$C$35/(1-E40-E51)</f>
        <v>86.333686200756816</v>
      </c>
      <c r="F52" s="184">
        <f>$C$35/(1-F40-F51)</f>
        <v>94.274839266027868</v>
      </c>
      <c r="G52" s="184">
        <f>$C$35/(1-G40-G51)</f>
        <v>109.36415489925898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71.315665048223678</v>
      </c>
      <c r="D53" s="187">
        <f>D52+(D56*D52)</f>
        <v>83.209617628077979</v>
      </c>
      <c r="E53" s="188">
        <f>E52+(E56*E52)</f>
        <v>92.808712665813573</v>
      </c>
      <c r="F53" s="187">
        <f>F52+(F56*F52)</f>
        <v>104.17369738896079</v>
      </c>
      <c r="G53" s="187">
        <f>G52+(G56*G52)</f>
        <v>125.76877813414782</v>
      </c>
      <c r="H53" s="8"/>
      <c r="I53" s="58"/>
    </row>
    <row r="54" spans="1:9" ht="15.75" thickBot="1">
      <c r="A54" s="57"/>
      <c r="B54" s="189" t="s">
        <v>38</v>
      </c>
      <c r="C54" s="190">
        <f>C52-C50</f>
        <v>7.1315665048223593</v>
      </c>
      <c r="D54" s="190">
        <f>D52-D50</f>
        <v>7.9626428352227663</v>
      </c>
      <c r="E54" s="191">
        <f>E52-E50</f>
        <v>8.6333686200756858</v>
      </c>
      <c r="F54" s="190">
        <f>F52-F50</f>
        <v>9.4274839266027755</v>
      </c>
      <c r="G54" s="190">
        <f>G52-G50</f>
        <v>10.936415489925892</v>
      </c>
      <c r="H54" s="8"/>
      <c r="I54" s="58"/>
    </row>
    <row r="55" spans="1:9" ht="15.75" thickBot="1">
      <c r="A55" s="57"/>
      <c r="B55" s="192" t="s">
        <v>66</v>
      </c>
      <c r="C55" s="193">
        <f>C54/C52</f>
        <v>9.9999999999999881E-2</v>
      </c>
      <c r="D55" s="193">
        <f>D54/D52</f>
        <v>9.9999999999999908E-2</v>
      </c>
      <c r="E55" s="194">
        <f>E54/E52</f>
        <v>0.10000000000000005</v>
      </c>
      <c r="F55" s="193">
        <f>F54/F52</f>
        <v>9.9999999999999881E-2</v>
      </c>
      <c r="G55" s="193">
        <f>G54/G52</f>
        <v>9.999999999999995E-2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9.9999999999999881E-2</v>
      </c>
      <c r="D57" s="196">
        <f>D55-D56</f>
        <v>5.499999999999991E-2</v>
      </c>
      <c r="E57" s="199">
        <f>E55-E56</f>
        <v>2.500000000000005E-2</v>
      </c>
      <c r="F57" s="196">
        <f>F55-F56</f>
        <v>-5.0000000000001155E-3</v>
      </c>
      <c r="G57" s="196">
        <f>G55-G56</f>
        <v>-5.0000000000000044E-2</v>
      </c>
      <c r="H57" s="8"/>
      <c r="I57" s="58"/>
    </row>
    <row r="58" spans="1:9" ht="16.5" thickBot="1">
      <c r="A58" s="57"/>
      <c r="B58" s="44" t="s">
        <v>39</v>
      </c>
      <c r="C58" s="200">
        <f>G58</f>
        <v>96.08</v>
      </c>
      <c r="D58" s="200">
        <f>G58</f>
        <v>96.08</v>
      </c>
      <c r="E58" s="201">
        <f>G58</f>
        <v>96.08</v>
      </c>
      <c r="F58" s="202">
        <f>G58</f>
        <v>96.08</v>
      </c>
      <c r="G58" s="203">
        <v>96.08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96.08</v>
      </c>
      <c r="D59" s="187">
        <f>D58+(D63*D58)</f>
        <v>100.4036</v>
      </c>
      <c r="E59" s="188">
        <f>E58+(E63*E58)</f>
        <v>103.286</v>
      </c>
      <c r="F59" s="187">
        <f>F58+(F63*F58)</f>
        <v>106.16839999999999</v>
      </c>
      <c r="G59" s="187">
        <f>G58+(G63*G58)</f>
        <v>110.49199999999999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29.71663998084237</v>
      </c>
      <c r="D60" s="206">
        <f>-((D58*D40)+($C$35-D58))</f>
        <v>21.573859980842368</v>
      </c>
      <c r="E60" s="207">
        <f>-((E58*E40)+($C$35-E58))</f>
        <v>16.145339980842365</v>
      </c>
      <c r="F60" s="206">
        <f>-((F58*F40)+($C$35-F58))</f>
        <v>10.71681998084237</v>
      </c>
      <c r="G60" s="206">
        <f>-((G58*G40)+($C$35-G58))</f>
        <v>2.5740399808423646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0.30929059097462919</v>
      </c>
      <c r="D61" s="209">
        <f>D60/D58</f>
        <v>0.22454059097462914</v>
      </c>
      <c r="E61" s="210">
        <f>E60/E58</f>
        <v>0.16804059097462912</v>
      </c>
      <c r="F61" s="209">
        <f>F60/F58</f>
        <v>0.11154059097462916</v>
      </c>
      <c r="G61" s="209">
        <f>G60/G58</f>
        <v>2.6790590974629106E-2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1.9216</v>
      </c>
      <c r="D62" s="212">
        <f t="shared" ref="D62:F62" si="1">D58/$D$4</f>
        <v>1.9216</v>
      </c>
      <c r="E62" s="212">
        <f t="shared" si="1"/>
        <v>1.9216</v>
      </c>
      <c r="F62" s="212">
        <f t="shared" si="1"/>
        <v>1.9216</v>
      </c>
      <c r="G62" s="212">
        <f>G58/$D$4</f>
        <v>1.9216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0.30929059097462919</v>
      </c>
      <c r="D64" s="219">
        <f>D61-D63</f>
        <v>0.17954059097462916</v>
      </c>
      <c r="E64" s="220">
        <f>E61-E63</f>
        <v>9.304059097462912E-2</v>
      </c>
      <c r="F64" s="219">
        <f>F61-F63</f>
        <v>6.5405909746291679E-3</v>
      </c>
      <c r="G64" s="219">
        <f>G61-G63</f>
        <v>-0.12320940902537089</v>
      </c>
      <c r="H64" s="221">
        <v>70.72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19:C20"/>
    <mergeCell ref="D19:E20"/>
    <mergeCell ref="C1:H1"/>
    <mergeCell ref="C2:H2"/>
    <mergeCell ref="B6:I6"/>
    <mergeCell ref="B7:D7"/>
    <mergeCell ref="B11:D11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37:G37"/>
    <mergeCell ref="C32:D32"/>
    <mergeCell ref="H32:I32"/>
    <mergeCell ref="C34:D34"/>
    <mergeCell ref="E34:F34"/>
    <mergeCell ref="C35:D35"/>
    <mergeCell ref="E35:F35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10" workbookViewId="0">
      <selection activeCell="D21" sqref="D21:D23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93</v>
      </c>
      <c r="D2" s="291"/>
      <c r="E2" s="291"/>
      <c r="F2" s="291"/>
      <c r="G2" s="291"/>
      <c r="H2" s="291"/>
      <c r="I2" s="56">
        <v>1201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9" t="s">
        <v>44</v>
      </c>
      <c r="C7" s="300"/>
      <c r="D7" s="301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52">
        <v>6541</v>
      </c>
      <c r="B8" s="67" t="str">
        <f>IF(A8&lt;&gt;0,VLOOKUP(A8,'[1]Matéria Prima Plásticos'!$A$2:$B$61,2),"")</f>
        <v>PEAD SOPRO VIRGEM HS5403 - BRASKEM</v>
      </c>
      <c r="C8" s="48"/>
      <c r="D8" s="48"/>
      <c r="E8" s="224">
        <v>0.14000000000000001</v>
      </c>
      <c r="F8" s="247">
        <f>IF(A8&lt;&gt;0,VLOOKUP(A8,'[1]Matéria Prima Plásticos'!$A$2:$P$61,16),"")</f>
        <v>5.0686277952845522</v>
      </c>
      <c r="G8" s="248">
        <v>6.4999999999999997E-3</v>
      </c>
      <c r="H8" s="249">
        <f>E8*G8</f>
        <v>9.1E-4</v>
      </c>
      <c r="I8" s="88">
        <f>(F8+H8)*E8</f>
        <v>0.70973529133983737</v>
      </c>
    </row>
    <row r="9" spans="1:11" ht="15.75" thickBot="1">
      <c r="B9" s="246"/>
      <c r="C9" s="73"/>
      <c r="D9" s="73"/>
      <c r="E9" s="7"/>
      <c r="F9" s="7"/>
      <c r="G9" s="7"/>
      <c r="H9" s="7"/>
      <c r="I9" s="7"/>
    </row>
    <row r="10" spans="1:11" ht="15.75" thickBot="1">
      <c r="A10" s="75"/>
      <c r="B10" s="76" t="s">
        <v>9</v>
      </c>
      <c r="C10" s="77"/>
      <c r="D10" s="77"/>
      <c r="E10" s="78">
        <f>SUM(E8:E8)</f>
        <v>0.14000000000000001</v>
      </c>
      <c r="F10" s="79"/>
      <c r="G10" s="79"/>
      <c r="H10" s="79"/>
      <c r="I10" s="80">
        <f>SUM(I8:I9)</f>
        <v>0.70973529133983737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 xml:space="preserve">GALAO 05 LT CRISTAL FD 50 </v>
      </c>
      <c r="C12" s="27"/>
      <c r="D12" s="58"/>
      <c r="E12" s="84">
        <f>D4</f>
        <v>50</v>
      </c>
      <c r="F12" s="85">
        <f>I10</f>
        <v>0.70973529133983737</v>
      </c>
      <c r="G12" s="86">
        <v>0</v>
      </c>
      <c r="H12" s="87">
        <v>0</v>
      </c>
      <c r="I12" s="88">
        <f>E12*F12</f>
        <v>35.486764566991866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29.289735192354438</v>
      </c>
      <c r="G15" s="104">
        <f>SUM(G8:G14)</f>
        <v>3.6500000000000005E-2</v>
      </c>
      <c r="H15" s="103">
        <f>SUM(H8:H9)+SUM(H12:H14)</f>
        <v>0.52670999901014592</v>
      </c>
      <c r="I15" s="105">
        <f>SUM(I12:I14)</f>
        <v>36.334696548877538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</v>
      </c>
      <c r="D17" s="107">
        <f>I15*C17</f>
        <v>0</v>
      </c>
      <c r="E17" s="13" t="s">
        <v>11</v>
      </c>
      <c r="F17" s="14"/>
      <c r="G17" s="108"/>
      <c r="H17" s="108"/>
      <c r="I17" s="223">
        <f>I15+D17</f>
        <v>36.334696548877538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03'!G8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53">
        <f>H24*60</f>
        <v>187.65967797835563</v>
      </c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8">
        <f>H25*60</f>
        <v>37.124511018377348</v>
      </c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03'!L8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0.88220500716535022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13.47264</v>
      </c>
      <c r="G32" s="149">
        <f>H32*G58</f>
        <v>5.6136000000000005E-2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58.48695834015318</v>
      </c>
      <c r="D35" s="262"/>
      <c r="E35" s="264">
        <f>C35/D4</f>
        <v>1.1697391668030637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0"/>
      <c r="I38" s="151"/>
    </row>
    <row r="39" spans="1:14" ht="15.75" thickBot="1">
      <c r="A39" s="57"/>
      <c r="B39" s="159" t="s">
        <v>25</v>
      </c>
      <c r="C39" s="160">
        <f>C52*C40</f>
        <v>6.740132745519511</v>
      </c>
      <c r="D39" s="160">
        <f>D52*D40</f>
        <v>14.393986632000319</v>
      </c>
      <c r="E39" s="161">
        <f>E52*E40</f>
        <v>20.579151319836104</v>
      </c>
      <c r="F39" s="160">
        <f>F52*F40</f>
        <v>27.911502892736202</v>
      </c>
      <c r="G39" s="162">
        <f>G52*G40</f>
        <v>40.736910662934207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9.2999999999999999E-2</v>
      </c>
      <c r="D40" s="163">
        <f>SUM(D41:D48)</f>
        <v>0.17775000000000002</v>
      </c>
      <c r="E40" s="164">
        <f>SUM(E41:E48)</f>
        <v>0.23425000000000004</v>
      </c>
      <c r="F40" s="163">
        <f>SUM(F41:F48)</f>
        <v>0.29074999999999995</v>
      </c>
      <c r="G40" s="165">
        <f>SUM(G41:G48)</f>
        <v>0.3695</v>
      </c>
      <c r="H40" s="23"/>
      <c r="I40" s="151"/>
    </row>
    <row r="41" spans="1:14" ht="15.75" thickBot="1">
      <c r="A41" s="57"/>
      <c r="B41" s="166" t="s">
        <v>27</v>
      </c>
      <c r="C41" s="167">
        <f>G41</f>
        <v>0</v>
      </c>
      <c r="D41" s="167">
        <f>G41</f>
        <v>0</v>
      </c>
      <c r="E41" s="168">
        <f>G41</f>
        <v>0</v>
      </c>
      <c r="F41" s="167">
        <f>G41</f>
        <v>0</v>
      </c>
      <c r="G41" s="169">
        <v>0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0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3.6999999999999998E-2</v>
      </c>
      <c r="D48" s="177">
        <f>G48</f>
        <v>3.6999999999999998E-2</v>
      </c>
      <c r="E48" s="178">
        <f>G48</f>
        <v>3.6999999999999998E-2</v>
      </c>
      <c r="F48" s="177">
        <f>G48</f>
        <v>3.6999999999999998E-2</v>
      </c>
      <c r="G48" s="172">
        <v>3.6999999999999998E-2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65.227091085672697</v>
      </c>
      <c r="D50" s="42">
        <f>$C$35+D39</f>
        <v>72.8809449721535</v>
      </c>
      <c r="E50" s="180">
        <f>$C$35+E39</f>
        <v>79.06610965998928</v>
      </c>
      <c r="F50" s="42">
        <f>$C$35+F39</f>
        <v>86.398461232889389</v>
      </c>
      <c r="G50" s="42">
        <f>$C$35+G39</f>
        <v>99.223869003087387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72.47454565074743</v>
      </c>
      <c r="D52" s="184">
        <f>$C$35/(1-D40-D51)</f>
        <v>80.978827746837226</v>
      </c>
      <c r="E52" s="185">
        <f>$C$35/(1-E40-E51)</f>
        <v>87.851232955543651</v>
      </c>
      <c r="F52" s="184">
        <f>$C$35/(1-F40-F51)</f>
        <v>95.998290258765977</v>
      </c>
      <c r="G52" s="184">
        <f>$C$35/(1-G40-G51)</f>
        <v>110.24874333676375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72.47454565074743</v>
      </c>
      <c r="D53" s="187">
        <f>D52+(D56*D52)</f>
        <v>84.622874995444903</v>
      </c>
      <c r="E53" s="188">
        <f>E52+(E56*E52)</f>
        <v>94.440075427209422</v>
      </c>
      <c r="F53" s="187">
        <f>F52+(F56*F52)</f>
        <v>106.07811073593641</v>
      </c>
      <c r="G53" s="187">
        <f>G52+(G56*G52)</f>
        <v>126.78605483727831</v>
      </c>
      <c r="H53" s="8"/>
      <c r="I53" s="58"/>
    </row>
    <row r="54" spans="1:9" ht="15.75" thickBot="1">
      <c r="A54" s="57"/>
      <c r="B54" s="189" t="s">
        <v>38</v>
      </c>
      <c r="C54" s="190">
        <f>C52-C50</f>
        <v>7.2474545650747331</v>
      </c>
      <c r="D54" s="190">
        <f>D52-D50</f>
        <v>8.0978827746837254</v>
      </c>
      <c r="E54" s="191">
        <f>E52-E50</f>
        <v>8.7851232955543708</v>
      </c>
      <c r="F54" s="190">
        <f>F52-F50</f>
        <v>9.5998290258765877</v>
      </c>
      <c r="G54" s="190">
        <f>G52-G50</f>
        <v>11.024874333676365</v>
      </c>
      <c r="H54" s="8"/>
      <c r="I54" s="58"/>
    </row>
    <row r="55" spans="1:9" ht="15.75" thickBot="1">
      <c r="A55" s="57"/>
      <c r="B55" s="192" t="s">
        <v>66</v>
      </c>
      <c r="C55" s="193">
        <f>C54/C52</f>
        <v>9.9999999999999867E-2</v>
      </c>
      <c r="D55" s="193">
        <f>D54/D52</f>
        <v>0.10000000000000003</v>
      </c>
      <c r="E55" s="194">
        <f>E54/E52</f>
        <v>0.10000000000000006</v>
      </c>
      <c r="F55" s="193">
        <f>F54/F52</f>
        <v>9.9999999999999895E-2</v>
      </c>
      <c r="G55" s="193">
        <f>G54/G52</f>
        <v>9.9999999999999908E-2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9.9999999999999867E-2</v>
      </c>
      <c r="D57" s="196">
        <f>D55-D56</f>
        <v>5.5000000000000035E-2</v>
      </c>
      <c r="E57" s="199">
        <f>E55-E56</f>
        <v>2.5000000000000064E-2</v>
      </c>
      <c r="F57" s="196">
        <f>F55-F56</f>
        <v>-5.0000000000001016E-3</v>
      </c>
      <c r="G57" s="196">
        <f>G55-G56</f>
        <v>-5.0000000000000086E-2</v>
      </c>
      <c r="H57" s="8"/>
      <c r="I57" s="58"/>
    </row>
    <row r="58" spans="1:9" ht="16.5" thickBot="1">
      <c r="A58" s="57"/>
      <c r="B58" s="44" t="s">
        <v>39</v>
      </c>
      <c r="C58" s="200">
        <f>G58</f>
        <v>112.27200000000001</v>
      </c>
      <c r="D58" s="200">
        <f>G58</f>
        <v>112.27200000000001</v>
      </c>
      <c r="E58" s="201">
        <f>G58</f>
        <v>112.27200000000001</v>
      </c>
      <c r="F58" s="202">
        <f>G58</f>
        <v>112.27200000000001</v>
      </c>
      <c r="G58" s="203">
        <v>112.27200000000001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112.27200000000001</v>
      </c>
      <c r="D59" s="187">
        <f>D58+(D63*D58)</f>
        <v>117.32424</v>
      </c>
      <c r="E59" s="188">
        <f>E58+(E63*E58)</f>
        <v>120.69240000000001</v>
      </c>
      <c r="F59" s="187">
        <f>F58+(F63*F58)</f>
        <v>124.06056000000001</v>
      </c>
      <c r="G59" s="187">
        <f>G58+(G63*G58)</f>
        <v>129.11279999999999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43.343745659846824</v>
      </c>
      <c r="D60" s="206">
        <f>-((D58*D40)+($C$35-D58))</f>
        <v>33.82869365984682</v>
      </c>
      <c r="E60" s="207">
        <f>-((E58*E40)+($C$35-E58))</f>
        <v>27.485325659846819</v>
      </c>
      <c r="F60" s="206">
        <f>-((F58*F40)+($C$35-F58))</f>
        <v>21.141957659846831</v>
      </c>
      <c r="G60" s="206">
        <f>-((G58*G40)+($C$35-G58))</f>
        <v>12.300537659846825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0.38606015444498026</v>
      </c>
      <c r="D61" s="209">
        <f>D60/D58</f>
        <v>0.30131015444498022</v>
      </c>
      <c r="E61" s="210">
        <f>E60/E58</f>
        <v>0.24481015444498019</v>
      </c>
      <c r="F61" s="209">
        <f>F60/F58</f>
        <v>0.18831015444498031</v>
      </c>
      <c r="G61" s="209">
        <f>G60/G58</f>
        <v>0.10956015444498027</v>
      </c>
      <c r="H61" s="27"/>
      <c r="I61" s="58"/>
    </row>
    <row r="62" spans="1:9" ht="15.75" thickBot="1">
      <c r="A62" s="57"/>
      <c r="B62" s="211" t="s">
        <v>5</v>
      </c>
      <c r="C62" s="212">
        <f>C58/$D$4</f>
        <v>2.2454400000000003</v>
      </c>
      <c r="D62" s="212">
        <f t="shared" ref="D62:F62" si="1">D58/$D$4</f>
        <v>2.2454400000000003</v>
      </c>
      <c r="E62" s="212">
        <f t="shared" si="1"/>
        <v>2.2454400000000003</v>
      </c>
      <c r="F62" s="212">
        <f t="shared" si="1"/>
        <v>2.2454400000000003</v>
      </c>
      <c r="G62" s="212">
        <f>G58/$D$4</f>
        <v>2.2454400000000003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0.38606015444498026</v>
      </c>
      <c r="D64" s="219">
        <f>D61-D63</f>
        <v>0.25631015444498023</v>
      </c>
      <c r="E64" s="220">
        <f>E61-E63</f>
        <v>0.16981015444498021</v>
      </c>
      <c r="F64" s="219">
        <f>F61-F63</f>
        <v>8.3310154444980314E-2</v>
      </c>
      <c r="G64" s="219">
        <f>G61-G63</f>
        <v>-4.0439845555019727E-2</v>
      </c>
      <c r="H64" s="221">
        <v>104.61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19:C20"/>
    <mergeCell ref="D19:E20"/>
    <mergeCell ref="C1:H1"/>
    <mergeCell ref="C2:H2"/>
    <mergeCell ref="B6:I6"/>
    <mergeCell ref="B7:D7"/>
    <mergeCell ref="B11:D11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37:G37"/>
    <mergeCell ref="C32:D32"/>
    <mergeCell ref="H32:I32"/>
    <mergeCell ref="C34:D34"/>
    <mergeCell ref="E34:F34"/>
    <mergeCell ref="C35:D35"/>
    <mergeCell ref="E35:F35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43" workbookViewId="0">
      <selection activeCell="E61" sqref="E61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93</v>
      </c>
      <c r="D2" s="291"/>
      <c r="E2" s="291"/>
      <c r="F2" s="291"/>
      <c r="G2" s="291"/>
      <c r="H2" s="291"/>
      <c r="I2" s="56">
        <v>1201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9" t="s">
        <v>44</v>
      </c>
      <c r="C7" s="300"/>
      <c r="D7" s="301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52">
        <v>6541</v>
      </c>
      <c r="B8" s="67" t="str">
        <f>IF(A8&lt;&gt;0,VLOOKUP(A8,'[1]Matéria Prima Plásticos'!$A$2:$B$61,2),"")</f>
        <v>PEAD SOPRO VIRGEM HS5403 - BRASKEM</v>
      </c>
      <c r="C8" s="48"/>
      <c r="D8" s="48"/>
      <c r="E8" s="224">
        <v>0.14000000000000001</v>
      </c>
      <c r="F8" s="247">
        <f>IF(A8&lt;&gt;0,VLOOKUP(A8,'[1]Matéria Prima Plásticos'!$A$2:$P$61,16),"")</f>
        <v>5.0686277952845522</v>
      </c>
      <c r="G8" s="248">
        <v>6.4999999999999997E-3</v>
      </c>
      <c r="H8" s="249">
        <f>E8*G8</f>
        <v>9.1E-4</v>
      </c>
      <c r="I8" s="88">
        <f>(F8+H8)*E8</f>
        <v>0.70973529133983737</v>
      </c>
    </row>
    <row r="9" spans="1:11" ht="15.75" thickBot="1">
      <c r="B9" s="246"/>
      <c r="C9" s="73"/>
      <c r="D9" s="73"/>
      <c r="E9" s="7"/>
      <c r="F9" s="7"/>
      <c r="G9" s="7"/>
      <c r="H9" s="7"/>
      <c r="I9" s="7"/>
    </row>
    <row r="10" spans="1:11" ht="15.75" thickBot="1">
      <c r="A10" s="75"/>
      <c r="B10" s="76" t="s">
        <v>9</v>
      </c>
      <c r="C10" s="77"/>
      <c r="D10" s="77"/>
      <c r="E10" s="78">
        <f>SUM(E8:E8)</f>
        <v>0.14000000000000001</v>
      </c>
      <c r="F10" s="79"/>
      <c r="G10" s="79"/>
      <c r="H10" s="79"/>
      <c r="I10" s="80">
        <f>SUM(I8:I9)</f>
        <v>0.70973529133983737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 xml:space="preserve">GALAO 05 LT CRISTAL FD 50 </v>
      </c>
      <c r="C12" s="27"/>
      <c r="D12" s="58"/>
      <c r="E12" s="84">
        <f>D4</f>
        <v>50</v>
      </c>
      <c r="F12" s="85">
        <f>I10</f>
        <v>0.70973529133983737</v>
      </c>
      <c r="G12" s="86">
        <v>0</v>
      </c>
      <c r="H12" s="87">
        <v>0</v>
      </c>
      <c r="I12" s="88">
        <f>E12*F12</f>
        <v>35.486764566991866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29.289735192354438</v>
      </c>
      <c r="G15" s="104">
        <f>SUM(G8:G14)</f>
        <v>3.6500000000000005E-2</v>
      </c>
      <c r="H15" s="103">
        <f>SUM(H8:H9)+SUM(H12:H14)</f>
        <v>0.52670999901014592</v>
      </c>
      <c r="I15" s="105">
        <f>SUM(I12:I14)</f>
        <v>36.334696548877538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</v>
      </c>
      <c r="D17" s="107">
        <f>I15*C17</f>
        <v>0</v>
      </c>
      <c r="E17" s="13" t="s">
        <v>11</v>
      </c>
      <c r="F17" s="14"/>
      <c r="G17" s="108"/>
      <c r="H17" s="108"/>
      <c r="I17" s="223">
        <f>I15+D17</f>
        <v>36.334696548877538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03'!G8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03'!L8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0.88220500716535022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8.9159999999999986</v>
      </c>
      <c r="G32" s="149">
        <f>H32*G58</f>
        <v>3.7150000000000002E-2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53.911332340153173</v>
      </c>
      <c r="D35" s="262"/>
      <c r="E35" s="264">
        <f>C35/D4</f>
        <v>1.0782266468030635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1"/>
      <c r="I38" s="151"/>
    </row>
    <row r="39" spans="1:14" ht="15.75" thickBot="1">
      <c r="A39" s="57"/>
      <c r="B39" s="159" t="s">
        <v>25</v>
      </c>
      <c r="C39" s="160">
        <f>C52*C40</f>
        <v>6.6783268832956981</v>
      </c>
      <c r="D39" s="160">
        <f>D52*D40</f>
        <v>13.849576962462367</v>
      </c>
      <c r="E39" s="161">
        <f>E52*E40</f>
        <v>19.654279222484778</v>
      </c>
      <c r="F39" s="160">
        <f>F52*F40</f>
        <v>26.546671318146895</v>
      </c>
      <c r="G39" s="162">
        <f>G52*G40</f>
        <v>38.631484951736695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9.920000000000001E-2</v>
      </c>
      <c r="D40" s="163">
        <f>SUM(D41:D48)</f>
        <v>0.18395</v>
      </c>
      <c r="E40" s="164">
        <f>SUM(E41:E48)</f>
        <v>0.24045000000000005</v>
      </c>
      <c r="F40" s="163">
        <f>SUM(F41:F48)</f>
        <v>0.29694999999999999</v>
      </c>
      <c r="G40" s="165">
        <f>SUM(G41:G48)</f>
        <v>0.37570000000000003</v>
      </c>
      <c r="H40" s="23"/>
      <c r="I40" s="151"/>
    </row>
    <row r="41" spans="1:14" ht="15.75" thickBot="1">
      <c r="A41" s="57"/>
      <c r="B41" s="166" t="s">
        <v>27</v>
      </c>
      <c r="C41" s="167">
        <f>G41</f>
        <v>0</v>
      </c>
      <c r="D41" s="167">
        <f>G41</f>
        <v>0</v>
      </c>
      <c r="E41" s="168">
        <f>G41</f>
        <v>0</v>
      </c>
      <c r="F41" s="167">
        <f>G41</f>
        <v>0</v>
      </c>
      <c r="G41" s="169">
        <v>0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0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4.3200000000000002E-2</v>
      </c>
      <c r="D48" s="177">
        <f>G48</f>
        <v>4.3200000000000002E-2</v>
      </c>
      <c r="E48" s="178">
        <f>G48</f>
        <v>4.3200000000000002E-2</v>
      </c>
      <c r="F48" s="177">
        <f>G48</f>
        <v>4.3200000000000002E-2</v>
      </c>
      <c r="G48" s="172">
        <v>4.3200000000000002E-2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60.589659223448869</v>
      </c>
      <c r="D50" s="42">
        <f>$C$35+D39</f>
        <v>67.760909302615545</v>
      </c>
      <c r="E50" s="180">
        <f>$C$35+E39</f>
        <v>73.565611562637955</v>
      </c>
      <c r="F50" s="42">
        <f>$C$35+F39</f>
        <v>80.458003658300072</v>
      </c>
      <c r="G50" s="42">
        <f>$C$35+G39</f>
        <v>92.542817291889861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67.321843581609855</v>
      </c>
      <c r="D52" s="184">
        <f>$C$35/(1-D40-D51)</f>
        <v>75.28989922512838</v>
      </c>
      <c r="E52" s="185">
        <f>$C$35/(1-E40-E51)</f>
        <v>81.739568402931056</v>
      </c>
      <c r="F52" s="184">
        <f>$C$35/(1-F40-F51)</f>
        <v>89.397781842555631</v>
      </c>
      <c r="G52" s="184">
        <f>$C$35/(1-G40-G51)</f>
        <v>102.82535254654429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67.321843581609855</v>
      </c>
      <c r="D53" s="187">
        <f>D52+(D56*D52)</f>
        <v>78.677944690259153</v>
      </c>
      <c r="E53" s="188">
        <f>E52+(E56*E52)</f>
        <v>87.870036033150882</v>
      </c>
      <c r="F53" s="187">
        <f>F52+(F56*F52)</f>
        <v>98.784548936023967</v>
      </c>
      <c r="G53" s="187">
        <f>G52+(G56*G52)</f>
        <v>118.24915542852594</v>
      </c>
      <c r="H53" s="8"/>
      <c r="I53" s="58"/>
    </row>
    <row r="54" spans="1:9" ht="15.75" thickBot="1">
      <c r="A54" s="57"/>
      <c r="B54" s="189" t="s">
        <v>38</v>
      </c>
      <c r="C54" s="190">
        <f>C52-C50</f>
        <v>6.7321843581609855</v>
      </c>
      <c r="D54" s="190">
        <f>D52-D50</f>
        <v>7.5289899225128352</v>
      </c>
      <c r="E54" s="191">
        <f>E52-E50</f>
        <v>8.1739568402931013</v>
      </c>
      <c r="F54" s="190">
        <f>F52-F50</f>
        <v>8.9397781842555588</v>
      </c>
      <c r="G54" s="190">
        <f>G52-G50</f>
        <v>10.282535254654434</v>
      </c>
      <c r="H54" s="8"/>
      <c r="I54" s="58"/>
    </row>
    <row r="55" spans="1:9" ht="15.75" thickBot="1">
      <c r="A55" s="57"/>
      <c r="B55" s="192" t="s">
        <v>66</v>
      </c>
      <c r="C55" s="193">
        <f>C54/C52</f>
        <v>0.1</v>
      </c>
      <c r="D55" s="193">
        <f>D54/D52</f>
        <v>9.9999999999999964E-2</v>
      </c>
      <c r="E55" s="194">
        <f>E54/E52</f>
        <v>9.999999999999995E-2</v>
      </c>
      <c r="F55" s="193">
        <f>F54/F52</f>
        <v>9.999999999999995E-2</v>
      </c>
      <c r="G55" s="193">
        <f>G54/G52</f>
        <v>0.10000000000000005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0.1</v>
      </c>
      <c r="D57" s="196">
        <f>D55-D56</f>
        <v>5.4999999999999966E-2</v>
      </c>
      <c r="E57" s="199">
        <f>E55-E56</f>
        <v>2.4999999999999953E-2</v>
      </c>
      <c r="F57" s="196">
        <f>F55-F56</f>
        <v>-5.0000000000000461E-3</v>
      </c>
      <c r="G57" s="196">
        <f>G55-G56</f>
        <v>-4.9999999999999947E-2</v>
      </c>
      <c r="H57" s="8"/>
      <c r="I57" s="58"/>
    </row>
    <row r="58" spans="1:9" ht="16.5" thickBot="1">
      <c r="A58" s="57"/>
      <c r="B58" s="44" t="s">
        <v>39</v>
      </c>
      <c r="C58" s="200">
        <f>G58</f>
        <v>74.3</v>
      </c>
      <c r="D58" s="200">
        <f>G58</f>
        <v>74.3</v>
      </c>
      <c r="E58" s="201">
        <f>G58</f>
        <v>74.3</v>
      </c>
      <c r="F58" s="202">
        <f>G58</f>
        <v>74.3</v>
      </c>
      <c r="G58" s="203">
        <v>74.3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74.3</v>
      </c>
      <c r="D59" s="187">
        <f>D58+(D63*D58)</f>
        <v>77.643500000000003</v>
      </c>
      <c r="E59" s="188">
        <f>E58+(E63*E58)</f>
        <v>79.872500000000002</v>
      </c>
      <c r="F59" s="187">
        <f>F58+(F63*F58)</f>
        <v>82.101500000000001</v>
      </c>
      <c r="G59" s="187">
        <f>G58+(G63*G58)</f>
        <v>85.444999999999993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13.018107659846823</v>
      </c>
      <c r="D60" s="206">
        <f>-((D58*D40)+($C$35-D58))</f>
        <v>6.7211826598468249</v>
      </c>
      <c r="E60" s="207">
        <f>-((E58*E40)+($C$35-E58))</f>
        <v>2.5232326598468227</v>
      </c>
      <c r="F60" s="206">
        <f>-((F58*F40)+($C$35-F58))</f>
        <v>-1.6747173401531761</v>
      </c>
      <c r="G60" s="206">
        <f>-((G58*G40)+($C$35-G58))</f>
        <v>-7.5258423401531758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0.17521006271664635</v>
      </c>
      <c r="D61" s="209">
        <f>D60/D58</f>
        <v>9.0460062716646375E-2</v>
      </c>
      <c r="E61" s="210">
        <f>E60/E58</f>
        <v>3.3960062716646339E-2</v>
      </c>
      <c r="F61" s="209">
        <f>F60/F58</f>
        <v>-2.2539937283353649E-2</v>
      </c>
      <c r="G61" s="209">
        <f>G60/G58</f>
        <v>-0.10128993728335364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1.486</v>
      </c>
      <c r="D62" s="212">
        <f t="shared" ref="D62:F62" si="1">D58/$D$4</f>
        <v>1.486</v>
      </c>
      <c r="E62" s="212">
        <f t="shared" si="1"/>
        <v>1.486</v>
      </c>
      <c r="F62" s="212">
        <f t="shared" si="1"/>
        <v>1.486</v>
      </c>
      <c r="G62" s="212">
        <f>G58/$D$4</f>
        <v>1.486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0.17521006271664635</v>
      </c>
      <c r="D64" s="219">
        <f>D61-D63</f>
        <v>4.5460062716646377E-2</v>
      </c>
      <c r="E64" s="220">
        <f>E61-E63</f>
        <v>-4.1039937283353659E-2</v>
      </c>
      <c r="F64" s="219">
        <f>F61-F63</f>
        <v>-0.12753993728335364</v>
      </c>
      <c r="G64" s="219">
        <f>G61-G63</f>
        <v>-0.25128993728335364</v>
      </c>
      <c r="H64" s="221">
        <v>104.61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19:C20"/>
    <mergeCell ref="D19:E20"/>
    <mergeCell ref="C1:H1"/>
    <mergeCell ref="C2:H2"/>
    <mergeCell ref="B6:I6"/>
    <mergeCell ref="B7:D7"/>
    <mergeCell ref="B11:D11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37:G37"/>
    <mergeCell ref="C32:D32"/>
    <mergeCell ref="H32:I32"/>
    <mergeCell ref="C34:D34"/>
    <mergeCell ref="E34:F34"/>
    <mergeCell ref="C35:D35"/>
    <mergeCell ref="E35:F35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2" workbookViewId="0">
      <selection activeCell="E61" sqref="E61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93</v>
      </c>
      <c r="D2" s="291"/>
      <c r="E2" s="291"/>
      <c r="F2" s="291"/>
      <c r="G2" s="291"/>
      <c r="H2" s="291"/>
      <c r="I2" s="56">
        <v>1201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9" t="s">
        <v>44</v>
      </c>
      <c r="C7" s="300"/>
      <c r="D7" s="301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52">
        <v>6541</v>
      </c>
      <c r="B8" s="67" t="str">
        <f>IF(A8&lt;&gt;0,VLOOKUP(A8,'[1]Matéria Prima Plásticos'!$A$2:$B$61,2),"")</f>
        <v>PEAD SOPRO VIRGEM HS5403 - BRASKEM</v>
      </c>
      <c r="C8" s="48"/>
      <c r="D8" s="48"/>
      <c r="E8" s="224">
        <v>0.14000000000000001</v>
      </c>
      <c r="F8" s="247">
        <f>7.25-(7.25*27.25%)</f>
        <v>5.274375</v>
      </c>
      <c r="G8" s="248">
        <v>6.4999999999999997E-3</v>
      </c>
      <c r="H8" s="249">
        <f>E8*G8</f>
        <v>9.1E-4</v>
      </c>
      <c r="I8" s="88">
        <f>(F8+H8)*E8</f>
        <v>0.73853990000000014</v>
      </c>
    </row>
    <row r="9" spans="1:11" ht="15.75" thickBot="1">
      <c r="B9" s="246"/>
      <c r="C9" s="73"/>
      <c r="D9" s="73"/>
      <c r="E9" s="7"/>
      <c r="F9" s="7"/>
      <c r="G9" s="7"/>
      <c r="H9" s="7"/>
      <c r="I9" s="7"/>
    </row>
    <row r="10" spans="1:11" ht="15.75" thickBot="1">
      <c r="A10" s="75"/>
      <c r="B10" s="76" t="s">
        <v>9</v>
      </c>
      <c r="C10" s="77"/>
      <c r="D10" s="77"/>
      <c r="E10" s="78">
        <f>SUM(E8:E8)</f>
        <v>0.14000000000000001</v>
      </c>
      <c r="F10" s="79"/>
      <c r="G10" s="79"/>
      <c r="H10" s="79"/>
      <c r="I10" s="80">
        <f>SUM(I8:I9)</f>
        <v>0.73853990000000014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 xml:space="preserve">GALAO 05 LT CRISTAL FD 50 </v>
      </c>
      <c r="C12" s="27"/>
      <c r="D12" s="58"/>
      <c r="E12" s="84">
        <f>D4</f>
        <v>50</v>
      </c>
      <c r="F12" s="85">
        <f>I10</f>
        <v>0.73853990000000014</v>
      </c>
      <c r="G12" s="86">
        <v>0</v>
      </c>
      <c r="H12" s="87">
        <v>0</v>
      </c>
      <c r="I12" s="88">
        <f>E12*F12</f>
        <v>36.926995000000005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29.318539801014602</v>
      </c>
      <c r="G15" s="104">
        <f>SUM(G8:G14)</f>
        <v>3.6500000000000005E-2</v>
      </c>
      <c r="H15" s="103">
        <f>SUM(H8:H9)+SUM(H12:H14)</f>
        <v>0.52670999901014592</v>
      </c>
      <c r="I15" s="105">
        <f>SUM(I12:I14)</f>
        <v>37.774926981885677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</v>
      </c>
      <c r="D17" s="107">
        <f>I15*C17</f>
        <v>0</v>
      </c>
      <c r="E17" s="13" t="s">
        <v>11</v>
      </c>
      <c r="F17" s="14"/>
      <c r="G17" s="108"/>
      <c r="H17" s="108"/>
      <c r="I17" s="223">
        <f>I15+D17</f>
        <v>37.774926981885677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03'!G8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03'!L8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0.91100961582551299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8.3076000000000008</v>
      </c>
      <c r="G32" s="149">
        <f>H32*G58</f>
        <v>3.4615E-2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54.740627773161322</v>
      </c>
      <c r="D35" s="262"/>
      <c r="E35" s="264">
        <f>C35/D4</f>
        <v>1.0948125554632264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1"/>
      <c r="I38" s="151"/>
    </row>
    <row r="39" spans="1:14" ht="15.75" thickBot="1">
      <c r="A39" s="57"/>
      <c r="B39" s="159" t="s">
        <v>25</v>
      </c>
      <c r="C39" s="160">
        <f>C52*C40</f>
        <v>4.4739936160756857</v>
      </c>
      <c r="D39" s="160">
        <f>D52*D40</f>
        <v>11.189870715758305</v>
      </c>
      <c r="E39" s="161">
        <f>E52*E40</f>
        <v>16.582665742358323</v>
      </c>
      <c r="F39" s="160">
        <f>F52*F40</f>
        <v>22.936258306216189</v>
      </c>
      <c r="G39" s="162">
        <f>G52*G40</f>
        <v>34.91645138215295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6.8000000000000005E-2</v>
      </c>
      <c r="D40" s="163">
        <f>SUM(D41:D48)</f>
        <v>0.15275000000000002</v>
      </c>
      <c r="E40" s="164">
        <f>SUM(E41:E48)</f>
        <v>0.20925000000000005</v>
      </c>
      <c r="F40" s="163">
        <f>SUM(F41:F48)</f>
        <v>0.26574999999999999</v>
      </c>
      <c r="G40" s="165">
        <f>SUM(G41:G48)</f>
        <v>0.35050000000000003</v>
      </c>
      <c r="H40" s="23"/>
      <c r="I40" s="151"/>
    </row>
    <row r="41" spans="1:14" ht="15.75" thickBot="1">
      <c r="A41" s="57"/>
      <c r="B41" s="166" t="s">
        <v>27</v>
      </c>
      <c r="C41" s="167">
        <f>G41</f>
        <v>0</v>
      </c>
      <c r="D41" s="167">
        <f>G41</f>
        <v>0</v>
      </c>
      <c r="E41" s="168">
        <f>G41</f>
        <v>0</v>
      </c>
      <c r="F41" s="167">
        <f>G41</f>
        <v>0</v>
      </c>
      <c r="G41" s="169">
        <v>0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f>G46</f>
        <v>6.0000000000000001E-3</v>
      </c>
      <c r="G46" s="174">
        <v>6.0000000000000001E-3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1.2E-2</v>
      </c>
      <c r="D48" s="177">
        <f>G48</f>
        <v>1.2E-2</v>
      </c>
      <c r="E48" s="178">
        <f>G48</f>
        <v>1.2E-2</v>
      </c>
      <c r="F48" s="177">
        <f>G48</f>
        <v>1.2E-2</v>
      </c>
      <c r="G48" s="172">
        <v>1.2E-2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59.21462138923701</v>
      </c>
      <c r="D50" s="42">
        <f>$C$35+D39</f>
        <v>65.930498488919625</v>
      </c>
      <c r="E50" s="180">
        <f>$C$35+E39</f>
        <v>71.323293515519651</v>
      </c>
      <c r="F50" s="42">
        <f>$C$35+F39</f>
        <v>77.67688607937751</v>
      </c>
      <c r="G50" s="42">
        <f>$C$35+G39</f>
        <v>89.657079155314278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65.794023765818906</v>
      </c>
      <c r="D52" s="184">
        <f>$C$35/(1-D40-D51)</f>
        <v>73.256109432132916</v>
      </c>
      <c r="E52" s="185">
        <f>$C$35/(1-E40-E51)</f>
        <v>79.24810390613294</v>
      </c>
      <c r="F52" s="184">
        <f>$C$35/(1-F40-F51)</f>
        <v>86.307651199308339</v>
      </c>
      <c r="G52" s="184">
        <f>$C$35/(1-G40-G51)</f>
        <v>99.618976839238073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65.794023765818906</v>
      </c>
      <c r="D53" s="187">
        <f>D52+(D56*D52)</f>
        <v>76.552634356578892</v>
      </c>
      <c r="E53" s="188">
        <f>E52+(E56*E52)</f>
        <v>85.191711699092906</v>
      </c>
      <c r="F53" s="187">
        <f>F52+(F56*F52)</f>
        <v>95.36995457523571</v>
      </c>
      <c r="G53" s="187">
        <f>G52+(G56*G52)</f>
        <v>114.56182336512379</v>
      </c>
      <c r="H53" s="8"/>
      <c r="I53" s="58"/>
    </row>
    <row r="54" spans="1:9" ht="15.75" thickBot="1">
      <c r="A54" s="57"/>
      <c r="B54" s="189" t="s">
        <v>38</v>
      </c>
      <c r="C54" s="190">
        <f>C52-C50</f>
        <v>6.5794023765818963</v>
      </c>
      <c r="D54" s="190">
        <f>D52-D50</f>
        <v>7.3256109432132916</v>
      </c>
      <c r="E54" s="191">
        <f>E52-E50</f>
        <v>7.9248103906132883</v>
      </c>
      <c r="F54" s="190">
        <f>F52-F50</f>
        <v>8.6307651199308282</v>
      </c>
      <c r="G54" s="190">
        <f>G52-G50</f>
        <v>9.9618976839237945</v>
      </c>
      <c r="H54" s="8"/>
      <c r="I54" s="58"/>
    </row>
    <row r="55" spans="1:9" ht="15.75" thickBot="1">
      <c r="A55" s="57"/>
      <c r="B55" s="192" t="s">
        <v>66</v>
      </c>
      <c r="C55" s="193">
        <f>C54/C52</f>
        <v>0.10000000000000009</v>
      </c>
      <c r="D55" s="193">
        <f>D54/D52</f>
        <v>0.1</v>
      </c>
      <c r="E55" s="194">
        <f>E54/E52</f>
        <v>9.9999999999999922E-2</v>
      </c>
      <c r="F55" s="193">
        <f>F54/F52</f>
        <v>9.9999999999999936E-2</v>
      </c>
      <c r="G55" s="193">
        <f>G54/G52</f>
        <v>9.9999999999999867E-2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0.10000000000000009</v>
      </c>
      <c r="D57" s="196">
        <f>D55-D56</f>
        <v>5.5000000000000007E-2</v>
      </c>
      <c r="E57" s="199">
        <f>E55-E56</f>
        <v>2.4999999999999925E-2</v>
      </c>
      <c r="F57" s="196">
        <f>F55-F56</f>
        <v>-5.00000000000006E-3</v>
      </c>
      <c r="G57" s="196">
        <f>G55-G56</f>
        <v>-5.0000000000000128E-2</v>
      </c>
      <c r="H57" s="8"/>
      <c r="I57" s="58"/>
    </row>
    <row r="58" spans="1:9" ht="16.5" thickBot="1">
      <c r="A58" s="57"/>
      <c r="B58" s="44" t="s">
        <v>39</v>
      </c>
      <c r="C58" s="200">
        <f>G58</f>
        <v>69.23</v>
      </c>
      <c r="D58" s="200">
        <f>G58</f>
        <v>69.23</v>
      </c>
      <c r="E58" s="201">
        <f>G58</f>
        <v>69.23</v>
      </c>
      <c r="F58" s="202">
        <f>G58</f>
        <v>69.23</v>
      </c>
      <c r="G58" s="203">
        <v>69.23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69.23</v>
      </c>
      <c r="D59" s="187">
        <f>D58+(D63*D58)</f>
        <v>72.34535000000001</v>
      </c>
      <c r="E59" s="188">
        <f>E58+(E63*E58)</f>
        <v>74.422250000000005</v>
      </c>
      <c r="F59" s="187">
        <f>F58+(F63*F58)</f>
        <v>76.49915</v>
      </c>
      <c r="G59" s="187">
        <f>G58+(G63*G58)</f>
        <v>79.614500000000007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9.781732226838681</v>
      </c>
      <c r="D60" s="206">
        <f>-((D58*D40)+($C$35-D58))</f>
        <v>3.9144897268386796</v>
      </c>
      <c r="E60" s="207">
        <f>-((E58*E40)+($C$35-E58))</f>
        <v>2.9947268386791848E-3</v>
      </c>
      <c r="F60" s="206">
        <f>-((F58*F40)+($C$35-F58))</f>
        <v>-3.9085002731613194</v>
      </c>
      <c r="G60" s="206">
        <f>-((G58*G40)+($C$35-G58))</f>
        <v>-9.7757427731613227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0.14129325764608813</v>
      </c>
      <c r="D61" s="209">
        <f>D60/D58</f>
        <v>5.6543257646088099E-2</v>
      </c>
      <c r="E61" s="210">
        <f>E60/E58</f>
        <v>4.3257646088100313E-5</v>
      </c>
      <c r="F61" s="209">
        <f>F60/F58</f>
        <v>-5.6456742353911876E-2</v>
      </c>
      <c r="G61" s="209">
        <f>G60/G58</f>
        <v>-0.14120674235391192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1.3846000000000001</v>
      </c>
      <c r="D62" s="212">
        <f t="shared" ref="D62:F62" si="1">D58/$D$4</f>
        <v>1.3846000000000001</v>
      </c>
      <c r="E62" s="212">
        <f t="shared" si="1"/>
        <v>1.3846000000000001</v>
      </c>
      <c r="F62" s="212">
        <f t="shared" si="1"/>
        <v>1.3846000000000001</v>
      </c>
      <c r="G62" s="212">
        <f>G58/$D$4</f>
        <v>1.3846000000000001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0.14129325764608813</v>
      </c>
      <c r="D64" s="219">
        <f>D61-D63</f>
        <v>1.1543257646088101E-2</v>
      </c>
      <c r="E64" s="220">
        <f>E61-E63</f>
        <v>-7.4956742353911893E-2</v>
      </c>
      <c r="F64" s="219">
        <f>F61-F63</f>
        <v>-0.16145674235391189</v>
      </c>
      <c r="G64" s="219">
        <f>G61-G63</f>
        <v>-0.29120674235391192</v>
      </c>
      <c r="H64" s="221">
        <v>104.61</v>
      </c>
      <c r="I64" s="222"/>
    </row>
    <row r="65" spans="2:9">
      <c r="G65" s="27"/>
      <c r="H65" s="27"/>
      <c r="I65" s="27"/>
    </row>
    <row r="66" spans="2:9">
      <c r="B66" s="245" t="s">
        <v>107</v>
      </c>
    </row>
    <row r="67" spans="2:9">
      <c r="B67" s="245" t="s">
        <v>108</v>
      </c>
    </row>
    <row r="68" spans="2:9">
      <c r="B68" s="245" t="s">
        <v>109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B19:C20"/>
    <mergeCell ref="D19:E20"/>
    <mergeCell ref="C1:H1"/>
    <mergeCell ref="C2:H2"/>
    <mergeCell ref="B6:I6"/>
    <mergeCell ref="B7:D7"/>
    <mergeCell ref="B11:D11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37:G37"/>
    <mergeCell ref="C32:D32"/>
    <mergeCell ref="H32:I32"/>
    <mergeCell ref="C34:D34"/>
    <mergeCell ref="E34:F34"/>
    <mergeCell ref="C35:D35"/>
    <mergeCell ref="E35:F35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14" sqref="A14:I14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96</v>
      </c>
      <c r="D2" s="291"/>
      <c r="E2" s="291"/>
      <c r="F2" s="291"/>
      <c r="G2" s="291"/>
      <c r="H2" s="291"/>
      <c r="I2" s="56">
        <v>1972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5" t="s">
        <v>44</v>
      </c>
      <c r="C7" s="296"/>
      <c r="D7" s="297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66">
        <v>1621</v>
      </c>
      <c r="B8" s="67" t="str">
        <f>IF(A8&lt;&gt;0,VLOOKUP(A8,'[1]Matéria Prima Plásticos'!$A$2:$B$61,2),"")</f>
        <v>MASTER BATCH LARANJA FOSFORECENTE</v>
      </c>
      <c r="C8" s="48"/>
      <c r="D8" s="49"/>
      <c r="E8" s="224">
        <f>0.14*(750/125750)</f>
        <v>8.349900596421472E-4</v>
      </c>
      <c r="F8" s="68">
        <f>IF(A8&lt;&gt;0,VLOOKUP(A8,'[1]Matéria Prima Plásticos'!$A$2:$P$61,16),"")</f>
        <v>34.799999999999997</v>
      </c>
      <c r="G8" s="69">
        <v>6.4999999999999997E-3</v>
      </c>
      <c r="H8" s="70">
        <f>E8*G8</f>
        <v>5.4274353876739566E-6</v>
      </c>
      <c r="I8" s="71">
        <f>(F8+H8)*E8</f>
        <v>2.905765860740132E-2</v>
      </c>
    </row>
    <row r="9" spans="1:11" ht="15.75" thickBot="1">
      <c r="A9" s="52">
        <v>6541</v>
      </c>
      <c r="B9" s="72" t="str">
        <f>IF(A9&lt;&gt;0,VLOOKUP(A9,'[1]Matéria Prima Plásticos'!$A$2:$B$61,2),"")</f>
        <v>PEAD SOPRO VIRGEM HS5403 - BRASKEM</v>
      </c>
      <c r="C9" s="73"/>
      <c r="D9" s="74"/>
      <c r="E9" s="225">
        <f>0.14*(125000/125750)</f>
        <v>0.13916500994035788</v>
      </c>
      <c r="F9" s="68">
        <f>IF(A9&lt;&gt;0,VLOOKUP(A9,'[1]Matéria Prima Plásticos'!$A$2:$P$61,16),"")</f>
        <v>5.0686277952845522</v>
      </c>
      <c r="G9" s="69">
        <v>6.4999999999999997E-3</v>
      </c>
      <c r="H9" s="70">
        <f>E9*G9</f>
        <v>9.0457256461232616E-4</v>
      </c>
      <c r="I9" s="71">
        <f>(F9+H9)*E9</f>
        <v>0.70550152236469499</v>
      </c>
    </row>
    <row r="10" spans="1:11" ht="15.75" thickBot="1">
      <c r="A10" s="75"/>
      <c r="B10" s="76" t="s">
        <v>9</v>
      </c>
      <c r="C10" s="77"/>
      <c r="D10" s="77"/>
      <c r="E10" s="78">
        <f>SUM(E8:E9)</f>
        <v>0.14000000000000004</v>
      </c>
      <c r="F10" s="79"/>
      <c r="G10" s="79"/>
      <c r="H10" s="79"/>
      <c r="I10" s="80">
        <f>I8+I9</f>
        <v>0.73455918097209627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 xml:space="preserve">GALAO 05 LT LARANJA PEROLIZADO 50 </v>
      </c>
      <c r="C12" s="27"/>
      <c r="D12" s="58"/>
      <c r="E12" s="84">
        <f>D4</f>
        <v>50</v>
      </c>
      <c r="F12" s="85">
        <f>I10</f>
        <v>0.73455918097209627</v>
      </c>
      <c r="G12" s="86">
        <v>0</v>
      </c>
      <c r="H12" s="87">
        <v>0</v>
      </c>
      <c r="I12" s="88">
        <f>E12*F12</f>
        <v>36.727959048604816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29.314559081986697</v>
      </c>
      <c r="G15" s="104">
        <f>SUM(G8:G14)</f>
        <v>4.2999999999999997E-2</v>
      </c>
      <c r="H15" s="103">
        <f>SUM(H8:H9)+SUM(H12:H14)</f>
        <v>0.52670999901014592</v>
      </c>
      <c r="I15" s="105">
        <f>SUM(I12:I14)</f>
        <v>37.575891030490489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0.01</v>
      </c>
      <c r="D17" s="107">
        <f>I15*C17</f>
        <v>0.37575891030490488</v>
      </c>
      <c r="E17" s="13" t="s">
        <v>11</v>
      </c>
      <c r="F17" s="14"/>
      <c r="G17" s="108"/>
      <c r="H17" s="108"/>
      <c r="I17" s="223">
        <f>I15+D17</f>
        <v>37.951649940795392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03'!G9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03'!L9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0.90702889679760912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11.988</v>
      </c>
      <c r="G32" s="149">
        <f>H32*G58</f>
        <v>4.9950000000000001E-2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58.613085732071035</v>
      </c>
      <c r="D35" s="262"/>
      <c r="E35" s="264">
        <f>C35/D4</f>
        <v>1.1722617146414207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0"/>
      <c r="I38" s="151"/>
    </row>
    <row r="39" spans="1:14" ht="15.75" thickBot="1">
      <c r="A39" s="57"/>
      <c r="B39" s="159" t="s">
        <v>25</v>
      </c>
      <c r="C39" s="160">
        <f>C52*C40</f>
        <v>6.3521570744116396</v>
      </c>
      <c r="D39" s="160">
        <f>D52*D40</f>
        <v>13.922874610127563</v>
      </c>
      <c r="E39" s="161">
        <f>E52*E40</f>
        <v>20.03287350589234</v>
      </c>
      <c r="F39" s="160">
        <f>F52*F40</f>
        <v>27.266893362538536</v>
      </c>
      <c r="G39" s="162">
        <f>G52*G40</f>
        <v>41.012555738871242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8.8000000000000009E-2</v>
      </c>
      <c r="D40" s="163">
        <f>SUM(D41:D48)</f>
        <v>0.17275000000000001</v>
      </c>
      <c r="E40" s="164">
        <f>SUM(E41:E48)</f>
        <v>0.22925000000000004</v>
      </c>
      <c r="F40" s="163">
        <f>SUM(F41:F48)</f>
        <v>0.28575</v>
      </c>
      <c r="G40" s="165">
        <f>SUM(G41:G48)</f>
        <v>0.37050000000000005</v>
      </c>
      <c r="H40" s="23"/>
      <c r="I40" s="151"/>
    </row>
    <row r="41" spans="1:14" ht="15.75" thickBot="1">
      <c r="A41" s="57"/>
      <c r="B41" s="166" t="s">
        <v>27</v>
      </c>
      <c r="C41" s="167">
        <f>G41</f>
        <v>0.02</v>
      </c>
      <c r="D41" s="167">
        <f>G41</f>
        <v>0.02</v>
      </c>
      <c r="E41" s="168">
        <f>G41</f>
        <v>0.02</v>
      </c>
      <c r="F41" s="167">
        <f>G41</f>
        <v>0.02</v>
      </c>
      <c r="G41" s="169">
        <v>0.02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6.0000000000000001E-3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1.2E-2</v>
      </c>
      <c r="D48" s="177">
        <f>G48</f>
        <v>1.2E-2</v>
      </c>
      <c r="E48" s="178">
        <f>G48</f>
        <v>1.2E-2</v>
      </c>
      <c r="F48" s="177">
        <v>1.2E-2</v>
      </c>
      <c r="G48" s="172">
        <v>1.2E-2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64.965242806482678</v>
      </c>
      <c r="D50" s="42">
        <f>$C$35+D39</f>
        <v>72.535960342198592</v>
      </c>
      <c r="E50" s="180">
        <f>$C$35+E39</f>
        <v>78.645959237963382</v>
      </c>
      <c r="F50" s="42">
        <f>$C$35+F39</f>
        <v>85.879979094609567</v>
      </c>
      <c r="G50" s="42">
        <f>$C$35+G39</f>
        <v>99.62564147094227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72.183603118314082</v>
      </c>
      <c r="D52" s="184">
        <f>$C$35/(1-D40-D51)</f>
        <v>80.595511491331763</v>
      </c>
      <c r="E52" s="185">
        <f>$C$35/(1-E40-E51)</f>
        <v>87.384399153292634</v>
      </c>
      <c r="F52" s="184">
        <f>$C$35/(1-F40-F51)</f>
        <v>95.422198994010628</v>
      </c>
      <c r="G52" s="184">
        <f>$C$35/(1-G40-G51)</f>
        <v>110.69515718993586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72.183603118314082</v>
      </c>
      <c r="D53" s="187">
        <f>D52+(D56*D52)</f>
        <v>84.222309508441697</v>
      </c>
      <c r="E53" s="188">
        <f>E52+(E56*E52)</f>
        <v>93.938229089789587</v>
      </c>
      <c r="F53" s="187">
        <f>F52+(F56*F52)</f>
        <v>105.44152988838175</v>
      </c>
      <c r="G53" s="187">
        <f>G52+(G56*G52)</f>
        <v>127.29943076842623</v>
      </c>
      <c r="H53" s="8"/>
      <c r="I53" s="58"/>
    </row>
    <row r="54" spans="1:9" ht="15.75" thickBot="1">
      <c r="A54" s="57"/>
      <c r="B54" s="189" t="s">
        <v>38</v>
      </c>
      <c r="C54" s="190">
        <f>C52-C50</f>
        <v>7.2183603118314039</v>
      </c>
      <c r="D54" s="190">
        <f>D52-D50</f>
        <v>8.0595511491331706</v>
      </c>
      <c r="E54" s="191">
        <f>E52-E50</f>
        <v>8.738439915329252</v>
      </c>
      <c r="F54" s="190">
        <f>F52-F50</f>
        <v>9.5422198994010614</v>
      </c>
      <c r="G54" s="190">
        <f>G52-G50</f>
        <v>11.069515718993586</v>
      </c>
      <c r="H54" s="8"/>
      <c r="I54" s="58"/>
    </row>
    <row r="55" spans="1:9" ht="15.75" thickBot="1">
      <c r="A55" s="57"/>
      <c r="B55" s="192" t="s">
        <v>66</v>
      </c>
      <c r="C55" s="193">
        <f>C54/C52</f>
        <v>9.9999999999999936E-2</v>
      </c>
      <c r="D55" s="193">
        <f>D54/D52</f>
        <v>9.9999999999999936E-2</v>
      </c>
      <c r="E55" s="194">
        <f>E54/E52</f>
        <v>9.9999999999999867E-2</v>
      </c>
      <c r="F55" s="193">
        <f>F54/F52</f>
        <v>9.9999999999999992E-2</v>
      </c>
      <c r="G55" s="193">
        <f>G54/G52</f>
        <v>0.1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9.9999999999999936E-2</v>
      </c>
      <c r="D57" s="196">
        <f>D55-D56</f>
        <v>5.4999999999999938E-2</v>
      </c>
      <c r="E57" s="199">
        <f>E55-E56</f>
        <v>2.499999999999987E-2</v>
      </c>
      <c r="F57" s="196">
        <f>F55-F56</f>
        <v>-5.0000000000000044E-3</v>
      </c>
      <c r="G57" s="196">
        <f>G55-G56</f>
        <v>-4.9999999999999989E-2</v>
      </c>
      <c r="H57" s="8"/>
      <c r="I57" s="58"/>
    </row>
    <row r="58" spans="1:9" ht="16.5" thickBot="1">
      <c r="A58" s="57"/>
      <c r="B58" s="44" t="s">
        <v>39</v>
      </c>
      <c r="C58" s="200">
        <f>G58</f>
        <v>99.9</v>
      </c>
      <c r="D58" s="200">
        <f>G58</f>
        <v>99.9</v>
      </c>
      <c r="E58" s="201">
        <f>G58</f>
        <v>99.9</v>
      </c>
      <c r="F58" s="202">
        <f>G58</f>
        <v>99.9</v>
      </c>
      <c r="G58" s="203">
        <v>99.9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99.9</v>
      </c>
      <c r="D59" s="187">
        <f>D58+(D63*D58)</f>
        <v>104.3955</v>
      </c>
      <c r="E59" s="188">
        <f>E58+(E63*E58)</f>
        <v>107.39250000000001</v>
      </c>
      <c r="F59" s="187">
        <f>F58+(F63*F58)</f>
        <v>110.3895</v>
      </c>
      <c r="G59" s="187">
        <f>G58+(G63*G58)</f>
        <v>114.88500000000001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32.495714267928967</v>
      </c>
      <c r="D60" s="206">
        <f>-((D58*D40)+($C$35-D58))</f>
        <v>24.029189267928967</v>
      </c>
      <c r="E60" s="207">
        <f>-((E58*E40)+($C$35-E58))</f>
        <v>18.384839267928967</v>
      </c>
      <c r="F60" s="206">
        <f>-((F58*F40)+($C$35-F58))</f>
        <v>12.740489267928968</v>
      </c>
      <c r="G60" s="206">
        <f>-((G58*G40)+($C$35-G58))</f>
        <v>4.2739642679289602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0.32528242510439404</v>
      </c>
      <c r="D61" s="209">
        <f>D60/D58</f>
        <v>0.24053242510439404</v>
      </c>
      <c r="E61" s="210">
        <f>E60/E58</f>
        <v>0.18403242510439405</v>
      </c>
      <c r="F61" s="209">
        <f>F60/F58</f>
        <v>0.12753242510439405</v>
      </c>
      <c r="G61" s="209">
        <f>G60/G58</f>
        <v>4.2782425104393992E-2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1.9980000000000002</v>
      </c>
      <c r="D62" s="212">
        <f t="shared" ref="D62:F62" si="1">D58/$D$4</f>
        <v>1.9980000000000002</v>
      </c>
      <c r="E62" s="212">
        <f t="shared" si="1"/>
        <v>1.9980000000000002</v>
      </c>
      <c r="F62" s="212">
        <f t="shared" si="1"/>
        <v>1.9980000000000002</v>
      </c>
      <c r="G62" s="212">
        <f>G58/$D$4</f>
        <v>1.9980000000000002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0.32528242510439404</v>
      </c>
      <c r="D64" s="219">
        <f>D61-D63</f>
        <v>0.19553242510439406</v>
      </c>
      <c r="E64" s="220">
        <f>E61-E63</f>
        <v>0.10903242510439405</v>
      </c>
      <c r="F64" s="219">
        <f>F61-F63</f>
        <v>2.2532425104394058E-2</v>
      </c>
      <c r="G64" s="219">
        <f>G61-G63</f>
        <v>-0.107217574895606</v>
      </c>
      <c r="H64" s="221">
        <v>64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19:C20"/>
    <mergeCell ref="D19:E20"/>
    <mergeCell ref="C1:H1"/>
    <mergeCell ref="C2:H2"/>
    <mergeCell ref="B6:I6"/>
    <mergeCell ref="B7:D7"/>
    <mergeCell ref="B11:D11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37:G37"/>
    <mergeCell ref="C32:D32"/>
    <mergeCell ref="H32:I32"/>
    <mergeCell ref="C34:D34"/>
    <mergeCell ref="E34:F34"/>
    <mergeCell ref="C35:D35"/>
    <mergeCell ref="E35:F35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14" sqref="A14:I14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98</v>
      </c>
      <c r="D2" s="291"/>
      <c r="E2" s="291"/>
      <c r="F2" s="291"/>
      <c r="G2" s="291"/>
      <c r="H2" s="291"/>
      <c r="I2" s="56">
        <v>1973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5" t="s">
        <v>44</v>
      </c>
      <c r="C7" s="296"/>
      <c r="D7" s="297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66">
        <v>1622</v>
      </c>
      <c r="B8" s="67" t="str">
        <f>IF(A8&lt;&gt;0,VLOOKUP(A8,'[1]Matéria Prima Plásticos'!$A$2:$B$61,2),"")</f>
        <v>MASTER BATCH ROSA FOSFORECENTE (MAGENTA) 17502./10</v>
      </c>
      <c r="C8" s="48"/>
      <c r="D8" s="49"/>
      <c r="E8" s="224">
        <f>0.14*(750/125750)</f>
        <v>8.349900596421472E-4</v>
      </c>
      <c r="F8" s="68">
        <f>IF(A8&lt;&gt;0,VLOOKUP(A8,'[1]Matéria Prima Plásticos'!$A$2:$P$61,16),"")</f>
        <v>19.830096116504858</v>
      </c>
      <c r="G8" s="69">
        <v>6.4999999999999997E-3</v>
      </c>
      <c r="H8" s="70">
        <f>E8*G8</f>
        <v>5.4274353876739566E-6</v>
      </c>
      <c r="I8" s="71">
        <f>(F8+H8)*E8</f>
        <v>1.6557937670884499E-2</v>
      </c>
    </row>
    <row r="9" spans="1:11" ht="15.75" thickBot="1">
      <c r="A9" s="52">
        <v>6541</v>
      </c>
      <c r="B9" s="72" t="str">
        <f>IF(A9&lt;&gt;0,VLOOKUP(A9,'[1]Matéria Prima Plásticos'!$A$2:$B$61,2),"")</f>
        <v>PEAD SOPRO VIRGEM HS5403 - BRASKEM</v>
      </c>
      <c r="C9" s="73"/>
      <c r="D9" s="74"/>
      <c r="E9" s="225">
        <f>0.14*(125000/125750)</f>
        <v>0.13916500994035788</v>
      </c>
      <c r="F9" s="68">
        <f>IF(A9&lt;&gt;0,VLOOKUP(A9,'[1]Matéria Prima Plásticos'!$A$2:$P$61,16),"")</f>
        <v>5.0686277952845522</v>
      </c>
      <c r="G9" s="69">
        <v>6.4999999999999997E-3</v>
      </c>
      <c r="H9" s="70">
        <f>E9*G9</f>
        <v>9.0457256461232616E-4</v>
      </c>
      <c r="I9" s="71">
        <f>(F9+H9)*E9</f>
        <v>0.70550152236469499</v>
      </c>
    </row>
    <row r="10" spans="1:11" ht="15.75" thickBot="1">
      <c r="A10" s="75"/>
      <c r="B10" s="76" t="s">
        <v>9</v>
      </c>
      <c r="C10" s="77"/>
      <c r="D10" s="77"/>
      <c r="E10" s="78">
        <f>SUM(E8:E9)</f>
        <v>0.14000000000000004</v>
      </c>
      <c r="F10" s="79"/>
      <c r="G10" s="79"/>
      <c r="H10" s="79"/>
      <c r="I10" s="80">
        <f>I8+I9</f>
        <v>0.72205946003557953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>GALAO 05 LT PINK PEROLIZADO 50 PC</v>
      </c>
      <c r="C12" s="27"/>
      <c r="D12" s="58"/>
      <c r="E12" s="84">
        <f>D4</f>
        <v>50</v>
      </c>
      <c r="F12" s="85">
        <f>I10</f>
        <v>0.72205946003557953</v>
      </c>
      <c r="G12" s="86">
        <v>0</v>
      </c>
      <c r="H12" s="87">
        <v>0</v>
      </c>
      <c r="I12" s="88">
        <f>E12*F12</f>
        <v>36.102973001778977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29.30205936105018</v>
      </c>
      <c r="G15" s="104">
        <f>SUM(G8:G14)</f>
        <v>4.2999999999999997E-2</v>
      </c>
      <c r="H15" s="103">
        <f>SUM(H8:H9)+SUM(H12:H14)</f>
        <v>0.52670999901014592</v>
      </c>
      <c r="I15" s="105">
        <f>SUM(I12:I14)</f>
        <v>36.95090498366465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0.01</v>
      </c>
      <c r="D17" s="107">
        <f>I15*C17</f>
        <v>0.36950904983664651</v>
      </c>
      <c r="E17" s="13" t="s">
        <v>11</v>
      </c>
      <c r="F17" s="14"/>
      <c r="G17" s="108"/>
      <c r="H17" s="108"/>
      <c r="I17" s="223">
        <f>I15+D17</f>
        <v>37.320414033501294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03'!G10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03'!L10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0.89452917586109237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7.68</v>
      </c>
      <c r="G32" s="149">
        <f>H32*G58</f>
        <v>3.2000000000000001E-2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53.655899824776931</v>
      </c>
      <c r="D35" s="262"/>
      <c r="E35" s="264">
        <f>C35/D4</f>
        <v>1.0731179964955386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1"/>
      <c r="I38" s="151"/>
    </row>
    <row r="39" spans="1:14" ht="15.75" thickBot="1">
      <c r="A39" s="57"/>
      <c r="B39" s="159" t="s">
        <v>25</v>
      </c>
      <c r="C39" s="160">
        <f>C52*C40</f>
        <v>5.8149251041630174</v>
      </c>
      <c r="D39" s="160">
        <f>D52*D40</f>
        <v>12.74535124748053</v>
      </c>
      <c r="E39" s="161">
        <f>E52*E40</f>
        <v>18.338598635602107</v>
      </c>
      <c r="F39" s="160">
        <f>F52*F40</f>
        <v>24.960803215189262</v>
      </c>
      <c r="G39" s="162">
        <f>G52*G40</f>
        <v>37.543929905722109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8.8000000000000009E-2</v>
      </c>
      <c r="D40" s="163">
        <f>SUM(D41:D48)</f>
        <v>0.17275000000000001</v>
      </c>
      <c r="E40" s="164">
        <f>SUM(E41:E48)</f>
        <v>0.22925000000000004</v>
      </c>
      <c r="F40" s="163">
        <f>SUM(F41:F48)</f>
        <v>0.28575</v>
      </c>
      <c r="G40" s="165">
        <f>SUM(G41:G48)</f>
        <v>0.37050000000000005</v>
      </c>
      <c r="H40" s="23"/>
      <c r="I40" s="151"/>
    </row>
    <row r="41" spans="1:14" ht="15.75" thickBot="1">
      <c r="A41" s="57"/>
      <c r="B41" s="166" t="s">
        <v>27</v>
      </c>
      <c r="C41" s="167">
        <f>G41</f>
        <v>0.02</v>
      </c>
      <c r="D41" s="167">
        <f>G41</f>
        <v>0.02</v>
      </c>
      <c r="E41" s="168">
        <f>G41</f>
        <v>0.02</v>
      </c>
      <c r="F41" s="167">
        <f>G41</f>
        <v>0.02</v>
      </c>
      <c r="G41" s="169">
        <v>0.02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6.0000000000000001E-3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1.2E-2</v>
      </c>
      <c r="D48" s="177">
        <f>G48</f>
        <v>1.2E-2</v>
      </c>
      <c r="E48" s="178">
        <f>G48</f>
        <v>1.2E-2</v>
      </c>
      <c r="F48" s="177">
        <v>1.2E-2</v>
      </c>
      <c r="G48" s="172">
        <v>1.2E-2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59.470824928939948</v>
      </c>
      <c r="D50" s="42">
        <f>$C$35+D39</f>
        <v>66.401251072257466</v>
      </c>
      <c r="E50" s="180">
        <f>$C$35+E39</f>
        <v>71.994498460379035</v>
      </c>
      <c r="F50" s="42">
        <f>$C$35+F39</f>
        <v>78.616703039966197</v>
      </c>
      <c r="G50" s="42">
        <f>$C$35+G39</f>
        <v>91.199829730499033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66.078694365488829</v>
      </c>
      <c r="D52" s="184">
        <f>$C$35/(1-D40-D51)</f>
        <v>73.779167858063843</v>
      </c>
      <c r="E52" s="185">
        <f>$C$35/(1-E40-E51)</f>
        <v>79.993887178198932</v>
      </c>
      <c r="F52" s="184">
        <f>$C$35/(1-F40-F51)</f>
        <v>87.351892266629093</v>
      </c>
      <c r="G52" s="184">
        <f>$C$35/(1-G40-G51)</f>
        <v>101.33314414499893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66.078694365488829</v>
      </c>
      <c r="D53" s="187">
        <f>D52+(D56*D52)</f>
        <v>77.099230411676714</v>
      </c>
      <c r="E53" s="188">
        <f>E52+(E56*E52)</f>
        <v>85.993428716563855</v>
      </c>
      <c r="F53" s="187">
        <f>F52+(F56*F52)</f>
        <v>96.523840954625143</v>
      </c>
      <c r="G53" s="187">
        <f>G52+(G56*G52)</f>
        <v>116.53311576674876</v>
      </c>
      <c r="H53" s="8"/>
      <c r="I53" s="58"/>
    </row>
    <row r="54" spans="1:9" ht="15.75" thickBot="1">
      <c r="A54" s="57"/>
      <c r="B54" s="189" t="s">
        <v>38</v>
      </c>
      <c r="C54" s="190">
        <f>C52-C50</f>
        <v>6.6078694365488815</v>
      </c>
      <c r="D54" s="190">
        <f>D52-D50</f>
        <v>7.3779167858063772</v>
      </c>
      <c r="E54" s="191">
        <f>E52-E50</f>
        <v>7.9993887178198975</v>
      </c>
      <c r="F54" s="190">
        <f>F52-F50</f>
        <v>8.7351892266628965</v>
      </c>
      <c r="G54" s="190">
        <f>G52-G50</f>
        <v>10.133314414499893</v>
      </c>
      <c r="H54" s="8"/>
      <c r="I54" s="58"/>
    </row>
    <row r="55" spans="1:9" ht="15.75" thickBot="1">
      <c r="A55" s="57"/>
      <c r="B55" s="192" t="s">
        <v>66</v>
      </c>
      <c r="C55" s="193">
        <f>C54/C52</f>
        <v>9.9999999999999978E-2</v>
      </c>
      <c r="D55" s="193">
        <f>D54/D52</f>
        <v>9.9999999999999908E-2</v>
      </c>
      <c r="E55" s="194">
        <f>E54/E52</f>
        <v>0.10000000000000005</v>
      </c>
      <c r="F55" s="193">
        <f>F54/F52</f>
        <v>9.9999999999999853E-2</v>
      </c>
      <c r="G55" s="193">
        <f>G54/G52</f>
        <v>0.1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9.9999999999999978E-2</v>
      </c>
      <c r="D57" s="196">
        <f>D55-D56</f>
        <v>5.499999999999991E-2</v>
      </c>
      <c r="E57" s="199">
        <f>E55-E56</f>
        <v>2.500000000000005E-2</v>
      </c>
      <c r="F57" s="196">
        <f>F55-F56</f>
        <v>-5.0000000000001432E-3</v>
      </c>
      <c r="G57" s="196">
        <f>G55-G56</f>
        <v>-4.9999999999999989E-2</v>
      </c>
      <c r="H57" s="8"/>
      <c r="I57" s="58"/>
    </row>
    <row r="58" spans="1:9" ht="16.5" thickBot="1">
      <c r="A58" s="57"/>
      <c r="B58" s="44" t="s">
        <v>39</v>
      </c>
      <c r="C58" s="200">
        <f>G58</f>
        <v>64</v>
      </c>
      <c r="D58" s="200">
        <f>G58</f>
        <v>64</v>
      </c>
      <c r="E58" s="201">
        <f>G58</f>
        <v>64</v>
      </c>
      <c r="F58" s="202">
        <f>G58</f>
        <v>64</v>
      </c>
      <c r="G58" s="203">
        <v>64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64</v>
      </c>
      <c r="D59" s="187">
        <f>D58+(D63*D58)</f>
        <v>66.88</v>
      </c>
      <c r="E59" s="188">
        <f>E58+(E63*E58)</f>
        <v>68.8</v>
      </c>
      <c r="F59" s="187">
        <f>F58+(F63*F58)</f>
        <v>70.72</v>
      </c>
      <c r="G59" s="187">
        <f>G58+(G63*G58)</f>
        <v>73.599999999999994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4.7121001752230685</v>
      </c>
      <c r="D60" s="206">
        <f>-((D58*D40)+($C$35-D58))</f>
        <v>-0.71189982477693192</v>
      </c>
      <c r="E60" s="207">
        <f>-((E58*E40)+($C$35-E58))</f>
        <v>-4.3278998247769334</v>
      </c>
      <c r="F60" s="206">
        <f>-((F58*F40)+($C$35-F58))</f>
        <v>-7.9438998247769312</v>
      </c>
      <c r="G60" s="206">
        <f>-((G58*G40)+($C$35-G58))</f>
        <v>-13.367899824776934</v>
      </c>
      <c r="H60" s="27"/>
      <c r="I60" s="58"/>
    </row>
    <row r="61" spans="1:9" ht="15.75" thickBot="1">
      <c r="A61" s="57"/>
      <c r="B61" s="208" t="s">
        <v>70</v>
      </c>
      <c r="C61" s="209">
        <f>C60/C58</f>
        <v>7.3626565237860445E-2</v>
      </c>
      <c r="D61" s="209">
        <f>D60/D58</f>
        <v>-1.1123434762139561E-2</v>
      </c>
      <c r="E61" s="210">
        <f>E60/E58</f>
        <v>-6.7623434762139584E-2</v>
      </c>
      <c r="F61" s="209">
        <f>F60/F58</f>
        <v>-0.12412343476213955</v>
      </c>
      <c r="G61" s="209">
        <f>G60/G58</f>
        <v>-0.2088734347621396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1.28</v>
      </c>
      <c r="D62" s="212">
        <f t="shared" ref="D62:F62" si="1">D58/$D$4</f>
        <v>1.28</v>
      </c>
      <c r="E62" s="212">
        <f t="shared" si="1"/>
        <v>1.28</v>
      </c>
      <c r="F62" s="212">
        <f t="shared" si="1"/>
        <v>1.28</v>
      </c>
      <c r="G62" s="212">
        <f>G58/$D$4</f>
        <v>1.28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7.3626565237860445E-2</v>
      </c>
      <c r="D64" s="219">
        <f>D61-D63</f>
        <v>-5.612343476213956E-2</v>
      </c>
      <c r="E64" s="220">
        <f>E61-E63</f>
        <v>-0.14262343476213957</v>
      </c>
      <c r="F64" s="219">
        <f>F61-F63</f>
        <v>-0.22912343476213953</v>
      </c>
      <c r="G64" s="219">
        <f>G61-G63</f>
        <v>-0.35887343476213962</v>
      </c>
      <c r="H64" s="221">
        <v>64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37:G37"/>
    <mergeCell ref="C32:D32"/>
    <mergeCell ref="H32:I32"/>
    <mergeCell ref="C34:D34"/>
    <mergeCell ref="E34:F34"/>
    <mergeCell ref="C35:D35"/>
    <mergeCell ref="E35:F35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19:C20"/>
    <mergeCell ref="D19:E20"/>
    <mergeCell ref="C1:H1"/>
    <mergeCell ref="C2:H2"/>
    <mergeCell ref="B6:I6"/>
    <mergeCell ref="B7:D7"/>
    <mergeCell ref="B11:D11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="110" zoomScaleNormal="110" workbookViewId="0">
      <selection activeCell="A14" sqref="A14:I14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100</v>
      </c>
      <c r="D2" s="291"/>
      <c r="E2" s="291"/>
      <c r="F2" s="291"/>
      <c r="G2" s="291"/>
      <c r="H2" s="291"/>
      <c r="I2" s="56">
        <v>2040</v>
      </c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5" t="s">
        <v>44</v>
      </c>
      <c r="C7" s="296"/>
      <c r="D7" s="297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66">
        <v>1535</v>
      </c>
      <c r="B8" s="67" t="str">
        <f>IF(A8&lt;&gt;0,VLOOKUP(A8,'[1]Matéria Prima Plásticos'!$A$2:$B$61,2),"")</f>
        <v>MASTER BATCH ROXO</v>
      </c>
      <c r="C8" s="48"/>
      <c r="D8" s="49"/>
      <c r="E8" s="224">
        <f>0.14*(750/125750)</f>
        <v>8.349900596421472E-4</v>
      </c>
      <c r="F8" s="68">
        <f>IF(A8&lt;&gt;0,VLOOKUP(A8,'[1]Matéria Prima Plásticos'!$A$2:$P$61,16),"")</f>
        <v>26.1</v>
      </c>
      <c r="G8" s="69">
        <v>6.4999999999999997E-3</v>
      </c>
      <c r="H8" s="70">
        <f>E8*G8</f>
        <v>5.4274353876739566E-6</v>
      </c>
      <c r="I8" s="71">
        <f>(F8+H8)*E8</f>
        <v>2.1793245088514639E-2</v>
      </c>
    </row>
    <row r="9" spans="1:11" ht="15.75" thickBot="1">
      <c r="A9" s="52">
        <v>6541</v>
      </c>
      <c r="B9" s="72" t="str">
        <f>IF(A9&lt;&gt;0,VLOOKUP(A9,'[1]Matéria Prima Plásticos'!$A$2:$B$61,2),"")</f>
        <v>PEAD SOPRO VIRGEM HS5403 - BRASKEM</v>
      </c>
      <c r="C9" s="73"/>
      <c r="D9" s="74"/>
      <c r="E9" s="225">
        <f>0.14*(125000/125750)</f>
        <v>0.13916500994035788</v>
      </c>
      <c r="F9" s="68">
        <f>IF(A9&lt;&gt;0,VLOOKUP(A9,'[1]Matéria Prima Plásticos'!$A$2:$P$61,16),"")</f>
        <v>5.0686277952845522</v>
      </c>
      <c r="G9" s="69">
        <v>6.4999999999999997E-3</v>
      </c>
      <c r="H9" s="70">
        <f>E9*G9</f>
        <v>9.0457256461232616E-4</v>
      </c>
      <c r="I9" s="71">
        <f>(F9+H9)*E9</f>
        <v>0.70550152236469499</v>
      </c>
    </row>
    <row r="10" spans="1:11" ht="15.75" thickBot="1">
      <c r="A10" s="75"/>
      <c r="B10" s="76" t="s">
        <v>9</v>
      </c>
      <c r="C10" s="77"/>
      <c r="D10" s="77"/>
      <c r="E10" s="78">
        <f>SUM(E8:E9)</f>
        <v>0.14000000000000004</v>
      </c>
      <c r="F10" s="79"/>
      <c r="G10" s="79"/>
      <c r="H10" s="79"/>
      <c r="I10" s="80">
        <f>I8+I9</f>
        <v>0.72729476745320965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>GALAO 05 LT ROXO MAX 50 PC</v>
      </c>
      <c r="C12" s="27"/>
      <c r="D12" s="58"/>
      <c r="E12" s="84">
        <f>D4</f>
        <v>50</v>
      </c>
      <c r="F12" s="85">
        <f>I10</f>
        <v>0.72729476745320965</v>
      </c>
      <c r="G12" s="86">
        <v>0</v>
      </c>
      <c r="H12" s="87">
        <v>0</v>
      </c>
      <c r="I12" s="88">
        <f>E12*F12</f>
        <v>36.364738372660483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29.307294668467812</v>
      </c>
      <c r="G15" s="104">
        <f>SUM(G8:G14)</f>
        <v>4.2999999999999997E-2</v>
      </c>
      <c r="H15" s="103">
        <f>SUM(H8:H9)+SUM(H12:H14)</f>
        <v>0.52670999901014592</v>
      </c>
      <c r="I15" s="105">
        <f>SUM(I12:I14)</f>
        <v>37.212670354546155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0.01</v>
      </c>
      <c r="D17" s="107">
        <f>I15*C17</f>
        <v>0.37212670354546157</v>
      </c>
      <c r="E17" s="13" t="s">
        <v>11</v>
      </c>
      <c r="F17" s="14"/>
      <c r="G17" s="108"/>
      <c r="H17" s="108"/>
      <c r="I17" s="223">
        <f>I15+D17</f>
        <v>37.584797058091617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03'!G11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03'!L11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0.89976448327872249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11.988</v>
      </c>
      <c r="G32" s="149">
        <f>H32*G58</f>
        <v>4.9950000000000001E-2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58.24623284936726</v>
      </c>
      <c r="D35" s="262"/>
      <c r="E35" s="264">
        <f>C35/D4</f>
        <v>1.1649246569873453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1"/>
      <c r="I38" s="151"/>
    </row>
    <row r="39" spans="1:14" ht="15.75" thickBot="1">
      <c r="A39" s="57"/>
      <c r="B39" s="159" t="s">
        <v>25</v>
      </c>
      <c r="C39" s="160">
        <f>C52*C40</f>
        <v>6.3123996191432497</v>
      </c>
      <c r="D39" s="160">
        <f>D52*D40</f>
        <v>13.83573286315324</v>
      </c>
      <c r="E39" s="161">
        <f>E52*E40</f>
        <v>19.907489945162052</v>
      </c>
      <c r="F39" s="160">
        <f>F52*F40</f>
        <v>27.096232863991361</v>
      </c>
      <c r="G39" s="162">
        <f>G52*G40</f>
        <v>40.755862645307978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8.8000000000000009E-2</v>
      </c>
      <c r="D40" s="163">
        <f>SUM(D41:D48)</f>
        <v>0.17275000000000001</v>
      </c>
      <c r="E40" s="164">
        <f>SUM(E41:E48)</f>
        <v>0.22925000000000004</v>
      </c>
      <c r="F40" s="163">
        <f>SUM(F41:F48)</f>
        <v>0.28575</v>
      </c>
      <c r="G40" s="165">
        <f>SUM(G41:G48)</f>
        <v>0.37050000000000005</v>
      </c>
      <c r="H40" s="23"/>
      <c r="I40" s="151"/>
    </row>
    <row r="41" spans="1:14" ht="15.75" thickBot="1">
      <c r="A41" s="57"/>
      <c r="B41" s="166" t="s">
        <v>27</v>
      </c>
      <c r="C41" s="167">
        <f>G41</f>
        <v>0.02</v>
      </c>
      <c r="D41" s="167">
        <f>G41</f>
        <v>0.02</v>
      </c>
      <c r="E41" s="168">
        <f>G41</f>
        <v>0.02</v>
      </c>
      <c r="F41" s="167">
        <f>G41</f>
        <v>0.02</v>
      </c>
      <c r="G41" s="169">
        <v>0.02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6.0000000000000001E-3</v>
      </c>
      <c r="F46" s="171">
        <v>6.0000000000000001E-3</v>
      </c>
      <c r="G46" s="174">
        <v>6.0000000000000001E-3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1.2E-2</v>
      </c>
      <c r="D48" s="177">
        <f>G48</f>
        <v>1.2E-2</v>
      </c>
      <c r="E48" s="178">
        <f>G48</f>
        <v>1.2E-2</v>
      </c>
      <c r="F48" s="177">
        <v>1.2E-2</v>
      </c>
      <c r="G48" s="172">
        <v>1.2E-2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64.55863246851051</v>
      </c>
      <c r="D50" s="42">
        <f>$C$35+D39</f>
        <v>72.0819657125205</v>
      </c>
      <c r="E50" s="180">
        <f>$C$35+E39</f>
        <v>78.153722794529315</v>
      </c>
      <c r="F50" s="42">
        <f>$C$35+F39</f>
        <v>85.342465713358621</v>
      </c>
      <c r="G50" s="42">
        <f>$C$35+G39</f>
        <v>99.002095494675245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71.731813853900562</v>
      </c>
      <c r="D52" s="184">
        <f>$C$35/(1-D40-D51)</f>
        <v>80.091073013911654</v>
      </c>
      <c r="E52" s="185">
        <f>$C$35/(1-E40-E51)</f>
        <v>86.837469771699233</v>
      </c>
      <c r="F52" s="184">
        <f>$C$35/(1-F40-F51)</f>
        <v>94.82496190373179</v>
      </c>
      <c r="G52" s="184">
        <f>$C$35/(1-G40-G51)</f>
        <v>110.00232832741693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71.731813853900562</v>
      </c>
      <c r="D53" s="187">
        <f>D52+(D56*D52)</f>
        <v>83.695171299537677</v>
      </c>
      <c r="E53" s="188">
        <f>E52+(E56*E52)</f>
        <v>93.350280004576675</v>
      </c>
      <c r="F53" s="187">
        <f>F52+(F56*F52)</f>
        <v>104.78158290362363</v>
      </c>
      <c r="G53" s="187">
        <f>G52+(G56*G52)</f>
        <v>126.50267757652946</v>
      </c>
      <c r="H53" s="8"/>
      <c r="I53" s="58"/>
    </row>
    <row r="54" spans="1:9" ht="15.75" thickBot="1">
      <c r="A54" s="57"/>
      <c r="B54" s="189" t="s">
        <v>38</v>
      </c>
      <c r="C54" s="190">
        <f>C52-C50</f>
        <v>7.1731813853900519</v>
      </c>
      <c r="D54" s="190">
        <f>D52-D50</f>
        <v>8.009107301391154</v>
      </c>
      <c r="E54" s="191">
        <f>E52-E50</f>
        <v>8.6837469771699176</v>
      </c>
      <c r="F54" s="190">
        <f>F52-F50</f>
        <v>9.482496190373169</v>
      </c>
      <c r="G54" s="190">
        <f>G52-G50</f>
        <v>11.000232832741688</v>
      </c>
      <c r="H54" s="8"/>
      <c r="I54" s="58"/>
    </row>
    <row r="55" spans="1:9" ht="15.75" thickBot="1">
      <c r="A55" s="57"/>
      <c r="B55" s="192" t="s">
        <v>66</v>
      </c>
      <c r="C55" s="193">
        <f>C54/C52</f>
        <v>9.9999999999999936E-2</v>
      </c>
      <c r="D55" s="193">
        <f>D54/D52</f>
        <v>9.9999999999999853E-2</v>
      </c>
      <c r="E55" s="194">
        <f>E54/E52</f>
        <v>9.9999999999999936E-2</v>
      </c>
      <c r="F55" s="193">
        <f>F54/F52</f>
        <v>9.9999999999999895E-2</v>
      </c>
      <c r="G55" s="193">
        <f>G54/G52</f>
        <v>9.999999999999995E-2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9.9999999999999936E-2</v>
      </c>
      <c r="D57" s="196">
        <f>D55-D56</f>
        <v>5.4999999999999855E-2</v>
      </c>
      <c r="E57" s="199">
        <f>E55-E56</f>
        <v>2.4999999999999939E-2</v>
      </c>
      <c r="F57" s="196">
        <f>F55-F56</f>
        <v>-5.0000000000001016E-3</v>
      </c>
      <c r="G57" s="196">
        <f>G55-G56</f>
        <v>-5.0000000000000044E-2</v>
      </c>
      <c r="H57" s="8"/>
      <c r="I57" s="58"/>
    </row>
    <row r="58" spans="1:9" ht="16.5" thickBot="1">
      <c r="A58" s="57"/>
      <c r="B58" s="44" t="s">
        <v>39</v>
      </c>
      <c r="C58" s="200">
        <f>G58</f>
        <v>99.9</v>
      </c>
      <c r="D58" s="200">
        <f>G58</f>
        <v>99.9</v>
      </c>
      <c r="E58" s="201">
        <f>G58</f>
        <v>99.9</v>
      </c>
      <c r="F58" s="202">
        <f>G58</f>
        <v>99.9</v>
      </c>
      <c r="G58" s="203">
        <v>99.9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99.9</v>
      </c>
      <c r="D59" s="187">
        <f>D58+(D63*D58)</f>
        <v>104.3955</v>
      </c>
      <c r="E59" s="188">
        <f>E58+(E63*E58)</f>
        <v>107.39250000000001</v>
      </c>
      <c r="F59" s="187">
        <f>F58+(F63*F58)</f>
        <v>110.3895</v>
      </c>
      <c r="G59" s="187">
        <f>G58+(G63*G58)</f>
        <v>114.88500000000001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32.862567150632742</v>
      </c>
      <c r="D60" s="206">
        <f>-((D58*D40)+($C$35-D58))</f>
        <v>24.396042150632741</v>
      </c>
      <c r="E60" s="207">
        <f>-((E58*E40)+($C$35-E58))</f>
        <v>18.751692150632742</v>
      </c>
      <c r="F60" s="206">
        <f>-((F58*F40)+($C$35-F58))</f>
        <v>13.107342150632743</v>
      </c>
      <c r="G60" s="206">
        <f>-((G58*G40)+($C$35-G58))</f>
        <v>4.6408171506327349</v>
      </c>
      <c r="H60" s="27"/>
      <c r="I60" s="58"/>
    </row>
    <row r="61" spans="1:9" ht="15.75" thickBot="1">
      <c r="A61" s="57"/>
      <c r="B61" s="208" t="s">
        <v>70</v>
      </c>
      <c r="C61" s="209">
        <f>C60/C58</f>
        <v>0.32895462613245985</v>
      </c>
      <c r="D61" s="209">
        <f>D60/D58</f>
        <v>0.24420462613245986</v>
      </c>
      <c r="E61" s="210">
        <f>E60/E58</f>
        <v>0.18770462613245986</v>
      </c>
      <c r="F61" s="209">
        <f>F60/F58</f>
        <v>0.13120462613245987</v>
      </c>
      <c r="G61" s="209">
        <f>G60/G58</f>
        <v>4.6454626132459806E-2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1.9980000000000002</v>
      </c>
      <c r="D62" s="212">
        <f t="shared" ref="D62:F62" si="1">D58/$D$4</f>
        <v>1.9980000000000002</v>
      </c>
      <c r="E62" s="212">
        <f t="shared" si="1"/>
        <v>1.9980000000000002</v>
      </c>
      <c r="F62" s="212">
        <f t="shared" si="1"/>
        <v>1.9980000000000002</v>
      </c>
      <c r="G62" s="212">
        <f>G58/$D$4</f>
        <v>1.9980000000000002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0.32895462613245985</v>
      </c>
      <c r="D64" s="219">
        <f>D61-D63</f>
        <v>0.19920462613245987</v>
      </c>
      <c r="E64" s="220">
        <f>E61-E63</f>
        <v>0.11270462613245986</v>
      </c>
      <c r="F64" s="219">
        <f>F61-F63</f>
        <v>2.6204626132459871E-2</v>
      </c>
      <c r="G64" s="219">
        <f>G61-G63</f>
        <v>-0.10354537386754019</v>
      </c>
      <c r="H64" s="221">
        <v>64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37:G37"/>
    <mergeCell ref="C32:D32"/>
    <mergeCell ref="H32:I32"/>
    <mergeCell ref="C34:D34"/>
    <mergeCell ref="E34:F34"/>
    <mergeCell ref="C35:D35"/>
    <mergeCell ref="E35:F35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19:C20"/>
    <mergeCell ref="D19:E20"/>
    <mergeCell ref="C1:H1"/>
    <mergeCell ref="C2:H2"/>
    <mergeCell ref="B6:I6"/>
    <mergeCell ref="B7:D7"/>
    <mergeCell ref="B11:D11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14" sqref="A14:I14"/>
    </sheetView>
  </sheetViews>
  <sheetFormatPr defaultRowHeight="15"/>
  <cols>
    <col min="1" max="1" width="5.85546875" style="35" customWidth="1"/>
    <col min="2" max="2" width="34.42578125" customWidth="1"/>
    <col min="3" max="3" width="15.5703125" customWidth="1"/>
    <col min="4" max="4" width="22.85546875" customWidth="1"/>
    <col min="5" max="5" width="19" customWidth="1"/>
    <col min="6" max="6" width="14.140625" customWidth="1"/>
    <col min="7" max="7" width="15.5703125" customWidth="1"/>
    <col min="8" max="8" width="12.42578125" customWidth="1"/>
    <col min="9" max="9" width="11.85546875" customWidth="1"/>
    <col min="10" max="11" width="16.85546875" customWidth="1"/>
    <col min="12" max="12" width="12.85546875" customWidth="1"/>
    <col min="13" max="13" width="10.5703125" bestFit="1" customWidth="1"/>
    <col min="14" max="14" width="15.5703125" customWidth="1"/>
  </cols>
  <sheetData>
    <row r="1" spans="1:11" ht="29.25" customHeight="1" thickBot="1">
      <c r="A1" s="52"/>
      <c r="B1" s="53" t="s">
        <v>0</v>
      </c>
      <c r="C1" s="290" t="s">
        <v>1</v>
      </c>
      <c r="D1" s="290"/>
      <c r="E1" s="291"/>
      <c r="F1" s="291"/>
      <c r="G1" s="291"/>
      <c r="H1" s="262"/>
      <c r="I1" s="54" t="s">
        <v>42</v>
      </c>
    </row>
    <row r="2" spans="1:11" ht="29.25" customHeight="1" thickBot="1">
      <c r="A2" s="52"/>
      <c r="B2" s="55" t="s">
        <v>2</v>
      </c>
      <c r="C2" s="292" t="s">
        <v>105</v>
      </c>
      <c r="D2" s="291"/>
      <c r="E2" s="291"/>
      <c r="F2" s="291"/>
      <c r="G2" s="291"/>
      <c r="H2" s="291"/>
      <c r="I2" s="56"/>
    </row>
    <row r="3" spans="1:11" ht="15.75" thickBot="1">
      <c r="A3" s="57"/>
      <c r="B3" s="27"/>
      <c r="C3" s="27"/>
      <c r="D3" s="27"/>
      <c r="E3" s="27"/>
      <c r="F3" s="27"/>
      <c r="G3" s="27"/>
      <c r="H3" s="27"/>
      <c r="I3" s="58"/>
    </row>
    <row r="4" spans="1:11" ht="16.5" thickBot="1">
      <c r="A4" s="57"/>
      <c r="B4" s="59"/>
      <c r="C4" s="60" t="s">
        <v>43</v>
      </c>
      <c r="D4" s="1">
        <v>50</v>
      </c>
      <c r="E4" s="2"/>
      <c r="F4" s="2"/>
      <c r="G4" s="2"/>
      <c r="H4" s="2"/>
      <c r="I4" s="58"/>
    </row>
    <row r="5" spans="1:11" ht="16.5" thickBot="1">
      <c r="A5" s="57"/>
      <c r="B5" s="59"/>
      <c r="C5" s="3"/>
      <c r="D5" s="3"/>
      <c r="E5" s="3"/>
      <c r="F5" s="4"/>
      <c r="G5" s="2"/>
      <c r="H5" s="2"/>
      <c r="I5" s="61"/>
      <c r="J5" s="2"/>
    </row>
    <row r="6" spans="1:11" ht="15.75" thickBot="1">
      <c r="A6" s="57"/>
      <c r="B6" s="293" t="s">
        <v>3</v>
      </c>
      <c r="C6" s="294"/>
      <c r="D6" s="294"/>
      <c r="E6" s="294"/>
      <c r="F6" s="294"/>
      <c r="G6" s="294"/>
      <c r="H6" s="291"/>
      <c r="I6" s="262"/>
    </row>
    <row r="7" spans="1:11" ht="15.75" thickBot="1">
      <c r="A7" s="62" t="s">
        <v>42</v>
      </c>
      <c r="B7" s="295" t="s">
        <v>44</v>
      </c>
      <c r="C7" s="296"/>
      <c r="D7" s="297"/>
      <c r="E7" s="63" t="s">
        <v>4</v>
      </c>
      <c r="F7" s="64" t="s">
        <v>45</v>
      </c>
      <c r="G7" s="63" t="s">
        <v>6</v>
      </c>
      <c r="H7" s="63" t="s">
        <v>7</v>
      </c>
      <c r="I7" s="65" t="s">
        <v>8</v>
      </c>
    </row>
    <row r="8" spans="1:11" ht="15.75" thickBot="1">
      <c r="A8" s="66">
        <v>945</v>
      </c>
      <c r="B8" s="67" t="str">
        <f>IF(A8&lt;&gt;0,VLOOKUP(A8,'[1]Matéria Prima Plásticos'!$A$2:$B$61,2),"")</f>
        <v>PEAD SOPRO CANELA</v>
      </c>
      <c r="C8" s="48"/>
      <c r="D8" s="49"/>
      <c r="E8" s="224">
        <v>0.14000000000000001</v>
      </c>
      <c r="F8" s="68">
        <f>IF(A8&lt;&gt;0,VLOOKUP(A8,'[1]Matéria Prima Plásticos'!$A$2:$P$61,16),"")</f>
        <v>4.45</v>
      </c>
      <c r="G8" s="69">
        <v>6.4999999999999997E-3</v>
      </c>
      <c r="H8" s="70">
        <f>E8*G8</f>
        <v>9.1E-4</v>
      </c>
      <c r="I8" s="71">
        <f>(F8+H8)*E8</f>
        <v>0.62312740000000011</v>
      </c>
    </row>
    <row r="9" spans="1:11" ht="15.75" thickBot="1">
      <c r="A9" s="52"/>
      <c r="B9" s="72"/>
      <c r="C9" s="73"/>
      <c r="D9" s="74"/>
      <c r="E9" s="225"/>
      <c r="F9" s="68"/>
      <c r="G9" s="69"/>
      <c r="H9" s="70"/>
      <c r="I9" s="71"/>
    </row>
    <row r="10" spans="1:11" ht="15.75" thickBot="1">
      <c r="A10" s="75"/>
      <c r="B10" s="76" t="s">
        <v>9</v>
      </c>
      <c r="C10" s="77"/>
      <c r="D10" s="77"/>
      <c r="E10" s="78">
        <f>SUM(E8:E9)</f>
        <v>0.14000000000000001</v>
      </c>
      <c r="F10" s="79"/>
      <c r="G10" s="79"/>
      <c r="H10" s="79"/>
      <c r="I10" s="80">
        <f>I8+I9</f>
        <v>0.62312740000000011</v>
      </c>
    </row>
    <row r="11" spans="1:11" ht="15.75" thickBot="1">
      <c r="A11" s="81"/>
      <c r="B11" s="298" t="s">
        <v>46</v>
      </c>
      <c r="C11" s="291"/>
      <c r="D11" s="262"/>
      <c r="E11" s="5" t="s">
        <v>4</v>
      </c>
      <c r="F11" s="64" t="s">
        <v>45</v>
      </c>
      <c r="G11" s="82" t="s">
        <v>6</v>
      </c>
      <c r="H11" s="83" t="s">
        <v>7</v>
      </c>
      <c r="I11" s="82" t="s">
        <v>8</v>
      </c>
    </row>
    <row r="12" spans="1:11" ht="15.75" thickBot="1">
      <c r="A12" s="81"/>
      <c r="B12" s="47" t="str">
        <f>C2</f>
        <v>GALAO 05 LT CANELA FD 50 (LARILIMP)</v>
      </c>
      <c r="C12" s="27"/>
      <c r="D12" s="58"/>
      <c r="E12" s="84">
        <f>D4</f>
        <v>50</v>
      </c>
      <c r="F12" s="85">
        <f>I10</f>
        <v>0.62312740000000011</v>
      </c>
      <c r="G12" s="86">
        <v>0</v>
      </c>
      <c r="H12" s="87">
        <v>0</v>
      </c>
      <c r="I12" s="88">
        <f>E12*F12</f>
        <v>31.156370000000006</v>
      </c>
    </row>
    <row r="13" spans="1:11" ht="16.5" thickBot="1">
      <c r="A13" s="52">
        <v>1510</v>
      </c>
      <c r="B13" s="89" t="str">
        <f>IF(A13&lt;&gt;0,VLOOKUP(A13,'[1]Embalagens-sacos-rótulos'!$A$2:$P$55,2),"")</f>
        <v xml:space="preserve"> SACO CANELA 91X220X0,10</v>
      </c>
      <c r="C13" s="27"/>
      <c r="D13" s="58"/>
      <c r="E13" s="90">
        <v>0.183</v>
      </c>
      <c r="F13" s="91">
        <f>IF(A13&lt;&gt;0,VLOOKUP(A13,'[1]Embalagens-sacos-rótulos'!$A$2:$P$55,16),"")</f>
        <v>4.5799999010146006</v>
      </c>
      <c r="G13" s="92">
        <v>0.01</v>
      </c>
      <c r="H13" s="93">
        <f>F13*G13</f>
        <v>4.579999901014601E-2</v>
      </c>
      <c r="I13" s="94">
        <f>E13*F13</f>
        <v>0.83813998188567185</v>
      </c>
      <c r="J13" s="20"/>
      <c r="K13" s="21"/>
    </row>
    <row r="14" spans="1:11" ht="15.75" thickBot="1">
      <c r="A14" s="52">
        <v>10270</v>
      </c>
      <c r="B14" s="72" t="str">
        <f>IF(A14&lt;&gt;0,VLOOKUP(A14,'[1]Embalagens-sacos-rótulos'!$A$2:$P$52,2),"")</f>
        <v>ETIQUETA 60X30 ROLO C/ 2500</v>
      </c>
      <c r="C14" s="73"/>
      <c r="D14" s="74"/>
      <c r="E14" s="95">
        <v>4.0000000000000002E-4</v>
      </c>
      <c r="F14" s="96">
        <f>IF(A14&lt;&gt;0,VLOOKUP(A14,'[1]Embalagens-sacos-rótulos'!$A$2:$P$52,16),"")</f>
        <v>24</v>
      </c>
      <c r="G14" s="97">
        <v>0.02</v>
      </c>
      <c r="H14" s="98">
        <f>F14*G14</f>
        <v>0.48</v>
      </c>
      <c r="I14" s="99">
        <f>(F14+H14)*E14</f>
        <v>9.7920000000000004E-3</v>
      </c>
    </row>
    <row r="15" spans="1:11" ht="15.75" thickBot="1">
      <c r="A15" s="57"/>
      <c r="B15" s="100" t="s">
        <v>47</v>
      </c>
      <c r="C15" s="101"/>
      <c r="D15" s="101"/>
      <c r="E15" s="102"/>
      <c r="F15" s="103">
        <f>SUM(F12:F14)</f>
        <v>29.2031273010146</v>
      </c>
      <c r="G15" s="104">
        <f>SUM(G8:G14)</f>
        <v>3.6500000000000005E-2</v>
      </c>
      <c r="H15" s="103">
        <f>SUM(H8:H9)+SUM(H12:H14)</f>
        <v>0.52670999901014592</v>
      </c>
      <c r="I15" s="105">
        <f>SUM(I12:I14)</f>
        <v>32.004301981885675</v>
      </c>
    </row>
    <row r="16" spans="1:11" ht="15.75" thickBot="1">
      <c r="A16" s="57"/>
      <c r="B16" s="8"/>
      <c r="C16" s="9"/>
      <c r="D16" s="106"/>
      <c r="E16" s="106"/>
      <c r="F16" s="106"/>
      <c r="G16" s="106"/>
      <c r="H16" s="27"/>
      <c r="I16" s="58"/>
    </row>
    <row r="17" spans="1:17" ht="15.75" thickBot="1">
      <c r="A17" s="57"/>
      <c r="B17" s="11" t="s">
        <v>10</v>
      </c>
      <c r="C17" s="12">
        <v>0</v>
      </c>
      <c r="D17" s="107">
        <f>I15*C17</f>
        <v>0</v>
      </c>
      <c r="E17" s="13" t="s">
        <v>11</v>
      </c>
      <c r="F17" s="14"/>
      <c r="G17" s="108"/>
      <c r="H17" s="108"/>
      <c r="I17" s="223">
        <f>I15+D17</f>
        <v>32.004301981885675</v>
      </c>
    </row>
    <row r="18" spans="1:17" ht="15" customHeight="1" thickBot="1">
      <c r="A18" s="57"/>
      <c r="B18" s="8"/>
      <c r="C18" s="16"/>
      <c r="D18" s="17"/>
      <c r="E18" s="17"/>
      <c r="F18" s="18"/>
      <c r="G18" s="19"/>
      <c r="H18" s="27"/>
      <c r="I18" s="58"/>
    </row>
    <row r="19" spans="1:17" ht="15.75" thickBot="1">
      <c r="A19" s="57"/>
      <c r="B19" s="284" t="s">
        <v>48</v>
      </c>
      <c r="C19" s="285"/>
      <c r="D19" s="285"/>
      <c r="E19" s="288"/>
      <c r="F19" s="109" t="s">
        <v>12</v>
      </c>
      <c r="G19" s="110" t="s">
        <v>13</v>
      </c>
      <c r="H19" s="111" t="s">
        <v>14</v>
      </c>
      <c r="I19" s="111" t="s">
        <v>15</v>
      </c>
    </row>
    <row r="20" spans="1:17" ht="15.75" thickBot="1">
      <c r="A20" s="57"/>
      <c r="B20" s="286"/>
      <c r="C20" s="287"/>
      <c r="D20" s="287"/>
      <c r="E20" s="289"/>
      <c r="F20" s="112">
        <v>2</v>
      </c>
      <c r="G20" s="113">
        <v>8</v>
      </c>
      <c r="H20" s="114">
        <v>22</v>
      </c>
      <c r="I20" s="115">
        <v>2</v>
      </c>
      <c r="J20" s="24"/>
      <c r="K20" s="25"/>
    </row>
    <row r="21" spans="1:17" ht="15" customHeight="1">
      <c r="A21" s="57"/>
      <c r="B21" s="269" t="s">
        <v>103</v>
      </c>
      <c r="C21" s="272" t="s">
        <v>49</v>
      </c>
      <c r="D21" s="272" t="s">
        <v>16</v>
      </c>
      <c r="E21" s="272" t="s">
        <v>17</v>
      </c>
      <c r="F21" s="273" t="s">
        <v>50</v>
      </c>
      <c r="G21" s="273" t="s">
        <v>51</v>
      </c>
      <c r="H21" s="274" t="s">
        <v>52</v>
      </c>
      <c r="I21" s="273" t="s">
        <v>8</v>
      </c>
      <c r="K21" s="31"/>
      <c r="L21" s="20"/>
      <c r="M21" s="20"/>
    </row>
    <row r="22" spans="1:17" ht="15.75" customHeight="1">
      <c r="A22" s="57"/>
      <c r="B22" s="270"/>
      <c r="C22" s="270"/>
      <c r="D22" s="270"/>
      <c r="E22" s="270"/>
      <c r="F22" s="270"/>
      <c r="G22" s="270"/>
      <c r="H22" s="275"/>
      <c r="I22" s="270"/>
      <c r="K22" s="31"/>
      <c r="L22" s="20"/>
      <c r="M22" s="20"/>
    </row>
    <row r="23" spans="1:17" ht="15" customHeight="1" thickBot="1">
      <c r="A23" s="57"/>
      <c r="B23" s="271"/>
      <c r="C23" s="271"/>
      <c r="D23" s="271"/>
      <c r="E23" s="271"/>
      <c r="F23" s="271"/>
      <c r="G23" s="271"/>
      <c r="H23" s="276"/>
      <c r="I23" s="271"/>
      <c r="K23" s="31"/>
      <c r="L23" s="20"/>
      <c r="M23" s="20"/>
    </row>
    <row r="24" spans="1:17" ht="16.5" thickBot="1">
      <c r="A24" s="57"/>
      <c r="B24" s="116" t="s">
        <v>53</v>
      </c>
      <c r="C24" s="117">
        <f>'Ciclos de processo maq 02 e 03'!G6</f>
        <v>4.5740740740740735E-2</v>
      </c>
      <c r="D24" s="118">
        <f>'[2]Maquinas 02 e 03 ENERGIA'!$K$25+'[3]MAQUINAS 02 E 03 DEPRECIAÇÃO'!$G$66+[4]Manutenção!$E$16+[4]Manutenção!$F$17+'[5]MAQUINA 02 MÃO DE OBRA'!$L$12+'[5]MAQUINA 03 MÃO DE OBRA'!$L$12</f>
        <v>66056.20664838118</v>
      </c>
      <c r="E24" s="119">
        <f>F20*G20*H20*60</f>
        <v>21120</v>
      </c>
      <c r="F24" s="120">
        <v>0.85</v>
      </c>
      <c r="G24" s="121">
        <f>C24/F24</f>
        <v>5.3812636165577334E-2</v>
      </c>
      <c r="H24" s="122">
        <f>D24/E24</f>
        <v>3.1276612996392603</v>
      </c>
      <c r="I24" s="123">
        <f>H24*G24</f>
        <v>0.16830769956664426</v>
      </c>
      <c r="J24" s="29"/>
      <c r="K24" s="31"/>
      <c r="L24" s="20"/>
      <c r="M24" s="32"/>
      <c r="N24" s="25"/>
      <c r="O24" s="25"/>
      <c r="P24" s="26"/>
      <c r="Q24" s="15"/>
    </row>
    <row r="25" spans="1:17" ht="15.75" thickBot="1">
      <c r="A25" s="57"/>
      <c r="B25" s="124" t="s">
        <v>54</v>
      </c>
      <c r="C25" s="125">
        <f>I20/(C26*(F20*G20))*60</f>
        <v>5.7175925925925918E-3</v>
      </c>
      <c r="D25" s="126">
        <f>('[2]Maquinas 02 e 03 ENERGIA'!$K$25*30%)+'[3]MAQUINAS 02 E 03 DEPRECIAÇÃO'!$G$66</f>
        <v>13067.827878468826</v>
      </c>
      <c r="E25" s="127">
        <f>E24</f>
        <v>21120</v>
      </c>
      <c r="F25" s="128">
        <v>0.85</v>
      </c>
      <c r="G25" s="129">
        <f>C25/F25</f>
        <v>6.7265795206971667E-3</v>
      </c>
      <c r="H25" s="130">
        <f>D25/E25</f>
        <v>0.61874185030628914</v>
      </c>
      <c r="I25" s="131">
        <f>H25*G25</f>
        <v>4.1620162588685561E-3</v>
      </c>
      <c r="J25" s="29"/>
      <c r="K25" s="29"/>
      <c r="L25" s="29"/>
      <c r="M25" s="31"/>
      <c r="N25" s="32"/>
    </row>
    <row r="26" spans="1:17" ht="19.5" thickBot="1">
      <c r="A26" s="57"/>
      <c r="B26" s="132" t="s">
        <v>55</v>
      </c>
      <c r="C26" s="244">
        <f>'Ciclos de processo maq 02 e 03'!L6</f>
        <v>1311.7408906882592</v>
      </c>
      <c r="D26" s="133" t="s">
        <v>56</v>
      </c>
      <c r="E26" s="22">
        <f>I26*D4</f>
        <v>8.6234857912756411</v>
      </c>
      <c r="F26" s="277" t="s">
        <v>57</v>
      </c>
      <c r="G26" s="278"/>
      <c r="H26" s="134"/>
      <c r="I26" s="135">
        <f>SUM(I24:I25)</f>
        <v>0.17246971582551282</v>
      </c>
      <c r="J26" s="29"/>
      <c r="K26" s="31"/>
      <c r="L26" s="32"/>
    </row>
    <row r="27" spans="1:17" ht="15.75" thickBot="1">
      <c r="A27" s="57"/>
      <c r="B27" s="27"/>
      <c r="C27" s="27"/>
      <c r="D27" s="27"/>
      <c r="E27" s="27"/>
      <c r="F27" s="27"/>
      <c r="G27" s="27"/>
      <c r="H27" s="29"/>
      <c r="I27" s="136"/>
      <c r="J27" s="29"/>
      <c r="K27" s="29"/>
      <c r="L27" s="32"/>
    </row>
    <row r="28" spans="1:17" ht="15.75" thickBot="1">
      <c r="A28" s="57"/>
      <c r="B28" s="137" t="s">
        <v>58</v>
      </c>
      <c r="C28" s="138"/>
      <c r="D28" s="139"/>
      <c r="E28" s="139"/>
      <c r="F28" s="139"/>
      <c r="G28" s="140"/>
      <c r="H28" s="141"/>
      <c r="I28" s="142">
        <f>I10+I26</f>
        <v>0.79559711582551296</v>
      </c>
      <c r="J28" s="143"/>
      <c r="L28" s="32"/>
    </row>
    <row r="29" spans="1:17" ht="15.75" thickBot="1">
      <c r="A29" s="57"/>
      <c r="B29" s="23"/>
      <c r="C29" s="24"/>
      <c r="D29" s="24"/>
      <c r="E29" s="24"/>
      <c r="F29" s="24"/>
      <c r="G29" s="24"/>
      <c r="H29" s="29"/>
      <c r="I29" s="58"/>
    </row>
    <row r="30" spans="1:17" ht="15.75" thickBot="1">
      <c r="A30" s="57"/>
      <c r="B30" s="279" t="s">
        <v>18</v>
      </c>
      <c r="C30" s="280"/>
      <c r="D30" s="280"/>
      <c r="E30" s="280"/>
      <c r="F30" s="280"/>
      <c r="G30" s="281" t="s">
        <v>23</v>
      </c>
      <c r="H30" s="282"/>
      <c r="I30" s="283"/>
      <c r="L30" s="20"/>
      <c r="M30" s="20"/>
      <c r="N30" s="32"/>
    </row>
    <row r="31" spans="1:17" ht="15" customHeight="1">
      <c r="A31" s="57"/>
      <c r="B31" s="33" t="s">
        <v>19</v>
      </c>
      <c r="C31" s="265" t="s">
        <v>20</v>
      </c>
      <c r="D31" s="266"/>
      <c r="E31" s="144" t="s">
        <v>21</v>
      </c>
      <c r="F31" s="145" t="s">
        <v>22</v>
      </c>
      <c r="G31" s="146" t="s">
        <v>59</v>
      </c>
      <c r="H31" s="267" t="s">
        <v>21</v>
      </c>
      <c r="I31" s="268"/>
      <c r="L31" s="20"/>
      <c r="M31" s="20"/>
      <c r="N31" s="32"/>
    </row>
    <row r="32" spans="1:17" ht="15.75" thickBot="1">
      <c r="A32" s="57"/>
      <c r="B32" s="34">
        <v>96000</v>
      </c>
      <c r="C32" s="257">
        <v>800000</v>
      </c>
      <c r="D32" s="258"/>
      <c r="E32" s="147">
        <f>B32/C32</f>
        <v>0.12</v>
      </c>
      <c r="F32" s="148">
        <f>G58*E32</f>
        <v>6.3</v>
      </c>
      <c r="G32" s="149">
        <f>H32*G58</f>
        <v>2.6249999999999999E-2</v>
      </c>
      <c r="H32" s="259">
        <v>5.0000000000000001E-4</v>
      </c>
      <c r="I32" s="260"/>
      <c r="L32" s="29"/>
      <c r="M32" s="28"/>
      <c r="N32" s="10"/>
    </row>
    <row r="33" spans="1:14" ht="15.75" thickBot="1">
      <c r="A33" s="57"/>
      <c r="B33" s="27"/>
      <c r="C33" s="150"/>
      <c r="D33" s="150"/>
      <c r="E33" s="27"/>
      <c r="F33" s="27"/>
      <c r="G33" s="29"/>
      <c r="H33" s="29"/>
      <c r="I33" s="151"/>
      <c r="L33" s="29"/>
      <c r="M33" s="28"/>
      <c r="N33" s="10"/>
    </row>
    <row r="34" spans="1:14" ht="15.75" thickBot="1">
      <c r="A34" s="57"/>
      <c r="B34" s="27"/>
      <c r="C34" s="261" t="s">
        <v>60</v>
      </c>
      <c r="D34" s="262"/>
      <c r="E34" s="261" t="s">
        <v>61</v>
      </c>
      <c r="F34" s="263"/>
      <c r="G34" s="29"/>
      <c r="H34" s="23"/>
      <c r="I34" s="151"/>
    </row>
    <row r="35" spans="1:14" ht="15.75" thickBot="1">
      <c r="A35" s="57"/>
      <c r="B35" s="27"/>
      <c r="C35" s="264">
        <f>I17+E26+F32+G32</f>
        <v>46.954037773161311</v>
      </c>
      <c r="D35" s="262"/>
      <c r="E35" s="264">
        <f>C35/D4</f>
        <v>0.93908075546322622</v>
      </c>
      <c r="F35" s="262"/>
      <c r="G35" s="29"/>
      <c r="H35" s="38"/>
      <c r="I35" s="151"/>
    </row>
    <row r="36" spans="1:14" s="10" customFormat="1" ht="16.5" thickBot="1">
      <c r="A36" s="152"/>
      <c r="B36" s="30"/>
      <c r="C36" s="153"/>
      <c r="D36" s="20"/>
      <c r="E36" s="153"/>
      <c r="F36" s="20"/>
      <c r="G36" s="29"/>
      <c r="H36" s="38"/>
      <c r="I36" s="151"/>
    </row>
    <row r="37" spans="1:14" ht="15.75" thickBot="1">
      <c r="A37" s="57"/>
      <c r="B37" s="254" t="s">
        <v>62</v>
      </c>
      <c r="C37" s="255"/>
      <c r="D37" s="255"/>
      <c r="E37" s="255"/>
      <c r="F37" s="255"/>
      <c r="G37" s="256"/>
      <c r="H37" s="38"/>
      <c r="I37" s="151"/>
      <c r="K37" s="154"/>
    </row>
    <row r="38" spans="1:14" ht="15.75" thickBot="1">
      <c r="A38" s="57"/>
      <c r="B38" s="155" t="s">
        <v>24</v>
      </c>
      <c r="C38" s="156">
        <v>0</v>
      </c>
      <c r="D38" s="156">
        <v>0.3</v>
      </c>
      <c r="E38" s="157">
        <v>0.5</v>
      </c>
      <c r="F38" s="156">
        <v>0.7</v>
      </c>
      <c r="G38" s="158">
        <v>1</v>
      </c>
      <c r="H38" s="51"/>
      <c r="I38" s="151"/>
    </row>
    <row r="39" spans="1:14" ht="15.75" thickBot="1">
      <c r="A39" s="57"/>
      <c r="B39" s="159" t="s">
        <v>25</v>
      </c>
      <c r="C39" s="160">
        <f>C52*C40</f>
        <v>3.8375896256910687</v>
      </c>
      <c r="D39" s="160">
        <f>D52*D40</f>
        <v>9.5981656337910888</v>
      </c>
      <c r="E39" s="161">
        <f>E52*E40</f>
        <v>12.670137176884801</v>
      </c>
      <c r="F39" s="160">
        <f>F52*F40</f>
        <v>19.673686303851188</v>
      </c>
      <c r="G39" s="162">
        <f>G52*G40</f>
        <v>29.949754757949119</v>
      </c>
      <c r="H39" s="29"/>
      <c r="I39" s="151"/>
    </row>
    <row r="40" spans="1:14" ht="15.75" thickBot="1">
      <c r="A40" s="57"/>
      <c r="B40" s="159" t="s">
        <v>26</v>
      </c>
      <c r="C40" s="163">
        <f>SUM(C41:C48)</f>
        <v>6.8000000000000005E-2</v>
      </c>
      <c r="D40" s="163">
        <f>SUM(D41:D48)</f>
        <v>0.15275000000000002</v>
      </c>
      <c r="E40" s="164">
        <f>SUM(E41:E48)</f>
        <v>0.19125000000000003</v>
      </c>
      <c r="F40" s="163">
        <f>SUM(F41:F48)</f>
        <v>0.26574999999999999</v>
      </c>
      <c r="G40" s="165">
        <f>SUM(G41:G48)</f>
        <v>0.35050000000000003</v>
      </c>
      <c r="H40" s="23"/>
      <c r="I40" s="151"/>
    </row>
    <row r="41" spans="1:14" ht="15.75" thickBot="1">
      <c r="A41" s="57"/>
      <c r="B41" s="166" t="s">
        <v>27</v>
      </c>
      <c r="C41" s="167">
        <f>G41</f>
        <v>0</v>
      </c>
      <c r="D41" s="167">
        <f>G41</f>
        <v>0</v>
      </c>
      <c r="E41" s="168">
        <f>G41</f>
        <v>0</v>
      </c>
      <c r="F41" s="167">
        <f>G41</f>
        <v>0</v>
      </c>
      <c r="G41" s="169">
        <v>0</v>
      </c>
      <c r="H41" s="170" t="s">
        <v>63</v>
      </c>
      <c r="I41" s="36" t="s">
        <v>28</v>
      </c>
    </row>
    <row r="42" spans="1:14" ht="15.75" thickBot="1">
      <c r="A42" s="57"/>
      <c r="B42" s="166" t="s">
        <v>29</v>
      </c>
      <c r="C42" s="167">
        <f>G42</f>
        <v>0.05</v>
      </c>
      <c r="D42" s="167">
        <f>G42</f>
        <v>0.05</v>
      </c>
      <c r="E42" s="168">
        <f>G42</f>
        <v>0.05</v>
      </c>
      <c r="F42" s="171">
        <v>0.05</v>
      </c>
      <c r="G42" s="172">
        <v>0.05</v>
      </c>
      <c r="H42" s="170" t="s">
        <v>63</v>
      </c>
      <c r="I42" s="36" t="s">
        <v>28</v>
      </c>
    </row>
    <row r="43" spans="1:14">
      <c r="A43" s="57"/>
      <c r="B43" s="166" t="s">
        <v>30</v>
      </c>
      <c r="C43" s="167">
        <v>0</v>
      </c>
      <c r="D43" s="171">
        <f>G43*30%</f>
        <v>5.3999999999999999E-2</v>
      </c>
      <c r="E43" s="173">
        <f>G43*50%</f>
        <v>0.09</v>
      </c>
      <c r="F43" s="171">
        <f>G43*$F$38</f>
        <v>0.126</v>
      </c>
      <c r="G43" s="174">
        <v>0.18</v>
      </c>
      <c r="H43" s="37"/>
      <c r="I43" s="6"/>
    </row>
    <row r="44" spans="1:14">
      <c r="A44" s="57"/>
      <c r="B44" s="166" t="s">
        <v>31</v>
      </c>
      <c r="C44" s="167">
        <v>0</v>
      </c>
      <c r="D44" s="171">
        <f>G44*30%</f>
        <v>2.2799999999999997E-2</v>
      </c>
      <c r="E44" s="173">
        <f>G44*50%</f>
        <v>3.7999999999999999E-2</v>
      </c>
      <c r="F44" s="171">
        <f t="shared" ref="F44:F45" si="0">G44*$F$38</f>
        <v>5.3199999999999997E-2</v>
      </c>
      <c r="G44" s="174">
        <v>7.5999999999999998E-2</v>
      </c>
      <c r="H44" s="38"/>
      <c r="I44" s="6"/>
    </row>
    <row r="45" spans="1:14">
      <c r="A45" s="57"/>
      <c r="B45" s="166" t="s">
        <v>32</v>
      </c>
      <c r="C45" s="167">
        <v>0</v>
      </c>
      <c r="D45" s="171">
        <f>G45*30%</f>
        <v>4.9500000000000004E-3</v>
      </c>
      <c r="E45" s="173">
        <f>G45*50%</f>
        <v>8.2500000000000004E-3</v>
      </c>
      <c r="F45" s="171">
        <f t="shared" si="0"/>
        <v>1.155E-2</v>
      </c>
      <c r="G45" s="174">
        <v>1.6500000000000001E-2</v>
      </c>
      <c r="H45" s="38"/>
      <c r="I45" s="6"/>
    </row>
    <row r="46" spans="1:14">
      <c r="A46" s="57"/>
      <c r="B46" s="166" t="s">
        <v>33</v>
      </c>
      <c r="C46" s="167">
        <v>6.0000000000000001E-3</v>
      </c>
      <c r="D46" s="167">
        <v>6.0000000000000001E-3</v>
      </c>
      <c r="E46" s="168">
        <v>0</v>
      </c>
      <c r="F46" s="171">
        <v>6.0000000000000001E-3</v>
      </c>
      <c r="G46" s="174">
        <v>6.0000000000000001E-3</v>
      </c>
      <c r="H46" s="38"/>
      <c r="I46" s="58"/>
    </row>
    <row r="47" spans="1:14" ht="15.75" thickBot="1">
      <c r="A47" s="57"/>
      <c r="B47" s="166" t="s">
        <v>64</v>
      </c>
      <c r="C47" s="167">
        <v>0</v>
      </c>
      <c r="D47" s="167">
        <f>G47*30%</f>
        <v>3.0000000000000001E-3</v>
      </c>
      <c r="E47" s="168">
        <f>G47*50%</f>
        <v>5.0000000000000001E-3</v>
      </c>
      <c r="F47" s="171">
        <f>G47*F38</f>
        <v>6.9999999999999993E-3</v>
      </c>
      <c r="G47" s="175">
        <v>0.01</v>
      </c>
      <c r="H47" s="38"/>
      <c r="I47" s="6"/>
    </row>
    <row r="48" spans="1:14" ht="15.75" thickBot="1">
      <c r="A48" s="57"/>
      <c r="B48" s="176" t="s">
        <v>34</v>
      </c>
      <c r="C48" s="177">
        <f>G48</f>
        <v>1.2E-2</v>
      </c>
      <c r="D48" s="177">
        <f>G48</f>
        <v>1.2E-2</v>
      </c>
      <c r="E48" s="178">
        <v>0</v>
      </c>
      <c r="F48" s="177">
        <v>1.2E-2</v>
      </c>
      <c r="G48" s="172">
        <v>1.2E-2</v>
      </c>
      <c r="H48" s="170" t="s">
        <v>63</v>
      </c>
      <c r="I48" s="36" t="s">
        <v>28</v>
      </c>
    </row>
    <row r="49" spans="1:9" ht="15.75" thickBot="1">
      <c r="A49" s="57"/>
      <c r="B49" s="179"/>
      <c r="C49" s="39"/>
      <c r="D49" s="39"/>
      <c r="E49" s="39"/>
      <c r="F49" s="40"/>
      <c r="G49" s="39"/>
      <c r="H49" s="38"/>
      <c r="I49" s="58"/>
    </row>
    <row r="50" spans="1:9" ht="15.75" thickBot="1">
      <c r="A50" s="57"/>
      <c r="B50" s="41" t="s">
        <v>35</v>
      </c>
      <c r="C50" s="42">
        <f>$C$35+C39</f>
        <v>50.791627398852377</v>
      </c>
      <c r="D50" s="42">
        <f>$C$35+D39</f>
        <v>56.552203406952401</v>
      </c>
      <c r="E50" s="180">
        <f>$C$35+E39</f>
        <v>59.624174950046111</v>
      </c>
      <c r="F50" s="42">
        <f>$C$35+F39</f>
        <v>66.627724077012502</v>
      </c>
      <c r="G50" s="42">
        <f>$C$35+G39</f>
        <v>76.903792531110426</v>
      </c>
      <c r="H50" s="181"/>
      <c r="I50" s="58"/>
    </row>
    <row r="51" spans="1:9" ht="15.75" thickBot="1">
      <c r="A51" s="57"/>
      <c r="B51" s="43" t="s">
        <v>36</v>
      </c>
      <c r="C51" s="46">
        <f>G51</f>
        <v>0.1</v>
      </c>
      <c r="D51" s="46">
        <f>G51</f>
        <v>0.1</v>
      </c>
      <c r="E51" s="182">
        <f>G51</f>
        <v>0.1</v>
      </c>
      <c r="F51" s="46">
        <v>0.1</v>
      </c>
      <c r="G51" s="46">
        <v>0.1</v>
      </c>
      <c r="H51" s="38"/>
      <c r="I51" s="58"/>
    </row>
    <row r="52" spans="1:9" ht="15.75" thickBot="1">
      <c r="A52" s="57"/>
      <c r="B52" s="183" t="s">
        <v>37</v>
      </c>
      <c r="C52" s="184">
        <f>$C$35/(1-C40-C51)</f>
        <v>56.43514155428042</v>
      </c>
      <c r="D52" s="184">
        <f>$C$35/(1-D40-D51)</f>
        <v>62.835781563280442</v>
      </c>
      <c r="E52" s="185">
        <f>$C$35/(1-E40-E51)</f>
        <v>66.249083277829016</v>
      </c>
      <c r="F52" s="184">
        <f>$C$35/(1-F40-F51)</f>
        <v>74.030804530013882</v>
      </c>
      <c r="G52" s="184">
        <f>$C$35/(1-G40-G51)</f>
        <v>85.448658367900478</v>
      </c>
      <c r="H52" s="38"/>
      <c r="I52" s="58"/>
    </row>
    <row r="53" spans="1:9" ht="15.75" thickBot="1">
      <c r="A53" s="57"/>
      <c r="B53" s="186" t="s">
        <v>65</v>
      </c>
      <c r="C53" s="187">
        <f>C52+(C56*C52)</f>
        <v>56.43514155428042</v>
      </c>
      <c r="D53" s="187">
        <f>D52+(D56*D52)</f>
        <v>65.66339173362806</v>
      </c>
      <c r="E53" s="188">
        <f>E52+(E56*E52)</f>
        <v>71.21776452366619</v>
      </c>
      <c r="F53" s="187">
        <f>F52+(F56*F52)</f>
        <v>81.804039005665345</v>
      </c>
      <c r="G53" s="187">
        <f>G52+(G56*G52)</f>
        <v>98.265957123085542</v>
      </c>
      <c r="H53" s="8"/>
      <c r="I53" s="58"/>
    </row>
    <row r="54" spans="1:9" ht="15.75" thickBot="1">
      <c r="A54" s="57"/>
      <c r="B54" s="189" t="s">
        <v>38</v>
      </c>
      <c r="C54" s="190">
        <f>C52-C50</f>
        <v>5.6435141554280435</v>
      </c>
      <c r="D54" s="190">
        <f>D52-D50</f>
        <v>6.2835781563280406</v>
      </c>
      <c r="E54" s="191">
        <f>E52-E50</f>
        <v>6.6249083277829044</v>
      </c>
      <c r="F54" s="190">
        <f>F52-F50</f>
        <v>7.4030804530013796</v>
      </c>
      <c r="G54" s="190">
        <f>G52-G50</f>
        <v>8.5448658367900521</v>
      </c>
      <c r="H54" s="8"/>
      <c r="I54" s="58"/>
    </row>
    <row r="55" spans="1:9" ht="15.75" thickBot="1">
      <c r="A55" s="57"/>
      <c r="B55" s="192" t="s">
        <v>66</v>
      </c>
      <c r="C55" s="193">
        <f>C54/C52</f>
        <v>0.10000000000000002</v>
      </c>
      <c r="D55" s="193">
        <f>D54/D52</f>
        <v>9.999999999999995E-2</v>
      </c>
      <c r="E55" s="194">
        <f>E54/E52</f>
        <v>0.10000000000000005</v>
      </c>
      <c r="F55" s="193">
        <f>F54/F52</f>
        <v>9.9999999999999881E-2</v>
      </c>
      <c r="G55" s="193">
        <f>G54/G52</f>
        <v>0.10000000000000005</v>
      </c>
      <c r="H55" s="8"/>
      <c r="I55" s="58"/>
    </row>
    <row r="56" spans="1:9" ht="15.75" thickBot="1">
      <c r="A56" s="57"/>
      <c r="B56" s="195" t="s">
        <v>67</v>
      </c>
      <c r="C56" s="196">
        <v>0</v>
      </c>
      <c r="D56" s="197">
        <f>G56*30%</f>
        <v>4.4999999999999998E-2</v>
      </c>
      <c r="E56" s="198">
        <f>G56*50%</f>
        <v>7.4999999999999997E-2</v>
      </c>
      <c r="F56" s="197">
        <f>G56*F38</f>
        <v>0.105</v>
      </c>
      <c r="G56" s="197">
        <v>0.15</v>
      </c>
      <c r="H56" s="8"/>
      <c r="I56" s="58"/>
    </row>
    <row r="57" spans="1:9" ht="15.75" thickBot="1">
      <c r="A57" s="57"/>
      <c r="B57" s="195" t="s">
        <v>68</v>
      </c>
      <c r="C57" s="196">
        <f>C55-C56</f>
        <v>0.10000000000000002</v>
      </c>
      <c r="D57" s="196">
        <f>D55-D56</f>
        <v>5.4999999999999952E-2</v>
      </c>
      <c r="E57" s="199">
        <f>E55-E56</f>
        <v>2.500000000000005E-2</v>
      </c>
      <c r="F57" s="196">
        <f>F55-F56</f>
        <v>-5.0000000000001155E-3</v>
      </c>
      <c r="G57" s="196">
        <f>G55-G56</f>
        <v>-4.9999999999999947E-2</v>
      </c>
      <c r="H57" s="8"/>
      <c r="I57" s="58"/>
    </row>
    <row r="58" spans="1:9" ht="16.5" thickBot="1">
      <c r="A58" s="57"/>
      <c r="B58" s="44" t="s">
        <v>39</v>
      </c>
      <c r="C58" s="200">
        <f>G58</f>
        <v>52.5</v>
      </c>
      <c r="D58" s="200">
        <f>G58</f>
        <v>52.5</v>
      </c>
      <c r="E58" s="201">
        <f>G58</f>
        <v>52.5</v>
      </c>
      <c r="F58" s="202">
        <f>G58</f>
        <v>52.5</v>
      </c>
      <c r="G58" s="203">
        <v>52.5</v>
      </c>
      <c r="H58" s="170" t="s">
        <v>63</v>
      </c>
      <c r="I58" s="45" t="s">
        <v>28</v>
      </c>
    </row>
    <row r="59" spans="1:9" ht="15.75" thickBot="1">
      <c r="A59" s="57"/>
      <c r="B59" s="186" t="s">
        <v>69</v>
      </c>
      <c r="C59" s="187">
        <f>C58+(C63*C58)</f>
        <v>52.5</v>
      </c>
      <c r="D59" s="187">
        <f>D58+(D63*D58)</f>
        <v>54.862499999999997</v>
      </c>
      <c r="E59" s="188">
        <f>E58+(E63*E58)</f>
        <v>56.4375</v>
      </c>
      <c r="F59" s="187">
        <f>F58+(F63*F58)</f>
        <v>58.012500000000003</v>
      </c>
      <c r="G59" s="187">
        <f>G58+(G63*G58)</f>
        <v>60.375</v>
      </c>
      <c r="H59" s="204"/>
      <c r="I59" s="58"/>
    </row>
    <row r="60" spans="1:9" ht="15.75" thickBot="1">
      <c r="A60" s="57"/>
      <c r="B60" s="205" t="s">
        <v>38</v>
      </c>
      <c r="C60" s="206">
        <f>-((C58*C40)+($C$35-C58))</f>
        <v>1.9759622268386892</v>
      </c>
      <c r="D60" s="206">
        <f>-((D58*D40)+($C$35-D58))</f>
        <v>-2.4734127731613125</v>
      </c>
      <c r="E60" s="207">
        <f>-((E58*E40)+($C$35-E58))</f>
        <v>-4.4946627731613127</v>
      </c>
      <c r="F60" s="206">
        <f>-((F58*F40)+($C$35-F58))</f>
        <v>-8.4059127731613099</v>
      </c>
      <c r="G60" s="206">
        <f>-((G58*G40)+($C$35-G58))</f>
        <v>-12.855287773161312</v>
      </c>
      <c r="H60" s="27"/>
      <c r="I60" s="58"/>
    </row>
    <row r="61" spans="1:9" ht="15.75" thickBot="1">
      <c r="A61" s="57"/>
      <c r="B61" s="208" t="s">
        <v>70</v>
      </c>
      <c r="C61" s="209">
        <f>C60/C58</f>
        <v>3.7637375749308366E-2</v>
      </c>
      <c r="D61" s="209">
        <f>D60/D58</f>
        <v>-4.7112624250691668E-2</v>
      </c>
      <c r="E61" s="210">
        <f>E60/E58</f>
        <v>-8.5612624250691674E-2</v>
      </c>
      <c r="F61" s="209">
        <f>F60/F58</f>
        <v>-0.16011262425069162</v>
      </c>
      <c r="G61" s="209">
        <f>G60/G58</f>
        <v>-0.24486262425069164</v>
      </c>
      <c r="H61" s="27"/>
      <c r="I61" s="58"/>
    </row>
    <row r="62" spans="1:9" ht="15.75" thickBot="1">
      <c r="A62" s="57"/>
      <c r="B62" s="211" t="s">
        <v>5</v>
      </c>
      <c r="C62" s="212">
        <f>C58/$D$4</f>
        <v>1.05</v>
      </c>
      <c r="D62" s="212">
        <f t="shared" ref="D62:F62" si="1">D58/$D$4</f>
        <v>1.05</v>
      </c>
      <c r="E62" s="212">
        <f t="shared" si="1"/>
        <v>1.05</v>
      </c>
      <c r="F62" s="212">
        <f t="shared" si="1"/>
        <v>1.05</v>
      </c>
      <c r="G62" s="212">
        <f>G58/$D$4</f>
        <v>1.05</v>
      </c>
      <c r="H62" s="27"/>
      <c r="I62" s="58"/>
    </row>
    <row r="63" spans="1:9" ht="15.75" thickBot="1">
      <c r="A63" s="57"/>
      <c r="B63" s="213" t="s">
        <v>67</v>
      </c>
      <c r="C63" s="214">
        <v>0</v>
      </c>
      <c r="D63" s="197">
        <f>G63*30%</f>
        <v>4.4999999999999998E-2</v>
      </c>
      <c r="E63" s="198">
        <f>G63*50%</f>
        <v>7.4999999999999997E-2</v>
      </c>
      <c r="F63" s="197">
        <f>G63*F38</f>
        <v>0.105</v>
      </c>
      <c r="G63" s="197">
        <f>G56</f>
        <v>0.15</v>
      </c>
      <c r="H63" s="215" t="s">
        <v>41</v>
      </c>
      <c r="I63" s="216" t="s">
        <v>71</v>
      </c>
    </row>
    <row r="64" spans="1:9" ht="15.75" thickBot="1">
      <c r="A64" s="217"/>
      <c r="B64" s="218" t="s">
        <v>72</v>
      </c>
      <c r="C64" s="219">
        <f>C61-C63</f>
        <v>3.7637375749308366E-2</v>
      </c>
      <c r="D64" s="219">
        <f>D61-D63</f>
        <v>-9.2112624250691666E-2</v>
      </c>
      <c r="E64" s="220">
        <f>E61-E63</f>
        <v>-0.16061262425069167</v>
      </c>
      <c r="F64" s="219">
        <f>F61-F63</f>
        <v>-0.2651126242506916</v>
      </c>
      <c r="G64" s="219">
        <f>G61-G63</f>
        <v>-0.39486262425069163</v>
      </c>
      <c r="H64" s="221">
        <v>85.17</v>
      </c>
      <c r="I64" s="222"/>
    </row>
    <row r="65" spans="7:9">
      <c r="G65" s="27"/>
      <c r="H65" s="27"/>
      <c r="I65" s="27"/>
    </row>
  </sheetData>
  <sheetProtection formatCells="0" formatColumns="0" formatRows="0" insertColumns="0" insertRows="0" insertHyperlinks="0" deleteColumns="0" deleteRows="0" sort="0" autoFilter="0" pivotTables="0"/>
  <mergeCells count="27">
    <mergeCell ref="B19:C20"/>
    <mergeCell ref="D19:E20"/>
    <mergeCell ref="C1:H1"/>
    <mergeCell ref="C2:H2"/>
    <mergeCell ref="B6:I6"/>
    <mergeCell ref="B7:D7"/>
    <mergeCell ref="B11:D11"/>
    <mergeCell ref="C31:D31"/>
    <mergeCell ref="H31:I31"/>
    <mergeCell ref="B21:B23"/>
    <mergeCell ref="C21:C23"/>
    <mergeCell ref="D21:D23"/>
    <mergeCell ref="E21:E23"/>
    <mergeCell ref="F21:F23"/>
    <mergeCell ref="G21:G23"/>
    <mergeCell ref="H21:H23"/>
    <mergeCell ref="I21:I23"/>
    <mergeCell ref="F26:G26"/>
    <mergeCell ref="B30:F30"/>
    <mergeCell ref="G30:I30"/>
    <mergeCell ref="B37:G37"/>
    <mergeCell ref="C32:D32"/>
    <mergeCell ref="H32:I32"/>
    <mergeCell ref="C34:D34"/>
    <mergeCell ref="E34:F34"/>
    <mergeCell ref="C35:D35"/>
    <mergeCell ref="E35:F35"/>
  </mergeCells>
  <printOptions horizontalCentered="1" verticalCentered="1"/>
  <pageMargins left="0" right="0" top="0" bottom="0" header="0" footer="0"/>
  <pageSetup paperSize="9" scale="66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Galão 05 LT Azul Perolado</vt:lpstr>
      <vt:lpstr>Galão 05 LT Branco</vt:lpstr>
      <vt:lpstr>Galão 05 LT Cristal</vt:lpstr>
      <vt:lpstr>Galão 05 LT Cristal Descalvado</vt:lpstr>
      <vt:lpstr>Galão 05 LT Cristal Desomax</vt:lpstr>
      <vt:lpstr>Galão 05 LT Laranja Perolado</vt:lpstr>
      <vt:lpstr>Galão 05 LT Pink Perolado</vt:lpstr>
      <vt:lpstr>Galão 05 LT Roxo Max</vt:lpstr>
      <vt:lpstr>Galão 05 LT Canelinha</vt:lpstr>
      <vt:lpstr>Galão 05 LT Bco leit Reciclado</vt:lpstr>
      <vt:lpstr>Galão 05 LT Canela LARILIMP</vt:lpstr>
      <vt:lpstr>Galão 05 LT Verde Reciclado</vt:lpstr>
      <vt:lpstr>Galão 05 LT Bco leit Rec Henlau</vt:lpstr>
      <vt:lpstr>Galão 05 LT Cristal Henlau</vt:lpstr>
      <vt:lpstr>Galão 05 LT Cristal Teix. Pinto</vt:lpstr>
      <vt:lpstr>Galão 05 LT Canela LARILIMP </vt:lpstr>
      <vt:lpstr>Ciclos de processo maq 02 e 03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consultoria</dc:creator>
  <cp:lastModifiedBy>Heitor Sintra Brunieri Moreira</cp:lastModifiedBy>
  <cp:lastPrinted>2015-08-21T16:33:40Z</cp:lastPrinted>
  <dcterms:created xsi:type="dcterms:W3CDTF">2015-04-15T13:11:23Z</dcterms:created>
  <dcterms:modified xsi:type="dcterms:W3CDTF">2015-08-26T19:40:41Z</dcterms:modified>
</cp:coreProperties>
</file>