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tables/table7.xml" ContentType="application/vnd.openxmlformats-officedocument.spreadsheetml.table+xml"/>
  <Override PartName="/xl/drawings/drawing3.xml" ContentType="application/vnd.openxmlformats-officedocument.drawing+xml"/>
  <Override PartName="/xl/tables/table8.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Ex3.xml" ContentType="application/vnd.ms-office.chartex+xml"/>
  <Override PartName="/xl/charts/style4.xml" ContentType="application/vnd.ms-office.chartstyle+xml"/>
  <Override PartName="/xl/charts/colors4.xml" ContentType="application/vnd.ms-office.chartcolorstyle+xml"/>
  <Override PartName="/xl/charts/chartEx4.xml" ContentType="application/vnd.ms-office.chartex+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hidePivotFieldList="1" defaultThemeVersion="166925"/>
  <mc:AlternateContent xmlns:mc="http://schemas.openxmlformats.org/markup-compatibility/2006">
    <mc:Choice Requires="x15">
      <x15ac:absPath xmlns:x15ac="http://schemas.microsoft.com/office/spreadsheetml/2010/11/ac" url="/Users/connornixon/Desktop/"/>
    </mc:Choice>
  </mc:AlternateContent>
  <xr:revisionPtr revIDLastSave="0" documentId="8_{D702AD8A-272D-AC44-A7CF-552D7BC2C283}" xr6:coauthVersionLast="47" xr6:coauthVersionMax="47" xr10:uidLastSave="{00000000-0000-0000-0000-000000000000}"/>
  <bookViews>
    <workbookView xWindow="0" yWindow="500" windowWidth="35840" windowHeight="20360" xr2:uid="{ACBACAAE-E881-C34B-9D5B-935832E15C36}"/>
  </bookViews>
  <sheets>
    <sheet name="readme" sheetId="2" r:id="rId1"/>
    <sheet name="FMECA_data" sheetId="1" r:id="rId2"/>
    <sheet name="HazardsRisks_synthesized" sheetId="3" r:id="rId3"/>
    <sheet name="cause_consequence_rating" sheetId="4" r:id="rId4"/>
    <sheet name="THEMES" sheetId="10" r:id="rId5"/>
    <sheet name="matrix_information" sheetId="5" r:id="rId6"/>
    <sheet name="definitions" sheetId="9" state="hidden" r:id="rId7"/>
    <sheet name="pivot" sheetId="7" r:id="rId8"/>
    <sheet name="MSc_figures_tables" sheetId="8" state="hidden" r:id="rId9"/>
    <sheet name="MSc_DA_BoxPlots" sheetId="12" state="hidden" r:id="rId10"/>
    <sheet name="ArcticNet_ASM_PrelimData" sheetId="11" r:id="rId11"/>
  </sheets>
  <definedNames>
    <definedName name="_xlnm._FilterDatabase" localSheetId="9" hidden="1">MSc_DA_BoxPlots!$A$1:$F$842</definedName>
    <definedName name="_xlchart.v1.0" hidden="1">MSc_DA_BoxPlots!$A$35:$B$67</definedName>
    <definedName name="_xlchart.v1.1" hidden="1">MSc_DA_BoxPlots!$F$35:$F$67</definedName>
    <definedName name="_xlchart.v1.2" hidden="1">MSc_DA_BoxPlots!$A$2:$A$842</definedName>
    <definedName name="_xlchart.v1.3" hidden="1">MSc_DA_BoxPlots!$F$2:$F$842</definedName>
    <definedName name="_xlchart.v1.4" hidden="1">MSc_DA_BoxPlots!$B$2:$B$842</definedName>
    <definedName name="_xlchart.v1.5" hidden="1">MSc_DA_BoxPlots!$F$2:$F$842</definedName>
    <definedName name="_xlchart.v1.6" hidden="1">MSc_DA_BoxPlots!$A$676:$B$767</definedName>
    <definedName name="_xlchart.v1.7" hidden="1">MSc_DA_BoxPlots!$F$676:$F$767</definedName>
  </definedNames>
  <calcPr calcId="191029"/>
  <pivotCaches>
    <pivotCache cacheId="2"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4" i="8" l="1"/>
  <c r="J26" i="10"/>
  <c r="T46" i="8"/>
  <c r="W47" i="8" s="1"/>
  <c r="T44" i="8"/>
  <c r="W45" i="8" s="1"/>
  <c r="F48" i="8"/>
  <c r="G48" i="8"/>
  <c r="H48" i="8"/>
  <c r="I48" i="8"/>
  <c r="J48" i="8"/>
  <c r="K48" i="8"/>
  <c r="L48" i="8"/>
  <c r="M48" i="8"/>
  <c r="N48" i="8"/>
  <c r="O48" i="8"/>
  <c r="P48" i="8"/>
  <c r="Q48" i="8"/>
  <c r="R48" i="8"/>
  <c r="S48" i="8"/>
  <c r="U48" i="8"/>
  <c r="V48" i="8"/>
  <c r="W48" i="8"/>
  <c r="E46" i="8"/>
  <c r="G47" i="8" s="1"/>
  <c r="E44" i="8"/>
  <c r="I45" i="8" s="1"/>
  <c r="E2" i="12"/>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3" i="12"/>
  <c r="E314" i="12"/>
  <c r="E315" i="12"/>
  <c r="E316" i="12"/>
  <c r="E317" i="12"/>
  <c r="E318" i="12"/>
  <c r="E319" i="12"/>
  <c r="E320" i="12"/>
  <c r="E321" i="12"/>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347" i="12"/>
  <c r="E348" i="12"/>
  <c r="E349" i="12"/>
  <c r="E350" i="12"/>
  <c r="E351" i="12"/>
  <c r="E352" i="12"/>
  <c r="E353" i="12"/>
  <c r="E354" i="12"/>
  <c r="E355" i="12"/>
  <c r="E356" i="12"/>
  <c r="E357" i="12"/>
  <c r="E358" i="12"/>
  <c r="E359" i="12"/>
  <c r="E360" i="12"/>
  <c r="E361" i="12"/>
  <c r="E362" i="12"/>
  <c r="E363" i="12"/>
  <c r="E364" i="12"/>
  <c r="E365" i="12"/>
  <c r="E366" i="12"/>
  <c r="E367" i="12"/>
  <c r="E368" i="12"/>
  <c r="E369" i="12"/>
  <c r="E370" i="12"/>
  <c r="E371" i="12"/>
  <c r="E372" i="12"/>
  <c r="E373" i="12"/>
  <c r="E374" i="12"/>
  <c r="E375" i="12"/>
  <c r="E376" i="12"/>
  <c r="E377" i="12"/>
  <c r="E378" i="12"/>
  <c r="E379" i="12"/>
  <c r="E380" i="12"/>
  <c r="E381" i="12"/>
  <c r="E382" i="12"/>
  <c r="E383" i="12"/>
  <c r="E384" i="12"/>
  <c r="E385" i="12"/>
  <c r="E386" i="12"/>
  <c r="E387" i="12"/>
  <c r="E388" i="12"/>
  <c r="E389" i="12"/>
  <c r="E390" i="12"/>
  <c r="E391" i="12"/>
  <c r="E392" i="12"/>
  <c r="E393" i="12"/>
  <c r="E394" i="12"/>
  <c r="E395" i="12"/>
  <c r="E396" i="12"/>
  <c r="E397" i="12"/>
  <c r="E398" i="12"/>
  <c r="E399" i="12"/>
  <c r="E400" i="12"/>
  <c r="E401" i="12"/>
  <c r="E402" i="12"/>
  <c r="E403" i="12"/>
  <c r="E404" i="12"/>
  <c r="E405" i="12"/>
  <c r="E406" i="12"/>
  <c r="E407" i="12"/>
  <c r="E408" i="12"/>
  <c r="E409" i="12"/>
  <c r="E410" i="12"/>
  <c r="E411" i="12"/>
  <c r="E412" i="12"/>
  <c r="E413" i="12"/>
  <c r="E414" i="12"/>
  <c r="E415" i="12"/>
  <c r="E416" i="12"/>
  <c r="E417" i="12"/>
  <c r="E418" i="12"/>
  <c r="E419" i="12"/>
  <c r="E420" i="12"/>
  <c r="E421" i="12"/>
  <c r="E422" i="12"/>
  <c r="E423" i="12"/>
  <c r="E424" i="12"/>
  <c r="E425" i="12"/>
  <c r="E426" i="12"/>
  <c r="E427" i="12"/>
  <c r="E428" i="12"/>
  <c r="E429" i="12"/>
  <c r="E430" i="12"/>
  <c r="E431" i="12"/>
  <c r="E432" i="12"/>
  <c r="E433" i="12"/>
  <c r="E434" i="12"/>
  <c r="E435" i="12"/>
  <c r="E436" i="12"/>
  <c r="E437" i="12"/>
  <c r="E438" i="12"/>
  <c r="E439" i="12"/>
  <c r="E440" i="12"/>
  <c r="E441" i="12"/>
  <c r="E442" i="12"/>
  <c r="E443" i="12"/>
  <c r="E444" i="12"/>
  <c r="E445" i="12"/>
  <c r="E446" i="12"/>
  <c r="E447" i="12"/>
  <c r="E448" i="12"/>
  <c r="E449" i="12"/>
  <c r="E450" i="12"/>
  <c r="E451" i="12"/>
  <c r="E452" i="12"/>
  <c r="E453" i="12"/>
  <c r="E454" i="12"/>
  <c r="E455" i="12"/>
  <c r="E456" i="12"/>
  <c r="E457" i="12"/>
  <c r="E458" i="12"/>
  <c r="E459" i="12"/>
  <c r="E460" i="12"/>
  <c r="E461" i="12"/>
  <c r="E462" i="12"/>
  <c r="E463" i="12"/>
  <c r="E464" i="12"/>
  <c r="E465" i="12"/>
  <c r="E466" i="12"/>
  <c r="E467" i="12"/>
  <c r="E468" i="12"/>
  <c r="E469" i="12"/>
  <c r="E470" i="12"/>
  <c r="E471" i="12"/>
  <c r="E472" i="12"/>
  <c r="E473" i="12"/>
  <c r="E474" i="12"/>
  <c r="E475" i="12"/>
  <c r="E476" i="12"/>
  <c r="E477" i="12"/>
  <c r="E478" i="12"/>
  <c r="E479" i="12"/>
  <c r="E480" i="12"/>
  <c r="E481" i="12"/>
  <c r="E482" i="12"/>
  <c r="E483" i="12"/>
  <c r="E484" i="12"/>
  <c r="E485" i="12"/>
  <c r="E486" i="12"/>
  <c r="E487" i="12"/>
  <c r="E488" i="12"/>
  <c r="E489" i="12"/>
  <c r="E490" i="12"/>
  <c r="E491" i="12"/>
  <c r="E492" i="12"/>
  <c r="E493" i="12"/>
  <c r="E494" i="12"/>
  <c r="E495" i="12"/>
  <c r="E496" i="12"/>
  <c r="E497" i="12"/>
  <c r="E498" i="12"/>
  <c r="E499" i="12"/>
  <c r="E500" i="12"/>
  <c r="E501" i="12"/>
  <c r="E502" i="12"/>
  <c r="E503" i="12"/>
  <c r="E504" i="12"/>
  <c r="E505" i="12"/>
  <c r="E506" i="12"/>
  <c r="E507" i="12"/>
  <c r="E508" i="12"/>
  <c r="E509" i="12"/>
  <c r="E510" i="12"/>
  <c r="E511" i="12"/>
  <c r="E512" i="12"/>
  <c r="E513" i="12"/>
  <c r="E514" i="12"/>
  <c r="E515" i="12"/>
  <c r="E516" i="12"/>
  <c r="E517" i="12"/>
  <c r="E518" i="12"/>
  <c r="E519" i="12"/>
  <c r="E520" i="12"/>
  <c r="E521" i="12"/>
  <c r="E522" i="12"/>
  <c r="E523" i="12"/>
  <c r="E524" i="12"/>
  <c r="E525" i="12"/>
  <c r="E526" i="12"/>
  <c r="E527" i="12"/>
  <c r="E528" i="12"/>
  <c r="E529" i="12"/>
  <c r="E530" i="12"/>
  <c r="E531" i="12"/>
  <c r="E532" i="12"/>
  <c r="E533" i="12"/>
  <c r="E534" i="12"/>
  <c r="E535" i="12"/>
  <c r="E536" i="12"/>
  <c r="E537" i="12"/>
  <c r="E538" i="12"/>
  <c r="E539" i="12"/>
  <c r="E540" i="12"/>
  <c r="E541" i="12"/>
  <c r="E542" i="12"/>
  <c r="E543" i="12"/>
  <c r="E544" i="12"/>
  <c r="E545" i="12"/>
  <c r="E546" i="12"/>
  <c r="E547" i="12"/>
  <c r="E548" i="12"/>
  <c r="E549" i="12"/>
  <c r="E550" i="12"/>
  <c r="E551" i="12"/>
  <c r="E552" i="12"/>
  <c r="E553" i="12"/>
  <c r="E554" i="12"/>
  <c r="E555" i="12"/>
  <c r="E556" i="12"/>
  <c r="E557" i="12"/>
  <c r="E558" i="12"/>
  <c r="E559" i="12"/>
  <c r="E560" i="12"/>
  <c r="E561" i="12"/>
  <c r="E562" i="12"/>
  <c r="E563" i="12"/>
  <c r="E564" i="12"/>
  <c r="E565" i="12"/>
  <c r="E566" i="12"/>
  <c r="E567" i="12"/>
  <c r="E568" i="12"/>
  <c r="E569" i="12"/>
  <c r="E570" i="12"/>
  <c r="E571" i="12"/>
  <c r="E572" i="12"/>
  <c r="E573" i="12"/>
  <c r="E574" i="12"/>
  <c r="E575" i="12"/>
  <c r="E576" i="12"/>
  <c r="E577" i="12"/>
  <c r="E578" i="12"/>
  <c r="E579" i="12"/>
  <c r="E580" i="12"/>
  <c r="E581" i="12"/>
  <c r="E582" i="12"/>
  <c r="E583" i="12"/>
  <c r="E584" i="12"/>
  <c r="E585" i="12"/>
  <c r="E586" i="12"/>
  <c r="E587" i="12"/>
  <c r="E588" i="12"/>
  <c r="E589" i="12"/>
  <c r="E590" i="12"/>
  <c r="E591" i="12"/>
  <c r="E592" i="12"/>
  <c r="E593" i="12"/>
  <c r="E594" i="12"/>
  <c r="E595" i="12"/>
  <c r="E596" i="12"/>
  <c r="E597" i="12"/>
  <c r="E598" i="12"/>
  <c r="E599" i="12"/>
  <c r="E600" i="12"/>
  <c r="E601" i="12"/>
  <c r="E602" i="12"/>
  <c r="E603" i="12"/>
  <c r="E604" i="12"/>
  <c r="E605" i="12"/>
  <c r="E606" i="12"/>
  <c r="E607" i="12"/>
  <c r="E608" i="12"/>
  <c r="E609" i="12"/>
  <c r="E610" i="12"/>
  <c r="E611" i="12"/>
  <c r="E612" i="12"/>
  <c r="E613" i="12"/>
  <c r="E614" i="12"/>
  <c r="E615" i="12"/>
  <c r="E616" i="12"/>
  <c r="E617" i="12"/>
  <c r="E618" i="12"/>
  <c r="E619" i="12"/>
  <c r="E620" i="12"/>
  <c r="E621" i="12"/>
  <c r="E622" i="12"/>
  <c r="E623" i="12"/>
  <c r="E624" i="12"/>
  <c r="E625" i="12"/>
  <c r="E626" i="12"/>
  <c r="E627" i="12"/>
  <c r="E628" i="12"/>
  <c r="E629" i="12"/>
  <c r="E630" i="12"/>
  <c r="E631" i="12"/>
  <c r="E632" i="12"/>
  <c r="E633" i="12"/>
  <c r="E634" i="12"/>
  <c r="E635" i="12"/>
  <c r="E636" i="12"/>
  <c r="E637" i="12"/>
  <c r="E638" i="12"/>
  <c r="E639" i="12"/>
  <c r="E640" i="12"/>
  <c r="E641" i="12"/>
  <c r="E642" i="12"/>
  <c r="E643" i="12"/>
  <c r="E644" i="12"/>
  <c r="E645" i="12"/>
  <c r="E646" i="12"/>
  <c r="E647" i="12"/>
  <c r="E648" i="12"/>
  <c r="E649" i="12"/>
  <c r="E650" i="12"/>
  <c r="E651" i="12"/>
  <c r="E652" i="12"/>
  <c r="E653" i="12"/>
  <c r="E654" i="12"/>
  <c r="E655" i="12"/>
  <c r="E656" i="12"/>
  <c r="E657" i="12"/>
  <c r="E658" i="12"/>
  <c r="E659" i="12"/>
  <c r="E660" i="12"/>
  <c r="E661" i="12"/>
  <c r="E662" i="12"/>
  <c r="E663" i="12"/>
  <c r="E664" i="12"/>
  <c r="E665" i="12"/>
  <c r="E666" i="12"/>
  <c r="E667" i="12"/>
  <c r="E668" i="12"/>
  <c r="E669" i="12"/>
  <c r="E670" i="12"/>
  <c r="E671" i="12"/>
  <c r="E672" i="12"/>
  <c r="E673" i="12"/>
  <c r="E674" i="12"/>
  <c r="E675" i="12"/>
  <c r="E676" i="12"/>
  <c r="E677" i="12"/>
  <c r="E678" i="12"/>
  <c r="E679" i="12"/>
  <c r="E680" i="12"/>
  <c r="E681" i="12"/>
  <c r="E682" i="12"/>
  <c r="E683" i="12"/>
  <c r="E684" i="12"/>
  <c r="E685" i="12"/>
  <c r="E686" i="12"/>
  <c r="E687" i="12"/>
  <c r="E688" i="12"/>
  <c r="E689" i="12"/>
  <c r="E690" i="12"/>
  <c r="E691" i="12"/>
  <c r="E692" i="12"/>
  <c r="E693" i="12"/>
  <c r="E694" i="12"/>
  <c r="E695" i="12"/>
  <c r="E696" i="12"/>
  <c r="E697" i="12"/>
  <c r="E698" i="12"/>
  <c r="E699" i="12"/>
  <c r="E700" i="12"/>
  <c r="E701" i="12"/>
  <c r="E702" i="12"/>
  <c r="E703" i="12"/>
  <c r="E704" i="12"/>
  <c r="E705" i="12"/>
  <c r="E706" i="12"/>
  <c r="E707" i="12"/>
  <c r="E708" i="12"/>
  <c r="E709" i="12"/>
  <c r="E710" i="12"/>
  <c r="E711" i="12"/>
  <c r="E712" i="12"/>
  <c r="E713" i="12"/>
  <c r="E714" i="12"/>
  <c r="E715" i="12"/>
  <c r="E716" i="12"/>
  <c r="E717" i="12"/>
  <c r="E718" i="12"/>
  <c r="E719" i="12"/>
  <c r="E720" i="12"/>
  <c r="E721" i="12"/>
  <c r="E722" i="12"/>
  <c r="E723" i="12"/>
  <c r="E724" i="12"/>
  <c r="E725" i="12"/>
  <c r="E726" i="12"/>
  <c r="E727" i="12"/>
  <c r="E728" i="12"/>
  <c r="E729" i="12"/>
  <c r="E730" i="12"/>
  <c r="E731" i="12"/>
  <c r="E732" i="12"/>
  <c r="E733" i="12"/>
  <c r="E734" i="12"/>
  <c r="E735" i="12"/>
  <c r="E736" i="12"/>
  <c r="E737" i="12"/>
  <c r="E738" i="12"/>
  <c r="E739" i="12"/>
  <c r="E740" i="12"/>
  <c r="E741" i="12"/>
  <c r="E742" i="12"/>
  <c r="E743" i="12"/>
  <c r="E744" i="12"/>
  <c r="E745" i="12"/>
  <c r="E746" i="12"/>
  <c r="E747" i="12"/>
  <c r="E748" i="12"/>
  <c r="E749" i="12"/>
  <c r="E750" i="12"/>
  <c r="E751" i="12"/>
  <c r="E752" i="12"/>
  <c r="E753" i="12"/>
  <c r="E754" i="12"/>
  <c r="E755" i="12"/>
  <c r="E756" i="12"/>
  <c r="E757" i="12"/>
  <c r="E758" i="12"/>
  <c r="E759" i="12"/>
  <c r="E760" i="12"/>
  <c r="E761" i="12"/>
  <c r="E762" i="12"/>
  <c r="E763" i="12"/>
  <c r="E764" i="12"/>
  <c r="E765" i="12"/>
  <c r="E766" i="12"/>
  <c r="E767" i="12"/>
  <c r="E768" i="12"/>
  <c r="E769" i="12"/>
  <c r="E770" i="12"/>
  <c r="E771" i="12"/>
  <c r="E772" i="12"/>
  <c r="E773" i="12"/>
  <c r="E774" i="12"/>
  <c r="E775" i="12"/>
  <c r="E776" i="12"/>
  <c r="E777" i="12"/>
  <c r="E778" i="12"/>
  <c r="E779" i="12"/>
  <c r="E780" i="12"/>
  <c r="E781" i="12"/>
  <c r="E782" i="12"/>
  <c r="E783" i="12"/>
  <c r="E784" i="12"/>
  <c r="E785" i="12"/>
  <c r="E786" i="12"/>
  <c r="E787" i="12"/>
  <c r="E788" i="12"/>
  <c r="E789" i="12"/>
  <c r="E790" i="12"/>
  <c r="E791" i="12"/>
  <c r="E792" i="12"/>
  <c r="E793" i="12"/>
  <c r="E794" i="12"/>
  <c r="E795" i="12"/>
  <c r="E796" i="12"/>
  <c r="E797" i="12"/>
  <c r="E798" i="12"/>
  <c r="E799" i="12"/>
  <c r="E800" i="12"/>
  <c r="E801" i="12"/>
  <c r="E802" i="12"/>
  <c r="E803" i="12"/>
  <c r="E804" i="12"/>
  <c r="E805" i="12"/>
  <c r="E806" i="12"/>
  <c r="E807" i="12"/>
  <c r="E808" i="12"/>
  <c r="E809" i="12"/>
  <c r="E810" i="12"/>
  <c r="E811" i="12"/>
  <c r="E812" i="12"/>
  <c r="E813" i="12"/>
  <c r="E814" i="12"/>
  <c r="E815" i="12"/>
  <c r="E816" i="12"/>
  <c r="E817" i="12"/>
  <c r="E818" i="12"/>
  <c r="E819" i="12"/>
  <c r="E820" i="12"/>
  <c r="E821" i="12"/>
  <c r="E822" i="12"/>
  <c r="E823" i="12"/>
  <c r="E824" i="12"/>
  <c r="E825" i="12"/>
  <c r="E826" i="12"/>
  <c r="E827" i="12"/>
  <c r="E828" i="12"/>
  <c r="E829" i="12"/>
  <c r="E830" i="12"/>
  <c r="E831" i="12"/>
  <c r="E832" i="12"/>
  <c r="E833" i="12"/>
  <c r="E834" i="12"/>
  <c r="E835" i="12"/>
  <c r="E836" i="12"/>
  <c r="E837" i="12"/>
  <c r="E838" i="12"/>
  <c r="E839" i="12"/>
  <c r="E840" i="12"/>
  <c r="E841" i="12"/>
  <c r="E842" i="12"/>
  <c r="H47" i="8" l="1"/>
  <c r="I47" i="8"/>
  <c r="F45" i="8"/>
  <c r="U45" i="8"/>
  <c r="E48" i="8"/>
  <c r="H49" i="8" s="1"/>
  <c r="G45" i="8"/>
  <c r="V45" i="8"/>
  <c r="H45" i="8"/>
  <c r="U47" i="8"/>
  <c r="F47" i="8"/>
  <c r="V47" i="8"/>
  <c r="T48" i="8"/>
  <c r="E47" i="8"/>
  <c r="E45" i="8"/>
  <c r="F27" i="10"/>
  <c r="G49" i="8" l="1"/>
  <c r="F49" i="8"/>
  <c r="I49" i="8"/>
  <c r="E37" i="8"/>
  <c r="F37" i="8"/>
  <c r="G34" i="8"/>
  <c r="G35" i="8"/>
  <c r="G36" i="8"/>
  <c r="G33" i="8"/>
  <c r="B153" i="3"/>
  <c r="B154" i="3"/>
  <c r="B155" i="3"/>
  <c r="C153" i="3"/>
  <c r="F153" i="3" s="1"/>
  <c r="C154" i="3"/>
  <c r="F154" i="3" s="1"/>
  <c r="C155" i="3"/>
  <c r="F155" i="3" s="1"/>
  <c r="D153" i="3"/>
  <c r="D154" i="3"/>
  <c r="D155" i="3"/>
  <c r="AI153" i="3"/>
  <c r="AI154" i="3"/>
  <c r="AI155" i="3"/>
  <c r="B145" i="3"/>
  <c r="B146" i="3"/>
  <c r="B147" i="3"/>
  <c r="B148" i="3"/>
  <c r="B149" i="3"/>
  <c r="B150" i="3"/>
  <c r="B151" i="3"/>
  <c r="B152" i="3"/>
  <c r="C145" i="3"/>
  <c r="E145" i="3" s="1"/>
  <c r="C146" i="3"/>
  <c r="E146" i="3" s="1"/>
  <c r="C147" i="3"/>
  <c r="E147" i="3" s="1"/>
  <c r="C148" i="3"/>
  <c r="E148" i="3" s="1"/>
  <c r="C149" i="3"/>
  <c r="P149" i="3" s="1"/>
  <c r="AD18" i="4" s="1"/>
  <c r="C150" i="3"/>
  <c r="G150" i="3" s="1"/>
  <c r="C151" i="3"/>
  <c r="N151" i="3" s="1"/>
  <c r="AB41" i="4" s="1"/>
  <c r="C152" i="3"/>
  <c r="E152" i="3" s="1"/>
  <c r="D145" i="3"/>
  <c r="D146" i="3"/>
  <c r="D147" i="3"/>
  <c r="D148" i="3"/>
  <c r="D149" i="3"/>
  <c r="D150" i="3"/>
  <c r="D151" i="3"/>
  <c r="D152" i="3"/>
  <c r="AI145" i="3"/>
  <c r="AI146" i="3"/>
  <c r="AI147" i="3"/>
  <c r="AI148" i="3"/>
  <c r="AI149" i="3"/>
  <c r="AI150" i="3"/>
  <c r="AI151" i="3"/>
  <c r="AI152" i="3"/>
  <c r="G449" i="1"/>
  <c r="G450" i="1"/>
  <c r="H449" i="1"/>
  <c r="H450" i="1"/>
  <c r="N449" i="1"/>
  <c r="O449" i="1" s="1"/>
  <c r="N450" i="1"/>
  <c r="O450" i="1" s="1"/>
  <c r="G461" i="1"/>
  <c r="G462" i="1"/>
  <c r="H461" i="1"/>
  <c r="H462" i="1"/>
  <c r="N461" i="1"/>
  <c r="O461" i="1" s="1"/>
  <c r="N462" i="1"/>
  <c r="O462" i="1" s="1"/>
  <c r="N463" i="1"/>
  <c r="O463" i="1" s="1"/>
  <c r="G463" i="1"/>
  <c r="H463" i="1"/>
  <c r="G464" i="1"/>
  <c r="H464" i="1"/>
  <c r="N464" i="1"/>
  <c r="O464" i="1" s="1"/>
  <c r="G465" i="1"/>
  <c r="G466" i="1"/>
  <c r="H465" i="1"/>
  <c r="H466" i="1"/>
  <c r="N465" i="1"/>
  <c r="O465" i="1" s="1"/>
  <c r="N466" i="1"/>
  <c r="O466" i="1" s="1"/>
  <c r="G467" i="1"/>
  <c r="H467" i="1"/>
  <c r="N467" i="1"/>
  <c r="O467" i="1" s="1"/>
  <c r="G468" i="1"/>
  <c r="H468" i="1"/>
  <c r="N468" i="1"/>
  <c r="O468" i="1" s="1"/>
  <c r="G521" i="1"/>
  <c r="H521" i="1"/>
  <c r="N521" i="1"/>
  <c r="O521" i="1" s="1"/>
  <c r="G526" i="1"/>
  <c r="H526" i="1"/>
  <c r="N526" i="1"/>
  <c r="O526" i="1" s="1"/>
  <c r="G525" i="1"/>
  <c r="H525" i="1"/>
  <c r="N525" i="1"/>
  <c r="O525" i="1" s="1"/>
  <c r="G408" i="1"/>
  <c r="H408" i="1"/>
  <c r="N408" i="1"/>
  <c r="O408" i="1" s="1"/>
  <c r="G409" i="1"/>
  <c r="G410" i="1"/>
  <c r="H409" i="1"/>
  <c r="H410" i="1"/>
  <c r="N409" i="1"/>
  <c r="O409" i="1" s="1"/>
  <c r="N410" i="1"/>
  <c r="O410" i="1" s="1"/>
  <c r="G397" i="1"/>
  <c r="G398" i="1"/>
  <c r="H397" i="1"/>
  <c r="H398" i="1"/>
  <c r="N397" i="1"/>
  <c r="O397" i="1" s="1"/>
  <c r="N398" i="1"/>
  <c r="O398" i="1" s="1"/>
  <c r="G438" i="1"/>
  <c r="G439" i="1"/>
  <c r="H438" i="1"/>
  <c r="H439" i="1"/>
  <c r="N438" i="1"/>
  <c r="O438" i="1" s="1"/>
  <c r="N439" i="1"/>
  <c r="O439" i="1" s="1"/>
  <c r="G436" i="1"/>
  <c r="G437" i="1"/>
  <c r="H436" i="1"/>
  <c r="H437" i="1"/>
  <c r="N436" i="1"/>
  <c r="O436" i="1" s="1"/>
  <c r="N437" i="1"/>
  <c r="O437" i="1" s="1"/>
  <c r="G473" i="1"/>
  <c r="H473" i="1"/>
  <c r="N473" i="1"/>
  <c r="O473" i="1" s="1"/>
  <c r="G474" i="1"/>
  <c r="H474" i="1"/>
  <c r="N474" i="1"/>
  <c r="O474" i="1" s="1"/>
  <c r="G481" i="1"/>
  <c r="H481" i="1"/>
  <c r="N481" i="1"/>
  <c r="O481" i="1" s="1"/>
  <c r="G480" i="1"/>
  <c r="H480" i="1"/>
  <c r="N480" i="1"/>
  <c r="O480" i="1" s="1"/>
  <c r="G479" i="1"/>
  <c r="H479" i="1"/>
  <c r="N479" i="1"/>
  <c r="O479" i="1" s="1"/>
  <c r="G478" i="1"/>
  <c r="H478" i="1"/>
  <c r="N478" i="1"/>
  <c r="O478" i="1" s="1"/>
  <c r="G392" i="1"/>
  <c r="H392" i="1"/>
  <c r="N392" i="1"/>
  <c r="O392" i="1" s="1"/>
  <c r="G390" i="1"/>
  <c r="G391" i="1"/>
  <c r="H390" i="1"/>
  <c r="H391" i="1"/>
  <c r="N390" i="1"/>
  <c r="O390" i="1" s="1"/>
  <c r="N391" i="1"/>
  <c r="O391" i="1" s="1"/>
  <c r="G389" i="1"/>
  <c r="H389" i="1"/>
  <c r="N389" i="1"/>
  <c r="O389" i="1" s="1"/>
  <c r="G382" i="1"/>
  <c r="G383" i="1"/>
  <c r="H382" i="1"/>
  <c r="H383" i="1"/>
  <c r="N382" i="1"/>
  <c r="O382" i="1" s="1"/>
  <c r="N383" i="1"/>
  <c r="O383" i="1" s="1"/>
  <c r="G384" i="1"/>
  <c r="G385" i="1"/>
  <c r="H384" i="1"/>
  <c r="H385" i="1"/>
  <c r="N384" i="1"/>
  <c r="O384" i="1" s="1"/>
  <c r="N385" i="1"/>
  <c r="O385" i="1" s="1"/>
  <c r="G378" i="1"/>
  <c r="H378" i="1"/>
  <c r="N378" i="1"/>
  <c r="O378" i="1" s="1"/>
  <c r="G379" i="1"/>
  <c r="H379" i="1"/>
  <c r="N379" i="1"/>
  <c r="O379" i="1" s="1"/>
  <c r="G372" i="1"/>
  <c r="H372" i="1"/>
  <c r="N372" i="1"/>
  <c r="O372" i="1" s="1"/>
  <c r="G370" i="1"/>
  <c r="G371" i="1"/>
  <c r="H370" i="1"/>
  <c r="H371" i="1"/>
  <c r="N370" i="1"/>
  <c r="O370" i="1" s="1"/>
  <c r="N371" i="1"/>
  <c r="O371" i="1" s="1"/>
  <c r="G354" i="1"/>
  <c r="H354" i="1"/>
  <c r="N354" i="1"/>
  <c r="O354" i="1" s="1"/>
  <c r="G360" i="1"/>
  <c r="G361" i="1"/>
  <c r="H360" i="1"/>
  <c r="H361" i="1"/>
  <c r="N360" i="1"/>
  <c r="O360" i="1" s="1"/>
  <c r="N361" i="1"/>
  <c r="O361" i="1" s="1"/>
  <c r="G362" i="1"/>
  <c r="G363" i="1"/>
  <c r="G364" i="1"/>
  <c r="H362" i="1"/>
  <c r="H363" i="1"/>
  <c r="H364" i="1"/>
  <c r="N362" i="1"/>
  <c r="O362" i="1" s="1"/>
  <c r="N363" i="1"/>
  <c r="O363" i="1" s="1"/>
  <c r="N364" i="1"/>
  <c r="O364" i="1" s="1"/>
  <c r="G365" i="1"/>
  <c r="H365" i="1"/>
  <c r="N365" i="1"/>
  <c r="O365" i="1" s="1"/>
  <c r="G366" i="1"/>
  <c r="H366" i="1"/>
  <c r="N366" i="1"/>
  <c r="O366" i="1" s="1"/>
  <c r="G342" i="1"/>
  <c r="H342" i="1"/>
  <c r="N342" i="1"/>
  <c r="O342" i="1" s="1"/>
  <c r="G338" i="1"/>
  <c r="G339" i="1"/>
  <c r="H338" i="1"/>
  <c r="H339" i="1"/>
  <c r="N338" i="1"/>
  <c r="O338" i="1" s="1"/>
  <c r="N339" i="1"/>
  <c r="O339" i="1" s="1"/>
  <c r="G340" i="1"/>
  <c r="H340" i="1"/>
  <c r="N340" i="1"/>
  <c r="O340" i="1" s="1"/>
  <c r="G341" i="1"/>
  <c r="H341" i="1"/>
  <c r="N341" i="1"/>
  <c r="O341" i="1" s="1"/>
  <c r="G337" i="1"/>
  <c r="H337" i="1"/>
  <c r="N337" i="1"/>
  <c r="O337" i="1" s="1"/>
  <c r="G336" i="1"/>
  <c r="H336" i="1"/>
  <c r="N336" i="1"/>
  <c r="O336" i="1" s="1"/>
  <c r="G335" i="1"/>
  <c r="H335" i="1"/>
  <c r="N335" i="1"/>
  <c r="O335" i="1" s="1"/>
  <c r="G326" i="1"/>
  <c r="H326" i="1"/>
  <c r="N326" i="1"/>
  <c r="O326" i="1" s="1"/>
  <c r="G327" i="1"/>
  <c r="G328" i="1"/>
  <c r="H327" i="1"/>
  <c r="H328" i="1"/>
  <c r="N327" i="1"/>
  <c r="O327" i="1" s="1"/>
  <c r="N328" i="1"/>
  <c r="O328" i="1" s="1"/>
  <c r="G330" i="1"/>
  <c r="G331" i="1"/>
  <c r="H330" i="1"/>
  <c r="H331" i="1"/>
  <c r="N330" i="1"/>
  <c r="O330" i="1" s="1"/>
  <c r="N331" i="1"/>
  <c r="O331" i="1" s="1"/>
  <c r="N320" i="1"/>
  <c r="G311" i="1"/>
  <c r="G312" i="1"/>
  <c r="G313" i="1"/>
  <c r="G314" i="1"/>
  <c r="H311" i="1"/>
  <c r="H312" i="1"/>
  <c r="H313" i="1"/>
  <c r="H314" i="1"/>
  <c r="N311" i="1"/>
  <c r="O311" i="1" s="1"/>
  <c r="N312" i="1"/>
  <c r="O312" i="1" s="1"/>
  <c r="N313" i="1"/>
  <c r="O313" i="1" s="1"/>
  <c r="N314" i="1"/>
  <c r="O314" i="1" s="1"/>
  <c r="G319" i="1"/>
  <c r="H319" i="1"/>
  <c r="N319" i="1"/>
  <c r="O319" i="1" s="1"/>
  <c r="G317" i="1"/>
  <c r="H317" i="1"/>
  <c r="N317" i="1"/>
  <c r="O317" i="1" s="1"/>
  <c r="G315" i="1"/>
  <c r="G316" i="1"/>
  <c r="G318" i="1"/>
  <c r="H315" i="1"/>
  <c r="H316" i="1"/>
  <c r="H318" i="1"/>
  <c r="N315" i="1"/>
  <c r="O315" i="1" s="1"/>
  <c r="N316" i="1"/>
  <c r="O316" i="1" s="1"/>
  <c r="N318" i="1"/>
  <c r="O318" i="1" s="1"/>
  <c r="G308" i="1"/>
  <c r="G309" i="1"/>
  <c r="H308" i="1"/>
  <c r="H309" i="1"/>
  <c r="N308" i="1"/>
  <c r="O308" i="1" s="1"/>
  <c r="N309" i="1"/>
  <c r="O309" i="1" s="1"/>
  <c r="G307" i="1"/>
  <c r="H307" i="1"/>
  <c r="N307" i="1"/>
  <c r="O307" i="1" s="1"/>
  <c r="G418" i="1"/>
  <c r="H418" i="1"/>
  <c r="N418" i="1"/>
  <c r="O418" i="1" s="1"/>
  <c r="G419" i="1"/>
  <c r="G420" i="1"/>
  <c r="H419" i="1"/>
  <c r="H420" i="1"/>
  <c r="N419" i="1"/>
  <c r="O419" i="1" s="1"/>
  <c r="N420" i="1"/>
  <c r="O420" i="1" s="1"/>
  <c r="G428" i="1"/>
  <c r="H428" i="1"/>
  <c r="N428" i="1"/>
  <c r="O428" i="1" s="1"/>
  <c r="G430" i="1"/>
  <c r="H430" i="1"/>
  <c r="N430" i="1"/>
  <c r="O430" i="1" s="1"/>
  <c r="G431" i="1"/>
  <c r="G432" i="1"/>
  <c r="H431" i="1"/>
  <c r="H432" i="1"/>
  <c r="N431" i="1"/>
  <c r="O431" i="1" s="1"/>
  <c r="N432" i="1"/>
  <c r="O432" i="1" s="1"/>
  <c r="G494" i="1"/>
  <c r="H494" i="1"/>
  <c r="N494" i="1"/>
  <c r="O494" i="1" s="1"/>
  <c r="G495" i="1"/>
  <c r="H495" i="1"/>
  <c r="N495" i="1"/>
  <c r="O495" i="1" s="1"/>
  <c r="G488" i="1"/>
  <c r="H488" i="1"/>
  <c r="N488" i="1"/>
  <c r="O488" i="1" s="1"/>
  <c r="G493" i="1"/>
  <c r="H493" i="1"/>
  <c r="N493" i="1"/>
  <c r="O493" i="1" s="1"/>
  <c r="G492" i="1"/>
  <c r="H492" i="1"/>
  <c r="N492" i="1"/>
  <c r="O492" i="1" s="1"/>
  <c r="G496" i="1"/>
  <c r="H496" i="1"/>
  <c r="N496" i="1"/>
  <c r="O496" i="1" s="1"/>
  <c r="G487" i="1"/>
  <c r="H487" i="1"/>
  <c r="N487" i="1"/>
  <c r="O487" i="1" s="1"/>
  <c r="G425" i="1"/>
  <c r="H425" i="1"/>
  <c r="N425" i="1"/>
  <c r="O425" i="1" s="1"/>
  <c r="G423" i="1"/>
  <c r="G424" i="1"/>
  <c r="H423" i="1"/>
  <c r="H424" i="1"/>
  <c r="N423" i="1"/>
  <c r="O423" i="1" s="1"/>
  <c r="N424" i="1"/>
  <c r="O424" i="1" s="1"/>
  <c r="G445" i="1"/>
  <c r="H445" i="1"/>
  <c r="N445" i="1"/>
  <c r="O445" i="1" s="1"/>
  <c r="G443" i="1"/>
  <c r="H443" i="1"/>
  <c r="N443" i="1"/>
  <c r="O443" i="1" s="1"/>
  <c r="G444" i="1"/>
  <c r="H444" i="1"/>
  <c r="N444" i="1"/>
  <c r="O444" i="1" s="1"/>
  <c r="G501" i="1"/>
  <c r="H501" i="1"/>
  <c r="N501" i="1"/>
  <c r="O501" i="1" s="1"/>
  <c r="G499" i="1"/>
  <c r="H499" i="1"/>
  <c r="N499" i="1"/>
  <c r="O499" i="1" s="1"/>
  <c r="G500" i="1"/>
  <c r="H500" i="1"/>
  <c r="N500" i="1"/>
  <c r="O500" i="1" s="1"/>
  <c r="G502" i="1"/>
  <c r="H502" i="1"/>
  <c r="N502" i="1"/>
  <c r="O502" i="1" s="1"/>
  <c r="G514" i="1"/>
  <c r="H514" i="1"/>
  <c r="N514" i="1"/>
  <c r="O514" i="1" s="1"/>
  <c r="G515" i="1"/>
  <c r="H515" i="1"/>
  <c r="N515" i="1"/>
  <c r="O515" i="1" s="1"/>
  <c r="G301" i="1"/>
  <c r="H301" i="1"/>
  <c r="N301" i="1"/>
  <c r="O301" i="1" s="1"/>
  <c r="G303" i="1"/>
  <c r="H303" i="1"/>
  <c r="N303" i="1"/>
  <c r="O303" i="1" s="1"/>
  <c r="G304" i="1"/>
  <c r="H304" i="1"/>
  <c r="N304" i="1"/>
  <c r="O304" i="1" s="1"/>
  <c r="G305" i="1"/>
  <c r="H305" i="1"/>
  <c r="N305" i="1"/>
  <c r="O305" i="1" s="1"/>
  <c r="G507" i="1"/>
  <c r="H507" i="1"/>
  <c r="N507" i="1"/>
  <c r="O507" i="1" s="1"/>
  <c r="G509" i="1"/>
  <c r="H509" i="1"/>
  <c r="N509" i="1"/>
  <c r="O509" i="1" s="1"/>
  <c r="G508" i="1"/>
  <c r="H508" i="1"/>
  <c r="N508" i="1"/>
  <c r="O508" i="1" s="1"/>
  <c r="G538" i="1"/>
  <c r="H538" i="1"/>
  <c r="N538" i="1"/>
  <c r="O538" i="1" s="1"/>
  <c r="G537" i="1"/>
  <c r="H537" i="1"/>
  <c r="N537" i="1"/>
  <c r="O537" i="1" s="1"/>
  <c r="G534" i="1"/>
  <c r="H534" i="1"/>
  <c r="N534" i="1"/>
  <c r="O534" i="1" s="1"/>
  <c r="G550" i="1"/>
  <c r="H550" i="1"/>
  <c r="N550" i="1"/>
  <c r="O550" i="1" s="1"/>
  <c r="G549" i="1"/>
  <c r="H549" i="1"/>
  <c r="N549" i="1"/>
  <c r="O549" i="1" s="1"/>
  <c r="G545" i="1"/>
  <c r="H545" i="1"/>
  <c r="N545" i="1"/>
  <c r="O545" i="1" s="1"/>
  <c r="G543" i="1"/>
  <c r="G544" i="1"/>
  <c r="H543" i="1"/>
  <c r="H544" i="1"/>
  <c r="N543" i="1"/>
  <c r="O543" i="1" s="1"/>
  <c r="N544" i="1"/>
  <c r="O544" i="1" s="1"/>
  <c r="Y106" i="4"/>
  <c r="Y87" i="4"/>
  <c r="Y150" i="4"/>
  <c r="Y121" i="4"/>
  <c r="Y61" i="4"/>
  <c r="Y128" i="4"/>
  <c r="Y27" i="4"/>
  <c r="Y68" i="4"/>
  <c r="Y58" i="4"/>
  <c r="Y37" i="4"/>
  <c r="Y71" i="4"/>
  <c r="Y96" i="4"/>
  <c r="Y108" i="4"/>
  <c r="Y76" i="4"/>
  <c r="Y146" i="4"/>
  <c r="Y59" i="4"/>
  <c r="Y17" i="4"/>
  <c r="Y57" i="4"/>
  <c r="Y97" i="4"/>
  <c r="Y111" i="4"/>
  <c r="Y75" i="4"/>
  <c r="Y53" i="4"/>
  <c r="Y38" i="4"/>
  <c r="Y154" i="4"/>
  <c r="Y21" i="4"/>
  <c r="Y98" i="4"/>
  <c r="Y24" i="4"/>
  <c r="Y48" i="4"/>
  <c r="Y83" i="4"/>
  <c r="Y132" i="4"/>
  <c r="Y4" i="4"/>
  <c r="Y90" i="4"/>
  <c r="Y41" i="4"/>
  <c r="Y51" i="4"/>
  <c r="Y13" i="4"/>
  <c r="Y99" i="4"/>
  <c r="Y12" i="4"/>
  <c r="Y80" i="4"/>
  <c r="Y119" i="4"/>
  <c r="Y25" i="4"/>
  <c r="Y22" i="4"/>
  <c r="Y35" i="4"/>
  <c r="Y44" i="4"/>
  <c r="Y129" i="4"/>
  <c r="Y31" i="4"/>
  <c r="Y91" i="4"/>
  <c r="Y153" i="4"/>
  <c r="Y152" i="4"/>
  <c r="Y8" i="4"/>
  <c r="Y117" i="4"/>
  <c r="Y73" i="4"/>
  <c r="Y133" i="4"/>
  <c r="Y142" i="4"/>
  <c r="Y94" i="4"/>
  <c r="Y116" i="4"/>
  <c r="Y69" i="4"/>
  <c r="Y149" i="4"/>
  <c r="Y60" i="4"/>
  <c r="Y120" i="4"/>
  <c r="Y20" i="4"/>
  <c r="Y143" i="4"/>
  <c r="Y11" i="4"/>
  <c r="Y126" i="4"/>
  <c r="Y14" i="4"/>
  <c r="Y3" i="4"/>
  <c r="Y82" i="4"/>
  <c r="Y134" i="4"/>
  <c r="Y118" i="4"/>
  <c r="Y70" i="4"/>
  <c r="Y137" i="4"/>
  <c r="Y86" i="4"/>
  <c r="Y144" i="4"/>
  <c r="Y124" i="4"/>
  <c r="Y114" i="4"/>
  <c r="Y10" i="4"/>
  <c r="Y32" i="4"/>
  <c r="Y112" i="4"/>
  <c r="Y88" i="4"/>
  <c r="Y123" i="4"/>
  <c r="Y42" i="4"/>
  <c r="Y107" i="4"/>
  <c r="Y47" i="4"/>
  <c r="Y127" i="4"/>
  <c r="Y39" i="4"/>
  <c r="Y43" i="4"/>
  <c r="Y62" i="4"/>
  <c r="Y72" i="4"/>
  <c r="Y28" i="4"/>
  <c r="Y77" i="4"/>
  <c r="Y79" i="4"/>
  <c r="Y46" i="4"/>
  <c r="Y40" i="4"/>
  <c r="Y141" i="4"/>
  <c r="Y15" i="4"/>
  <c r="Y145" i="4"/>
  <c r="Y23" i="4"/>
  <c r="Y103" i="4"/>
  <c r="Y89" i="4"/>
  <c r="Y2" i="4"/>
  <c r="Y65" i="4"/>
  <c r="Y125" i="4"/>
  <c r="Y92" i="4"/>
  <c r="Y151" i="4"/>
  <c r="Y9" i="4"/>
  <c r="Y50" i="4"/>
  <c r="Y45" i="4"/>
  <c r="Y52" i="4"/>
  <c r="Y16" i="4"/>
  <c r="Y95" i="4"/>
  <c r="Y74" i="4"/>
  <c r="Y55" i="4"/>
  <c r="Y115" i="4"/>
  <c r="Y105" i="4"/>
  <c r="Y49" i="4"/>
  <c r="Y93" i="4"/>
  <c r="Y54" i="4"/>
  <c r="Y148" i="4"/>
  <c r="Y29" i="4"/>
  <c r="Y104" i="4"/>
  <c r="Y85" i="4"/>
  <c r="Y81" i="4"/>
  <c r="Y140" i="4"/>
  <c r="Y18" i="4"/>
  <c r="Y102" i="4"/>
  <c r="Y34" i="4"/>
  <c r="Y26" i="4"/>
  <c r="Y135" i="4"/>
  <c r="Y110" i="4"/>
  <c r="Y109" i="4"/>
  <c r="Y100" i="4"/>
  <c r="Y139" i="4"/>
  <c r="Y6" i="4"/>
  <c r="Y84" i="4"/>
  <c r="Y67" i="4"/>
  <c r="Y113" i="4"/>
  <c r="Y33" i="4"/>
  <c r="Y7" i="4"/>
  <c r="Y56" i="4"/>
  <c r="Y131" i="4"/>
  <c r="Y138" i="4"/>
  <c r="Y101" i="4"/>
  <c r="Y30" i="4"/>
  <c r="Y122" i="4"/>
  <c r="Y63" i="4"/>
  <c r="Y36" i="4"/>
  <c r="Y5" i="4"/>
  <c r="Y66" i="4"/>
  <c r="Y155" i="4"/>
  <c r="Y19" i="4"/>
  <c r="Y136" i="4"/>
  <c r="Y78" i="4"/>
  <c r="Y147" i="4"/>
  <c r="Y64" i="4"/>
  <c r="Y130" i="4"/>
  <c r="G576" i="1"/>
  <c r="G577" i="1"/>
  <c r="H576" i="1"/>
  <c r="H577" i="1"/>
  <c r="N576" i="1"/>
  <c r="O576" i="1" s="1"/>
  <c r="N577" i="1"/>
  <c r="O577" i="1" s="1"/>
  <c r="G575" i="1"/>
  <c r="H575" i="1"/>
  <c r="N575" i="1"/>
  <c r="O575" i="1" s="1"/>
  <c r="G557" i="1"/>
  <c r="H557" i="1"/>
  <c r="N557" i="1"/>
  <c r="O557" i="1" s="1"/>
  <c r="G564" i="1"/>
  <c r="H564" i="1"/>
  <c r="N564" i="1"/>
  <c r="O564" i="1" s="1"/>
  <c r="G563" i="1"/>
  <c r="H563" i="1"/>
  <c r="N563" i="1"/>
  <c r="O563" i="1" s="1"/>
  <c r="G561" i="1"/>
  <c r="H561" i="1"/>
  <c r="N561" i="1"/>
  <c r="O561" i="1" s="1"/>
  <c r="G562" i="1"/>
  <c r="H562" i="1"/>
  <c r="N562" i="1"/>
  <c r="O562" i="1" s="1"/>
  <c r="G565" i="1"/>
  <c r="H565" i="1"/>
  <c r="N565" i="1"/>
  <c r="O565" i="1" s="1"/>
  <c r="G568" i="1"/>
  <c r="H568" i="1"/>
  <c r="N568" i="1"/>
  <c r="O568" i="1" s="1"/>
  <c r="G567" i="1"/>
  <c r="H567" i="1"/>
  <c r="N567" i="1"/>
  <c r="O567" i="1" s="1"/>
  <c r="G582" i="1"/>
  <c r="H582" i="1"/>
  <c r="N582" i="1"/>
  <c r="O582" i="1" s="1"/>
  <c r="G580" i="1"/>
  <c r="H580" i="1"/>
  <c r="N580" i="1"/>
  <c r="O580" i="1" s="1"/>
  <c r="G585" i="1"/>
  <c r="H585" i="1"/>
  <c r="N585" i="1"/>
  <c r="O585" i="1" s="1"/>
  <c r="G581" i="1"/>
  <c r="G583" i="1"/>
  <c r="H581" i="1"/>
  <c r="H583" i="1"/>
  <c r="N581" i="1"/>
  <c r="O581" i="1" s="1"/>
  <c r="N583" i="1"/>
  <c r="O583" i="1" s="1"/>
  <c r="G587" i="1"/>
  <c r="H587" i="1"/>
  <c r="N587" i="1"/>
  <c r="O587" i="1" s="1"/>
  <c r="G590" i="1"/>
  <c r="G591" i="1"/>
  <c r="H590" i="1"/>
  <c r="H591" i="1"/>
  <c r="N590" i="1"/>
  <c r="O590" i="1" s="1"/>
  <c r="N591" i="1"/>
  <c r="O591" i="1" s="1"/>
  <c r="G592" i="1"/>
  <c r="G593" i="1"/>
  <c r="H592" i="1"/>
  <c r="H593" i="1"/>
  <c r="N592" i="1"/>
  <c r="O592" i="1" s="1"/>
  <c r="N593" i="1"/>
  <c r="O593" i="1" s="1"/>
  <c r="G595" i="1"/>
  <c r="H595" i="1"/>
  <c r="N595" i="1"/>
  <c r="O595" i="1" s="1"/>
  <c r="G596" i="1"/>
  <c r="H596" i="1"/>
  <c r="N596" i="1"/>
  <c r="O596" i="1" s="1"/>
  <c r="G597" i="1"/>
  <c r="H597" i="1"/>
  <c r="N597" i="1"/>
  <c r="O597" i="1" s="1"/>
  <c r="G599" i="1"/>
  <c r="H599" i="1"/>
  <c r="N599" i="1"/>
  <c r="O599" i="1" s="1"/>
  <c r="G600" i="1"/>
  <c r="G601" i="1"/>
  <c r="H600" i="1"/>
  <c r="H601" i="1"/>
  <c r="N600" i="1"/>
  <c r="O600" i="1" s="1"/>
  <c r="N601" i="1"/>
  <c r="O601" i="1" s="1"/>
  <c r="G609" i="1"/>
  <c r="H609" i="1"/>
  <c r="N609" i="1"/>
  <c r="O609" i="1" s="1"/>
  <c r="G604" i="1"/>
  <c r="H604" i="1"/>
  <c r="N604" i="1"/>
  <c r="O604" i="1" s="1"/>
  <c r="G607" i="1"/>
  <c r="H607" i="1"/>
  <c r="N607" i="1"/>
  <c r="O607" i="1" s="1"/>
  <c r="G605" i="1"/>
  <c r="H605" i="1"/>
  <c r="N605" i="1"/>
  <c r="O605" i="1" s="1"/>
  <c r="G606" i="1"/>
  <c r="H606" i="1"/>
  <c r="N606" i="1"/>
  <c r="O606" i="1" s="1"/>
  <c r="N615" i="1"/>
  <c r="O615" i="1" s="1"/>
  <c r="G615" i="1"/>
  <c r="H615" i="1"/>
  <c r="G613" i="1"/>
  <c r="G614" i="1"/>
  <c r="H613" i="1"/>
  <c r="H614" i="1"/>
  <c r="N613" i="1"/>
  <c r="O613" i="1" s="1"/>
  <c r="N614" i="1"/>
  <c r="O614" i="1" s="1"/>
  <c r="G611" i="1"/>
  <c r="H611" i="1"/>
  <c r="N611" i="1"/>
  <c r="O611" i="1" s="1"/>
  <c r="G631" i="1"/>
  <c r="H631" i="1"/>
  <c r="N631" i="1"/>
  <c r="O631" i="1" s="1"/>
  <c r="G633" i="1"/>
  <c r="H633" i="1"/>
  <c r="N633" i="1"/>
  <c r="O633" i="1" s="1"/>
  <c r="G634" i="1"/>
  <c r="H634" i="1"/>
  <c r="N634" i="1"/>
  <c r="O634" i="1" s="1"/>
  <c r="G632" i="1"/>
  <c r="H632" i="1"/>
  <c r="N632" i="1"/>
  <c r="O632" i="1" s="1"/>
  <c r="G635" i="1"/>
  <c r="H635" i="1"/>
  <c r="N635" i="1"/>
  <c r="O635" i="1" s="1"/>
  <c r="G623" i="1"/>
  <c r="G624" i="1"/>
  <c r="H623" i="1"/>
  <c r="H624" i="1"/>
  <c r="N623" i="1"/>
  <c r="O623" i="1" s="1"/>
  <c r="N624" i="1"/>
  <c r="O624" i="1" s="1"/>
  <c r="G640" i="1"/>
  <c r="H640" i="1"/>
  <c r="N640" i="1"/>
  <c r="O640" i="1" s="1"/>
  <c r="G641" i="1"/>
  <c r="H641" i="1"/>
  <c r="N641" i="1"/>
  <c r="O641" i="1" s="1"/>
  <c r="G649" i="1"/>
  <c r="H649" i="1"/>
  <c r="N649" i="1"/>
  <c r="O649" i="1" s="1"/>
  <c r="G646" i="1"/>
  <c r="H646" i="1"/>
  <c r="N646" i="1"/>
  <c r="O646" i="1" s="1"/>
  <c r="G647" i="1"/>
  <c r="H647" i="1"/>
  <c r="N647" i="1"/>
  <c r="O647" i="1" s="1"/>
  <c r="G648" i="1"/>
  <c r="H648" i="1"/>
  <c r="N648" i="1"/>
  <c r="O648" i="1" s="1"/>
  <c r="G650" i="1"/>
  <c r="H650" i="1"/>
  <c r="N650" i="1"/>
  <c r="O650" i="1" s="1"/>
  <c r="G656" i="1"/>
  <c r="H656" i="1"/>
  <c r="N656" i="1"/>
  <c r="O656" i="1" s="1"/>
  <c r="G655" i="1"/>
  <c r="H655" i="1"/>
  <c r="N655" i="1"/>
  <c r="O655" i="1" s="1"/>
  <c r="G668" i="1"/>
  <c r="H668" i="1"/>
  <c r="N668" i="1"/>
  <c r="O668" i="1" s="1"/>
  <c r="G669" i="1"/>
  <c r="G670" i="1"/>
  <c r="H669" i="1"/>
  <c r="H670" i="1"/>
  <c r="N669" i="1"/>
  <c r="O669" i="1" s="1"/>
  <c r="N670" i="1"/>
  <c r="O670" i="1" s="1"/>
  <c r="G677" i="1"/>
  <c r="H677" i="1"/>
  <c r="N677" i="1"/>
  <c r="O677" i="1" s="1"/>
  <c r="G678" i="1"/>
  <c r="H678" i="1"/>
  <c r="N678" i="1"/>
  <c r="O678" i="1" s="1"/>
  <c r="G674" i="1"/>
  <c r="H674" i="1"/>
  <c r="N674" i="1"/>
  <c r="O674" i="1" s="1"/>
  <c r="G675" i="1"/>
  <c r="H675" i="1"/>
  <c r="N675" i="1"/>
  <c r="O675" i="1" s="1"/>
  <c r="G665" i="1"/>
  <c r="H665" i="1"/>
  <c r="N665" i="1"/>
  <c r="O665" i="1" s="1"/>
  <c r="G666" i="1"/>
  <c r="H666" i="1"/>
  <c r="N666" i="1"/>
  <c r="O666" i="1" s="1"/>
  <c r="G673" i="1"/>
  <c r="H673" i="1"/>
  <c r="N673" i="1"/>
  <c r="O673" i="1" s="1"/>
  <c r="G672" i="1"/>
  <c r="H672" i="1"/>
  <c r="N672" i="1"/>
  <c r="O672" i="1" s="1"/>
  <c r="G671" i="1"/>
  <c r="H671" i="1"/>
  <c r="N671" i="1"/>
  <c r="O671" i="1" s="1"/>
  <c r="G667" i="1"/>
  <c r="H667" i="1"/>
  <c r="N667" i="1"/>
  <c r="O667" i="1" s="1"/>
  <c r="K153" i="3" l="1" a="1"/>
  <c r="K153" i="3" s="1"/>
  <c r="H153" i="3" a="1"/>
  <c r="H153" i="3" s="1"/>
  <c r="N145" i="3"/>
  <c r="AB124" i="4" s="1"/>
  <c r="AJ153" i="3"/>
  <c r="K154" i="3" a="1"/>
  <c r="K154" i="3" s="1"/>
  <c r="G152" i="3"/>
  <c r="E149" i="3"/>
  <c r="Q154" i="3"/>
  <c r="AE132" i="4" s="1"/>
  <c r="N155" i="3"/>
  <c r="AB155" i="4" s="1"/>
  <c r="N154" i="3"/>
  <c r="AB132" i="4" s="1"/>
  <c r="E154" i="3"/>
  <c r="E153" i="3"/>
  <c r="S155" i="3"/>
  <c r="S154" i="3"/>
  <c r="R154" i="3"/>
  <c r="N149" i="3"/>
  <c r="AB18" i="4" s="1"/>
  <c r="AJ147" i="3"/>
  <c r="G149" i="3"/>
  <c r="N153" i="3"/>
  <c r="AB66" i="4" s="1"/>
  <c r="G37" i="8"/>
  <c r="H37" i="8" s="1"/>
  <c r="F152" i="3"/>
  <c r="S152" i="3"/>
  <c r="K152" i="3" a="1"/>
  <c r="K152" i="3" s="1"/>
  <c r="R155" i="3"/>
  <c r="Q150" i="3"/>
  <c r="AE130" i="4" s="1"/>
  <c r="J149" i="3"/>
  <c r="I155" i="3"/>
  <c r="Q152" i="3"/>
  <c r="AE134" i="4" s="1"/>
  <c r="J155" i="3"/>
  <c r="Q149" i="3"/>
  <c r="AE18" i="4" s="1"/>
  <c r="J146" i="3"/>
  <c r="AJ152" i="3"/>
  <c r="P152" i="3"/>
  <c r="AD134" i="4" s="1"/>
  <c r="J145" i="3"/>
  <c r="P153" i="3"/>
  <c r="AD66" i="4" s="1"/>
  <c r="I154" i="3"/>
  <c r="AJ150" i="3"/>
  <c r="O152" i="3"/>
  <c r="AC134" i="4" s="1"/>
  <c r="I152" i="3"/>
  <c r="O155" i="3"/>
  <c r="AC155" i="4" s="1"/>
  <c r="AJ149" i="3"/>
  <c r="N152" i="3"/>
  <c r="AB134" i="4" s="1"/>
  <c r="H152" i="3" a="1"/>
  <c r="H152" i="3" s="1"/>
  <c r="O154" i="3"/>
  <c r="AC132" i="4" s="1"/>
  <c r="G153" i="3"/>
  <c r="P146" i="3"/>
  <c r="AD149" i="4" s="1"/>
  <c r="H155" i="3" a="1"/>
  <c r="H155" i="3" s="1"/>
  <c r="S146" i="3"/>
  <c r="O145" i="3"/>
  <c r="AC124" i="4" s="1"/>
  <c r="G145" i="3"/>
  <c r="Q155" i="3"/>
  <c r="AE155" i="4" s="1"/>
  <c r="H154" i="3" a="1"/>
  <c r="H154" i="3" s="1"/>
  <c r="S145" i="3"/>
  <c r="R152" i="3"/>
  <c r="N150" i="3"/>
  <c r="AB130" i="4" s="1"/>
  <c r="K146" i="3" a="1"/>
  <c r="K146" i="3" s="1"/>
  <c r="Q153" i="3"/>
  <c r="AE66" i="4" s="1"/>
  <c r="G154" i="3"/>
  <c r="AJ146" i="3"/>
  <c r="H145" i="3" a="1"/>
  <c r="H145" i="3" s="1"/>
  <c r="P145" i="3"/>
  <c r="AD124" i="4" s="1"/>
  <c r="AJ145" i="3"/>
  <c r="R146" i="3"/>
  <c r="K145" i="3" a="1"/>
  <c r="K145" i="3" s="1"/>
  <c r="AJ155" i="3"/>
  <c r="P155" i="3"/>
  <c r="AD155" i="4" s="1"/>
  <c r="R145" i="3"/>
  <c r="N146" i="3"/>
  <c r="AB149" i="4" s="1"/>
  <c r="AJ154" i="3"/>
  <c r="P154" i="3"/>
  <c r="AD132" i="4" s="1"/>
  <c r="K155" i="3" a="1"/>
  <c r="K155" i="3" s="1"/>
  <c r="E155" i="3"/>
  <c r="P148" i="3"/>
  <c r="AD4" i="4" s="1"/>
  <c r="G147" i="3"/>
  <c r="O146" i="3"/>
  <c r="AC149" i="4" s="1"/>
  <c r="J148" i="3"/>
  <c r="G146" i="3"/>
  <c r="J147" i="3"/>
  <c r="G155" i="3"/>
  <c r="Q148" i="3"/>
  <c r="AE4" i="4" s="1"/>
  <c r="F148" i="3"/>
  <c r="Q147" i="3"/>
  <c r="AE78" i="4" s="1"/>
  <c r="F147" i="3"/>
  <c r="Q146" i="3"/>
  <c r="AE149" i="4" s="1"/>
  <c r="N148" i="3"/>
  <c r="AB4" i="4" s="1"/>
  <c r="I147" i="3"/>
  <c r="F146" i="3"/>
  <c r="R153" i="3"/>
  <c r="J154" i="3"/>
  <c r="AJ148" i="3"/>
  <c r="AJ151" i="3"/>
  <c r="S148" i="3"/>
  <c r="Q145" i="3"/>
  <c r="AE124" i="4" s="1"/>
  <c r="N147" i="3"/>
  <c r="AB78" i="4" s="1"/>
  <c r="I146" i="3"/>
  <c r="J153" i="3"/>
  <c r="E150" i="3"/>
  <c r="K151" i="3" a="1"/>
  <c r="K151" i="3" s="1"/>
  <c r="O151" i="3"/>
  <c r="AC41" i="4" s="1"/>
  <c r="K150" i="3" a="1"/>
  <c r="K150" i="3" s="1"/>
  <c r="H150" i="3" a="1"/>
  <c r="H150" i="3" s="1"/>
  <c r="K149" i="3" a="1"/>
  <c r="K149" i="3" s="1"/>
  <c r="H149" i="3" a="1"/>
  <c r="H149" i="3" s="1"/>
  <c r="R151" i="3"/>
  <c r="R149" i="3"/>
  <c r="O149" i="3"/>
  <c r="AC18" i="4" s="1"/>
  <c r="K148" i="3" a="1"/>
  <c r="K148" i="3" s="1"/>
  <c r="H148" i="3" a="1"/>
  <c r="H148" i="3" s="1"/>
  <c r="F151" i="3"/>
  <c r="H151" i="3" a="1"/>
  <c r="H151" i="3" s="1"/>
  <c r="R150" i="3"/>
  <c r="R148" i="3"/>
  <c r="O148" i="3"/>
  <c r="AC4" i="4" s="1"/>
  <c r="K147" i="3" a="1"/>
  <c r="K147" i="3" s="1"/>
  <c r="I151" i="3"/>
  <c r="H147" i="3" a="1"/>
  <c r="H147" i="3" s="1"/>
  <c r="F150" i="3"/>
  <c r="O150" i="3"/>
  <c r="AC130" i="4" s="1"/>
  <c r="S151" i="3"/>
  <c r="R147" i="3"/>
  <c r="P151" i="3"/>
  <c r="AD41" i="4" s="1"/>
  <c r="O147" i="3"/>
  <c r="AC78" i="4" s="1"/>
  <c r="I150" i="3"/>
  <c r="H146" i="3" a="1"/>
  <c r="H146" i="3" s="1"/>
  <c r="F149" i="3"/>
  <c r="S150" i="3"/>
  <c r="P150" i="3"/>
  <c r="AD130" i="4" s="1"/>
  <c r="I149" i="3"/>
  <c r="E151" i="3"/>
  <c r="S149" i="3"/>
  <c r="J151" i="3"/>
  <c r="G151" i="3"/>
  <c r="S147" i="3"/>
  <c r="Q151" i="3"/>
  <c r="AE41" i="4" s="1"/>
  <c r="P147" i="3"/>
  <c r="AD78" i="4" s="1"/>
  <c r="J150" i="3"/>
  <c r="I145" i="3"/>
  <c r="F145" i="3"/>
  <c r="S153" i="3"/>
  <c r="O153" i="3"/>
  <c r="AC66" i="4" s="1"/>
  <c r="I153" i="3"/>
  <c r="J152" i="3"/>
  <c r="I148" i="3"/>
  <c r="G148" i="3"/>
  <c r="L18" i="7"/>
  <c r="K18" i="7"/>
  <c r="L12" i="7"/>
  <c r="K12" i="7"/>
  <c r="BC20" i="4"/>
  <c r="G294" i="1"/>
  <c r="H294" i="1"/>
  <c r="N294" i="1"/>
  <c r="O294" i="1" s="1"/>
  <c r="G278" i="1"/>
  <c r="G279" i="1"/>
  <c r="G280" i="1"/>
  <c r="H278" i="1"/>
  <c r="H279" i="1"/>
  <c r="H280" i="1"/>
  <c r="N278" i="1"/>
  <c r="O278" i="1" s="1"/>
  <c r="N279" i="1"/>
  <c r="O279" i="1" s="1"/>
  <c r="N280" i="1"/>
  <c r="O280" i="1" s="1"/>
  <c r="G273" i="1"/>
  <c r="H273" i="1"/>
  <c r="N273" i="1"/>
  <c r="O273" i="1" s="1"/>
  <c r="G270" i="1"/>
  <c r="G271" i="1"/>
  <c r="G272" i="1"/>
  <c r="G274" i="1"/>
  <c r="H270" i="1"/>
  <c r="H271" i="1"/>
  <c r="H272" i="1"/>
  <c r="H274" i="1"/>
  <c r="N270" i="1"/>
  <c r="O270" i="1" s="1"/>
  <c r="N271" i="1"/>
  <c r="O271" i="1" s="1"/>
  <c r="N272" i="1"/>
  <c r="O272" i="1" s="1"/>
  <c r="N274" i="1"/>
  <c r="O274" i="1" s="1"/>
  <c r="G265" i="1"/>
  <c r="H265" i="1"/>
  <c r="N265" i="1"/>
  <c r="O265" i="1" s="1"/>
  <c r="G264" i="1"/>
  <c r="H264" i="1"/>
  <c r="N264" i="1"/>
  <c r="O264" i="1" s="1"/>
  <c r="G263" i="1"/>
  <c r="H263" i="1"/>
  <c r="N263" i="1"/>
  <c r="O263" i="1" s="1"/>
  <c r="G262" i="1"/>
  <c r="H262" i="1"/>
  <c r="N262" i="1"/>
  <c r="O262" i="1" s="1"/>
  <c r="G260" i="1"/>
  <c r="H260" i="1"/>
  <c r="N260" i="1"/>
  <c r="O260" i="1" s="1"/>
  <c r="G255" i="1"/>
  <c r="H255" i="1"/>
  <c r="N255" i="1"/>
  <c r="O255" i="1" s="1"/>
  <c r="G256" i="1"/>
  <c r="H256" i="1"/>
  <c r="N256" i="1"/>
  <c r="O256" i="1" s="1"/>
  <c r="N247" i="1"/>
  <c r="O247" i="1" s="1"/>
  <c r="H247" i="1"/>
  <c r="G247" i="1"/>
  <c r="G243" i="1"/>
  <c r="H243" i="1"/>
  <c r="N243" i="1"/>
  <c r="O243" i="1" s="1"/>
  <c r="G244" i="1"/>
  <c r="H244" i="1"/>
  <c r="N244" i="1"/>
  <c r="O244" i="1" s="1"/>
  <c r="G237" i="1"/>
  <c r="H237" i="1"/>
  <c r="N237" i="1"/>
  <c r="O237" i="1" s="1"/>
  <c r="G232" i="1"/>
  <c r="G233" i="1"/>
  <c r="H232" i="1"/>
  <c r="H233" i="1"/>
  <c r="N232" i="1"/>
  <c r="O232" i="1" s="1"/>
  <c r="N233" i="1"/>
  <c r="O233" i="1" s="1"/>
  <c r="G231" i="1"/>
  <c r="H231" i="1"/>
  <c r="N231" i="1"/>
  <c r="O231" i="1" s="1"/>
  <c r="G227" i="1"/>
  <c r="H227" i="1"/>
  <c r="N227" i="1"/>
  <c r="O227" i="1" s="1"/>
  <c r="G228" i="1"/>
  <c r="H228" i="1"/>
  <c r="N228" i="1"/>
  <c r="O228" i="1" s="1"/>
  <c r="G218" i="1"/>
  <c r="H218" i="1"/>
  <c r="N218" i="1"/>
  <c r="O218" i="1" s="1"/>
  <c r="G217" i="1"/>
  <c r="H217" i="1"/>
  <c r="N217" i="1"/>
  <c r="O217" i="1" s="1"/>
  <c r="G216" i="1"/>
  <c r="H216" i="1"/>
  <c r="N216" i="1"/>
  <c r="O216" i="1" s="1"/>
  <c r="G213" i="1"/>
  <c r="H213" i="1"/>
  <c r="N213" i="1"/>
  <c r="O213" i="1" s="1"/>
  <c r="G223" i="1"/>
  <c r="G224" i="1"/>
  <c r="H223" i="1"/>
  <c r="H224" i="1"/>
  <c r="N223" i="1"/>
  <c r="O223" i="1" s="1"/>
  <c r="N224" i="1"/>
  <c r="O224" i="1" s="1"/>
  <c r="G210" i="1"/>
  <c r="H210" i="1"/>
  <c r="N210" i="1"/>
  <c r="O210" i="1" s="1"/>
  <c r="G208" i="1"/>
  <c r="H208" i="1"/>
  <c r="N208" i="1"/>
  <c r="O208" i="1" s="1"/>
  <c r="G195" i="1"/>
  <c r="H195" i="1"/>
  <c r="N195" i="1"/>
  <c r="O195" i="1" s="1"/>
  <c r="G193" i="1"/>
  <c r="H193" i="1"/>
  <c r="N193" i="1"/>
  <c r="O193" i="1" s="1"/>
  <c r="G194" i="1"/>
  <c r="H194" i="1"/>
  <c r="N194" i="1"/>
  <c r="O194" i="1" s="1"/>
  <c r="G190" i="1"/>
  <c r="H190" i="1"/>
  <c r="N190" i="1"/>
  <c r="O190" i="1" s="1"/>
  <c r="G178" i="1"/>
  <c r="H178" i="1"/>
  <c r="N178" i="1"/>
  <c r="O178" i="1" s="1"/>
  <c r="G174" i="1"/>
  <c r="H174" i="1"/>
  <c r="N174" i="1"/>
  <c r="O174" i="1" s="1"/>
  <c r="G173" i="1"/>
  <c r="H173" i="1"/>
  <c r="N173" i="1"/>
  <c r="O173" i="1" s="1"/>
  <c r="G172" i="1"/>
  <c r="H172" i="1"/>
  <c r="N172" i="1"/>
  <c r="O172" i="1" s="1"/>
  <c r="G171" i="1"/>
  <c r="H171" i="1"/>
  <c r="N171" i="1"/>
  <c r="O171" i="1" s="1"/>
  <c r="G290" i="1" l="1"/>
  <c r="H290" i="1"/>
  <c r="N290" i="1"/>
  <c r="O290" i="1" s="1"/>
  <c r="G289" i="1"/>
  <c r="H289" i="1"/>
  <c r="N289" i="1"/>
  <c r="O289" i="1" s="1"/>
  <c r="G286" i="1"/>
  <c r="H286" i="1"/>
  <c r="N286" i="1"/>
  <c r="O286" i="1" s="1"/>
  <c r="G284" i="1"/>
  <c r="H284" i="1"/>
  <c r="N284" i="1"/>
  <c r="O284" i="1" s="1"/>
  <c r="G158" i="1"/>
  <c r="H158" i="1"/>
  <c r="N158" i="1"/>
  <c r="O158" i="1" s="1"/>
  <c r="G159" i="1"/>
  <c r="H159" i="1"/>
  <c r="N159" i="1"/>
  <c r="O159" i="1" s="1"/>
  <c r="N150" i="1"/>
  <c r="O150" i="1" s="1"/>
  <c r="H150" i="1"/>
  <c r="G150" i="1"/>
  <c r="N149" i="1"/>
  <c r="O149" i="1" s="1"/>
  <c r="H149" i="1"/>
  <c r="G149" i="1"/>
  <c r="N148" i="1"/>
  <c r="O148" i="1" s="1"/>
  <c r="H148" i="1"/>
  <c r="G148" i="1"/>
  <c r="G146" i="1"/>
  <c r="H146" i="1"/>
  <c r="N146" i="1"/>
  <c r="O146" i="1" s="1"/>
  <c r="G145" i="1"/>
  <c r="H145" i="1"/>
  <c r="N145" i="1"/>
  <c r="O145" i="1" s="1"/>
  <c r="G144" i="1"/>
  <c r="H144" i="1"/>
  <c r="N144" i="1"/>
  <c r="O144" i="1" s="1"/>
  <c r="G143" i="1"/>
  <c r="H143" i="1"/>
  <c r="N143" i="1"/>
  <c r="O143" i="1" s="1"/>
  <c r="G142" i="1"/>
  <c r="H142" i="1"/>
  <c r="N142" i="1"/>
  <c r="O142" i="1" s="1"/>
  <c r="H141" i="1"/>
  <c r="G141" i="1"/>
  <c r="N141" i="1"/>
  <c r="O141" i="1" s="1"/>
  <c r="G137" i="1"/>
  <c r="G138" i="1"/>
  <c r="H137" i="1"/>
  <c r="H138" i="1"/>
  <c r="N137" i="1"/>
  <c r="O137" i="1" s="1"/>
  <c r="N138" i="1"/>
  <c r="O138" i="1" s="1"/>
  <c r="G136" i="1"/>
  <c r="H136" i="1"/>
  <c r="N136" i="1"/>
  <c r="O136" i="1" s="1"/>
  <c r="H131" i="1"/>
  <c r="G131" i="1"/>
  <c r="N131" i="1"/>
  <c r="O131" i="1" s="1"/>
  <c r="G108" i="1" l="1"/>
  <c r="H108" i="1"/>
  <c r="N108" i="1"/>
  <c r="O108" i="1" s="1"/>
  <c r="G107" i="1"/>
  <c r="H107" i="1"/>
  <c r="N107" i="1"/>
  <c r="O107" i="1" s="1"/>
  <c r="G106" i="1"/>
  <c r="H106" i="1"/>
  <c r="N106" i="1"/>
  <c r="O106" i="1" s="1"/>
  <c r="G105" i="1"/>
  <c r="H105" i="1"/>
  <c r="N105" i="1"/>
  <c r="O105" i="1" s="1"/>
  <c r="G184" i="1"/>
  <c r="H184" i="1"/>
  <c r="N184" i="1"/>
  <c r="O184" i="1" s="1"/>
  <c r="G185" i="1"/>
  <c r="G186" i="1"/>
  <c r="H185" i="1"/>
  <c r="H186" i="1"/>
  <c r="N185" i="1"/>
  <c r="O185" i="1" s="1"/>
  <c r="N186" i="1"/>
  <c r="O186" i="1" s="1"/>
  <c r="G181" i="1"/>
  <c r="G182" i="1"/>
  <c r="G183" i="1"/>
  <c r="H181" i="1"/>
  <c r="H182" i="1"/>
  <c r="H183" i="1"/>
  <c r="N181" i="1"/>
  <c r="N182" i="1"/>
  <c r="O182" i="1" s="1"/>
  <c r="N183" i="1"/>
  <c r="O183" i="1" s="1"/>
  <c r="G163" i="1"/>
  <c r="G164" i="1"/>
  <c r="G165" i="1"/>
  <c r="H163" i="1"/>
  <c r="H164" i="1"/>
  <c r="H165" i="1"/>
  <c r="N163" i="1"/>
  <c r="O163" i="1" s="1"/>
  <c r="N164" i="1"/>
  <c r="O164" i="1" s="1"/>
  <c r="N165" i="1"/>
  <c r="O165" i="1" s="1"/>
  <c r="G98" i="1"/>
  <c r="H98" i="1"/>
  <c r="N98" i="1"/>
  <c r="O98" i="1" s="1"/>
  <c r="G93" i="1"/>
  <c r="H93" i="1"/>
  <c r="N93" i="1"/>
  <c r="O93" i="1" s="1"/>
  <c r="G87" i="1"/>
  <c r="H87" i="1"/>
  <c r="N87" i="1"/>
  <c r="O87" i="1" s="1"/>
  <c r="G86" i="1"/>
  <c r="G88" i="1"/>
  <c r="G89" i="1"/>
  <c r="H86" i="1"/>
  <c r="H88" i="1"/>
  <c r="H89" i="1"/>
  <c r="N86" i="1"/>
  <c r="O86" i="1" s="1"/>
  <c r="N88" i="1"/>
  <c r="O88" i="1" s="1"/>
  <c r="N89" i="1"/>
  <c r="O89" i="1" s="1"/>
  <c r="G85" i="1"/>
  <c r="H85" i="1"/>
  <c r="N85" i="1"/>
  <c r="O85" i="1" s="1"/>
  <c r="G117" i="1"/>
  <c r="G118" i="1"/>
  <c r="G119" i="1"/>
  <c r="H117" i="1"/>
  <c r="H118" i="1"/>
  <c r="H119" i="1"/>
  <c r="N117" i="1"/>
  <c r="O117" i="1" s="1"/>
  <c r="N118" i="1"/>
  <c r="O118" i="1" s="1"/>
  <c r="N119" i="1"/>
  <c r="O119" i="1" s="1"/>
  <c r="G114" i="1"/>
  <c r="H114" i="1"/>
  <c r="N114" i="1"/>
  <c r="O114" i="1" s="1"/>
  <c r="G102" i="1"/>
  <c r="H102" i="1"/>
  <c r="N102" i="1"/>
  <c r="O102" i="1" s="1"/>
  <c r="G100" i="1"/>
  <c r="H100" i="1"/>
  <c r="N100" i="1"/>
  <c r="O100" i="1" s="1"/>
  <c r="G74" i="1"/>
  <c r="H74" i="1"/>
  <c r="N74" i="1"/>
  <c r="O74" i="1" s="1"/>
  <c r="G81" i="1"/>
  <c r="H81" i="1"/>
  <c r="N81" i="1"/>
  <c r="O81" i="1" s="1"/>
  <c r="G79" i="1"/>
  <c r="H79" i="1"/>
  <c r="N79" i="1"/>
  <c r="O79" i="1" s="1"/>
  <c r="G75" i="1"/>
  <c r="H75" i="1"/>
  <c r="N75" i="1"/>
  <c r="O75" i="1" s="1"/>
  <c r="O181" i="1" l="1"/>
  <c r="G48" i="1"/>
  <c r="H48" i="1"/>
  <c r="N48" i="1"/>
  <c r="O48" i="1" s="1"/>
  <c r="G47" i="1"/>
  <c r="G49" i="1"/>
  <c r="H47" i="1"/>
  <c r="H49" i="1"/>
  <c r="N47" i="1"/>
  <c r="O47" i="1" s="1"/>
  <c r="N49" i="1"/>
  <c r="O49" i="1" s="1"/>
  <c r="G46" i="1"/>
  <c r="H46" i="1"/>
  <c r="N46" i="1"/>
  <c r="O46" i="1" s="1"/>
  <c r="G56" i="1"/>
  <c r="H56" i="1"/>
  <c r="N56" i="1"/>
  <c r="O56" i="1" s="1"/>
  <c r="N58" i="1"/>
  <c r="O58" i="1" s="1"/>
  <c r="H58" i="1"/>
  <c r="G58" i="1"/>
  <c r="G45" i="1"/>
  <c r="H45" i="1"/>
  <c r="N45" i="1"/>
  <c r="O45" i="1" s="1"/>
  <c r="W80" i="4"/>
  <c r="W106" i="4"/>
  <c r="W87" i="4"/>
  <c r="W127" i="4"/>
  <c r="W148" i="4"/>
  <c r="W139" i="4"/>
  <c r="W18" i="4"/>
  <c r="W15" i="4"/>
  <c r="W81" i="4"/>
  <c r="W11" i="4"/>
  <c r="W144" i="4"/>
  <c r="W85" i="4"/>
  <c r="W35" i="4"/>
  <c r="W32" i="4"/>
  <c r="W107" i="4"/>
  <c r="W112" i="4"/>
  <c r="W141" i="4"/>
  <c r="W47" i="4"/>
  <c r="W124" i="4"/>
  <c r="W114" i="4"/>
  <c r="W97" i="4"/>
  <c r="W96" i="4"/>
  <c r="W58" i="4"/>
  <c r="W140" i="4"/>
  <c r="W48" i="4"/>
  <c r="W28" i="4"/>
  <c r="W49" i="4"/>
  <c r="W137" i="4"/>
  <c r="W68" i="4"/>
  <c r="W3" i="4"/>
  <c r="W93" i="4"/>
  <c r="W115" i="4"/>
  <c r="W14" i="4"/>
  <c r="W56" i="4"/>
  <c r="W69" i="4"/>
  <c r="W60" i="4"/>
  <c r="W126" i="4"/>
  <c r="W44" i="4"/>
  <c r="W110" i="4"/>
  <c r="W98" i="4"/>
  <c r="W31" i="4"/>
  <c r="W46" i="4"/>
  <c r="W29" i="4"/>
  <c r="W37" i="4"/>
  <c r="W104" i="4"/>
  <c r="W63" i="4"/>
  <c r="W118" i="4"/>
  <c r="W120" i="4"/>
  <c r="W109" i="4"/>
  <c r="W153" i="4"/>
  <c r="W152" i="4"/>
  <c r="W149" i="4"/>
  <c r="W22" i="4"/>
  <c r="W111" i="4"/>
  <c r="W55" i="4"/>
  <c r="W143" i="4"/>
  <c r="W72" i="4"/>
  <c r="W145" i="4"/>
  <c r="W17" i="4"/>
  <c r="W100" i="4"/>
  <c r="W62" i="4"/>
  <c r="W26" i="4"/>
  <c r="W92" i="4"/>
  <c r="W75" i="4"/>
  <c r="W129" i="4"/>
  <c r="W12" i="4"/>
  <c r="W33" i="4"/>
  <c r="W82" i="4"/>
  <c r="W89" i="4"/>
  <c r="W74" i="4"/>
  <c r="W57" i="4"/>
  <c r="W45" i="4"/>
  <c r="W132" i="4"/>
  <c r="W155" i="4"/>
  <c r="W123" i="4"/>
  <c r="W24" i="4"/>
  <c r="W38" i="4"/>
  <c r="W10" i="4"/>
  <c r="W133" i="4"/>
  <c r="W142" i="4"/>
  <c r="W77" i="4"/>
  <c r="W116" i="4"/>
  <c r="W108" i="4"/>
  <c r="W83" i="4"/>
  <c r="W34" i="4"/>
  <c r="W54" i="4"/>
  <c r="W84" i="4"/>
  <c r="W13" i="4"/>
  <c r="W88" i="4"/>
  <c r="W8" i="4"/>
  <c r="W2" i="4"/>
  <c r="W67" i="4"/>
  <c r="W91" i="4"/>
  <c r="W113" i="4"/>
  <c r="W6" i="4"/>
  <c r="W131" i="4"/>
  <c r="W5" i="4"/>
  <c r="W19" i="4"/>
  <c r="W78" i="4"/>
  <c r="W147" i="4"/>
  <c r="W64" i="4"/>
  <c r="W59" i="4"/>
  <c r="W135" i="4"/>
  <c r="W61" i="4"/>
  <c r="W101" i="4"/>
  <c r="W30" i="4"/>
  <c r="W117" i="4"/>
  <c r="W103" i="4"/>
  <c r="W105" i="4"/>
  <c r="W21" i="4"/>
  <c r="W150" i="4"/>
  <c r="W94" i="4"/>
  <c r="W119" i="4"/>
  <c r="W128" i="4"/>
  <c r="W42" i="4"/>
  <c r="W86" i="4"/>
  <c r="W51" i="4"/>
  <c r="W36" i="4"/>
  <c r="W40" i="4"/>
  <c r="W90" i="4"/>
  <c r="W27" i="4"/>
  <c r="W41" i="4"/>
  <c r="W9" i="4"/>
  <c r="W50" i="4"/>
  <c r="W25" i="4"/>
  <c r="W79" i="4"/>
  <c r="W121" i="4"/>
  <c r="W151" i="4"/>
  <c r="W7" i="4"/>
  <c r="W136" i="4"/>
  <c r="W99" i="4"/>
  <c r="W138" i="4"/>
  <c r="W65" i="4"/>
  <c r="W16" i="4"/>
  <c r="W52" i="4"/>
  <c r="W130" i="4"/>
  <c r="W23" i="4"/>
  <c r="W66" i="4"/>
  <c r="W154" i="4"/>
  <c r="W39" i="4"/>
  <c r="W43" i="4"/>
  <c r="W102" i="4"/>
  <c r="W53" i="4"/>
  <c r="W146" i="4"/>
  <c r="W20" i="4"/>
  <c r="W122" i="4"/>
  <c r="W4" i="4"/>
  <c r="W71" i="4"/>
  <c r="W76" i="4"/>
  <c r="W134" i="4"/>
  <c r="W70" i="4"/>
  <c r="W125" i="4"/>
  <c r="W95" i="4"/>
  <c r="W73" i="4"/>
  <c r="V80" i="4"/>
  <c r="V106" i="4"/>
  <c r="V87" i="4"/>
  <c r="V127" i="4"/>
  <c r="V148" i="4"/>
  <c r="V139" i="4"/>
  <c r="V18" i="4"/>
  <c r="V15" i="4"/>
  <c r="V81" i="4"/>
  <c r="V11" i="4"/>
  <c r="V144" i="4"/>
  <c r="V85" i="4"/>
  <c r="V35" i="4"/>
  <c r="V32" i="4"/>
  <c r="V107" i="4"/>
  <c r="V112" i="4"/>
  <c r="V141" i="4"/>
  <c r="V47" i="4"/>
  <c r="V124" i="4"/>
  <c r="V114" i="4"/>
  <c r="V97" i="4"/>
  <c r="V96" i="4"/>
  <c r="V58" i="4"/>
  <c r="V140" i="4"/>
  <c r="V48" i="4"/>
  <c r="V28" i="4"/>
  <c r="V49" i="4"/>
  <c r="V137" i="4"/>
  <c r="V68" i="4"/>
  <c r="V3" i="4"/>
  <c r="V93" i="4"/>
  <c r="V115" i="4"/>
  <c r="V14" i="4"/>
  <c r="V56" i="4"/>
  <c r="V69" i="4"/>
  <c r="V60" i="4"/>
  <c r="V126" i="4"/>
  <c r="V44" i="4"/>
  <c r="V110" i="4"/>
  <c r="V98" i="4"/>
  <c r="V31" i="4"/>
  <c r="V46" i="4"/>
  <c r="V29" i="4"/>
  <c r="V37" i="4"/>
  <c r="V104" i="4"/>
  <c r="V63" i="4"/>
  <c r="V118" i="4"/>
  <c r="V120" i="4"/>
  <c r="V109" i="4"/>
  <c r="V153" i="4"/>
  <c r="V152" i="4"/>
  <c r="V149" i="4"/>
  <c r="V22" i="4"/>
  <c r="V111" i="4"/>
  <c r="V55" i="4"/>
  <c r="V143" i="4"/>
  <c r="V72" i="4"/>
  <c r="V145" i="4"/>
  <c r="V17" i="4"/>
  <c r="V100" i="4"/>
  <c r="V62" i="4"/>
  <c r="V26" i="4"/>
  <c r="V92" i="4"/>
  <c r="V75" i="4"/>
  <c r="V129" i="4"/>
  <c r="V12" i="4"/>
  <c r="V33" i="4"/>
  <c r="V82" i="4"/>
  <c r="V89" i="4"/>
  <c r="V74" i="4"/>
  <c r="V57" i="4"/>
  <c r="V45" i="4"/>
  <c r="V132" i="4"/>
  <c r="V155" i="4"/>
  <c r="V123" i="4"/>
  <c r="V24" i="4"/>
  <c r="V38" i="4"/>
  <c r="V10" i="4"/>
  <c r="V133" i="4"/>
  <c r="V142" i="4"/>
  <c r="V77" i="4"/>
  <c r="V116" i="4"/>
  <c r="V108" i="4"/>
  <c r="V83" i="4"/>
  <c r="V34" i="4"/>
  <c r="V54" i="4"/>
  <c r="V84" i="4"/>
  <c r="V13" i="4"/>
  <c r="V88" i="4"/>
  <c r="V8" i="4"/>
  <c r="V2" i="4"/>
  <c r="V67" i="4"/>
  <c r="V91" i="4"/>
  <c r="V113" i="4"/>
  <c r="V6" i="4"/>
  <c r="V131" i="4"/>
  <c r="V5" i="4"/>
  <c r="V19" i="4"/>
  <c r="V78" i="4"/>
  <c r="V147" i="4"/>
  <c r="V64" i="4"/>
  <c r="V59" i="4"/>
  <c r="V135" i="4"/>
  <c r="V61" i="4"/>
  <c r="V101" i="4"/>
  <c r="V30" i="4"/>
  <c r="V117" i="4"/>
  <c r="V103" i="4"/>
  <c r="V105" i="4"/>
  <c r="V21" i="4"/>
  <c r="V150" i="4"/>
  <c r="V94" i="4"/>
  <c r="V119" i="4"/>
  <c r="V128" i="4"/>
  <c r="V42" i="4"/>
  <c r="V86" i="4"/>
  <c r="V51" i="4"/>
  <c r="V36" i="4"/>
  <c r="V40" i="4"/>
  <c r="V90" i="4"/>
  <c r="V27" i="4"/>
  <c r="V41" i="4"/>
  <c r="V9" i="4"/>
  <c r="V50" i="4"/>
  <c r="V25" i="4"/>
  <c r="V79" i="4"/>
  <c r="V121" i="4"/>
  <c r="V151" i="4"/>
  <c r="V7" i="4"/>
  <c r="V136" i="4"/>
  <c r="V99" i="4"/>
  <c r="V138" i="4"/>
  <c r="V65" i="4"/>
  <c r="V16" i="4"/>
  <c r="V52" i="4"/>
  <c r="V130" i="4"/>
  <c r="V23" i="4"/>
  <c r="V66" i="4"/>
  <c r="V154" i="4"/>
  <c r="V39" i="4"/>
  <c r="V43" i="4"/>
  <c r="V102" i="4"/>
  <c r="V53" i="4"/>
  <c r="V146" i="4"/>
  <c r="V20" i="4"/>
  <c r="V122" i="4"/>
  <c r="V4" i="4"/>
  <c r="V71" i="4"/>
  <c r="V76" i="4"/>
  <c r="V134" i="4"/>
  <c r="V70" i="4"/>
  <c r="V125" i="4"/>
  <c r="V95" i="4"/>
  <c r="V73" i="4"/>
  <c r="AF106" i="4"/>
  <c r="AF80" i="4"/>
  <c r="AF87" i="4"/>
  <c r="AF61" i="4"/>
  <c r="AF154" i="4"/>
  <c r="AF108" i="4"/>
  <c r="AF57" i="4"/>
  <c r="AF53" i="4"/>
  <c r="AF60" i="4"/>
  <c r="AF111" i="4"/>
  <c r="AF96" i="4"/>
  <c r="AF150" i="4"/>
  <c r="AF94" i="4"/>
  <c r="AF24" i="4"/>
  <c r="AF59" i="4"/>
  <c r="AF98" i="4"/>
  <c r="AF13" i="4"/>
  <c r="AF132" i="4"/>
  <c r="AF119" i="4"/>
  <c r="AF128" i="4"/>
  <c r="AF42" i="4"/>
  <c r="AF86" i="4"/>
  <c r="AF146" i="4"/>
  <c r="AF58" i="4"/>
  <c r="AF17" i="4"/>
  <c r="AF68" i="4"/>
  <c r="AF97" i="4"/>
  <c r="AF118" i="4"/>
  <c r="AF12" i="4"/>
  <c r="AF137" i="4"/>
  <c r="AF39" i="4"/>
  <c r="AF43" i="4"/>
  <c r="AF20" i="4"/>
  <c r="AF4" i="4"/>
  <c r="AF76" i="4"/>
  <c r="AF153" i="4"/>
  <c r="AF44" i="4"/>
  <c r="AF126" i="4"/>
  <c r="AF22" i="4"/>
  <c r="AF35" i="4"/>
  <c r="AF149" i="4"/>
  <c r="AF69" i="4"/>
  <c r="AF133" i="4"/>
  <c r="AF142" i="4"/>
  <c r="AF23" i="4"/>
  <c r="AF134" i="4"/>
  <c r="AF47" i="4"/>
  <c r="AF31" i="4"/>
  <c r="AF144" i="4"/>
  <c r="AF112" i="4"/>
  <c r="AF124" i="4"/>
  <c r="AF89" i="4"/>
  <c r="AF11" i="4"/>
  <c r="AF88" i="4"/>
  <c r="AF8" i="4"/>
  <c r="AF51" i="4"/>
  <c r="AF36" i="4"/>
  <c r="AF40" i="4"/>
  <c r="AF90" i="4"/>
  <c r="AF27" i="4"/>
  <c r="AF41" i="4"/>
  <c r="AF71" i="4"/>
  <c r="AF70" i="4"/>
  <c r="AF125" i="4"/>
  <c r="AF107" i="4"/>
  <c r="AF129" i="4"/>
  <c r="AF74" i="4"/>
  <c r="AF127" i="4"/>
  <c r="AF38" i="4"/>
  <c r="AF82" i="4"/>
  <c r="AF103" i="4"/>
  <c r="AF14" i="4"/>
  <c r="AF26" i="4"/>
  <c r="AF92" i="4"/>
  <c r="AF45" i="4"/>
  <c r="AF2" i="4"/>
  <c r="AF9" i="4"/>
  <c r="AF50" i="4"/>
  <c r="AF25" i="4"/>
  <c r="AF85" i="4"/>
  <c r="AF115" i="4"/>
  <c r="AF152" i="4"/>
  <c r="AF72" i="4"/>
  <c r="AF48" i="4"/>
  <c r="AF101" i="4"/>
  <c r="AF77" i="4"/>
  <c r="AF148" i="4"/>
  <c r="AF141" i="4"/>
  <c r="AF18" i="4"/>
  <c r="AF62" i="4"/>
  <c r="AF37" i="4"/>
  <c r="AF49" i="4"/>
  <c r="AF145" i="4"/>
  <c r="AF116" i="4"/>
  <c r="AF28" i="4"/>
  <c r="AF15" i="4"/>
  <c r="AF83" i="4"/>
  <c r="AF34" i="4"/>
  <c r="AF102" i="4"/>
  <c r="AF3" i="4"/>
  <c r="AF81" i="4"/>
  <c r="AF46" i="4"/>
  <c r="AF135" i="4"/>
  <c r="AF29" i="4"/>
  <c r="AF109" i="4"/>
  <c r="AF140" i="4"/>
  <c r="AF104" i="4"/>
  <c r="AF117" i="4"/>
  <c r="AF55" i="4"/>
  <c r="AF143" i="4"/>
  <c r="AF110" i="4"/>
  <c r="AF93" i="4"/>
  <c r="AF114" i="4"/>
  <c r="AF120" i="4"/>
  <c r="AF100" i="4"/>
  <c r="AF75" i="4"/>
  <c r="AF139" i="4"/>
  <c r="AF123" i="4"/>
  <c r="AF84" i="4"/>
  <c r="AF105" i="4"/>
  <c r="AF33" i="4"/>
  <c r="AF67" i="4"/>
  <c r="AF91" i="4"/>
  <c r="AF113" i="4"/>
  <c r="AF6" i="4"/>
  <c r="AF21" i="4"/>
  <c r="AF79" i="4"/>
  <c r="AF121" i="4"/>
  <c r="AF151" i="4"/>
  <c r="AF7" i="4"/>
  <c r="AF136" i="4"/>
  <c r="AF10" i="4"/>
  <c r="AF56" i="4"/>
  <c r="AF131" i="4"/>
  <c r="AF30" i="4"/>
  <c r="AF99" i="4"/>
  <c r="AF138" i="4"/>
  <c r="AF32" i="4"/>
  <c r="AF95" i="4"/>
  <c r="AF63" i="4"/>
  <c r="AF5" i="4"/>
  <c r="AF65" i="4"/>
  <c r="AF66" i="4"/>
  <c r="AF155" i="4"/>
  <c r="AF54" i="4"/>
  <c r="AF73" i="4"/>
  <c r="AF19" i="4"/>
  <c r="AF78" i="4"/>
  <c r="AF16" i="4"/>
  <c r="AF122" i="4"/>
  <c r="AF52" i="4"/>
  <c r="AF147" i="4"/>
  <c r="B141" i="3"/>
  <c r="B142" i="3"/>
  <c r="B143" i="3"/>
  <c r="B144" i="3"/>
  <c r="C141" i="3"/>
  <c r="E141" i="3" s="1"/>
  <c r="C142" i="3"/>
  <c r="E142" i="3" s="1"/>
  <c r="C143" i="3"/>
  <c r="E143" i="3" s="1"/>
  <c r="C144" i="3"/>
  <c r="E144" i="3" s="1"/>
  <c r="D141" i="3"/>
  <c r="D142" i="3"/>
  <c r="D143" i="3"/>
  <c r="D144" i="3"/>
  <c r="AI141" i="3"/>
  <c r="AI142" i="3"/>
  <c r="AI143" i="3"/>
  <c r="AI144" i="3"/>
  <c r="U155" i="4"/>
  <c r="N63" i="1"/>
  <c r="O63" i="1" s="1"/>
  <c r="H63" i="1"/>
  <c r="G63" i="1"/>
  <c r="N62" i="1"/>
  <c r="O62" i="1" s="1"/>
  <c r="H62" i="1"/>
  <c r="G62" i="1"/>
  <c r="G61" i="1"/>
  <c r="H61" i="1"/>
  <c r="N61" i="1"/>
  <c r="G60" i="1"/>
  <c r="H60" i="1"/>
  <c r="N60" i="1"/>
  <c r="O60" i="1" s="1"/>
  <c r="G71" i="1"/>
  <c r="H71" i="1"/>
  <c r="N71" i="1"/>
  <c r="O71" i="1" s="1"/>
  <c r="G70" i="1"/>
  <c r="H70" i="1"/>
  <c r="N70" i="1"/>
  <c r="O70" i="1" s="1"/>
  <c r="G69" i="1"/>
  <c r="H69" i="1"/>
  <c r="N69" i="1"/>
  <c r="O69" i="1" s="1"/>
  <c r="G42" i="1"/>
  <c r="H42" i="1"/>
  <c r="N42" i="1"/>
  <c r="O42" i="1" s="1"/>
  <c r="G41" i="1"/>
  <c r="H41" i="1"/>
  <c r="N41" i="1"/>
  <c r="G40" i="1"/>
  <c r="H40" i="1"/>
  <c r="N40" i="1"/>
  <c r="O40" i="1" s="1"/>
  <c r="G39" i="1"/>
  <c r="H39" i="1"/>
  <c r="N39" i="1"/>
  <c r="O39" i="1" s="1"/>
  <c r="G38" i="1"/>
  <c r="H38" i="1"/>
  <c r="N38" i="1"/>
  <c r="O38" i="1" s="1"/>
  <c r="G37" i="1"/>
  <c r="H37" i="1"/>
  <c r="N37" i="1"/>
  <c r="O37" i="1" s="1"/>
  <c r="G36" i="1"/>
  <c r="H36" i="1"/>
  <c r="N36" i="1"/>
  <c r="O36" i="1" s="1"/>
  <c r="O41" i="1" l="1"/>
  <c r="O61" i="1"/>
  <c r="K142" i="3" a="1"/>
  <c r="K142" i="3" s="1"/>
  <c r="R141" i="3"/>
  <c r="K141" i="3" a="1"/>
  <c r="K141" i="3" s="1"/>
  <c r="P141" i="3"/>
  <c r="AD25" i="4" s="1"/>
  <c r="O141" i="3"/>
  <c r="AC25" i="4" s="1"/>
  <c r="Q141" i="3"/>
  <c r="AE25" i="4" s="1"/>
  <c r="N141" i="3"/>
  <c r="AB25" i="4" s="1"/>
  <c r="J141" i="3"/>
  <c r="I141" i="3"/>
  <c r="S141" i="3"/>
  <c r="F141" i="3"/>
  <c r="R144" i="3"/>
  <c r="R143" i="3"/>
  <c r="P143" i="3"/>
  <c r="AD86" i="4" s="1"/>
  <c r="H144" i="3" a="1"/>
  <c r="H144" i="3" s="1"/>
  <c r="P142" i="3"/>
  <c r="AD49" i="4" s="1"/>
  <c r="H143" i="3" a="1"/>
  <c r="H143" i="3" s="1"/>
  <c r="H142" i="3" a="1"/>
  <c r="H142" i="3" s="1"/>
  <c r="P144" i="3"/>
  <c r="AD135" i="4" s="1"/>
  <c r="S143" i="3"/>
  <c r="O143" i="3"/>
  <c r="AC86" i="4" s="1"/>
  <c r="S144" i="3"/>
  <c r="O144" i="3"/>
  <c r="AC135" i="4" s="1"/>
  <c r="S142" i="3"/>
  <c r="O142" i="3"/>
  <c r="AC49" i="4" s="1"/>
  <c r="G144" i="3"/>
  <c r="R142" i="3"/>
  <c r="N143" i="3"/>
  <c r="AB86" i="4" s="1"/>
  <c r="G142" i="3"/>
  <c r="Q143" i="3"/>
  <c r="AE86" i="4" s="1"/>
  <c r="K144" i="3" a="1"/>
  <c r="K144" i="3" s="1"/>
  <c r="K143" i="3" a="1"/>
  <c r="K143" i="3" s="1"/>
  <c r="G143" i="3"/>
  <c r="G141" i="3"/>
  <c r="J143" i="3"/>
  <c r="AJ142" i="3"/>
  <c r="AJ141" i="3"/>
  <c r="H141" i="3" a="1"/>
  <c r="H141" i="3" s="1"/>
  <c r="I144" i="3"/>
  <c r="F144" i="3"/>
  <c r="I143" i="3"/>
  <c r="F143" i="3"/>
  <c r="AJ144" i="3"/>
  <c r="I142" i="3"/>
  <c r="F142" i="3"/>
  <c r="AJ143" i="3"/>
  <c r="Q144" i="3"/>
  <c r="AE135" i="4" s="1"/>
  <c r="N144" i="3"/>
  <c r="AB135" i="4" s="1"/>
  <c r="J144" i="3"/>
  <c r="Q142" i="3"/>
  <c r="AE49" i="4" s="1"/>
  <c r="N142" i="3"/>
  <c r="AB49" i="4" s="1"/>
  <c r="J142" i="3"/>
  <c r="G80" i="1"/>
  <c r="H80" i="1"/>
  <c r="N80" i="1"/>
  <c r="O80" i="1" s="1"/>
  <c r="G78" i="1"/>
  <c r="H78" i="1"/>
  <c r="N78" i="1"/>
  <c r="O78" i="1" s="1"/>
  <c r="G76" i="1"/>
  <c r="G77" i="1"/>
  <c r="H76" i="1"/>
  <c r="H77" i="1"/>
  <c r="N76" i="1"/>
  <c r="O76" i="1" s="1"/>
  <c r="N77" i="1"/>
  <c r="O77" i="1" s="1"/>
  <c r="G401" i="1"/>
  <c r="H401" i="1"/>
  <c r="N401" i="1"/>
  <c r="O401" i="1" s="1"/>
  <c r="G400" i="1"/>
  <c r="H400" i="1"/>
  <c r="N400" i="1"/>
  <c r="O400" i="1" s="1"/>
  <c r="G399" i="1"/>
  <c r="H399" i="1"/>
  <c r="N399" i="1"/>
  <c r="O399" i="1" s="1"/>
  <c r="G686" i="1"/>
  <c r="H686" i="1"/>
  <c r="N686" i="1"/>
  <c r="O686" i="1" s="1"/>
  <c r="G682" i="1"/>
  <c r="H682" i="1"/>
  <c r="N682" i="1"/>
  <c r="O682" i="1" s="1"/>
  <c r="N695" i="1"/>
  <c r="O695" i="1" s="1"/>
  <c r="H695" i="1"/>
  <c r="G695" i="1"/>
  <c r="N692" i="1"/>
  <c r="O692" i="1" s="1"/>
  <c r="H692" i="1"/>
  <c r="G692" i="1"/>
  <c r="G694" i="1"/>
  <c r="H694" i="1"/>
  <c r="N694" i="1"/>
  <c r="O694" i="1" s="1"/>
  <c r="G693" i="1"/>
  <c r="H693" i="1"/>
  <c r="N693" i="1"/>
  <c r="O693" i="1" s="1"/>
  <c r="G704" i="1"/>
  <c r="H704" i="1"/>
  <c r="N704" i="1"/>
  <c r="O704" i="1" s="1"/>
  <c r="G705" i="1"/>
  <c r="H705" i="1"/>
  <c r="N705" i="1"/>
  <c r="O705" i="1" s="1"/>
  <c r="G702" i="1"/>
  <c r="G703" i="1"/>
  <c r="H702" i="1"/>
  <c r="H703" i="1"/>
  <c r="N702" i="1"/>
  <c r="O702" i="1" s="1"/>
  <c r="N703" i="1"/>
  <c r="O703" i="1" s="1"/>
  <c r="G701" i="1"/>
  <c r="H701" i="1"/>
  <c r="N701" i="1"/>
  <c r="O701" i="1" s="1"/>
  <c r="G700" i="1"/>
  <c r="H700" i="1"/>
  <c r="N700" i="1"/>
  <c r="O700" i="1" s="1"/>
  <c r="G699" i="1"/>
  <c r="H699" i="1"/>
  <c r="N699" i="1"/>
  <c r="O699" i="1" s="1"/>
  <c r="G698" i="1"/>
  <c r="H698" i="1"/>
  <c r="N698" i="1"/>
  <c r="O698" i="1" s="1"/>
  <c r="G697" i="1"/>
  <c r="H697" i="1"/>
  <c r="N697" i="1"/>
  <c r="O697" i="1" s="1"/>
  <c r="G696" i="1"/>
  <c r="H696" i="1"/>
  <c r="N696" i="1"/>
  <c r="O696" i="1" s="1"/>
  <c r="N707" i="1"/>
  <c r="O707" i="1" s="1"/>
  <c r="G714" i="1"/>
  <c r="H714" i="1"/>
  <c r="N714" i="1"/>
  <c r="O714" i="1" s="1"/>
  <c r="G712" i="1"/>
  <c r="G713" i="1"/>
  <c r="H712" i="1"/>
  <c r="H713" i="1"/>
  <c r="N712" i="1"/>
  <c r="O712" i="1" s="1"/>
  <c r="N713" i="1"/>
  <c r="O713" i="1" s="1"/>
  <c r="G710" i="1"/>
  <c r="G711" i="1"/>
  <c r="H710" i="1"/>
  <c r="H711" i="1"/>
  <c r="N710" i="1"/>
  <c r="O710" i="1" s="1"/>
  <c r="N711" i="1"/>
  <c r="O711" i="1" s="1"/>
  <c r="G709" i="1"/>
  <c r="H709" i="1"/>
  <c r="N709" i="1"/>
  <c r="O709" i="1" s="1"/>
  <c r="G737" i="1"/>
  <c r="G738" i="1"/>
  <c r="G739" i="1"/>
  <c r="H737" i="1"/>
  <c r="H738" i="1"/>
  <c r="H739" i="1"/>
  <c r="N737" i="1"/>
  <c r="N738" i="1"/>
  <c r="O738" i="1" s="1"/>
  <c r="N739" i="1"/>
  <c r="G731" i="1"/>
  <c r="G732" i="1"/>
  <c r="G733" i="1"/>
  <c r="G734" i="1"/>
  <c r="G735" i="1"/>
  <c r="G736" i="1"/>
  <c r="H731" i="1"/>
  <c r="H732" i="1"/>
  <c r="H733" i="1"/>
  <c r="H734" i="1"/>
  <c r="H735" i="1"/>
  <c r="H736" i="1"/>
  <c r="N731" i="1"/>
  <c r="O731" i="1" s="1"/>
  <c r="N732" i="1"/>
  <c r="O732" i="1" s="1"/>
  <c r="N733" i="1"/>
  <c r="O733" i="1" s="1"/>
  <c r="N734" i="1"/>
  <c r="O734" i="1" s="1"/>
  <c r="N735" i="1"/>
  <c r="O735" i="1" s="1"/>
  <c r="N736" i="1"/>
  <c r="O736" i="1" s="1"/>
  <c r="G727" i="1"/>
  <c r="G728" i="1"/>
  <c r="G729" i="1"/>
  <c r="G730" i="1"/>
  <c r="H727" i="1"/>
  <c r="H728" i="1"/>
  <c r="H729" i="1"/>
  <c r="H730" i="1"/>
  <c r="N727" i="1"/>
  <c r="O727" i="1" s="1"/>
  <c r="N728" i="1"/>
  <c r="O728" i="1" s="1"/>
  <c r="N729" i="1"/>
  <c r="O729" i="1" s="1"/>
  <c r="N730" i="1"/>
  <c r="G726" i="1"/>
  <c r="H726" i="1"/>
  <c r="N726" i="1"/>
  <c r="O726" i="1" s="1"/>
  <c r="G719" i="1"/>
  <c r="G720" i="1"/>
  <c r="G721" i="1"/>
  <c r="G722" i="1"/>
  <c r="G723" i="1"/>
  <c r="G724" i="1"/>
  <c r="G725" i="1"/>
  <c r="H719" i="1"/>
  <c r="H720" i="1"/>
  <c r="H721" i="1"/>
  <c r="H722" i="1"/>
  <c r="H723" i="1"/>
  <c r="H724" i="1"/>
  <c r="H725" i="1"/>
  <c r="N719" i="1"/>
  <c r="O719" i="1" s="1"/>
  <c r="N720" i="1"/>
  <c r="O720" i="1" s="1"/>
  <c r="N721" i="1"/>
  <c r="O721" i="1" s="1"/>
  <c r="N722" i="1"/>
  <c r="O722" i="1" s="1"/>
  <c r="N723" i="1"/>
  <c r="O723" i="1" s="1"/>
  <c r="N724" i="1"/>
  <c r="N725" i="1"/>
  <c r="O725" i="1" s="1"/>
  <c r="G760" i="1"/>
  <c r="H760" i="1"/>
  <c r="N760" i="1"/>
  <c r="O760" i="1" s="1"/>
  <c r="G763" i="1"/>
  <c r="H763" i="1"/>
  <c r="N763" i="1"/>
  <c r="O763" i="1" s="1"/>
  <c r="G765" i="1"/>
  <c r="H765" i="1"/>
  <c r="N765" i="1"/>
  <c r="O765" i="1" s="1"/>
  <c r="G745" i="1"/>
  <c r="H745" i="1"/>
  <c r="N745" i="1"/>
  <c r="O745" i="1" s="1"/>
  <c r="G746" i="1"/>
  <c r="H746" i="1"/>
  <c r="N746" i="1"/>
  <c r="O746" i="1" s="1"/>
  <c r="G744" i="1"/>
  <c r="H744" i="1"/>
  <c r="N744" i="1"/>
  <c r="L148" i="3" s="1"/>
  <c r="G742" i="1"/>
  <c r="G743" i="1"/>
  <c r="H742" i="1"/>
  <c r="H743" i="1"/>
  <c r="N742" i="1"/>
  <c r="O742" i="1" s="1"/>
  <c r="N743" i="1"/>
  <c r="O743" i="1" s="1"/>
  <c r="G821" i="1"/>
  <c r="H821" i="1"/>
  <c r="N821" i="1"/>
  <c r="O821" i="1" s="1"/>
  <c r="G820" i="1"/>
  <c r="H820" i="1"/>
  <c r="N820" i="1"/>
  <c r="O820" i="1" s="1"/>
  <c r="N818" i="1"/>
  <c r="O818" i="1" s="1"/>
  <c r="N819" i="1"/>
  <c r="O819" i="1" s="1"/>
  <c r="G819" i="1"/>
  <c r="H819" i="1"/>
  <c r="G818" i="1"/>
  <c r="H818" i="1"/>
  <c r="G823" i="1"/>
  <c r="H823" i="1"/>
  <c r="N823" i="1"/>
  <c r="O823" i="1" s="1"/>
  <c r="G827" i="1"/>
  <c r="H827" i="1"/>
  <c r="N827" i="1"/>
  <c r="O827" i="1" s="1"/>
  <c r="G824" i="1"/>
  <c r="H824" i="1"/>
  <c r="N824" i="1"/>
  <c r="O824" i="1" s="1"/>
  <c r="G825" i="1"/>
  <c r="H825" i="1"/>
  <c r="N825" i="1"/>
  <c r="O825" i="1" s="1"/>
  <c r="O737" i="1" l="1"/>
  <c r="O739" i="1"/>
  <c r="L146" i="3"/>
  <c r="O730" i="1"/>
  <c r="O724" i="1"/>
  <c r="O744" i="1"/>
  <c r="Z148" i="3" s="1"/>
  <c r="AA148" i="3" s="1"/>
  <c r="AS4" i="4" s="1"/>
  <c r="G839" i="1"/>
  <c r="H839" i="1"/>
  <c r="N839" i="1"/>
  <c r="O839" i="1" s="1"/>
  <c r="G838" i="1"/>
  <c r="H838" i="1"/>
  <c r="N838" i="1"/>
  <c r="O838" i="1" s="1"/>
  <c r="G837" i="1"/>
  <c r="H837" i="1"/>
  <c r="N837" i="1"/>
  <c r="O837" i="1" s="1"/>
  <c r="N832" i="1"/>
  <c r="O832" i="1" s="1"/>
  <c r="N833" i="1"/>
  <c r="O833" i="1" s="1"/>
  <c r="N834" i="1"/>
  <c r="O834" i="1" s="1"/>
  <c r="N835" i="1"/>
  <c r="O835" i="1" s="1"/>
  <c r="G836" i="1"/>
  <c r="H836" i="1"/>
  <c r="N836" i="1"/>
  <c r="O836" i="1" s="1"/>
  <c r="G835" i="1"/>
  <c r="H835" i="1"/>
  <c r="G843" i="1"/>
  <c r="H843" i="1"/>
  <c r="N843" i="1"/>
  <c r="O843" i="1" s="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43" i="1"/>
  <c r="H44" i="1"/>
  <c r="H50" i="1"/>
  <c r="H51" i="1"/>
  <c r="H52" i="1"/>
  <c r="H53" i="1"/>
  <c r="H54" i="1"/>
  <c r="H55" i="1"/>
  <c r="H57" i="1"/>
  <c r="H59" i="1"/>
  <c r="H64" i="1"/>
  <c r="H65" i="1"/>
  <c r="H66" i="1"/>
  <c r="H67" i="1"/>
  <c r="H68" i="1"/>
  <c r="H72" i="1"/>
  <c r="H73" i="1"/>
  <c r="H82" i="1"/>
  <c r="H83" i="1"/>
  <c r="H84" i="1"/>
  <c r="H90" i="1"/>
  <c r="H91" i="1"/>
  <c r="H92" i="1"/>
  <c r="H94" i="1"/>
  <c r="H95" i="1"/>
  <c r="H96" i="1"/>
  <c r="H97" i="1"/>
  <c r="H99" i="1"/>
  <c r="H101" i="1"/>
  <c r="H103" i="1"/>
  <c r="H104" i="1"/>
  <c r="H109" i="1"/>
  <c r="H110" i="1"/>
  <c r="H111" i="1"/>
  <c r="H112" i="1"/>
  <c r="H113" i="1"/>
  <c r="H115" i="1"/>
  <c r="H116" i="1"/>
  <c r="H120" i="1"/>
  <c r="H121" i="1"/>
  <c r="H122" i="1"/>
  <c r="H123" i="1"/>
  <c r="H124" i="1"/>
  <c r="H125" i="1"/>
  <c r="H126" i="1"/>
  <c r="H127" i="1"/>
  <c r="H128" i="1"/>
  <c r="H129" i="1"/>
  <c r="H130" i="1"/>
  <c r="H132" i="1"/>
  <c r="H133" i="1"/>
  <c r="H134" i="1"/>
  <c r="H135" i="1"/>
  <c r="H139" i="1"/>
  <c r="H140" i="1"/>
  <c r="H147" i="1"/>
  <c r="H151" i="1"/>
  <c r="H152" i="1"/>
  <c r="H153" i="1"/>
  <c r="H154" i="1"/>
  <c r="H155" i="1"/>
  <c r="H156" i="1"/>
  <c r="H157" i="1"/>
  <c r="H160" i="1"/>
  <c r="H161" i="1"/>
  <c r="H162" i="1"/>
  <c r="H166" i="1"/>
  <c r="H167" i="1"/>
  <c r="H168" i="1"/>
  <c r="H169" i="1"/>
  <c r="H170" i="1"/>
  <c r="H175" i="1"/>
  <c r="H176" i="1"/>
  <c r="H177" i="1"/>
  <c r="H179" i="1"/>
  <c r="H180" i="1"/>
  <c r="H187" i="1"/>
  <c r="H188" i="1"/>
  <c r="H189" i="1"/>
  <c r="H191" i="1"/>
  <c r="H192" i="1"/>
  <c r="H196" i="1"/>
  <c r="H197" i="1"/>
  <c r="H198" i="1"/>
  <c r="H199" i="1"/>
  <c r="H200" i="1"/>
  <c r="H201" i="1"/>
  <c r="H202" i="1"/>
  <c r="H203" i="1"/>
  <c r="H204" i="1"/>
  <c r="H205" i="1"/>
  <c r="H206" i="1"/>
  <c r="H207" i="1"/>
  <c r="H209" i="1"/>
  <c r="H211" i="1"/>
  <c r="H212" i="1"/>
  <c r="H214" i="1"/>
  <c r="H215" i="1"/>
  <c r="H219" i="1"/>
  <c r="H220" i="1"/>
  <c r="H221" i="1"/>
  <c r="H222" i="1"/>
  <c r="H225" i="1"/>
  <c r="H226" i="1"/>
  <c r="H229" i="1"/>
  <c r="H230" i="1"/>
  <c r="H234" i="1"/>
  <c r="H235" i="1"/>
  <c r="H236" i="1"/>
  <c r="H238" i="1"/>
  <c r="H239" i="1"/>
  <c r="H240" i="1"/>
  <c r="H241" i="1"/>
  <c r="H242" i="1"/>
  <c r="H245" i="1"/>
  <c r="H246" i="1"/>
  <c r="H248" i="1"/>
  <c r="H249" i="1"/>
  <c r="H250" i="1"/>
  <c r="H251" i="1"/>
  <c r="H252" i="1"/>
  <c r="H253" i="1"/>
  <c r="H254" i="1"/>
  <c r="H257" i="1"/>
  <c r="H258" i="1"/>
  <c r="H259" i="1"/>
  <c r="H261" i="1"/>
  <c r="H266" i="1"/>
  <c r="H267" i="1"/>
  <c r="H268" i="1"/>
  <c r="H269" i="1"/>
  <c r="H275" i="1"/>
  <c r="H276" i="1"/>
  <c r="H277" i="1"/>
  <c r="H281" i="1"/>
  <c r="H282" i="1"/>
  <c r="H283" i="1"/>
  <c r="H285" i="1"/>
  <c r="H287" i="1"/>
  <c r="H288" i="1"/>
  <c r="H291" i="1"/>
  <c r="H292" i="1"/>
  <c r="H293" i="1"/>
  <c r="H295" i="1"/>
  <c r="H296" i="1"/>
  <c r="H297" i="1"/>
  <c r="H298" i="1"/>
  <c r="H299" i="1"/>
  <c r="H300" i="1"/>
  <c r="H302" i="1"/>
  <c r="H306" i="1"/>
  <c r="H310" i="1"/>
  <c r="H320" i="1"/>
  <c r="H321" i="1"/>
  <c r="H322" i="1"/>
  <c r="H323" i="1"/>
  <c r="H324" i="1"/>
  <c r="H325" i="1"/>
  <c r="H329" i="1"/>
  <c r="H332" i="1"/>
  <c r="H333" i="1"/>
  <c r="H334" i="1"/>
  <c r="H343" i="1"/>
  <c r="H344" i="1"/>
  <c r="H345" i="1"/>
  <c r="H346" i="1"/>
  <c r="H347" i="1"/>
  <c r="H348" i="1"/>
  <c r="H349" i="1"/>
  <c r="H350" i="1"/>
  <c r="H351" i="1"/>
  <c r="H352" i="1"/>
  <c r="H353" i="1"/>
  <c r="H355" i="1"/>
  <c r="H356" i="1"/>
  <c r="H357" i="1"/>
  <c r="H358" i="1"/>
  <c r="H359" i="1"/>
  <c r="H367" i="1"/>
  <c r="H368" i="1"/>
  <c r="H369" i="1"/>
  <c r="H373" i="1"/>
  <c r="H374" i="1"/>
  <c r="H375" i="1"/>
  <c r="H376" i="1"/>
  <c r="H377" i="1"/>
  <c r="H380" i="1"/>
  <c r="H381" i="1"/>
  <c r="H386" i="1"/>
  <c r="H387" i="1"/>
  <c r="H388" i="1"/>
  <c r="H393" i="1"/>
  <c r="H394" i="1"/>
  <c r="H395" i="1"/>
  <c r="H396" i="1"/>
  <c r="H402" i="1"/>
  <c r="H403" i="1"/>
  <c r="H404" i="1"/>
  <c r="H405" i="1"/>
  <c r="H406" i="1"/>
  <c r="H407" i="1"/>
  <c r="H411" i="1"/>
  <c r="H412" i="1"/>
  <c r="H413" i="1"/>
  <c r="H414" i="1"/>
  <c r="H415" i="1"/>
  <c r="H416" i="1"/>
  <c r="H417" i="1"/>
  <c r="H421" i="1"/>
  <c r="H422" i="1"/>
  <c r="H426" i="1"/>
  <c r="H427" i="1"/>
  <c r="H429" i="1"/>
  <c r="H433" i="1"/>
  <c r="H434" i="1"/>
  <c r="H435" i="1"/>
  <c r="H440" i="1"/>
  <c r="H441" i="1"/>
  <c r="H442" i="1"/>
  <c r="H446" i="1"/>
  <c r="H447" i="1"/>
  <c r="H448" i="1"/>
  <c r="H451" i="1"/>
  <c r="H452" i="1"/>
  <c r="H453" i="1"/>
  <c r="H454" i="1"/>
  <c r="H455" i="1"/>
  <c r="H456" i="1"/>
  <c r="H457" i="1"/>
  <c r="H458" i="1"/>
  <c r="H459" i="1"/>
  <c r="H460" i="1"/>
  <c r="H469" i="1"/>
  <c r="H470" i="1"/>
  <c r="H471" i="1"/>
  <c r="H472" i="1"/>
  <c r="H475" i="1"/>
  <c r="H476" i="1"/>
  <c r="H477" i="1"/>
  <c r="H482" i="1"/>
  <c r="H483" i="1"/>
  <c r="H484" i="1"/>
  <c r="H485" i="1"/>
  <c r="H486" i="1"/>
  <c r="H489" i="1"/>
  <c r="H490" i="1"/>
  <c r="H491" i="1"/>
  <c r="H497" i="1"/>
  <c r="H498" i="1"/>
  <c r="H503" i="1"/>
  <c r="H504" i="1"/>
  <c r="H505" i="1"/>
  <c r="H506" i="1"/>
  <c r="H510" i="1"/>
  <c r="H511" i="1"/>
  <c r="H512" i="1"/>
  <c r="H513" i="1"/>
  <c r="H516" i="1"/>
  <c r="H517" i="1"/>
  <c r="H518" i="1"/>
  <c r="H519" i="1"/>
  <c r="H520" i="1"/>
  <c r="H522" i="1"/>
  <c r="H523" i="1"/>
  <c r="H524" i="1"/>
  <c r="H527" i="1"/>
  <c r="H528" i="1"/>
  <c r="H529" i="1"/>
  <c r="H530" i="1"/>
  <c r="H531" i="1"/>
  <c r="H532" i="1"/>
  <c r="H533" i="1"/>
  <c r="H535" i="1"/>
  <c r="H536" i="1"/>
  <c r="H539" i="1"/>
  <c r="H540" i="1"/>
  <c r="H541" i="1"/>
  <c r="H542" i="1"/>
  <c r="H546" i="1"/>
  <c r="H547" i="1"/>
  <c r="H548" i="1"/>
  <c r="H551" i="1"/>
  <c r="H552" i="1"/>
  <c r="H553" i="1"/>
  <c r="H554" i="1"/>
  <c r="H555" i="1"/>
  <c r="H556" i="1"/>
  <c r="H558" i="1"/>
  <c r="H559" i="1"/>
  <c r="H560" i="1"/>
  <c r="H566" i="1"/>
  <c r="H569" i="1"/>
  <c r="H570" i="1"/>
  <c r="H571" i="1"/>
  <c r="H572" i="1"/>
  <c r="H573" i="1"/>
  <c r="H574" i="1"/>
  <c r="H578" i="1"/>
  <c r="H579" i="1"/>
  <c r="H584" i="1"/>
  <c r="H586" i="1"/>
  <c r="H588" i="1"/>
  <c r="H589" i="1"/>
  <c r="H594" i="1"/>
  <c r="H598" i="1"/>
  <c r="H602" i="1"/>
  <c r="H603" i="1"/>
  <c r="H608" i="1"/>
  <c r="H610" i="1"/>
  <c r="H612" i="1"/>
  <c r="H616" i="1"/>
  <c r="H617" i="1"/>
  <c r="H618" i="1"/>
  <c r="H619" i="1"/>
  <c r="H620" i="1"/>
  <c r="H621" i="1"/>
  <c r="H622" i="1"/>
  <c r="H625" i="1"/>
  <c r="H626" i="1"/>
  <c r="H627" i="1"/>
  <c r="H628" i="1"/>
  <c r="H629" i="1"/>
  <c r="H630" i="1"/>
  <c r="H636" i="1"/>
  <c r="H637" i="1"/>
  <c r="H638" i="1"/>
  <c r="H639" i="1"/>
  <c r="H642" i="1"/>
  <c r="H643" i="1"/>
  <c r="H644" i="1"/>
  <c r="H645" i="1"/>
  <c r="H651" i="1"/>
  <c r="H652" i="1"/>
  <c r="H653" i="1"/>
  <c r="H654" i="1"/>
  <c r="H657" i="1"/>
  <c r="H658" i="1"/>
  <c r="H659" i="1"/>
  <c r="H660" i="1"/>
  <c r="H661" i="1"/>
  <c r="H662" i="1"/>
  <c r="H663" i="1"/>
  <c r="H664" i="1"/>
  <c r="H676" i="1"/>
  <c r="H679" i="1"/>
  <c r="H680" i="1"/>
  <c r="H681" i="1"/>
  <c r="H683" i="1"/>
  <c r="H684" i="1"/>
  <c r="H685" i="1"/>
  <c r="H687" i="1"/>
  <c r="H688" i="1"/>
  <c r="H689" i="1"/>
  <c r="H690" i="1"/>
  <c r="H691" i="1"/>
  <c r="H706" i="1"/>
  <c r="H707" i="1"/>
  <c r="H708" i="1"/>
  <c r="H715" i="1"/>
  <c r="H716" i="1"/>
  <c r="H717" i="1"/>
  <c r="H718" i="1"/>
  <c r="H740" i="1"/>
  <c r="H741" i="1"/>
  <c r="H747" i="1"/>
  <c r="H748" i="1"/>
  <c r="H749" i="1"/>
  <c r="H750" i="1"/>
  <c r="H751" i="1"/>
  <c r="H752" i="1"/>
  <c r="H753" i="1"/>
  <c r="H754" i="1"/>
  <c r="H755" i="1"/>
  <c r="H756" i="1"/>
  <c r="H757" i="1"/>
  <c r="H758" i="1"/>
  <c r="H759" i="1"/>
  <c r="H761" i="1"/>
  <c r="H762" i="1"/>
  <c r="H764"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22" i="1"/>
  <c r="H826" i="1"/>
  <c r="H828" i="1"/>
  <c r="H829" i="1"/>
  <c r="H830" i="1"/>
  <c r="H831" i="1"/>
  <c r="H832" i="1"/>
  <c r="H833" i="1"/>
  <c r="H834" i="1"/>
  <c r="H840" i="1"/>
  <c r="H841" i="1"/>
  <c r="H842" i="1"/>
  <c r="H844" i="1"/>
  <c r="H845" i="1"/>
  <c r="H846" i="1"/>
  <c r="H847" i="1"/>
  <c r="H848" i="1"/>
  <c r="H849" i="1"/>
  <c r="H850" i="1"/>
  <c r="H851" i="1"/>
  <c r="H852" i="1"/>
  <c r="H853" i="1"/>
  <c r="H854" i="1"/>
  <c r="H855" i="1"/>
  <c r="H856" i="1"/>
  <c r="H857" i="1"/>
  <c r="H858" i="1"/>
  <c r="H859" i="1"/>
  <c r="H860" i="1"/>
  <c r="H861" i="1"/>
  <c r="H862" i="1"/>
  <c r="H863" i="1"/>
  <c r="H864" i="1"/>
  <c r="X148" i="3" l="1"/>
  <c r="Y148" i="3" s="1"/>
  <c r="AR4" i="4" s="1"/>
  <c r="T148" i="3"/>
  <c r="U148" i="3" s="1"/>
  <c r="AP4" i="4" s="1"/>
  <c r="V148" i="3"/>
  <c r="W148" i="3" s="1"/>
  <c r="AQ4" i="4" s="1"/>
  <c r="T146" i="3"/>
  <c r="U146" i="3" s="1"/>
  <c r="AP149" i="4" s="1"/>
  <c r="X146" i="3"/>
  <c r="Y146" i="3" s="1"/>
  <c r="AR149" i="4" s="1"/>
  <c r="Z146" i="3"/>
  <c r="AA146" i="3" s="1"/>
  <c r="AS149" i="4" s="1"/>
  <c r="V146" i="3"/>
  <c r="W146" i="3" s="1"/>
  <c r="AQ149" i="4" s="1"/>
  <c r="B2" i="3"/>
  <c r="C67" i="4" s="1"/>
  <c r="B3" i="3"/>
  <c r="C55" i="4" s="1"/>
  <c r="B4" i="3"/>
  <c r="C91" i="4" s="1"/>
  <c r="B5" i="3"/>
  <c r="C79" i="4" s="1"/>
  <c r="B6" i="3"/>
  <c r="C2" i="4" s="1"/>
  <c r="B7" i="3"/>
  <c r="C95" i="4" s="1"/>
  <c r="B8" i="3"/>
  <c r="C98" i="4" s="1"/>
  <c r="B9" i="3"/>
  <c r="C119" i="4" s="1"/>
  <c r="B10" i="3"/>
  <c r="C10" i="4" s="1"/>
  <c r="B11" i="3"/>
  <c r="C60" i="4" s="1"/>
  <c r="B12" i="3"/>
  <c r="C39" i="4" s="1"/>
  <c r="B13" i="3"/>
  <c r="C43" i="4" s="1"/>
  <c r="B14" i="3"/>
  <c r="C17" i="4" s="1"/>
  <c r="B15" i="3"/>
  <c r="C71" i="4" s="1"/>
  <c r="B16" i="3"/>
  <c r="C147" i="4" s="1"/>
  <c r="B17" i="3"/>
  <c r="C64" i="4" s="1"/>
  <c r="B18" i="3"/>
  <c r="C70" i="4" s="1"/>
  <c r="B19" i="3"/>
  <c r="C106" i="4" s="1"/>
  <c r="B20" i="3"/>
  <c r="C26" i="4" s="1"/>
  <c r="B21" i="3"/>
  <c r="C117" i="4" s="1"/>
  <c r="B22" i="3"/>
  <c r="C145" i="4" s="1"/>
  <c r="B23" i="3"/>
  <c r="C83" i="4" s="1"/>
  <c r="B24" i="3"/>
  <c r="C72" i="4" s="1"/>
  <c r="B25" i="3"/>
  <c r="C110" i="4" s="1"/>
  <c r="B26" i="3"/>
  <c r="C148" i="4" s="1"/>
  <c r="B27" i="3"/>
  <c r="C150" i="4" s="1"/>
  <c r="B28" i="3"/>
  <c r="C131" i="4" s="1"/>
  <c r="B29" i="3"/>
  <c r="C112" i="4" s="1"/>
  <c r="B30" i="3"/>
  <c r="C146" i="4" s="1"/>
  <c r="B31" i="3"/>
  <c r="C133" i="4" s="1"/>
  <c r="B32" i="3"/>
  <c r="C51" i="4" s="1"/>
  <c r="B33" i="3"/>
  <c r="C96" i="4" s="1"/>
  <c r="B34" i="3"/>
  <c r="C65" i="4" s="1"/>
  <c r="B35" i="3"/>
  <c r="C11" i="4" s="1"/>
  <c r="B36" i="3"/>
  <c r="C84" i="4" s="1"/>
  <c r="B37" i="3"/>
  <c r="C88" i="4" s="1"/>
  <c r="B38" i="3"/>
  <c r="C97" i="4" s="1"/>
  <c r="B39" i="3"/>
  <c r="C121" i="4" s="1"/>
  <c r="B40" i="3"/>
  <c r="C14" i="4" s="1"/>
  <c r="B41" i="3"/>
  <c r="C99" i="4" s="1"/>
  <c r="B42" i="3"/>
  <c r="C125" i="4" s="1"/>
  <c r="B43" i="3"/>
  <c r="C69" i="4" s="1"/>
  <c r="B44" i="3"/>
  <c r="C20" i="4" s="1"/>
  <c r="B45" i="3"/>
  <c r="C80" i="4" s="1"/>
  <c r="B46" i="3"/>
  <c r="C81" i="4" s="1"/>
  <c r="B47" i="3"/>
  <c r="C36" i="4" s="1"/>
  <c r="B48" i="3"/>
  <c r="C102" i="4" s="1"/>
  <c r="B49" i="3"/>
  <c r="C113" i="4" s="1"/>
  <c r="B50" i="3"/>
  <c r="C100" i="4" s="1"/>
  <c r="B51" i="3"/>
  <c r="C128" i="4" s="1"/>
  <c r="B52" i="3"/>
  <c r="C108" i="4" s="1"/>
  <c r="B53" i="3"/>
  <c r="C109" i="4" s="1"/>
  <c r="B54" i="3"/>
  <c r="C115" i="4" s="1"/>
  <c r="B55" i="3"/>
  <c r="C29" i="4" s="1"/>
  <c r="B56" i="3"/>
  <c r="C61" i="4" s="1"/>
  <c r="B57" i="3"/>
  <c r="C129" i="4" s="1"/>
  <c r="B58" i="3"/>
  <c r="C85" i="4" s="1"/>
  <c r="B59" i="3"/>
  <c r="C37" i="4" s="1"/>
  <c r="B60" i="3"/>
  <c r="C33" i="4" s="1"/>
  <c r="B61" i="3"/>
  <c r="C19" i="4" s="1"/>
  <c r="B62" i="3"/>
  <c r="C56" i="4" s="1"/>
  <c r="B63" i="3"/>
  <c r="C52" i="4" s="1"/>
  <c r="B64" i="3"/>
  <c r="C5" i="4" s="1"/>
  <c r="B65" i="3"/>
  <c r="C46" i="4" s="1"/>
  <c r="B66" i="3"/>
  <c r="C123" i="4" s="1"/>
  <c r="B67" i="3"/>
  <c r="C140" i="4" s="1"/>
  <c r="B68" i="3"/>
  <c r="C12" i="4" s="1"/>
  <c r="B69" i="3"/>
  <c r="C137" i="4" s="1"/>
  <c r="B70" i="3"/>
  <c r="C76" i="4" s="1"/>
  <c r="B71" i="3"/>
  <c r="C32" i="4" s="1"/>
  <c r="B72" i="3"/>
  <c r="C144" i="4" s="1"/>
  <c r="B73" i="3"/>
  <c r="C105" i="4" s="1"/>
  <c r="B74" i="3"/>
  <c r="C57" i="4" s="1"/>
  <c r="B75" i="3"/>
  <c r="C77" i="4" s="1"/>
  <c r="B76" i="3"/>
  <c r="C104" i="4" s="1"/>
  <c r="B77" i="3"/>
  <c r="C143" i="4" s="1"/>
  <c r="B78" i="3"/>
  <c r="C111" i="4" s="1"/>
  <c r="B79" i="3"/>
  <c r="C73" i="4" s="1"/>
  <c r="B80" i="3"/>
  <c r="C127" i="4" s="1"/>
  <c r="B81" i="3"/>
  <c r="C31" i="4" s="1"/>
  <c r="B82" i="3"/>
  <c r="C74" i="4" s="1"/>
  <c r="B83" i="3"/>
  <c r="C151" i="4" s="1"/>
  <c r="B84" i="3"/>
  <c r="C40" i="4" s="1"/>
  <c r="B85" i="3"/>
  <c r="C42" i="4" s="1"/>
  <c r="B86" i="3"/>
  <c r="B87" i="3"/>
  <c r="C114" i="4" s="1"/>
  <c r="B88" i="3"/>
  <c r="C107" i="4" s="1"/>
  <c r="B89" i="3"/>
  <c r="B90" i="3"/>
  <c r="B91" i="3"/>
  <c r="B92" i="3"/>
  <c r="C28" i="4" s="1"/>
  <c r="B93" i="3"/>
  <c r="B94" i="3"/>
  <c r="B95" i="3"/>
  <c r="C93" i="4" s="1"/>
  <c r="B96" i="3"/>
  <c r="C21" i="4" s="1"/>
  <c r="B97" i="3"/>
  <c r="C16" i="4" s="1"/>
  <c r="B98" i="3"/>
  <c r="B99" i="3"/>
  <c r="B100" i="3"/>
  <c r="C94" i="4" s="1"/>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C25" i="4" s="1"/>
  <c r="B127" i="3"/>
  <c r="C49" i="4" s="1"/>
  <c r="B128" i="3"/>
  <c r="C86" i="4" s="1"/>
  <c r="B129" i="3"/>
  <c r="C135" i="4" s="1"/>
  <c r="B130" i="3"/>
  <c r="C124" i="4" s="1"/>
  <c r="B131" i="3"/>
  <c r="C149" i="4" s="1"/>
  <c r="B132" i="3"/>
  <c r="C78" i="4" s="1"/>
  <c r="B133" i="3"/>
  <c r="C4" i="4" s="1"/>
  <c r="B134" i="3"/>
  <c r="C18" i="4" s="1"/>
  <c r="B135" i="3"/>
  <c r="C130" i="4" s="1"/>
  <c r="B136" i="3"/>
  <c r="C41" i="4" s="1"/>
  <c r="B137" i="3"/>
  <c r="C134" i="4" s="1"/>
  <c r="B138" i="3"/>
  <c r="C66" i="4" s="1"/>
  <c r="B139" i="3"/>
  <c r="C132" i="4" s="1"/>
  <c r="B140" i="3"/>
  <c r="C155" i="4" s="1"/>
  <c r="AI2" i="3"/>
  <c r="B67" i="4" s="1"/>
  <c r="AI3" i="3"/>
  <c r="B55" i="4" s="1"/>
  <c r="AI4" i="3"/>
  <c r="B91" i="4" s="1"/>
  <c r="AI5" i="3"/>
  <c r="B79" i="4" s="1"/>
  <c r="AI6" i="3"/>
  <c r="B2" i="4" s="1"/>
  <c r="AI7" i="3"/>
  <c r="B95" i="4" s="1"/>
  <c r="AI8" i="3"/>
  <c r="B98" i="4" s="1"/>
  <c r="AI9" i="3"/>
  <c r="B119" i="4" s="1"/>
  <c r="AI10" i="3"/>
  <c r="B10" i="4" s="1"/>
  <c r="AI11" i="3"/>
  <c r="B60" i="4" s="1"/>
  <c r="AI12" i="3"/>
  <c r="B39" i="4" s="1"/>
  <c r="AI13" i="3"/>
  <c r="B43" i="4" s="1"/>
  <c r="AI14" i="3"/>
  <c r="B17" i="4" s="1"/>
  <c r="AI15" i="3"/>
  <c r="B71" i="4" s="1"/>
  <c r="AI16" i="3"/>
  <c r="B147" i="4" s="1"/>
  <c r="AI17" i="3"/>
  <c r="B64" i="4" s="1"/>
  <c r="AI18" i="3"/>
  <c r="B70" i="4" s="1"/>
  <c r="AI19" i="3"/>
  <c r="B106" i="4" s="1"/>
  <c r="AI20" i="3"/>
  <c r="B26" i="4" s="1"/>
  <c r="AI21" i="3"/>
  <c r="B117" i="4" s="1"/>
  <c r="AI22" i="3"/>
  <c r="B145" i="4" s="1"/>
  <c r="AI23" i="3"/>
  <c r="B83" i="4" s="1"/>
  <c r="AI24" i="3"/>
  <c r="B72" i="4" s="1"/>
  <c r="AI25" i="3"/>
  <c r="B110" i="4" s="1"/>
  <c r="AI26" i="3"/>
  <c r="B148" i="4" s="1"/>
  <c r="AI27" i="3"/>
  <c r="B150" i="4" s="1"/>
  <c r="AI28" i="3"/>
  <c r="B131" i="4" s="1"/>
  <c r="AI29" i="3"/>
  <c r="B112" i="4" s="1"/>
  <c r="AI30" i="3"/>
  <c r="B146" i="4" s="1"/>
  <c r="AI31" i="3"/>
  <c r="B133" i="4" s="1"/>
  <c r="AI32" i="3"/>
  <c r="B51" i="4" s="1"/>
  <c r="AI33" i="3"/>
  <c r="B96" i="4" s="1"/>
  <c r="AI34" i="3"/>
  <c r="B65" i="4" s="1"/>
  <c r="AI35" i="3"/>
  <c r="B11" i="4" s="1"/>
  <c r="AI36" i="3"/>
  <c r="B84" i="4" s="1"/>
  <c r="AI37" i="3"/>
  <c r="B88" i="4" s="1"/>
  <c r="AI38" i="3"/>
  <c r="B97" i="4" s="1"/>
  <c r="AI39" i="3"/>
  <c r="B121" i="4" s="1"/>
  <c r="AI40" i="3"/>
  <c r="B14" i="4" s="1"/>
  <c r="AI41" i="3"/>
  <c r="B99" i="4" s="1"/>
  <c r="AI42" i="3"/>
  <c r="B125" i="4" s="1"/>
  <c r="AI43" i="3"/>
  <c r="B69" i="4" s="1"/>
  <c r="AI44" i="3"/>
  <c r="B20" i="4" s="1"/>
  <c r="AI45" i="3"/>
  <c r="B80" i="4" s="1"/>
  <c r="AI46" i="3"/>
  <c r="B81" i="4" s="1"/>
  <c r="AI47" i="3"/>
  <c r="B36" i="4" s="1"/>
  <c r="AI48" i="3"/>
  <c r="B102" i="4" s="1"/>
  <c r="AI49" i="3"/>
  <c r="B113" i="4" s="1"/>
  <c r="AI50" i="3"/>
  <c r="B100" i="4" s="1"/>
  <c r="AI51" i="3"/>
  <c r="B128" i="4" s="1"/>
  <c r="AI52" i="3"/>
  <c r="B108" i="4" s="1"/>
  <c r="AI53" i="3"/>
  <c r="B109" i="4" s="1"/>
  <c r="AI54" i="3"/>
  <c r="B115" i="4" s="1"/>
  <c r="AI55" i="3"/>
  <c r="B29" i="4" s="1"/>
  <c r="AI56" i="3"/>
  <c r="B61" i="4" s="1"/>
  <c r="AI57" i="3"/>
  <c r="B129" i="4" s="1"/>
  <c r="AI58" i="3"/>
  <c r="B85" i="4" s="1"/>
  <c r="AI59" i="3"/>
  <c r="B37" i="4" s="1"/>
  <c r="AI60" i="3"/>
  <c r="B33" i="4" s="1"/>
  <c r="AI61" i="3"/>
  <c r="B19" i="4" s="1"/>
  <c r="AI62" i="3"/>
  <c r="B56" i="4" s="1"/>
  <c r="AI63" i="3"/>
  <c r="B52" i="4" s="1"/>
  <c r="AI64" i="3"/>
  <c r="B5" i="4" s="1"/>
  <c r="AI65" i="3"/>
  <c r="B46" i="4" s="1"/>
  <c r="AI66" i="3"/>
  <c r="B123" i="4" s="1"/>
  <c r="AI67" i="3"/>
  <c r="B140" i="4" s="1"/>
  <c r="AI68" i="3"/>
  <c r="B12" i="4" s="1"/>
  <c r="AI69" i="3"/>
  <c r="B137" i="4" s="1"/>
  <c r="AI70" i="3"/>
  <c r="B76" i="4" s="1"/>
  <c r="AI71" i="3"/>
  <c r="B32" i="4" s="1"/>
  <c r="AI72" i="3"/>
  <c r="B144" i="4" s="1"/>
  <c r="AI73" i="3"/>
  <c r="B105" i="4" s="1"/>
  <c r="AI74" i="3"/>
  <c r="B57" i="4" s="1"/>
  <c r="AI75" i="3"/>
  <c r="B77" i="4" s="1"/>
  <c r="AI76" i="3"/>
  <c r="B104" i="4" s="1"/>
  <c r="AI77" i="3"/>
  <c r="B143" i="4" s="1"/>
  <c r="AI78" i="3"/>
  <c r="B111" i="4" s="1"/>
  <c r="AI79" i="3"/>
  <c r="B73" i="4" s="1"/>
  <c r="AI80" i="3"/>
  <c r="B127" i="4" s="1"/>
  <c r="AI81" i="3"/>
  <c r="B31" i="4" s="1"/>
  <c r="AI82" i="3"/>
  <c r="B74" i="4" s="1"/>
  <c r="AI83" i="3"/>
  <c r="B151" i="4" s="1"/>
  <c r="AI84" i="3"/>
  <c r="B40" i="4" s="1"/>
  <c r="AI85" i="3"/>
  <c r="B42" i="4" s="1"/>
  <c r="AI86" i="3"/>
  <c r="B9" i="4" s="1"/>
  <c r="AI87" i="3"/>
  <c r="B114" i="4" s="1"/>
  <c r="AI88" i="3"/>
  <c r="AI89" i="3"/>
  <c r="AI90" i="3"/>
  <c r="B47" i="4" s="1"/>
  <c r="AI91" i="3"/>
  <c r="AI92" i="3"/>
  <c r="AI93" i="3"/>
  <c r="AI94" i="3"/>
  <c r="AI95" i="3"/>
  <c r="AI96" i="3"/>
  <c r="AI97" i="3"/>
  <c r="B16" i="4" s="1"/>
  <c r="AI98" i="3"/>
  <c r="B153" i="4" s="1"/>
  <c r="AI99" i="3"/>
  <c r="AI100" i="3"/>
  <c r="AI101" i="3"/>
  <c r="AI102" i="3"/>
  <c r="AI103" i="3"/>
  <c r="AI104" i="3"/>
  <c r="AI105" i="3"/>
  <c r="AI106" i="3"/>
  <c r="AI107" i="3"/>
  <c r="AI108" i="3"/>
  <c r="AI109" i="3"/>
  <c r="AI110" i="3"/>
  <c r="AI111" i="3"/>
  <c r="AI112" i="3"/>
  <c r="AI113" i="3"/>
  <c r="AI114" i="3"/>
  <c r="AI115" i="3"/>
  <c r="AI116" i="3"/>
  <c r="AI117" i="3"/>
  <c r="AI118" i="3"/>
  <c r="AI119" i="3"/>
  <c r="AI120" i="3"/>
  <c r="AI121" i="3"/>
  <c r="AI122" i="3"/>
  <c r="AI123" i="3"/>
  <c r="AI124" i="3"/>
  <c r="AI125" i="3"/>
  <c r="AI126" i="3"/>
  <c r="B25" i="4" s="1"/>
  <c r="AI127" i="3"/>
  <c r="B49" i="4" s="1"/>
  <c r="AI128" i="3"/>
  <c r="B86" i="4" s="1"/>
  <c r="AI129" i="3"/>
  <c r="B135" i="4" s="1"/>
  <c r="AI130" i="3"/>
  <c r="B124" i="4" s="1"/>
  <c r="AI131" i="3"/>
  <c r="B149" i="4" s="1"/>
  <c r="AI132" i="3"/>
  <c r="B78" i="4" s="1"/>
  <c r="AI133" i="3"/>
  <c r="B4" i="4" s="1"/>
  <c r="AI134" i="3"/>
  <c r="B18" i="4" s="1"/>
  <c r="AI135" i="3"/>
  <c r="B130" i="4" s="1"/>
  <c r="AI136" i="3"/>
  <c r="B41" i="4" s="1"/>
  <c r="AI137" i="3"/>
  <c r="B134" i="4" s="1"/>
  <c r="AI138" i="3"/>
  <c r="B66" i="4" s="1"/>
  <c r="AI139" i="3"/>
  <c r="B132" i="4" s="1"/>
  <c r="AI140" i="3"/>
  <c r="B155" i="4" s="1"/>
  <c r="C2" i="3"/>
  <c r="AJ2" i="3" s="1"/>
  <c r="C3" i="3"/>
  <c r="AJ3" i="3" s="1"/>
  <c r="C4" i="3"/>
  <c r="AJ4" i="3" s="1"/>
  <c r="C5" i="3"/>
  <c r="AJ5" i="3" s="1"/>
  <c r="C6" i="3"/>
  <c r="AJ6" i="3" s="1"/>
  <c r="C7" i="3"/>
  <c r="AJ7" i="3" s="1"/>
  <c r="C8" i="3"/>
  <c r="AJ8" i="3" s="1"/>
  <c r="C9" i="3"/>
  <c r="AJ9" i="3" s="1"/>
  <c r="C10" i="3"/>
  <c r="AJ10" i="3" s="1"/>
  <c r="C11" i="3"/>
  <c r="AJ11" i="3" s="1"/>
  <c r="C12" i="3"/>
  <c r="AJ12" i="3" s="1"/>
  <c r="C13" i="3"/>
  <c r="AJ13" i="3" s="1"/>
  <c r="C14" i="3"/>
  <c r="AJ14" i="3" s="1"/>
  <c r="C15" i="3"/>
  <c r="AJ15" i="3" s="1"/>
  <c r="C16" i="3"/>
  <c r="AJ16" i="3" s="1"/>
  <c r="C17" i="3"/>
  <c r="AJ17" i="3" s="1"/>
  <c r="C18" i="3"/>
  <c r="AJ18" i="3" s="1"/>
  <c r="C19" i="3"/>
  <c r="AJ19" i="3" s="1"/>
  <c r="C20" i="3"/>
  <c r="AJ20" i="3" s="1"/>
  <c r="C21" i="3"/>
  <c r="AJ21" i="3" s="1"/>
  <c r="C22" i="3"/>
  <c r="AJ22" i="3" s="1"/>
  <c r="C23" i="3"/>
  <c r="AJ23" i="3" s="1"/>
  <c r="C24" i="3"/>
  <c r="AJ24" i="3" s="1"/>
  <c r="C25" i="3"/>
  <c r="AJ25" i="3" s="1"/>
  <c r="C26" i="3"/>
  <c r="AJ26" i="3" s="1"/>
  <c r="C27" i="3"/>
  <c r="AJ27" i="3" s="1"/>
  <c r="C28" i="3"/>
  <c r="AJ28" i="3" s="1"/>
  <c r="C29" i="3"/>
  <c r="AJ29" i="3" s="1"/>
  <c r="C30" i="3"/>
  <c r="AJ30" i="3" s="1"/>
  <c r="C31" i="3"/>
  <c r="AJ31" i="3" s="1"/>
  <c r="C32" i="3"/>
  <c r="AJ32" i="3" s="1"/>
  <c r="C33" i="3"/>
  <c r="AJ33" i="3" s="1"/>
  <c r="C34" i="3"/>
  <c r="AJ34" i="3" s="1"/>
  <c r="C35" i="3"/>
  <c r="AJ35" i="3" s="1"/>
  <c r="C36" i="3"/>
  <c r="AJ36" i="3" s="1"/>
  <c r="C37" i="3"/>
  <c r="AJ37" i="3" s="1"/>
  <c r="C38" i="3"/>
  <c r="AJ38" i="3" s="1"/>
  <c r="C39" i="3"/>
  <c r="AJ39" i="3" s="1"/>
  <c r="C40" i="3"/>
  <c r="AJ40" i="3" s="1"/>
  <c r="C41" i="3"/>
  <c r="AJ41" i="3" s="1"/>
  <c r="C42" i="3"/>
  <c r="AJ42" i="3" s="1"/>
  <c r="C43" i="3"/>
  <c r="AJ43" i="3" s="1"/>
  <c r="C44" i="3"/>
  <c r="AJ44" i="3" s="1"/>
  <c r="C45" i="3"/>
  <c r="AJ45" i="3" s="1"/>
  <c r="C46" i="3"/>
  <c r="AJ46" i="3" s="1"/>
  <c r="C47" i="3"/>
  <c r="AJ47" i="3" s="1"/>
  <c r="C48" i="3"/>
  <c r="AJ48" i="3" s="1"/>
  <c r="C49" i="3"/>
  <c r="AJ49" i="3" s="1"/>
  <c r="C50" i="3"/>
  <c r="AJ50" i="3" s="1"/>
  <c r="C51" i="3"/>
  <c r="AJ51" i="3" s="1"/>
  <c r="C52" i="3"/>
  <c r="AJ52" i="3" s="1"/>
  <c r="C53" i="3"/>
  <c r="AJ53" i="3" s="1"/>
  <c r="C54" i="3"/>
  <c r="AJ54" i="3" s="1"/>
  <c r="C55" i="3"/>
  <c r="AJ55" i="3" s="1"/>
  <c r="C56" i="3"/>
  <c r="AJ56" i="3" s="1"/>
  <c r="C57" i="3"/>
  <c r="AJ57" i="3" s="1"/>
  <c r="C58" i="3"/>
  <c r="AJ58" i="3" s="1"/>
  <c r="C59" i="3"/>
  <c r="AJ59" i="3" s="1"/>
  <c r="C60" i="3"/>
  <c r="AJ60" i="3" s="1"/>
  <c r="C61" i="3"/>
  <c r="AJ61" i="3" s="1"/>
  <c r="C62" i="3"/>
  <c r="AJ62" i="3" s="1"/>
  <c r="C63" i="3"/>
  <c r="AJ63" i="3" s="1"/>
  <c r="C64" i="3"/>
  <c r="AJ64" i="3" s="1"/>
  <c r="C65" i="3"/>
  <c r="AJ65" i="3" s="1"/>
  <c r="C66" i="3"/>
  <c r="AJ66" i="3" s="1"/>
  <c r="C67" i="3"/>
  <c r="AJ67" i="3" s="1"/>
  <c r="C68" i="3"/>
  <c r="AJ68" i="3" s="1"/>
  <c r="C69" i="3"/>
  <c r="AJ69" i="3" s="1"/>
  <c r="C70" i="3"/>
  <c r="AJ70" i="3" s="1"/>
  <c r="C71" i="3"/>
  <c r="AJ71" i="3" s="1"/>
  <c r="C72" i="3"/>
  <c r="AJ72" i="3" s="1"/>
  <c r="C73" i="3"/>
  <c r="AJ73" i="3" s="1"/>
  <c r="C74" i="3"/>
  <c r="AJ74" i="3" s="1"/>
  <c r="C75" i="3"/>
  <c r="AJ75" i="3" s="1"/>
  <c r="C76" i="3"/>
  <c r="AJ76" i="3" s="1"/>
  <c r="C77" i="3"/>
  <c r="AJ77" i="3" s="1"/>
  <c r="C78" i="3"/>
  <c r="AJ78" i="3" s="1"/>
  <c r="C79" i="3"/>
  <c r="AJ79" i="3" s="1"/>
  <c r="C80" i="3"/>
  <c r="AJ80" i="3" s="1"/>
  <c r="C81" i="3"/>
  <c r="AJ81" i="3" s="1"/>
  <c r="C82" i="3"/>
  <c r="AJ82" i="3" s="1"/>
  <c r="C83" i="3"/>
  <c r="AJ83" i="3" s="1"/>
  <c r="C84" i="3"/>
  <c r="AJ84" i="3" s="1"/>
  <c r="C85" i="3"/>
  <c r="AJ85" i="3" s="1"/>
  <c r="C86" i="3"/>
  <c r="AJ86" i="3" s="1"/>
  <c r="C87" i="3"/>
  <c r="AJ87" i="3" s="1"/>
  <c r="C88" i="3"/>
  <c r="AJ88" i="3" s="1"/>
  <c r="C89" i="3"/>
  <c r="AJ89" i="3" s="1"/>
  <c r="C90" i="3"/>
  <c r="AJ90" i="3" s="1"/>
  <c r="C91" i="3"/>
  <c r="AJ91" i="3" s="1"/>
  <c r="C92" i="3"/>
  <c r="AJ92" i="3" s="1"/>
  <c r="C93" i="3"/>
  <c r="AJ93" i="3" s="1"/>
  <c r="C94" i="3"/>
  <c r="AJ94" i="3" s="1"/>
  <c r="C95" i="3"/>
  <c r="AJ95" i="3" s="1"/>
  <c r="C96" i="3"/>
  <c r="AJ96" i="3" s="1"/>
  <c r="C97" i="3"/>
  <c r="AJ97" i="3" s="1"/>
  <c r="C98" i="3"/>
  <c r="AJ98" i="3" s="1"/>
  <c r="C99" i="3"/>
  <c r="AJ99" i="3" s="1"/>
  <c r="C100" i="3"/>
  <c r="AJ100" i="3" s="1"/>
  <c r="C101" i="3"/>
  <c r="AJ101" i="3" s="1"/>
  <c r="C102" i="3"/>
  <c r="AJ102" i="3" s="1"/>
  <c r="C103" i="3"/>
  <c r="AJ103" i="3" s="1"/>
  <c r="C104" i="3"/>
  <c r="AJ104" i="3" s="1"/>
  <c r="C105" i="3"/>
  <c r="AJ105" i="3" s="1"/>
  <c r="C106" i="3"/>
  <c r="AJ106" i="3" s="1"/>
  <c r="C107" i="3"/>
  <c r="AJ107" i="3" s="1"/>
  <c r="C108" i="3"/>
  <c r="AJ108" i="3" s="1"/>
  <c r="C109" i="3"/>
  <c r="AJ109" i="3" s="1"/>
  <c r="C110" i="3"/>
  <c r="AJ110" i="3" s="1"/>
  <c r="C111" i="3"/>
  <c r="AJ111" i="3" s="1"/>
  <c r="C112" i="3"/>
  <c r="AJ112" i="3" s="1"/>
  <c r="C113" i="3"/>
  <c r="AJ113" i="3" s="1"/>
  <c r="C114" i="3"/>
  <c r="AJ114" i="3" s="1"/>
  <c r="C115" i="3"/>
  <c r="AJ115" i="3" s="1"/>
  <c r="C116" i="3"/>
  <c r="AJ116" i="3" s="1"/>
  <c r="C117" i="3"/>
  <c r="AJ117" i="3" s="1"/>
  <c r="C118" i="3"/>
  <c r="AJ118" i="3" s="1"/>
  <c r="C119" i="3"/>
  <c r="AJ119" i="3" s="1"/>
  <c r="C120" i="3"/>
  <c r="AJ120" i="3" s="1"/>
  <c r="C121" i="3"/>
  <c r="AJ121" i="3" s="1"/>
  <c r="C122" i="3"/>
  <c r="AJ122" i="3" s="1"/>
  <c r="C123" i="3"/>
  <c r="AJ123" i="3" s="1"/>
  <c r="C124" i="3"/>
  <c r="AJ124" i="3" s="1"/>
  <c r="C125" i="3"/>
  <c r="AJ125" i="3" s="1"/>
  <c r="C126" i="3"/>
  <c r="C127" i="3"/>
  <c r="AJ127" i="3" s="1"/>
  <c r="C128" i="3"/>
  <c r="AJ128" i="3" s="1"/>
  <c r="C129" i="3"/>
  <c r="AJ129" i="3" s="1"/>
  <c r="C130" i="3"/>
  <c r="AJ130" i="3" s="1"/>
  <c r="C131" i="3"/>
  <c r="AJ131" i="3" s="1"/>
  <c r="C132" i="3"/>
  <c r="AJ132" i="3" s="1"/>
  <c r="C133" i="3"/>
  <c r="AJ133" i="3" s="1"/>
  <c r="C134" i="3"/>
  <c r="AJ134" i="3" s="1"/>
  <c r="C135" i="3"/>
  <c r="AJ135" i="3" s="1"/>
  <c r="C136" i="3"/>
  <c r="AJ136" i="3" s="1"/>
  <c r="C137" i="3"/>
  <c r="AJ137" i="3" s="1"/>
  <c r="C138" i="3"/>
  <c r="AJ138" i="3" s="1"/>
  <c r="C139" i="3"/>
  <c r="AJ139" i="3" s="1"/>
  <c r="C140" i="3"/>
  <c r="D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AF64" i="4"/>
  <c r="AF130" i="4"/>
  <c r="U67" i="4"/>
  <c r="U55" i="4"/>
  <c r="U91" i="4"/>
  <c r="U79" i="4"/>
  <c r="U2" i="4"/>
  <c r="U95" i="4"/>
  <c r="U98" i="4"/>
  <c r="U119" i="4"/>
  <c r="U10" i="4"/>
  <c r="U60" i="4"/>
  <c r="U39" i="4"/>
  <c r="U43" i="4"/>
  <c r="U17" i="4"/>
  <c r="U71" i="4"/>
  <c r="U147" i="4"/>
  <c r="U64" i="4"/>
  <c r="U70" i="4"/>
  <c r="U106" i="4"/>
  <c r="U26" i="4"/>
  <c r="U117" i="4"/>
  <c r="U145" i="4"/>
  <c r="U83" i="4"/>
  <c r="U72" i="4"/>
  <c r="U110" i="4"/>
  <c r="U148" i="4"/>
  <c r="U150" i="4"/>
  <c r="U131" i="4"/>
  <c r="U112" i="4"/>
  <c r="U146" i="4"/>
  <c r="U133" i="4"/>
  <c r="U51" i="4"/>
  <c r="U96" i="4"/>
  <c r="U65" i="4"/>
  <c r="U11" i="4"/>
  <c r="U84" i="4"/>
  <c r="U88" i="4"/>
  <c r="U97" i="4"/>
  <c r="U121" i="4"/>
  <c r="U14" i="4"/>
  <c r="U99" i="4"/>
  <c r="U125" i="4"/>
  <c r="U69" i="4"/>
  <c r="U20" i="4"/>
  <c r="U80" i="4"/>
  <c r="U81" i="4"/>
  <c r="U36" i="4"/>
  <c r="U102" i="4"/>
  <c r="U113" i="4"/>
  <c r="U100" i="4"/>
  <c r="U128" i="4"/>
  <c r="U108" i="4"/>
  <c r="U109" i="4"/>
  <c r="U115" i="4"/>
  <c r="U29" i="4"/>
  <c r="U61" i="4"/>
  <c r="U129" i="4"/>
  <c r="U85" i="4"/>
  <c r="U37" i="4"/>
  <c r="U33" i="4"/>
  <c r="U19" i="4"/>
  <c r="U56" i="4"/>
  <c r="U52" i="4"/>
  <c r="U5" i="4"/>
  <c r="U46" i="4"/>
  <c r="U123" i="4"/>
  <c r="U140" i="4"/>
  <c r="U12" i="4"/>
  <c r="U137" i="4"/>
  <c r="U76" i="4"/>
  <c r="U32" i="4"/>
  <c r="U144" i="4"/>
  <c r="U105" i="4"/>
  <c r="U57" i="4"/>
  <c r="U77" i="4"/>
  <c r="U104" i="4"/>
  <c r="U143" i="4"/>
  <c r="U111" i="4"/>
  <c r="U73" i="4"/>
  <c r="U127" i="4"/>
  <c r="U31" i="4"/>
  <c r="U74" i="4"/>
  <c r="U151" i="4"/>
  <c r="U40" i="4"/>
  <c r="U42" i="4"/>
  <c r="U9" i="4"/>
  <c r="U114" i="4"/>
  <c r="U107" i="4"/>
  <c r="U7" i="4"/>
  <c r="U47" i="4"/>
  <c r="U53" i="4"/>
  <c r="U28" i="4"/>
  <c r="U59" i="4"/>
  <c r="U92" i="4"/>
  <c r="U93" i="4"/>
  <c r="U21" i="4"/>
  <c r="U16" i="4"/>
  <c r="U153" i="4"/>
  <c r="U154" i="4"/>
  <c r="U94" i="4"/>
  <c r="U35" i="4"/>
  <c r="U58" i="4"/>
  <c r="U142" i="4"/>
  <c r="U75" i="4"/>
  <c r="U136" i="4"/>
  <c r="U116" i="4"/>
  <c r="U23" i="4"/>
  <c r="U48" i="4"/>
  <c r="U44" i="4"/>
  <c r="U50" i="4"/>
  <c r="U8" i="4"/>
  <c r="U103" i="4"/>
  <c r="U89" i="4"/>
  <c r="U126" i="4"/>
  <c r="U3" i="4"/>
  <c r="U38" i="4"/>
  <c r="U120" i="4"/>
  <c r="U15" i="4"/>
  <c r="U139" i="4"/>
  <c r="U101" i="4"/>
  <c r="U90" i="4"/>
  <c r="U22" i="4"/>
  <c r="U54" i="4"/>
  <c r="U87" i="4"/>
  <c r="U138" i="4"/>
  <c r="U118" i="4"/>
  <c r="U27" i="4"/>
  <c r="U6" i="4"/>
  <c r="U82" i="4"/>
  <c r="U24" i="4"/>
  <c r="U68" i="4"/>
  <c r="U63" i="4"/>
  <c r="U34" i="4"/>
  <c r="U13" i="4"/>
  <c r="U30" i="4"/>
  <c r="U152" i="4"/>
  <c r="U62" i="4"/>
  <c r="U141" i="4"/>
  <c r="U122" i="4"/>
  <c r="U45" i="4"/>
  <c r="U25" i="4"/>
  <c r="U49" i="4"/>
  <c r="U86" i="4"/>
  <c r="U135" i="4"/>
  <c r="U124" i="4"/>
  <c r="U149" i="4"/>
  <c r="U78" i="4"/>
  <c r="U4" i="4"/>
  <c r="U18" i="4"/>
  <c r="U130" i="4"/>
  <c r="U41" i="4"/>
  <c r="U134" i="4"/>
  <c r="U66" i="4"/>
  <c r="U132" i="4"/>
  <c r="B30" i="4" l="1"/>
  <c r="B54" i="4"/>
  <c r="B8" i="4"/>
  <c r="C45" i="4"/>
  <c r="C6" i="4"/>
  <c r="C38" i="4"/>
  <c r="C75" i="4"/>
  <c r="B24" i="4"/>
  <c r="B15" i="4"/>
  <c r="B116" i="4"/>
  <c r="B141" i="4"/>
  <c r="B118" i="4"/>
  <c r="B126" i="4"/>
  <c r="B58" i="4"/>
  <c r="B13" i="4"/>
  <c r="B34" i="4"/>
  <c r="B90" i="4"/>
  <c r="B44" i="4"/>
  <c r="C116" i="4"/>
  <c r="B22" i="4"/>
  <c r="B50" i="4"/>
  <c r="B21" i="4"/>
  <c r="B63" i="4"/>
  <c r="B101" i="4"/>
  <c r="B48" i="4"/>
  <c r="B93" i="4"/>
  <c r="C62" i="4"/>
  <c r="C138" i="4"/>
  <c r="C89" i="4"/>
  <c r="C35" i="4"/>
  <c r="B68" i="4"/>
  <c r="B139" i="4"/>
  <c r="B92" i="4"/>
  <c r="C152" i="4"/>
  <c r="C87" i="4"/>
  <c r="C103" i="4"/>
  <c r="B53" i="4"/>
  <c r="C34" i="4"/>
  <c r="C90" i="4"/>
  <c r="C44" i="4"/>
  <c r="B122" i="4"/>
  <c r="B27" i="4"/>
  <c r="B3" i="4"/>
  <c r="B142" i="4"/>
  <c r="C63" i="4"/>
  <c r="C101" i="4"/>
  <c r="C48" i="4"/>
  <c r="C68" i="4"/>
  <c r="C139" i="4"/>
  <c r="C23" i="4"/>
  <c r="C7" i="4"/>
  <c r="C24" i="4"/>
  <c r="C15" i="4"/>
  <c r="B154" i="4"/>
  <c r="C92" i="4"/>
  <c r="B23" i="4"/>
  <c r="C82" i="4"/>
  <c r="C120" i="4"/>
  <c r="C136" i="4"/>
  <c r="C59" i="4"/>
  <c r="B82" i="4"/>
  <c r="B120" i="4"/>
  <c r="B136" i="4"/>
  <c r="B59" i="4"/>
  <c r="C122" i="4"/>
  <c r="C27" i="4"/>
  <c r="C3" i="4"/>
  <c r="C142" i="4"/>
  <c r="C53" i="4"/>
  <c r="B45" i="4"/>
  <c r="B6" i="4"/>
  <c r="B38" i="4"/>
  <c r="B75" i="4"/>
  <c r="B28" i="4"/>
  <c r="C141" i="4"/>
  <c r="C118" i="4"/>
  <c r="C126" i="4"/>
  <c r="C58" i="4"/>
  <c r="C47" i="4"/>
  <c r="B62" i="4"/>
  <c r="B138" i="4"/>
  <c r="B89" i="4"/>
  <c r="B35" i="4"/>
  <c r="B7" i="4"/>
  <c r="C30" i="4"/>
  <c r="C54" i="4"/>
  <c r="C8" i="4"/>
  <c r="C154" i="4"/>
  <c r="B152" i="4"/>
  <c r="B87" i="4"/>
  <c r="B103" i="4"/>
  <c r="B94" i="4"/>
  <c r="B107" i="4"/>
  <c r="C13" i="4"/>
  <c r="C22" i="4"/>
  <c r="C50" i="4"/>
  <c r="C153" i="4"/>
  <c r="C9" i="4"/>
  <c r="D155" i="4"/>
  <c r="AJ140" i="3"/>
  <c r="D25" i="4"/>
  <c r="AJ126" i="3"/>
  <c r="P12" i="10" l="1"/>
  <c r="O8" i="10"/>
  <c r="P6" i="10"/>
  <c r="O7" i="10"/>
  <c r="O10" i="10"/>
  <c r="O11" i="10"/>
  <c r="O4" i="10"/>
  <c r="O2" i="10"/>
  <c r="O5" i="10"/>
  <c r="O12" i="10"/>
  <c r="O3" i="10"/>
  <c r="O13" i="10"/>
  <c r="O6" i="10"/>
  <c r="P13" i="10"/>
  <c r="O9" i="10"/>
  <c r="P10" i="10"/>
  <c r="P9" i="10"/>
  <c r="P8" i="10"/>
  <c r="P7" i="10"/>
  <c r="P4" i="10"/>
  <c r="P11" i="10"/>
  <c r="P5" i="10"/>
  <c r="P2" i="10"/>
  <c r="P3" i="10"/>
  <c r="K2" i="10"/>
  <c r="J13" i="10"/>
  <c r="K9" i="10"/>
  <c r="H11" i="10"/>
  <c r="J8" i="10"/>
  <c r="J4" i="10"/>
  <c r="H3" i="10"/>
  <c r="K8" i="10"/>
  <c r="J11" i="10"/>
  <c r="H7" i="10"/>
  <c r="K4" i="10"/>
  <c r="J12" i="10"/>
  <c r="K11" i="10"/>
  <c r="J7" i="10"/>
  <c r="J3" i="10"/>
  <c r="H9" i="10"/>
  <c r="K5" i="10"/>
  <c r="H13" i="10"/>
  <c r="K7" i="10"/>
  <c r="K3" i="10"/>
  <c r="K13" i="10"/>
  <c r="K12" i="10"/>
  <c r="H12" i="10"/>
  <c r="H10" i="10"/>
  <c r="J6" i="10"/>
  <c r="H2" i="10"/>
  <c r="H5" i="10"/>
  <c r="J9" i="10"/>
  <c r="H4" i="10"/>
  <c r="J10" i="10"/>
  <c r="K6" i="10"/>
  <c r="J2" i="10"/>
  <c r="J5" i="10"/>
  <c r="H8" i="10"/>
  <c r="K10" i="10"/>
  <c r="H6" i="10"/>
  <c r="L11" i="8"/>
  <c r="L12" i="8"/>
  <c r="L13" i="8"/>
  <c r="L9" i="8"/>
  <c r="L19" i="8"/>
  <c r="L8" i="8"/>
  <c r="L16" i="8"/>
  <c r="L18" i="8"/>
  <c r="L14" i="8"/>
  <c r="L17" i="8"/>
  <c r="L15" i="8"/>
  <c r="L10" i="8"/>
  <c r="G807" i="1"/>
  <c r="N807" i="1"/>
  <c r="O807" i="1" s="1"/>
  <c r="G813" i="1"/>
  <c r="N813" i="1"/>
  <c r="O813" i="1" s="1"/>
  <c r="G806" i="1"/>
  <c r="N806" i="1"/>
  <c r="O806" i="1" s="1"/>
  <c r="G805" i="1"/>
  <c r="N805" i="1"/>
  <c r="O805" i="1" s="1"/>
  <c r="G797" i="1"/>
  <c r="N797" i="1"/>
  <c r="O797" i="1" s="1"/>
  <c r="G796" i="1"/>
  <c r="N796" i="1"/>
  <c r="O796" i="1" s="1"/>
  <c r="G795" i="1"/>
  <c r="N795" i="1"/>
  <c r="O795" i="1" s="1"/>
  <c r="N769" i="1"/>
  <c r="O769" i="1" s="1"/>
  <c r="N770" i="1"/>
  <c r="O770" i="1" s="1"/>
  <c r="N771" i="1"/>
  <c r="O771" i="1" s="1"/>
  <c r="N772" i="1"/>
  <c r="O772" i="1" s="1"/>
  <c r="N773" i="1"/>
  <c r="O773" i="1" s="1"/>
  <c r="N774" i="1"/>
  <c r="O774" i="1" s="1"/>
  <c r="N775" i="1"/>
  <c r="O775" i="1" s="1"/>
  <c r="N776" i="1"/>
  <c r="O776" i="1" s="1"/>
  <c r="N777" i="1"/>
  <c r="O777" i="1" s="1"/>
  <c r="N778" i="1"/>
  <c r="O778" i="1" s="1"/>
  <c r="N779" i="1"/>
  <c r="O779" i="1" s="1"/>
  <c r="N780" i="1"/>
  <c r="O780" i="1" s="1"/>
  <c r="N781" i="1"/>
  <c r="O781" i="1" s="1"/>
  <c r="G768" i="1"/>
  <c r="N768" i="1"/>
  <c r="O768" i="1" s="1"/>
  <c r="G845" i="1"/>
  <c r="G846" i="1"/>
  <c r="G847" i="1"/>
  <c r="N845" i="1"/>
  <c r="O845" i="1" s="1"/>
  <c r="N846" i="1"/>
  <c r="O846" i="1" s="1"/>
  <c r="N847" i="1"/>
  <c r="O847" i="1" s="1"/>
  <c r="G864" i="1"/>
  <c r="N864" i="1"/>
  <c r="O864" i="1" s="1"/>
  <c r="G863" i="1"/>
  <c r="N863" i="1"/>
  <c r="O863" i="1" s="1"/>
  <c r="G862" i="1"/>
  <c r="N862" i="1"/>
  <c r="O862" i="1" s="1"/>
  <c r="G861" i="1"/>
  <c r="N861" i="1"/>
  <c r="G860" i="1"/>
  <c r="N860" i="1"/>
  <c r="O860" i="1" s="1"/>
  <c r="G859" i="1"/>
  <c r="N859" i="1"/>
  <c r="O859" i="1" s="1"/>
  <c r="G858" i="1"/>
  <c r="N858" i="1"/>
  <c r="O858" i="1" s="1"/>
  <c r="G857" i="1"/>
  <c r="N857" i="1"/>
  <c r="O857" i="1" s="1"/>
  <c r="G856" i="1"/>
  <c r="N856" i="1"/>
  <c r="O856" i="1" s="1"/>
  <c r="G855" i="1"/>
  <c r="N855" i="1"/>
  <c r="O855" i="1" s="1"/>
  <c r="G854" i="1"/>
  <c r="N854" i="1"/>
  <c r="O854" i="1" s="1"/>
  <c r="G853" i="1"/>
  <c r="N853" i="1"/>
  <c r="O853" i="1" s="1"/>
  <c r="G852" i="1"/>
  <c r="N852" i="1"/>
  <c r="G851" i="1"/>
  <c r="N851" i="1"/>
  <c r="O851" i="1" s="1"/>
  <c r="G849" i="1"/>
  <c r="N849" i="1"/>
  <c r="O849" i="1" s="1"/>
  <c r="G850" i="1"/>
  <c r="N850" i="1"/>
  <c r="O850" i="1" s="1"/>
  <c r="I9" i="10" l="1"/>
  <c r="I5" i="10"/>
  <c r="I2" i="10"/>
  <c r="I11" i="10"/>
  <c r="I6" i="10"/>
  <c r="I12" i="10"/>
  <c r="I4" i="10"/>
  <c r="I8" i="10"/>
  <c r="I10" i="10"/>
  <c r="I3" i="10"/>
  <c r="I7" i="10"/>
  <c r="I13" i="10"/>
  <c r="O852" i="1"/>
  <c r="L152" i="3"/>
  <c r="O861" i="1"/>
  <c r="L150" i="3"/>
  <c r="S140" i="3"/>
  <c r="K140" i="3" a="1"/>
  <c r="K140" i="3" s="1"/>
  <c r="S139" i="3"/>
  <c r="K139" i="3" a="1"/>
  <c r="K139" i="3" s="1"/>
  <c r="H140" i="3" a="1"/>
  <c r="H140" i="3" s="1"/>
  <c r="H139" i="3" a="1"/>
  <c r="H139" i="3" s="1"/>
  <c r="G140" i="3"/>
  <c r="S155" i="4" s="1"/>
  <c r="M155" i="4" s="1"/>
  <c r="Q140" i="3"/>
  <c r="AE45" i="4" s="1"/>
  <c r="Q139" i="3"/>
  <c r="AE122" i="4" s="1"/>
  <c r="P140" i="3"/>
  <c r="AD45" i="4" s="1"/>
  <c r="I140" i="3"/>
  <c r="R155" i="4" s="1"/>
  <c r="I139" i="3"/>
  <c r="R132" i="4" s="1"/>
  <c r="D132" i="4"/>
  <c r="P139" i="3"/>
  <c r="AD122" i="4" s="1"/>
  <c r="G139" i="3"/>
  <c r="S132" i="4" s="1"/>
  <c r="M132" i="4" s="1"/>
  <c r="O140" i="3"/>
  <c r="AC45" i="4" s="1"/>
  <c r="F140" i="3"/>
  <c r="T155" i="4" s="1"/>
  <c r="F139" i="3"/>
  <c r="T132" i="4" s="1"/>
  <c r="E140" i="3"/>
  <c r="X155" i="4" s="1"/>
  <c r="O139" i="3"/>
  <c r="AC122" i="4" s="1"/>
  <c r="E139" i="3"/>
  <c r="N140" i="3"/>
  <c r="AB45" i="4" s="1"/>
  <c r="N139" i="3"/>
  <c r="AB122" i="4" s="1"/>
  <c r="R140" i="3"/>
  <c r="J140" i="3"/>
  <c r="Q155" i="4" s="1"/>
  <c r="N155" i="4" s="1"/>
  <c r="R139" i="3"/>
  <c r="J139" i="3"/>
  <c r="Q132" i="4" s="1"/>
  <c r="N132" i="4" s="1"/>
  <c r="G15" i="1"/>
  <c r="G16" i="1"/>
  <c r="G17" i="1"/>
  <c r="G18" i="1"/>
  <c r="N15" i="1"/>
  <c r="O15" i="1" s="1"/>
  <c r="N16" i="1"/>
  <c r="N17" i="1"/>
  <c r="O17" i="1" s="1"/>
  <c r="N18" i="1"/>
  <c r="O18" i="1" s="1"/>
  <c r="G21" i="1"/>
  <c r="G22" i="1"/>
  <c r="G23" i="1"/>
  <c r="N21" i="1"/>
  <c r="O21" i="1" s="1"/>
  <c r="N22" i="1"/>
  <c r="O22" i="1" s="1"/>
  <c r="N23" i="1"/>
  <c r="O23" i="1" s="1"/>
  <c r="N3" i="1"/>
  <c r="O3" i="1" s="1"/>
  <c r="G3" i="1"/>
  <c r="H4" i="9"/>
  <c r="G12" i="1"/>
  <c r="G13" i="1"/>
  <c r="N12" i="1"/>
  <c r="N13" i="1"/>
  <c r="O13" i="1" s="1"/>
  <c r="G9" i="1"/>
  <c r="N9" i="1"/>
  <c r="O9" i="1" s="1"/>
  <c r="N6" i="1"/>
  <c r="O6" i="1" s="1"/>
  <c r="G6" i="1"/>
  <c r="G5" i="1"/>
  <c r="N5" i="1"/>
  <c r="O5" i="1" s="1"/>
  <c r="W23" i="5"/>
  <c r="W24" i="5"/>
  <c r="W25" i="5"/>
  <c r="W26" i="5"/>
  <c r="W22" i="5"/>
  <c r="V23" i="5"/>
  <c r="V24" i="5"/>
  <c r="V25" i="5"/>
  <c r="V26" i="5"/>
  <c r="V22" i="5"/>
  <c r="U23" i="5"/>
  <c r="U24" i="5"/>
  <c r="U25" i="5"/>
  <c r="U26" i="5"/>
  <c r="U22" i="5"/>
  <c r="T23" i="5"/>
  <c r="T24" i="5"/>
  <c r="T25" i="5"/>
  <c r="T26" i="5"/>
  <c r="T22" i="5"/>
  <c r="O12" i="1" l="1"/>
  <c r="X150" i="3"/>
  <c r="Y150" i="3" s="1"/>
  <c r="AR130" i="4" s="1"/>
  <c r="Z150" i="3"/>
  <c r="AA150" i="3" s="1"/>
  <c r="AS130" i="4" s="1"/>
  <c r="V150" i="3"/>
  <c r="W150" i="3" s="1"/>
  <c r="AQ130" i="4" s="1"/>
  <c r="V152" i="3"/>
  <c r="W152" i="3" s="1"/>
  <c r="AQ134" i="4" s="1"/>
  <c r="T152" i="3"/>
  <c r="U152" i="3" s="1"/>
  <c r="AP134" i="4" s="1"/>
  <c r="X152" i="3"/>
  <c r="Y152" i="3" s="1"/>
  <c r="AR134" i="4" s="1"/>
  <c r="Z152" i="3"/>
  <c r="AA152" i="3" s="1"/>
  <c r="AS134" i="4" s="1"/>
  <c r="AJ155" i="4"/>
  <c r="AK155" i="4"/>
  <c r="AW155" i="4"/>
  <c r="AG132" i="4"/>
  <c r="AA132" i="4" s="1"/>
  <c r="Z132" i="4" s="1"/>
  <c r="AG155" i="4"/>
  <c r="AA155" i="4" s="1"/>
  <c r="Z155" i="4" s="1"/>
  <c r="AH155" i="4"/>
  <c r="AI155" i="4" s="1"/>
  <c r="F155" i="4"/>
  <c r="AM155" i="4" s="1"/>
  <c r="F132" i="4"/>
  <c r="AM132" i="4" s="1"/>
  <c r="X132" i="4"/>
  <c r="O16" i="1"/>
  <c r="R52" i="2"/>
  <c r="R53" i="2"/>
  <c r="R51" i="2"/>
  <c r="G2" i="1"/>
  <c r="G8" i="1"/>
  <c r="G4" i="1"/>
  <c r="N2" i="1"/>
  <c r="N8" i="1"/>
  <c r="N4" i="1"/>
  <c r="AJ132" i="4" l="1"/>
  <c r="AK132" i="4"/>
  <c r="AW132" i="4"/>
  <c r="AH132" i="4"/>
  <c r="AI132" i="4" s="1"/>
  <c r="AL155" i="4"/>
  <c r="E155" i="4"/>
  <c r="E132" i="4"/>
  <c r="O4" i="1"/>
  <c r="O8" i="1"/>
  <c r="O2" i="1"/>
  <c r="N7" i="1"/>
  <c r="N11" i="1"/>
  <c r="N10" i="1"/>
  <c r="N14" i="1"/>
  <c r="N20" i="1"/>
  <c r="N19" i="1"/>
  <c r="N26" i="1"/>
  <c r="N27" i="1"/>
  <c r="L151" i="3" s="1"/>
  <c r="N24" i="1"/>
  <c r="N25" i="1"/>
  <c r="N28" i="1"/>
  <c r="N29" i="1"/>
  <c r="N33" i="1"/>
  <c r="N32" i="1"/>
  <c r="N34" i="1"/>
  <c r="O34" i="1" s="1"/>
  <c r="N30" i="1"/>
  <c r="N31" i="1"/>
  <c r="O31" i="1" s="1"/>
  <c r="N35" i="1"/>
  <c r="N43" i="1"/>
  <c r="N53" i="1"/>
  <c r="O53" i="1" s="1"/>
  <c r="N44" i="1"/>
  <c r="O44" i="1" s="1"/>
  <c r="N57" i="1"/>
  <c r="N54" i="1"/>
  <c r="N51" i="1"/>
  <c r="O51" i="1" s="1"/>
  <c r="N52" i="1"/>
  <c r="N50" i="1"/>
  <c r="O50" i="1" s="1"/>
  <c r="N55" i="1"/>
  <c r="N67" i="1"/>
  <c r="O67" i="1" s="1"/>
  <c r="N66" i="1"/>
  <c r="O66" i="1" s="1"/>
  <c r="N65" i="1"/>
  <c r="O65" i="1" s="1"/>
  <c r="N59" i="1"/>
  <c r="N64" i="1"/>
  <c r="O64" i="1" s="1"/>
  <c r="N68" i="1"/>
  <c r="O68" i="1" s="1"/>
  <c r="N72" i="1"/>
  <c r="O72" i="1" s="1"/>
  <c r="N73" i="1"/>
  <c r="O73" i="1" s="1"/>
  <c r="N90" i="1"/>
  <c r="N92" i="1"/>
  <c r="N83" i="1"/>
  <c r="O83" i="1" s="1"/>
  <c r="N91" i="1"/>
  <c r="O91" i="1" s="1"/>
  <c r="N82" i="1"/>
  <c r="N84" i="1"/>
  <c r="N96" i="1"/>
  <c r="O96" i="1" s="1"/>
  <c r="N99" i="1"/>
  <c r="O99" i="1" s="1"/>
  <c r="N94" i="1"/>
  <c r="N97" i="1"/>
  <c r="O97" i="1" s="1"/>
  <c r="N95" i="1"/>
  <c r="O95" i="1" s="1"/>
  <c r="N101" i="1"/>
  <c r="N103" i="1"/>
  <c r="O103" i="1" s="1"/>
  <c r="N111" i="1"/>
  <c r="N110" i="1"/>
  <c r="N104" i="1"/>
  <c r="N113" i="1"/>
  <c r="N109" i="1"/>
  <c r="N112" i="1"/>
  <c r="O112" i="1" s="1"/>
  <c r="N116" i="1"/>
  <c r="O116" i="1" s="1"/>
  <c r="N120" i="1"/>
  <c r="O120" i="1" s="1"/>
  <c r="N115" i="1"/>
  <c r="N128" i="1"/>
  <c r="O128" i="1" s="1"/>
  <c r="N122" i="1"/>
  <c r="O122" i="1" s="1"/>
  <c r="N124" i="1"/>
  <c r="N127" i="1"/>
  <c r="N125" i="1"/>
  <c r="N123" i="1"/>
  <c r="O123" i="1" s="1"/>
  <c r="N121" i="1"/>
  <c r="O121" i="1" s="1"/>
  <c r="N126" i="1"/>
  <c r="O126" i="1" s="1"/>
  <c r="N129" i="1"/>
  <c r="O129" i="1" s="1"/>
  <c r="N134" i="1"/>
  <c r="O134" i="1" s="1"/>
  <c r="N132" i="1"/>
  <c r="O132" i="1" s="1"/>
  <c r="N133" i="1"/>
  <c r="O133" i="1" s="1"/>
  <c r="N130" i="1"/>
  <c r="N140" i="1"/>
  <c r="O140" i="1" s="1"/>
  <c r="N135" i="1"/>
  <c r="N139" i="1"/>
  <c r="O139" i="1" s="1"/>
  <c r="N155" i="1"/>
  <c r="O155" i="1" s="1"/>
  <c r="N160" i="1"/>
  <c r="O160" i="1" s="1"/>
  <c r="N157" i="1"/>
  <c r="O157" i="1" s="1"/>
  <c r="N156" i="1"/>
  <c r="O156" i="1" s="1"/>
  <c r="N153" i="1"/>
  <c r="N147" i="1"/>
  <c r="O147" i="1" s="1"/>
  <c r="N154" i="1"/>
  <c r="O154" i="1" s="1"/>
  <c r="N151" i="1"/>
  <c r="O151" i="1" s="1"/>
  <c r="N152" i="1"/>
  <c r="O152" i="1" s="1"/>
  <c r="N162" i="1"/>
  <c r="N161" i="1"/>
  <c r="O161" i="1" s="1"/>
  <c r="N166" i="1"/>
  <c r="O166" i="1" s="1"/>
  <c r="N169" i="1"/>
  <c r="O169" i="1" s="1"/>
  <c r="N167" i="1"/>
  <c r="O167" i="1" s="1"/>
  <c r="N168" i="1"/>
  <c r="N179" i="1"/>
  <c r="O179" i="1" s="1"/>
  <c r="N176" i="1"/>
  <c r="O176" i="1" s="1"/>
  <c r="N175" i="1"/>
  <c r="N177" i="1"/>
  <c r="N170" i="1"/>
  <c r="N188" i="1"/>
  <c r="O188" i="1" s="1"/>
  <c r="N189" i="1"/>
  <c r="O189" i="1" s="1"/>
  <c r="N191" i="1"/>
  <c r="N187" i="1"/>
  <c r="N180" i="1"/>
  <c r="L155" i="3" s="1"/>
  <c r="N197" i="1"/>
  <c r="O197" i="1" s="1"/>
  <c r="N192" i="1"/>
  <c r="O192" i="1" s="1"/>
  <c r="N196" i="1"/>
  <c r="N205" i="1"/>
  <c r="O205" i="1" s="1"/>
  <c r="N207" i="1"/>
  <c r="O207" i="1" s="1"/>
  <c r="N203" i="1"/>
  <c r="N198" i="1"/>
  <c r="N204" i="1"/>
  <c r="O204" i="1" s="1"/>
  <c r="N200" i="1"/>
  <c r="O200" i="1" s="1"/>
  <c r="N206" i="1"/>
  <c r="N211" i="1"/>
  <c r="O211" i="1" s="1"/>
  <c r="N202" i="1"/>
  <c r="N201" i="1"/>
  <c r="O201" i="1" s="1"/>
  <c r="N199" i="1"/>
  <c r="N209" i="1"/>
  <c r="O209" i="1" s="1"/>
  <c r="N221" i="1"/>
  <c r="N212" i="1"/>
  <c r="N219" i="1"/>
  <c r="N222" i="1"/>
  <c r="N225" i="1"/>
  <c r="O225" i="1" s="1"/>
  <c r="N215" i="1"/>
  <c r="N214" i="1"/>
  <c r="N220" i="1"/>
  <c r="N229" i="1"/>
  <c r="O229" i="1" s="1"/>
  <c r="N226" i="1"/>
  <c r="O226" i="1" s="1"/>
  <c r="N241" i="1"/>
  <c r="N236" i="1"/>
  <c r="N239" i="1"/>
  <c r="O239" i="1" s="1"/>
  <c r="N240" i="1"/>
  <c r="N235" i="1"/>
  <c r="O235" i="1" s="1"/>
  <c r="N234" i="1"/>
  <c r="O234" i="1" s="1"/>
  <c r="N238" i="1"/>
  <c r="O238" i="1" s="1"/>
  <c r="N230" i="1"/>
  <c r="N249" i="1"/>
  <c r="O249" i="1" s="1"/>
  <c r="N242" i="1"/>
  <c r="O242" i="1" s="1"/>
  <c r="N245" i="1"/>
  <c r="O245" i="1" s="1"/>
  <c r="N246" i="1"/>
  <c r="O246" i="1" s="1"/>
  <c r="N248" i="1"/>
  <c r="O248" i="1" s="1"/>
  <c r="N254" i="1"/>
  <c r="O254" i="1" s="1"/>
  <c r="N252" i="1"/>
  <c r="O252" i="1" s="1"/>
  <c r="N258" i="1"/>
  <c r="O258" i="1" s="1"/>
  <c r="N250" i="1"/>
  <c r="N251" i="1"/>
  <c r="O251" i="1" s="1"/>
  <c r="N257" i="1"/>
  <c r="O257" i="1" s="1"/>
  <c r="N253" i="1"/>
  <c r="L144" i="3" s="1"/>
  <c r="N266" i="1"/>
  <c r="O266" i="1" s="1"/>
  <c r="N261" i="1"/>
  <c r="N259" i="1"/>
  <c r="O259" i="1" s="1"/>
  <c r="N267" i="1"/>
  <c r="N268" i="1"/>
  <c r="O268" i="1" s="1"/>
  <c r="N275" i="1"/>
  <c r="O275" i="1" s="1"/>
  <c r="N269" i="1"/>
  <c r="N277" i="1"/>
  <c r="N281" i="1"/>
  <c r="O281" i="1" s="1"/>
  <c r="N276" i="1"/>
  <c r="N282" i="1"/>
  <c r="O282" i="1" s="1"/>
  <c r="N285" i="1"/>
  <c r="O285" i="1" s="1"/>
  <c r="N287" i="1"/>
  <c r="O287" i="1" s="1"/>
  <c r="N283" i="1"/>
  <c r="N292" i="1"/>
  <c r="O292" i="1" s="1"/>
  <c r="N291" i="1"/>
  <c r="O291" i="1" s="1"/>
  <c r="N288" i="1"/>
  <c r="O288" i="1" s="1"/>
  <c r="N297" i="1"/>
  <c r="N298" i="1"/>
  <c r="O298" i="1" s="1"/>
  <c r="N296" i="1"/>
  <c r="O296" i="1" s="1"/>
  <c r="N295" i="1"/>
  <c r="O295" i="1" s="1"/>
  <c r="N293" i="1"/>
  <c r="N302" i="1"/>
  <c r="O302" i="1" s="1"/>
  <c r="N299" i="1"/>
  <c r="O299" i="1" s="1"/>
  <c r="N300" i="1"/>
  <c r="O300" i="1" s="1"/>
  <c r="N306" i="1"/>
  <c r="N323" i="1"/>
  <c r="N322" i="1"/>
  <c r="O322" i="1" s="1"/>
  <c r="O320" i="1"/>
  <c r="N321" i="1"/>
  <c r="N324" i="1"/>
  <c r="N310" i="1"/>
  <c r="O310" i="1" s="1"/>
  <c r="N325" i="1"/>
  <c r="O325" i="1" s="1"/>
  <c r="N329" i="1"/>
  <c r="O329" i="1" s="1"/>
  <c r="N333" i="1"/>
  <c r="O333" i="1" s="1"/>
  <c r="N332" i="1"/>
  <c r="O332" i="1" s="1"/>
  <c r="N334" i="1"/>
  <c r="O334" i="1" s="1"/>
  <c r="N344" i="1"/>
  <c r="O344" i="1" s="1"/>
  <c r="N343" i="1"/>
  <c r="O343" i="1" s="1"/>
  <c r="N347" i="1"/>
  <c r="O347" i="1" s="1"/>
  <c r="N350" i="1"/>
  <c r="O350" i="1" s="1"/>
  <c r="N348" i="1"/>
  <c r="O348" i="1" s="1"/>
  <c r="N346" i="1"/>
  <c r="O346" i="1" s="1"/>
  <c r="N345" i="1"/>
  <c r="N349" i="1"/>
  <c r="N359" i="1"/>
  <c r="O359" i="1" s="1"/>
  <c r="N355" i="1"/>
  <c r="O355" i="1" s="1"/>
  <c r="N367" i="1"/>
  <c r="N368" i="1"/>
  <c r="N353" i="1"/>
  <c r="N352" i="1"/>
  <c r="N357" i="1"/>
  <c r="O357" i="1" s="1"/>
  <c r="N356" i="1"/>
  <c r="O356" i="1" s="1"/>
  <c r="N351" i="1"/>
  <c r="O351" i="1" s="1"/>
  <c r="N358" i="1"/>
  <c r="O358" i="1" s="1"/>
  <c r="N376" i="1"/>
  <c r="O376" i="1" s="1"/>
  <c r="N374" i="1"/>
  <c r="N373" i="1"/>
  <c r="O373" i="1" s="1"/>
  <c r="N375" i="1"/>
  <c r="O375" i="1" s="1"/>
  <c r="N369" i="1"/>
  <c r="O369" i="1" s="1"/>
  <c r="N377" i="1"/>
  <c r="O377" i="1" s="1"/>
  <c r="N381" i="1"/>
  <c r="O381" i="1" s="1"/>
  <c r="N386" i="1"/>
  <c r="N380" i="1"/>
  <c r="N395" i="1"/>
  <c r="O395" i="1" s="1"/>
  <c r="N394" i="1"/>
  <c r="N393" i="1"/>
  <c r="N387" i="1"/>
  <c r="O387" i="1" s="1"/>
  <c r="N388" i="1"/>
  <c r="N396" i="1"/>
  <c r="O396" i="1" s="1"/>
  <c r="N411" i="1"/>
  <c r="O411" i="1" s="1"/>
  <c r="N406" i="1"/>
  <c r="O406" i="1" s="1"/>
  <c r="N407" i="1"/>
  <c r="O407" i="1" s="1"/>
  <c r="N402" i="1"/>
  <c r="N404" i="1"/>
  <c r="N405" i="1"/>
  <c r="O405" i="1" s="1"/>
  <c r="N403" i="1"/>
  <c r="O403" i="1" s="1"/>
  <c r="N421" i="1"/>
  <c r="O421" i="1" s="1"/>
  <c r="N412" i="1"/>
  <c r="N417" i="1"/>
  <c r="O417" i="1" s="1"/>
  <c r="N415" i="1"/>
  <c r="O415" i="1" s="1"/>
  <c r="N413" i="1"/>
  <c r="O413" i="1" s="1"/>
  <c r="N414" i="1"/>
  <c r="O414" i="1" s="1"/>
  <c r="N416" i="1"/>
  <c r="N426" i="1"/>
  <c r="O426" i="1" s="1"/>
  <c r="N422" i="1"/>
  <c r="O422" i="1" s="1"/>
  <c r="N433" i="1"/>
  <c r="O433" i="1" s="1"/>
  <c r="N427" i="1"/>
  <c r="N429" i="1"/>
  <c r="O429" i="1" s="1"/>
  <c r="N441" i="1"/>
  <c r="O441" i="1" s="1"/>
  <c r="N440" i="1"/>
  <c r="O440" i="1" s="1"/>
  <c r="N434" i="1"/>
  <c r="O434" i="1" s="1"/>
  <c r="N435" i="1"/>
  <c r="N442" i="1"/>
  <c r="O442" i="1" s="1"/>
  <c r="N446" i="1"/>
  <c r="O446" i="1" s="1"/>
  <c r="N451" i="1"/>
  <c r="O451" i="1" s="1"/>
  <c r="N452" i="1"/>
  <c r="N448" i="1"/>
  <c r="O448" i="1" s="1"/>
  <c r="N447" i="1"/>
  <c r="O447" i="1" s="1"/>
  <c r="N459" i="1"/>
  <c r="O459" i="1" s="1"/>
  <c r="N460" i="1"/>
  <c r="O460" i="1" s="1"/>
  <c r="N457" i="1"/>
  <c r="O457" i="1" s="1"/>
  <c r="N470" i="1"/>
  <c r="O470" i="1" s="1"/>
  <c r="N458" i="1"/>
  <c r="O458" i="1" s="1"/>
  <c r="N456" i="1"/>
  <c r="O456" i="1" s="1"/>
  <c r="N455" i="1"/>
  <c r="N454" i="1"/>
  <c r="O454" i="1" s="1"/>
  <c r="N469" i="1"/>
  <c r="O469" i="1" s="1"/>
  <c r="N453" i="1"/>
  <c r="O453" i="1" s="1"/>
  <c r="N476" i="1"/>
  <c r="O476" i="1" s="1"/>
  <c r="N475" i="1"/>
  <c r="O475" i="1" s="1"/>
  <c r="N471" i="1"/>
  <c r="O471" i="1" s="1"/>
  <c r="N472" i="1"/>
  <c r="O472" i="1" s="1"/>
  <c r="N484" i="1"/>
  <c r="O484" i="1" s="1"/>
  <c r="N483" i="1"/>
  <c r="N477" i="1"/>
  <c r="O477" i="1" s="1"/>
  <c r="N485" i="1"/>
  <c r="O485" i="1" s="1"/>
  <c r="N482" i="1"/>
  <c r="O482" i="1" s="1"/>
  <c r="N497" i="1"/>
  <c r="O497" i="1" s="1"/>
  <c r="N491" i="1"/>
  <c r="O491" i="1" s="1"/>
  <c r="N486" i="1"/>
  <c r="O486" i="1" s="1"/>
  <c r="N490" i="1"/>
  <c r="O490" i="1" s="1"/>
  <c r="N489" i="1"/>
  <c r="O489" i="1" s="1"/>
  <c r="N504" i="1"/>
  <c r="O504" i="1" s="1"/>
  <c r="N505" i="1"/>
  <c r="O505" i="1" s="1"/>
  <c r="N503" i="1"/>
  <c r="O503" i="1" s="1"/>
  <c r="N498" i="1"/>
  <c r="N511" i="1"/>
  <c r="O511" i="1" s="1"/>
  <c r="N512" i="1"/>
  <c r="N506" i="1"/>
  <c r="N510" i="1"/>
  <c r="O510" i="1" s="1"/>
  <c r="N517" i="1"/>
  <c r="N516" i="1"/>
  <c r="O516" i="1" s="1"/>
  <c r="N513" i="1"/>
  <c r="O513" i="1" s="1"/>
  <c r="N529" i="1"/>
  <c r="O529" i="1" s="1"/>
  <c r="N524" i="1"/>
  <c r="N528" i="1"/>
  <c r="O528" i="1" s="1"/>
  <c r="N523" i="1"/>
  <c r="O523" i="1" s="1"/>
  <c r="N522" i="1"/>
  <c r="O522" i="1" s="1"/>
  <c r="N527" i="1"/>
  <c r="O527" i="1" s="1"/>
  <c r="N519" i="1"/>
  <c r="O519" i="1" s="1"/>
  <c r="N518" i="1"/>
  <c r="O518" i="1" s="1"/>
  <c r="N520" i="1"/>
  <c r="O520" i="1" s="1"/>
  <c r="N531" i="1"/>
  <c r="O531" i="1" s="1"/>
  <c r="N530" i="1"/>
  <c r="O530" i="1" s="1"/>
  <c r="N532" i="1"/>
  <c r="O532" i="1" s="1"/>
  <c r="N539" i="1"/>
  <c r="O539" i="1" s="1"/>
  <c r="N533" i="1"/>
  <c r="O533" i="1" s="1"/>
  <c r="N535" i="1"/>
  <c r="O535" i="1" s="1"/>
  <c r="N536" i="1"/>
  <c r="O536" i="1" s="1"/>
  <c r="N551" i="1"/>
  <c r="O551" i="1" s="1"/>
  <c r="N542" i="1"/>
  <c r="O542" i="1" s="1"/>
  <c r="N541" i="1"/>
  <c r="O541" i="1" s="1"/>
  <c r="N553" i="1"/>
  <c r="O553" i="1" s="1"/>
  <c r="N547" i="1"/>
  <c r="O547" i="1" s="1"/>
  <c r="N540" i="1"/>
  <c r="O540" i="1" s="1"/>
  <c r="N552" i="1"/>
  <c r="N546" i="1"/>
  <c r="N548" i="1"/>
  <c r="N559" i="1"/>
  <c r="O559" i="1" s="1"/>
  <c r="N558" i="1"/>
  <c r="O558" i="1" s="1"/>
  <c r="N554" i="1"/>
  <c r="N556" i="1"/>
  <c r="N555" i="1"/>
  <c r="N566" i="1"/>
  <c r="O566" i="1" s="1"/>
  <c r="N569" i="1"/>
  <c r="O569" i="1" s="1"/>
  <c r="N560" i="1"/>
  <c r="O560" i="1" s="1"/>
  <c r="N571" i="1"/>
  <c r="O571" i="1" s="1"/>
  <c r="N570" i="1"/>
  <c r="N574" i="1"/>
  <c r="O574" i="1" s="1"/>
  <c r="N572" i="1"/>
  <c r="O572" i="1" s="1"/>
  <c r="N578" i="1"/>
  <c r="O578" i="1" s="1"/>
  <c r="N573" i="1"/>
  <c r="O573" i="1" s="1"/>
  <c r="N594" i="1"/>
  <c r="O594" i="1" s="1"/>
  <c r="N586" i="1"/>
  <c r="O586" i="1" s="1"/>
  <c r="N588" i="1"/>
  <c r="O588" i="1" s="1"/>
  <c r="N584" i="1"/>
  <c r="O584" i="1" s="1"/>
  <c r="N589" i="1"/>
  <c r="O589" i="1" s="1"/>
  <c r="N579" i="1"/>
  <c r="O579" i="1" s="1"/>
  <c r="N602" i="1"/>
  <c r="O602" i="1" s="1"/>
  <c r="N598" i="1"/>
  <c r="O598" i="1" s="1"/>
  <c r="N610" i="1"/>
  <c r="O610" i="1" s="1"/>
  <c r="N612" i="1"/>
  <c r="N617" i="1"/>
  <c r="O617" i="1" s="1"/>
  <c r="N616" i="1"/>
  <c r="O616" i="1" s="1"/>
  <c r="N608" i="1"/>
  <c r="O608" i="1" s="1"/>
  <c r="N603" i="1"/>
  <c r="N626" i="1"/>
  <c r="N621" i="1"/>
  <c r="N625" i="1"/>
  <c r="N619" i="1"/>
  <c r="N620" i="1"/>
  <c r="N627" i="1"/>
  <c r="O627" i="1" s="1"/>
  <c r="N618" i="1"/>
  <c r="O618" i="1" s="1"/>
  <c r="N628" i="1"/>
  <c r="N622" i="1"/>
  <c r="O622" i="1" s="1"/>
  <c r="N630" i="1"/>
  <c r="O630" i="1" s="1"/>
  <c r="N636" i="1"/>
  <c r="O636" i="1" s="1"/>
  <c r="N629" i="1"/>
  <c r="O629" i="1" s="1"/>
  <c r="N637" i="1"/>
  <c r="O637" i="1" s="1"/>
  <c r="N638" i="1"/>
  <c r="O638" i="1" s="1"/>
  <c r="N642" i="1"/>
  <c r="O642" i="1" s="1"/>
  <c r="N639" i="1"/>
  <c r="O639" i="1" s="1"/>
  <c r="N643" i="1"/>
  <c r="O643" i="1" s="1"/>
  <c r="N651" i="1"/>
  <c r="N645" i="1"/>
  <c r="O645" i="1" s="1"/>
  <c r="N644" i="1"/>
  <c r="O644" i="1" s="1"/>
  <c r="N661" i="1"/>
  <c r="O661" i="1" s="1"/>
  <c r="N654" i="1"/>
  <c r="O654" i="1" s="1"/>
  <c r="N653" i="1"/>
  <c r="O653" i="1" s="1"/>
  <c r="N657" i="1"/>
  <c r="O657" i="1" s="1"/>
  <c r="N659" i="1"/>
  <c r="O659" i="1" s="1"/>
  <c r="N660" i="1"/>
  <c r="O660" i="1" s="1"/>
  <c r="N658" i="1"/>
  <c r="O658" i="1" s="1"/>
  <c r="N652" i="1"/>
  <c r="O652" i="1" s="1"/>
  <c r="N664" i="1"/>
  <c r="O664" i="1" s="1"/>
  <c r="N663" i="1"/>
  <c r="O663" i="1" s="1"/>
  <c r="N662" i="1"/>
  <c r="O662" i="1" s="1"/>
  <c r="N679" i="1"/>
  <c r="O679" i="1" s="1"/>
  <c r="N676" i="1"/>
  <c r="O676" i="1" s="1"/>
  <c r="N680" i="1"/>
  <c r="O680" i="1" s="1"/>
  <c r="N685" i="1"/>
  <c r="O685" i="1" s="1"/>
  <c r="N684" i="1"/>
  <c r="O684" i="1" s="1"/>
  <c r="N687" i="1"/>
  <c r="O687" i="1" s="1"/>
  <c r="N683" i="1"/>
  <c r="O683" i="1" s="1"/>
  <c r="N681" i="1"/>
  <c r="O681" i="1" s="1"/>
  <c r="N688" i="1"/>
  <c r="O688" i="1" s="1"/>
  <c r="N689" i="1"/>
  <c r="O689" i="1" s="1"/>
  <c r="N690" i="1"/>
  <c r="N691" i="1"/>
  <c r="O691" i="1" s="1"/>
  <c r="N706" i="1"/>
  <c r="O706" i="1" s="1"/>
  <c r="N844" i="1"/>
  <c r="O844" i="1" s="1"/>
  <c r="N848" i="1"/>
  <c r="O848" i="1" s="1"/>
  <c r="N708" i="1"/>
  <c r="N715" i="1"/>
  <c r="O715" i="1" s="1"/>
  <c r="N716" i="1"/>
  <c r="O716" i="1" s="1"/>
  <c r="N717" i="1"/>
  <c r="O717" i="1" s="1"/>
  <c r="N718" i="1"/>
  <c r="O718" i="1" s="1"/>
  <c r="N740" i="1"/>
  <c r="O740" i="1" s="1"/>
  <c r="N741" i="1"/>
  <c r="O741" i="1" s="1"/>
  <c r="N755" i="1"/>
  <c r="O755" i="1" s="1"/>
  <c r="N757" i="1"/>
  <c r="O757" i="1" s="1"/>
  <c r="N756" i="1"/>
  <c r="O756" i="1" s="1"/>
  <c r="N749" i="1"/>
  <c r="O749" i="1" s="1"/>
  <c r="N747" i="1"/>
  <c r="O747" i="1" s="1"/>
  <c r="N751" i="1"/>
  <c r="O751" i="1" s="1"/>
  <c r="N748" i="1"/>
  <c r="O748" i="1" s="1"/>
  <c r="N750" i="1"/>
  <c r="O750" i="1" s="1"/>
  <c r="N758" i="1"/>
  <c r="O758" i="1" s="1"/>
  <c r="N753" i="1"/>
  <c r="N754" i="1"/>
  <c r="N752" i="1"/>
  <c r="O752" i="1" s="1"/>
  <c r="N759" i="1"/>
  <c r="O759" i="1" s="1"/>
  <c r="N762" i="1"/>
  <c r="O762" i="1" s="1"/>
  <c r="N761" i="1"/>
  <c r="O761" i="1" s="1"/>
  <c r="N767" i="1"/>
  <c r="O767" i="1" s="1"/>
  <c r="N764" i="1"/>
  <c r="O764" i="1" s="1"/>
  <c r="N766" i="1"/>
  <c r="O766" i="1" s="1"/>
  <c r="N784" i="1"/>
  <c r="O784" i="1" s="1"/>
  <c r="N783" i="1"/>
  <c r="O783" i="1" s="1"/>
  <c r="N782" i="1"/>
  <c r="N794" i="1"/>
  <c r="O794" i="1" s="1"/>
  <c r="N793" i="1"/>
  <c r="O793" i="1" s="1"/>
  <c r="N786" i="1"/>
  <c r="O786" i="1" s="1"/>
  <c r="N788" i="1"/>
  <c r="O788" i="1" s="1"/>
  <c r="N785" i="1"/>
  <c r="O785" i="1" s="1"/>
  <c r="N787" i="1"/>
  <c r="O787" i="1" s="1"/>
  <c r="N789" i="1"/>
  <c r="O789" i="1" s="1"/>
  <c r="N791" i="1"/>
  <c r="O791" i="1" s="1"/>
  <c r="N792" i="1"/>
  <c r="O792" i="1" s="1"/>
  <c r="N790" i="1"/>
  <c r="O790" i="1" s="1"/>
  <c r="N800" i="1"/>
  <c r="N801" i="1"/>
  <c r="O801" i="1" s="1"/>
  <c r="N804" i="1"/>
  <c r="O804" i="1" s="1"/>
  <c r="N803" i="1"/>
  <c r="O803" i="1" s="1"/>
  <c r="N799" i="1"/>
  <c r="O799" i="1" s="1"/>
  <c r="N798" i="1"/>
  <c r="O798" i="1" s="1"/>
  <c r="N802" i="1"/>
  <c r="O802" i="1" s="1"/>
  <c r="N812" i="1"/>
  <c r="O812" i="1" s="1"/>
  <c r="N810" i="1"/>
  <c r="O810" i="1" s="1"/>
  <c r="N808" i="1"/>
  <c r="O808" i="1" s="1"/>
  <c r="N809" i="1"/>
  <c r="O809" i="1" s="1"/>
  <c r="N811" i="1"/>
  <c r="O811" i="1" s="1"/>
  <c r="N817" i="1"/>
  <c r="O817" i="1" s="1"/>
  <c r="N815" i="1"/>
  <c r="O815" i="1" s="1"/>
  <c r="N816" i="1"/>
  <c r="O816" i="1" s="1"/>
  <c r="N814" i="1"/>
  <c r="O814" i="1" s="1"/>
  <c r="N822" i="1"/>
  <c r="N828" i="1"/>
  <c r="O828" i="1" s="1"/>
  <c r="N830" i="1"/>
  <c r="N829" i="1"/>
  <c r="O829" i="1" s="1"/>
  <c r="N826" i="1"/>
  <c r="O826" i="1" s="1"/>
  <c r="N831" i="1"/>
  <c r="O831" i="1" s="1"/>
  <c r="N840" i="1"/>
  <c r="O840" i="1" s="1"/>
  <c r="N841" i="1"/>
  <c r="O841" i="1" s="1"/>
  <c r="N842" i="1"/>
  <c r="O842" i="1" s="1"/>
  <c r="D49" i="4"/>
  <c r="D124" i="4"/>
  <c r="D18" i="4"/>
  <c r="G831" i="1"/>
  <c r="G842" i="1"/>
  <c r="G841" i="1"/>
  <c r="G740" i="1"/>
  <c r="G754" i="1"/>
  <c r="G752" i="1"/>
  <c r="G750" i="1"/>
  <c r="G758" i="1"/>
  <c r="G753" i="1"/>
  <c r="G518" i="1"/>
  <c r="G527" i="1"/>
  <c r="G519" i="1"/>
  <c r="G676" i="1"/>
  <c r="G659" i="1"/>
  <c r="G660" i="1"/>
  <c r="G658" i="1"/>
  <c r="G652" i="1"/>
  <c r="G616" i="1"/>
  <c r="G608" i="1"/>
  <c r="G589" i="1"/>
  <c r="G579" i="1"/>
  <c r="G510" i="1"/>
  <c r="D44" i="4"/>
  <c r="D89" i="4"/>
  <c r="D126" i="4"/>
  <c r="D3" i="4"/>
  <c r="D15" i="4"/>
  <c r="D139" i="4"/>
  <c r="D87" i="4"/>
  <c r="D141" i="4"/>
  <c r="G762" i="1"/>
  <c r="G761" i="1"/>
  <c r="G717" i="1"/>
  <c r="G718" i="1"/>
  <c r="G707" i="1"/>
  <c r="G690" i="1"/>
  <c r="G691" i="1"/>
  <c r="G663" i="1"/>
  <c r="G662" i="1"/>
  <c r="G679" i="1"/>
  <c r="G654" i="1"/>
  <c r="G653" i="1"/>
  <c r="G657" i="1"/>
  <c r="G598" i="1"/>
  <c r="G612" i="1"/>
  <c r="G617" i="1"/>
  <c r="G603" i="1"/>
  <c r="G645" i="1"/>
  <c r="G644" i="1"/>
  <c r="G642" i="1"/>
  <c r="G639" i="1"/>
  <c r="G414" i="1"/>
  <c r="G416" i="1"/>
  <c r="G415" i="1"/>
  <c r="G413" i="1"/>
  <c r="G533" i="1"/>
  <c r="G535" i="1"/>
  <c r="G536" i="1"/>
  <c r="G404" i="1"/>
  <c r="G405" i="1"/>
  <c r="G403" i="1"/>
  <c r="G586" i="1"/>
  <c r="G588" i="1"/>
  <c r="G584" i="1"/>
  <c r="G558" i="1"/>
  <c r="G554" i="1"/>
  <c r="G556" i="1"/>
  <c r="G555" i="1"/>
  <c r="G530" i="1"/>
  <c r="G532" i="1"/>
  <c r="G539" i="1"/>
  <c r="G524" i="1"/>
  <c r="G528" i="1"/>
  <c r="G523" i="1"/>
  <c r="G522" i="1"/>
  <c r="G520" i="1"/>
  <c r="G516" i="1"/>
  <c r="G513" i="1"/>
  <c r="G512" i="1"/>
  <c r="G506" i="1"/>
  <c r="G505" i="1"/>
  <c r="G503" i="1"/>
  <c r="G498" i="1"/>
  <c r="G483" i="1"/>
  <c r="G477" i="1"/>
  <c r="G485" i="1"/>
  <c r="G482" i="1"/>
  <c r="G475" i="1"/>
  <c r="G471" i="1"/>
  <c r="G472" i="1"/>
  <c r="G452" i="1"/>
  <c r="G448" i="1"/>
  <c r="G447" i="1"/>
  <c r="G440" i="1"/>
  <c r="G434" i="1"/>
  <c r="G435" i="1"/>
  <c r="G427" i="1"/>
  <c r="G429" i="1"/>
  <c r="G412" i="1"/>
  <c r="G417" i="1"/>
  <c r="G406" i="1"/>
  <c r="G407" i="1"/>
  <c r="G402" i="1"/>
  <c r="G394" i="1"/>
  <c r="G393" i="1"/>
  <c r="G387" i="1"/>
  <c r="G388" i="1"/>
  <c r="G355" i="1"/>
  <c r="G367" i="1"/>
  <c r="G368" i="1"/>
  <c r="G353" i="1"/>
  <c r="G352" i="1"/>
  <c r="G357" i="1"/>
  <c r="G356" i="1"/>
  <c r="G351" i="1"/>
  <c r="G358" i="1"/>
  <c r="G386" i="1"/>
  <c r="G380" i="1"/>
  <c r="G349" i="1"/>
  <c r="G344" i="1"/>
  <c r="G343" i="1"/>
  <c r="G347" i="1"/>
  <c r="G350" i="1"/>
  <c r="G348" i="1"/>
  <c r="G346" i="1"/>
  <c r="G345" i="1"/>
  <c r="G310" i="1"/>
  <c r="G322" i="1"/>
  <c r="G320" i="1"/>
  <c r="G321" i="1"/>
  <c r="G324" i="1"/>
  <c r="G299" i="1"/>
  <c r="G300" i="1"/>
  <c r="G306" i="1"/>
  <c r="L143" i="3" l="1"/>
  <c r="L142" i="3"/>
  <c r="M153" i="3" a="1"/>
  <c r="M153" i="3" s="1"/>
  <c r="AN66" i="4" s="1"/>
  <c r="O323" i="1"/>
  <c r="L154" i="3"/>
  <c r="M152" i="3" a="1"/>
  <c r="M152" i="3" s="1"/>
  <c r="AN134" i="4" s="1"/>
  <c r="L140" i="3"/>
  <c r="O111" i="1"/>
  <c r="T149" i="3" s="1"/>
  <c r="U149" i="3" s="1"/>
  <c r="AP18" i="4" s="1"/>
  <c r="L149" i="3"/>
  <c r="M150" i="3" a="1"/>
  <c r="M150" i="3" s="1"/>
  <c r="AN130" i="4" s="1"/>
  <c r="O690" i="1"/>
  <c r="L147" i="3"/>
  <c r="O651" i="1"/>
  <c r="L153" i="3"/>
  <c r="V154" i="3"/>
  <c r="W154" i="3" s="1"/>
  <c r="AQ132" i="4" s="1"/>
  <c r="T150" i="3"/>
  <c r="U150" i="3" s="1"/>
  <c r="AP130" i="4" s="1"/>
  <c r="M145" i="3" a="1"/>
  <c r="M145" i="3" s="1"/>
  <c r="AN124" i="4" s="1"/>
  <c r="L141" i="3"/>
  <c r="M155" i="3" a="1"/>
  <c r="M155" i="3" s="1"/>
  <c r="AN155" i="4" s="1"/>
  <c r="M148" i="3" a="1"/>
  <c r="M148" i="3" s="1"/>
  <c r="AN4" i="4" s="1"/>
  <c r="M151" i="3" a="1"/>
  <c r="M151" i="3" s="1"/>
  <c r="AN41" i="4" s="1"/>
  <c r="M146" i="3" a="1"/>
  <c r="M146" i="3" s="1"/>
  <c r="AN149" i="4" s="1"/>
  <c r="M147" i="3" a="1"/>
  <c r="M147" i="3" s="1"/>
  <c r="AN78" i="4" s="1"/>
  <c r="M154" i="3" a="1"/>
  <c r="M154" i="3" s="1"/>
  <c r="AN132" i="4" s="1"/>
  <c r="O321" i="1"/>
  <c r="L145" i="3"/>
  <c r="L139" i="3"/>
  <c r="M149" i="3" a="1"/>
  <c r="M149" i="3" s="1"/>
  <c r="AN18" i="4" s="1"/>
  <c r="M142" i="3" a="1"/>
  <c r="M142" i="3" s="1"/>
  <c r="AN49" i="4" s="1"/>
  <c r="M143" i="3" a="1"/>
  <c r="M143" i="3" s="1"/>
  <c r="AN86" i="4" s="1"/>
  <c r="M141" i="3" a="1"/>
  <c r="M141" i="3" s="1"/>
  <c r="AN25" i="4" s="1"/>
  <c r="M144" i="3" a="1"/>
  <c r="M144" i="3" s="1"/>
  <c r="AN135" i="4" s="1"/>
  <c r="AL132" i="4"/>
  <c r="M140" i="3" a="1"/>
  <c r="M140" i="3" s="1"/>
  <c r="AN45" i="4" s="1"/>
  <c r="M139" i="3" a="1"/>
  <c r="M139" i="3" s="1"/>
  <c r="S125" i="3"/>
  <c r="M125" i="3" a="1"/>
  <c r="M125" i="3" s="1"/>
  <c r="AN138" i="4" s="1"/>
  <c r="K125" i="3" a="1"/>
  <c r="K125" i="3" s="1"/>
  <c r="S124" i="3"/>
  <c r="K124" i="3" a="1"/>
  <c r="K124" i="3" s="1"/>
  <c r="M124" i="3" a="1"/>
  <c r="M124" i="3" s="1"/>
  <c r="AN87" i="4" s="1"/>
  <c r="S123" i="3"/>
  <c r="K123" i="3" a="1"/>
  <c r="K123" i="3" s="1"/>
  <c r="M123" i="3" a="1"/>
  <c r="M123" i="3" s="1"/>
  <c r="AN54" i="4" s="1"/>
  <c r="S122" i="3"/>
  <c r="K122" i="3" a="1"/>
  <c r="K122" i="3" s="1"/>
  <c r="M122" i="3" a="1"/>
  <c r="M122" i="3" s="1"/>
  <c r="AN22" i="4" s="1"/>
  <c r="S121" i="3"/>
  <c r="K121" i="3" a="1"/>
  <c r="K121" i="3" s="1"/>
  <c r="M121" i="3" a="1"/>
  <c r="M121" i="3" s="1"/>
  <c r="AN90" i="4" s="1"/>
  <c r="S120" i="3"/>
  <c r="K120" i="3" a="1"/>
  <c r="K120" i="3" s="1"/>
  <c r="M120" i="3" a="1"/>
  <c r="M120" i="3" s="1"/>
  <c r="AN101" i="4" s="1"/>
  <c r="H119" i="3" a="1"/>
  <c r="H119" i="3" s="1"/>
  <c r="S119" i="3"/>
  <c r="M119" i="3" a="1"/>
  <c r="M119" i="3" s="1"/>
  <c r="AN139" i="4" s="1"/>
  <c r="K119" i="3" a="1"/>
  <c r="K119" i="3" s="1"/>
  <c r="H118" i="3" a="1"/>
  <c r="H118" i="3" s="1"/>
  <c r="S118" i="3"/>
  <c r="M118" i="3" a="1"/>
  <c r="M118" i="3" s="1"/>
  <c r="AN15" i="4" s="1"/>
  <c r="K118" i="3" a="1"/>
  <c r="K118" i="3" s="1"/>
  <c r="S117" i="3"/>
  <c r="M117" i="3" a="1"/>
  <c r="M117" i="3" s="1"/>
  <c r="AN120" i="4" s="1"/>
  <c r="K117" i="3" a="1"/>
  <c r="K117" i="3" s="1"/>
  <c r="H116" i="3" a="1"/>
  <c r="H116" i="3" s="1"/>
  <c r="S116" i="3"/>
  <c r="M116" i="3" a="1"/>
  <c r="M116" i="3" s="1"/>
  <c r="AN38" i="4" s="1"/>
  <c r="K116" i="3" a="1"/>
  <c r="K116" i="3" s="1"/>
  <c r="H115" i="3" a="1"/>
  <c r="H115" i="3" s="1"/>
  <c r="S115" i="3"/>
  <c r="M115" i="3" a="1"/>
  <c r="M115" i="3" s="1"/>
  <c r="AN3" i="4" s="1"/>
  <c r="K115" i="3" a="1"/>
  <c r="K115" i="3" s="1"/>
  <c r="H114" i="3" a="1"/>
  <c r="H114" i="3" s="1"/>
  <c r="S114" i="3"/>
  <c r="M114" i="3" a="1"/>
  <c r="M114" i="3" s="1"/>
  <c r="AN126" i="4" s="1"/>
  <c r="K114" i="3" a="1"/>
  <c r="K114" i="3" s="1"/>
  <c r="H113" i="3" a="1"/>
  <c r="H113" i="3" s="1"/>
  <c r="S113" i="3"/>
  <c r="K113" i="3" a="1"/>
  <c r="K113" i="3" s="1"/>
  <c r="M113" i="3" a="1"/>
  <c r="M113" i="3" s="1"/>
  <c r="AN89" i="4" s="1"/>
  <c r="S112" i="3"/>
  <c r="K112" i="3" a="1"/>
  <c r="K112" i="3" s="1"/>
  <c r="M112" i="3" a="1"/>
  <c r="M112" i="3" s="1"/>
  <c r="AN103" i="4" s="1"/>
  <c r="H111" i="3" a="1"/>
  <c r="H111" i="3" s="1"/>
  <c r="S111" i="3"/>
  <c r="K111" i="3" a="1"/>
  <c r="K111" i="3" s="1"/>
  <c r="M111" i="3" a="1"/>
  <c r="M111" i="3" s="1"/>
  <c r="AN8" i="4" s="1"/>
  <c r="H110" i="3" a="1"/>
  <c r="H110" i="3" s="1"/>
  <c r="S110" i="3"/>
  <c r="K110" i="3" a="1"/>
  <c r="K110" i="3" s="1"/>
  <c r="M110" i="3" a="1"/>
  <c r="M110" i="3" s="1"/>
  <c r="AN50" i="4" s="1"/>
  <c r="S109" i="3"/>
  <c r="K109" i="3" a="1"/>
  <c r="K109" i="3" s="1"/>
  <c r="M109" i="3" a="1"/>
  <c r="M109" i="3" s="1"/>
  <c r="AN44" i="4" s="1"/>
  <c r="S108" i="3"/>
  <c r="K108" i="3" a="1"/>
  <c r="K108" i="3" s="1"/>
  <c r="M108" i="3" a="1"/>
  <c r="M108" i="3" s="1"/>
  <c r="AN48" i="4" s="1"/>
  <c r="S107" i="3"/>
  <c r="M107" i="3" a="1"/>
  <c r="M107" i="3" s="1"/>
  <c r="AN23" i="4" s="1"/>
  <c r="K107" i="3" a="1"/>
  <c r="K107" i="3" s="1"/>
  <c r="H106" i="3" a="1"/>
  <c r="H106" i="3" s="1"/>
  <c r="S106" i="3"/>
  <c r="M106" i="3" a="1"/>
  <c r="M106" i="3" s="1"/>
  <c r="AN116" i="4" s="1"/>
  <c r="K106" i="3" a="1"/>
  <c r="K106" i="3" s="1"/>
  <c r="H105" i="3" a="1"/>
  <c r="H105" i="3" s="1"/>
  <c r="S105" i="3"/>
  <c r="M105" i="3" a="1"/>
  <c r="M105" i="3" s="1"/>
  <c r="AN136" i="4" s="1"/>
  <c r="K105" i="3" a="1"/>
  <c r="K105" i="3" s="1"/>
  <c r="H104" i="3" a="1"/>
  <c r="H104" i="3" s="1"/>
  <c r="S104" i="3"/>
  <c r="M104" i="3" a="1"/>
  <c r="M104" i="3" s="1"/>
  <c r="AN75" i="4" s="1"/>
  <c r="K104" i="3" a="1"/>
  <c r="K104" i="3" s="1"/>
  <c r="S103" i="3"/>
  <c r="M103" i="3" a="1"/>
  <c r="M103" i="3" s="1"/>
  <c r="AN142" i="4" s="1"/>
  <c r="K103" i="3" a="1"/>
  <c r="K103" i="3" s="1"/>
  <c r="H102" i="3" a="1"/>
  <c r="H102" i="3" s="1"/>
  <c r="S102" i="3"/>
  <c r="K102" i="3" a="1"/>
  <c r="K102" i="3" s="1"/>
  <c r="M102" i="3" a="1"/>
  <c r="M102" i="3" s="1"/>
  <c r="AN58" i="4" s="1"/>
  <c r="S101" i="3"/>
  <c r="K101" i="3" a="1"/>
  <c r="K101" i="3" s="1"/>
  <c r="M101" i="3" a="1"/>
  <c r="M101" i="3" s="1"/>
  <c r="AN35" i="4" s="1"/>
  <c r="S100" i="3"/>
  <c r="K100" i="3" a="1"/>
  <c r="K100" i="3" s="1"/>
  <c r="M100" i="3" a="1"/>
  <c r="M100" i="3" s="1"/>
  <c r="AN94" i="4" s="1"/>
  <c r="S99" i="3"/>
  <c r="K99" i="3" a="1"/>
  <c r="K99" i="3" s="1"/>
  <c r="M99" i="3" a="1"/>
  <c r="M99" i="3" s="1"/>
  <c r="AN154" i="4" s="1"/>
  <c r="S98" i="3"/>
  <c r="K98" i="3" a="1"/>
  <c r="K98" i="3" s="1"/>
  <c r="M98" i="3" a="1"/>
  <c r="M98" i="3" s="1"/>
  <c r="AN153" i="4" s="1"/>
  <c r="H97" i="3" a="1"/>
  <c r="H97" i="3" s="1"/>
  <c r="S97" i="3"/>
  <c r="K97" i="3" a="1"/>
  <c r="K97" i="3" s="1"/>
  <c r="M97" i="3" a="1"/>
  <c r="M97" i="3" s="1"/>
  <c r="AN16" i="4" s="1"/>
  <c r="S96" i="3"/>
  <c r="M96" i="3" a="1"/>
  <c r="M96" i="3" s="1"/>
  <c r="AN21" i="4" s="1"/>
  <c r="K96" i="3" a="1"/>
  <c r="K96" i="3" s="1"/>
  <c r="S95" i="3"/>
  <c r="M95" i="3" a="1"/>
  <c r="M95" i="3" s="1"/>
  <c r="AN93" i="4" s="1"/>
  <c r="K95" i="3" a="1"/>
  <c r="K95" i="3" s="1"/>
  <c r="H94" i="3" a="1"/>
  <c r="H94" i="3" s="1"/>
  <c r="S94" i="3"/>
  <c r="M94" i="3" a="1"/>
  <c r="M94" i="3" s="1"/>
  <c r="AN92" i="4" s="1"/>
  <c r="K94" i="3" a="1"/>
  <c r="K94" i="3" s="1"/>
  <c r="S93" i="3"/>
  <c r="M93" i="3" a="1"/>
  <c r="M93" i="3" s="1"/>
  <c r="AN59" i="4" s="1"/>
  <c r="K93" i="3" a="1"/>
  <c r="K93" i="3" s="1"/>
  <c r="S92" i="3"/>
  <c r="K92" i="3" a="1"/>
  <c r="K92" i="3" s="1"/>
  <c r="M92" i="3" a="1"/>
  <c r="M92" i="3" s="1"/>
  <c r="AN28" i="4" s="1"/>
  <c r="S91" i="3"/>
  <c r="K91" i="3" a="1"/>
  <c r="K91" i="3" s="1"/>
  <c r="M91" i="3" a="1"/>
  <c r="M91" i="3" s="1"/>
  <c r="AN53" i="4" s="1"/>
  <c r="H138" i="3" a="1"/>
  <c r="H138" i="3" s="1"/>
  <c r="S138" i="3"/>
  <c r="M138" i="3" a="1"/>
  <c r="M138" i="3" s="1"/>
  <c r="AN141" i="4" s="1"/>
  <c r="K138" i="3" a="1"/>
  <c r="K138" i="3" s="1"/>
  <c r="S137" i="3"/>
  <c r="M137" i="3" a="1"/>
  <c r="M137" i="3" s="1"/>
  <c r="AN62" i="4" s="1"/>
  <c r="K137" i="3" a="1"/>
  <c r="K137" i="3" s="1"/>
  <c r="S136" i="3"/>
  <c r="M136" i="3" a="1"/>
  <c r="M136" i="3" s="1"/>
  <c r="AN152" i="4" s="1"/>
  <c r="K136" i="3" a="1"/>
  <c r="K136" i="3" s="1"/>
  <c r="S135" i="3"/>
  <c r="K135" i="3" a="1"/>
  <c r="K135" i="3" s="1"/>
  <c r="M135" i="3" a="1"/>
  <c r="M135" i="3" s="1"/>
  <c r="AN30" i="4" s="1"/>
  <c r="H134" i="3" a="1"/>
  <c r="H134" i="3" s="1"/>
  <c r="S134" i="3"/>
  <c r="K134" i="3" a="1"/>
  <c r="K134" i="3" s="1"/>
  <c r="M134" i="3" a="1"/>
  <c r="M134" i="3" s="1"/>
  <c r="AN13" i="4" s="1"/>
  <c r="H133" i="3" a="1"/>
  <c r="H133" i="3" s="1"/>
  <c r="S133" i="3"/>
  <c r="K133" i="3" a="1"/>
  <c r="K133" i="3" s="1"/>
  <c r="M133" i="3" a="1"/>
  <c r="M133" i="3" s="1"/>
  <c r="AN34" i="4" s="1"/>
  <c r="H132" i="3" a="1"/>
  <c r="H132" i="3" s="1"/>
  <c r="S132" i="3"/>
  <c r="K132" i="3" a="1"/>
  <c r="K132" i="3" s="1"/>
  <c r="M132" i="3" a="1"/>
  <c r="M132" i="3" s="1"/>
  <c r="AN63" i="4" s="1"/>
  <c r="S131" i="3"/>
  <c r="M131" i="3" a="1"/>
  <c r="M131" i="3" s="1"/>
  <c r="AN68" i="4" s="1"/>
  <c r="K131" i="3" a="1"/>
  <c r="K131" i="3" s="1"/>
  <c r="S130" i="3"/>
  <c r="M130" i="3" a="1"/>
  <c r="M130" i="3" s="1"/>
  <c r="AN24" i="4" s="1"/>
  <c r="K130" i="3" a="1"/>
  <c r="K130" i="3" s="1"/>
  <c r="S129" i="3"/>
  <c r="M129" i="3" a="1"/>
  <c r="M129" i="3" s="1"/>
  <c r="AN82" i="4" s="1"/>
  <c r="K129" i="3" a="1"/>
  <c r="K129" i="3" s="1"/>
  <c r="S128" i="3"/>
  <c r="M128" i="3" a="1"/>
  <c r="M128" i="3" s="1"/>
  <c r="AN6" i="4" s="1"/>
  <c r="K128" i="3" a="1"/>
  <c r="K128" i="3" s="1"/>
  <c r="H127" i="3" a="1"/>
  <c r="H127" i="3" s="1"/>
  <c r="S127" i="3"/>
  <c r="M127" i="3" a="1"/>
  <c r="M127" i="3" s="1"/>
  <c r="AN27" i="4" s="1"/>
  <c r="K127" i="3" a="1"/>
  <c r="K127" i="3" s="1"/>
  <c r="S126" i="3"/>
  <c r="M126" i="3" a="1"/>
  <c r="M126" i="3" s="1"/>
  <c r="AN118" i="4" s="1"/>
  <c r="K126" i="3" a="1"/>
  <c r="K126" i="3" s="1"/>
  <c r="L103" i="3"/>
  <c r="H103" i="3" a="1"/>
  <c r="H103" i="3" s="1"/>
  <c r="H91" i="3" a="1"/>
  <c r="H91" i="3" s="1"/>
  <c r="H131" i="3" a="1"/>
  <c r="H131" i="3" s="1"/>
  <c r="H101" i="3" a="1"/>
  <c r="H101" i="3" s="1"/>
  <c r="H130" i="3" a="1"/>
  <c r="H130" i="3" s="1"/>
  <c r="H125" i="3" a="1"/>
  <c r="H125" i="3" s="1"/>
  <c r="H124" i="3" a="1"/>
  <c r="H124" i="3" s="1"/>
  <c r="H112" i="3" a="1"/>
  <c r="H112" i="3" s="1"/>
  <c r="H100" i="3" a="1"/>
  <c r="H100" i="3" s="1"/>
  <c r="H129" i="3" a="1"/>
  <c r="H129" i="3" s="1"/>
  <c r="H123" i="3" a="1"/>
  <c r="H123" i="3" s="1"/>
  <c r="H99" i="3" a="1"/>
  <c r="H99" i="3" s="1"/>
  <c r="H128" i="3" a="1"/>
  <c r="H128" i="3" s="1"/>
  <c r="H98" i="3" a="1"/>
  <c r="H98" i="3" s="1"/>
  <c r="H122" i="3" a="1"/>
  <c r="H122" i="3" s="1"/>
  <c r="H109" i="3" a="1"/>
  <c r="H109" i="3" s="1"/>
  <c r="H126" i="3" a="1"/>
  <c r="H126" i="3" s="1"/>
  <c r="H120" i="3" a="1"/>
  <c r="H120" i="3" s="1"/>
  <c r="H108" i="3" a="1"/>
  <c r="H108" i="3" s="1"/>
  <c r="H96" i="3" a="1"/>
  <c r="H96" i="3" s="1"/>
  <c r="D134" i="4"/>
  <c r="H137" i="3" a="1"/>
  <c r="H137" i="3" s="1"/>
  <c r="H121" i="3" a="1"/>
  <c r="H121" i="3" s="1"/>
  <c r="H107" i="3" a="1"/>
  <c r="H107" i="3" s="1"/>
  <c r="H95" i="3" a="1"/>
  <c r="H95" i="3" s="1"/>
  <c r="H136" i="3" a="1"/>
  <c r="H136" i="3" s="1"/>
  <c r="H135" i="3" a="1"/>
  <c r="H135" i="3" s="1"/>
  <c r="H117" i="3" a="1"/>
  <c r="H117" i="3" s="1"/>
  <c r="H93" i="3" a="1"/>
  <c r="H93" i="3" s="1"/>
  <c r="H92" i="3" a="1"/>
  <c r="H92" i="3" s="1"/>
  <c r="L138" i="3"/>
  <c r="D66" i="4"/>
  <c r="L97" i="3"/>
  <c r="L137" i="3"/>
  <c r="O367" i="1"/>
  <c r="L127" i="3"/>
  <c r="O512" i="1"/>
  <c r="O603" i="1"/>
  <c r="L130" i="3"/>
  <c r="O555" i="1"/>
  <c r="O435" i="1"/>
  <c r="O283" i="1"/>
  <c r="L116" i="3"/>
  <c r="O236" i="1"/>
  <c r="L113" i="3"/>
  <c r="O221" i="1"/>
  <c r="L129" i="3"/>
  <c r="O175" i="1"/>
  <c r="O162" i="1"/>
  <c r="O127" i="1"/>
  <c r="L110" i="3"/>
  <c r="O110" i="1"/>
  <c r="O30" i="1"/>
  <c r="L94" i="3"/>
  <c r="O14" i="1"/>
  <c r="O212" i="1"/>
  <c r="O782" i="1"/>
  <c r="O556" i="1"/>
  <c r="O498" i="1"/>
  <c r="L120" i="3"/>
  <c r="O483" i="1"/>
  <c r="O388" i="1"/>
  <c r="O374" i="1"/>
  <c r="L112" i="3"/>
  <c r="O349" i="1"/>
  <c r="L134" i="3"/>
  <c r="O293" i="1"/>
  <c r="L121" i="3"/>
  <c r="O241" i="1"/>
  <c r="O135" i="1"/>
  <c r="O124" i="1"/>
  <c r="L108" i="3"/>
  <c r="O55" i="1"/>
  <c r="O10" i="1"/>
  <c r="L111" i="3"/>
  <c r="O455" i="1"/>
  <c r="O240" i="1"/>
  <c r="O198" i="1"/>
  <c r="L118" i="3"/>
  <c r="O82" i="1"/>
  <c r="L126" i="3"/>
  <c r="O626" i="1"/>
  <c r="O177" i="1"/>
  <c r="O125" i="1"/>
  <c r="O800" i="1"/>
  <c r="L125" i="3"/>
  <c r="O754" i="1"/>
  <c r="O554" i="1"/>
  <c r="O345" i="1"/>
  <c r="O267" i="1"/>
  <c r="L106" i="3"/>
  <c r="O196" i="1"/>
  <c r="O92" i="1"/>
  <c r="O32" i="1"/>
  <c r="L124" i="3"/>
  <c r="O11" i="1"/>
  <c r="L114" i="3"/>
  <c r="O621" i="1"/>
  <c r="O506" i="1"/>
  <c r="O269" i="1"/>
  <c r="L98" i="3"/>
  <c r="O203" i="1"/>
  <c r="O20" i="1"/>
  <c r="O753" i="1"/>
  <c r="O412" i="1"/>
  <c r="O393" i="1"/>
  <c r="O324" i="1"/>
  <c r="O199" i="1"/>
  <c r="O130" i="1"/>
  <c r="O101" i="1"/>
  <c r="L95" i="3"/>
  <c r="O90" i="1"/>
  <c r="L99" i="3"/>
  <c r="O52" i="1"/>
  <c r="L104" i="3"/>
  <c r="O33" i="1"/>
  <c r="O7" i="1"/>
  <c r="L96" i="3"/>
  <c r="O628" i="1"/>
  <c r="O612" i="1"/>
  <c r="O524" i="1"/>
  <c r="O394" i="1"/>
  <c r="O261" i="1"/>
  <c r="O115" i="1"/>
  <c r="O29" i="1"/>
  <c r="L92" i="3"/>
  <c r="O19" i="1"/>
  <c r="O548" i="1"/>
  <c r="O297" i="1"/>
  <c r="O220" i="1"/>
  <c r="O202" i="1"/>
  <c r="L133" i="3"/>
  <c r="O180" i="1"/>
  <c r="T155" i="3" s="1"/>
  <c r="U155" i="3" s="1"/>
  <c r="AP155" i="4" s="1"/>
  <c r="O54" i="1"/>
  <c r="V141" i="3" s="1"/>
  <c r="W141" i="3" s="1"/>
  <c r="AQ25" i="4" s="1"/>
  <c r="L117" i="3"/>
  <c r="O28" i="1"/>
  <c r="O822" i="1"/>
  <c r="O416" i="1"/>
  <c r="O830" i="1"/>
  <c r="O546" i="1"/>
  <c r="O427" i="1"/>
  <c r="L101" i="3"/>
  <c r="O380" i="1"/>
  <c r="O253" i="1"/>
  <c r="V144" i="3" s="1"/>
  <c r="W144" i="3" s="1"/>
  <c r="AQ135" i="4" s="1"/>
  <c r="O230" i="1"/>
  <c r="O214" i="1"/>
  <c r="O187" i="1"/>
  <c r="O168" i="1"/>
  <c r="L123" i="3"/>
  <c r="O94" i="1"/>
  <c r="O57" i="1"/>
  <c r="O25" i="1"/>
  <c r="L100" i="3"/>
  <c r="L136" i="3"/>
  <c r="O708" i="1"/>
  <c r="L107" i="3"/>
  <c r="L105" i="3"/>
  <c r="O620" i="1"/>
  <c r="L131" i="3"/>
  <c r="O570" i="1"/>
  <c r="O552" i="1"/>
  <c r="O452" i="1"/>
  <c r="O404" i="1"/>
  <c r="L132" i="3"/>
  <c r="O386" i="1"/>
  <c r="O352" i="1"/>
  <c r="O215" i="1"/>
  <c r="O206" i="1"/>
  <c r="L93" i="3"/>
  <c r="O191" i="1"/>
  <c r="O153" i="1"/>
  <c r="O24" i="1"/>
  <c r="O277" i="1"/>
  <c r="O219" i="1"/>
  <c r="L122" i="3"/>
  <c r="O170" i="1"/>
  <c r="L91" i="3"/>
  <c r="O104" i="1"/>
  <c r="O619" i="1"/>
  <c r="O517" i="1"/>
  <c r="L135" i="3"/>
  <c r="O402" i="1"/>
  <c r="O353" i="1"/>
  <c r="L119" i="3"/>
  <c r="O276" i="1"/>
  <c r="O109" i="1"/>
  <c r="O27" i="1"/>
  <c r="O35" i="1"/>
  <c r="O625" i="1"/>
  <c r="O368" i="1"/>
  <c r="O306" i="1"/>
  <c r="O250" i="1"/>
  <c r="O222" i="1"/>
  <c r="O113" i="1"/>
  <c r="O84" i="1"/>
  <c r="L128" i="3"/>
  <c r="O59" i="1"/>
  <c r="L102" i="3"/>
  <c r="O43" i="1"/>
  <c r="L109" i="3"/>
  <c r="O26" i="1"/>
  <c r="L115" i="3"/>
  <c r="R114" i="3"/>
  <c r="R133" i="3"/>
  <c r="R113" i="3"/>
  <c r="R132" i="3"/>
  <c r="R116" i="3"/>
  <c r="R103" i="3"/>
  <c r="R104" i="3"/>
  <c r="R134" i="3"/>
  <c r="R102" i="3"/>
  <c r="R111" i="3"/>
  <c r="R110" i="3"/>
  <c r="J137" i="3"/>
  <c r="Q134" i="4" s="1"/>
  <c r="N134" i="4" s="1"/>
  <c r="E127" i="3"/>
  <c r="R105" i="3"/>
  <c r="R115" i="3"/>
  <c r="R119" i="3"/>
  <c r="R138" i="3"/>
  <c r="R118" i="3"/>
  <c r="R106" i="3"/>
  <c r="R94" i="3"/>
  <c r="Q121" i="3"/>
  <c r="AE90" i="4" s="1"/>
  <c r="R121" i="3"/>
  <c r="Q122" i="3"/>
  <c r="AE22" i="4" s="1"/>
  <c r="R122" i="3"/>
  <c r="Q108" i="3"/>
  <c r="AE48" i="4" s="1"/>
  <c r="R108" i="3"/>
  <c r="O129" i="3"/>
  <c r="AC82" i="4" s="1"/>
  <c r="R129" i="3"/>
  <c r="O127" i="3"/>
  <c r="AC27" i="4" s="1"/>
  <c r="R127" i="3"/>
  <c r="N126" i="3"/>
  <c r="AB118" i="4" s="1"/>
  <c r="R126" i="3"/>
  <c r="Q97" i="3"/>
  <c r="AE16" i="4" s="1"/>
  <c r="R97" i="3"/>
  <c r="Q107" i="3"/>
  <c r="AE23" i="4" s="1"/>
  <c r="R107" i="3"/>
  <c r="O117" i="3"/>
  <c r="AC120" i="4" s="1"/>
  <c r="R117" i="3"/>
  <c r="O93" i="3"/>
  <c r="AC59" i="4" s="1"/>
  <c r="R93" i="3"/>
  <c r="P137" i="3"/>
  <c r="AD62" i="4" s="1"/>
  <c r="R137" i="3"/>
  <c r="O92" i="3"/>
  <c r="AC28" i="4" s="1"/>
  <c r="R92" i="3"/>
  <c r="N136" i="3"/>
  <c r="AB152" i="4" s="1"/>
  <c r="R136" i="3"/>
  <c r="O128" i="3"/>
  <c r="AC6" i="4" s="1"/>
  <c r="R128" i="3"/>
  <c r="O91" i="3"/>
  <c r="AC53" i="4" s="1"/>
  <c r="R91" i="3"/>
  <c r="N135" i="3"/>
  <c r="AB30" i="4" s="1"/>
  <c r="R135" i="3"/>
  <c r="Q109" i="3"/>
  <c r="AE44" i="4" s="1"/>
  <c r="R109" i="3"/>
  <c r="G130" i="3"/>
  <c r="S124" i="4" s="1"/>
  <c r="M124" i="4" s="1"/>
  <c r="R130" i="3"/>
  <c r="P101" i="3"/>
  <c r="AD35" i="4" s="1"/>
  <c r="R101" i="3"/>
  <c r="Q96" i="3"/>
  <c r="AE21" i="4" s="1"/>
  <c r="R96" i="3"/>
  <c r="Q95" i="3"/>
  <c r="AE93" i="4" s="1"/>
  <c r="R95" i="3"/>
  <c r="P125" i="3"/>
  <c r="AD138" i="4" s="1"/>
  <c r="R125" i="3"/>
  <c r="P112" i="3"/>
  <c r="AD103" i="4" s="1"/>
  <c r="R112" i="3"/>
  <c r="P100" i="3"/>
  <c r="AD94" i="4" s="1"/>
  <c r="R100" i="3"/>
  <c r="Q98" i="3"/>
  <c r="AE153" i="4" s="1"/>
  <c r="R98" i="3"/>
  <c r="Q120" i="3"/>
  <c r="AE101" i="4" s="1"/>
  <c r="R120" i="3"/>
  <c r="P124" i="3"/>
  <c r="AD87" i="4" s="1"/>
  <c r="R124" i="3"/>
  <c r="P123" i="3"/>
  <c r="AD54" i="4" s="1"/>
  <c r="R123" i="3"/>
  <c r="P99" i="3"/>
  <c r="AD154" i="4" s="1"/>
  <c r="R99" i="3"/>
  <c r="Q131" i="3"/>
  <c r="AE68" i="4" s="1"/>
  <c r="R131" i="3"/>
  <c r="P126" i="3"/>
  <c r="AD118" i="4" s="1"/>
  <c r="Q132" i="3"/>
  <c r="AE63" i="4" s="1"/>
  <c r="P136" i="3"/>
  <c r="AD152" i="4" s="1"/>
  <c r="P135" i="3"/>
  <c r="AD30" i="4" s="1"/>
  <c r="N118" i="3"/>
  <c r="AB15" i="4" s="1"/>
  <c r="P118" i="3"/>
  <c r="AD15" i="4" s="1"/>
  <c r="Q118" i="3"/>
  <c r="AE15" i="4" s="1"/>
  <c r="N106" i="3"/>
  <c r="AB116" i="4" s="1"/>
  <c r="P106" i="3"/>
  <c r="AD116" i="4" s="1"/>
  <c r="Q106" i="3"/>
  <c r="AE116" i="4" s="1"/>
  <c r="N94" i="3"/>
  <c r="AB92" i="4" s="1"/>
  <c r="P94" i="3"/>
  <c r="AD92" i="4" s="1"/>
  <c r="Q94" i="3"/>
  <c r="AE92" i="4" s="1"/>
  <c r="N133" i="3"/>
  <c r="AB34" i="4" s="1"/>
  <c r="O133" i="3"/>
  <c r="AC34" i="4" s="1"/>
  <c r="P133" i="3"/>
  <c r="AD34" i="4" s="1"/>
  <c r="N115" i="3"/>
  <c r="AB3" i="4" s="1"/>
  <c r="P115" i="3"/>
  <c r="AD3" i="4" s="1"/>
  <c r="Q115" i="3"/>
  <c r="AE3" i="4" s="1"/>
  <c r="P103" i="3"/>
  <c r="AD142" i="4" s="1"/>
  <c r="Q103" i="3"/>
  <c r="AE142" i="4" s="1"/>
  <c r="N91" i="3"/>
  <c r="AB53" i="4" s="1"/>
  <c r="P91" i="3"/>
  <c r="AD53" i="4" s="1"/>
  <c r="Q91" i="3"/>
  <c r="AE53" i="4" s="1"/>
  <c r="G131" i="3"/>
  <c r="S149" i="4" s="1"/>
  <c r="M149" i="4" s="1"/>
  <c r="N130" i="3"/>
  <c r="AB24" i="4" s="1"/>
  <c r="P130" i="3"/>
  <c r="AD24" i="4" s="1"/>
  <c r="Q130" i="3"/>
  <c r="AE24" i="4" s="1"/>
  <c r="Q133" i="3"/>
  <c r="AE34" i="4" s="1"/>
  <c r="P116" i="3"/>
  <c r="AD38" i="4" s="1"/>
  <c r="Q116" i="3"/>
  <c r="AE38" i="4" s="1"/>
  <c r="N104" i="3"/>
  <c r="AB75" i="4" s="1"/>
  <c r="P104" i="3"/>
  <c r="AD75" i="4" s="1"/>
  <c r="Q104" i="3"/>
  <c r="AE75" i="4" s="1"/>
  <c r="N129" i="3"/>
  <c r="AB82" i="4" s="1"/>
  <c r="P129" i="3"/>
  <c r="AD82" i="4" s="1"/>
  <c r="Q129" i="3"/>
  <c r="AE82" i="4" s="1"/>
  <c r="O116" i="3"/>
  <c r="AC38" i="4" s="1"/>
  <c r="N125" i="3"/>
  <c r="AB138" i="4" s="1"/>
  <c r="Q125" i="3"/>
  <c r="AE138" i="4" s="1"/>
  <c r="O125" i="3"/>
  <c r="AC138" i="4" s="1"/>
  <c r="N113" i="3"/>
  <c r="AB89" i="4" s="1"/>
  <c r="Q113" i="3"/>
  <c r="AE89" i="4" s="1"/>
  <c r="O113" i="3"/>
  <c r="AC89" i="4" s="1"/>
  <c r="N101" i="3"/>
  <c r="AB35" i="4" s="1"/>
  <c r="Q101" i="3"/>
  <c r="AE35" i="4" s="1"/>
  <c r="O101" i="3"/>
  <c r="AC35" i="4" s="1"/>
  <c r="E129" i="3"/>
  <c r="N128" i="3"/>
  <c r="AB6" i="4" s="1"/>
  <c r="P128" i="3"/>
  <c r="AD6" i="4" s="1"/>
  <c r="Q128" i="3"/>
  <c r="AE6" i="4" s="1"/>
  <c r="O115" i="3"/>
  <c r="AC3" i="4" s="1"/>
  <c r="N114" i="3"/>
  <c r="AB126" i="4" s="1"/>
  <c r="Q114" i="3"/>
  <c r="AE126" i="4" s="1"/>
  <c r="O114" i="3"/>
  <c r="AC126" i="4" s="1"/>
  <c r="N100" i="3"/>
  <c r="AB94" i="4" s="1"/>
  <c r="Q100" i="3"/>
  <c r="AE94" i="4" s="1"/>
  <c r="O100" i="3"/>
  <c r="AC94" i="4" s="1"/>
  <c r="N127" i="3"/>
  <c r="AB27" i="4" s="1"/>
  <c r="P127" i="3"/>
  <c r="AD27" i="4" s="1"/>
  <c r="Q127" i="3"/>
  <c r="AE27" i="4" s="1"/>
  <c r="O106" i="3"/>
  <c r="AC116" i="4" s="1"/>
  <c r="P114" i="3"/>
  <c r="AD126" i="4" s="1"/>
  <c r="N117" i="3"/>
  <c r="AB120" i="4" s="1"/>
  <c r="P117" i="3"/>
  <c r="AD120" i="4" s="1"/>
  <c r="Q117" i="3"/>
  <c r="AE120" i="4" s="1"/>
  <c r="N105" i="3"/>
  <c r="AB136" i="4" s="1"/>
  <c r="P105" i="3"/>
  <c r="AD136" i="4" s="1"/>
  <c r="Q105" i="3"/>
  <c r="AE136" i="4" s="1"/>
  <c r="P93" i="3"/>
  <c r="AD59" i="4" s="1"/>
  <c r="Q93" i="3"/>
  <c r="AE59" i="4" s="1"/>
  <c r="N111" i="3"/>
  <c r="AB8" i="4" s="1"/>
  <c r="Q111" i="3"/>
  <c r="AE8" i="4" s="1"/>
  <c r="O111" i="3"/>
  <c r="AC8" i="4" s="1"/>
  <c r="N99" i="3"/>
  <c r="AB154" i="4" s="1"/>
  <c r="Q99" i="3"/>
  <c r="AE154" i="4" s="1"/>
  <c r="O99" i="3"/>
  <c r="AC154" i="4" s="1"/>
  <c r="N138" i="3"/>
  <c r="AB141" i="4" s="1"/>
  <c r="Q138" i="3"/>
  <c r="AE141" i="4" s="1"/>
  <c r="O138" i="3"/>
  <c r="AC141" i="4" s="1"/>
  <c r="O105" i="3"/>
  <c r="AC136" i="4" s="1"/>
  <c r="P113" i="3"/>
  <c r="AD89" i="4" s="1"/>
  <c r="N119" i="3"/>
  <c r="AB139" i="4" s="1"/>
  <c r="O119" i="3"/>
  <c r="AC139" i="4" s="1"/>
  <c r="P119" i="3"/>
  <c r="AD139" i="4" s="1"/>
  <c r="N107" i="3"/>
  <c r="AB23" i="4" s="1"/>
  <c r="O107" i="3"/>
  <c r="AC23" i="4" s="1"/>
  <c r="P107" i="3"/>
  <c r="AD23" i="4" s="1"/>
  <c r="N95" i="3"/>
  <c r="AB93" i="4" s="1"/>
  <c r="O95" i="3"/>
  <c r="AC93" i="4" s="1"/>
  <c r="P95" i="3"/>
  <c r="AD93" i="4" s="1"/>
  <c r="N134" i="3"/>
  <c r="AB13" i="4" s="1"/>
  <c r="O134" i="3"/>
  <c r="AC13" i="4" s="1"/>
  <c r="P134" i="3"/>
  <c r="AD13" i="4" s="1"/>
  <c r="N102" i="3"/>
  <c r="AB58" i="4" s="1"/>
  <c r="Q102" i="3"/>
  <c r="AE58" i="4" s="1"/>
  <c r="O102" i="3"/>
  <c r="AC58" i="4" s="1"/>
  <c r="N123" i="3"/>
  <c r="AB54" i="4" s="1"/>
  <c r="Q123" i="3"/>
  <c r="AE54" i="4" s="1"/>
  <c r="O123" i="3"/>
  <c r="AC54" i="4" s="1"/>
  <c r="N98" i="3"/>
  <c r="AB153" i="4" s="1"/>
  <c r="O98" i="3"/>
  <c r="AC153" i="4" s="1"/>
  <c r="P98" i="3"/>
  <c r="AD153" i="4" s="1"/>
  <c r="N137" i="3"/>
  <c r="AB62" i="4" s="1"/>
  <c r="Q137" i="3"/>
  <c r="AE62" i="4" s="1"/>
  <c r="O137" i="3"/>
  <c r="AC62" i="4" s="1"/>
  <c r="O104" i="3"/>
  <c r="AC75" i="4" s="1"/>
  <c r="N92" i="3"/>
  <c r="AB28" i="4" s="1"/>
  <c r="P92" i="3"/>
  <c r="AD28" i="4" s="1"/>
  <c r="Q92" i="3"/>
  <c r="AE28" i="4" s="1"/>
  <c r="N124" i="3"/>
  <c r="AB87" i="4" s="1"/>
  <c r="Q124" i="3"/>
  <c r="AE87" i="4" s="1"/>
  <c r="O124" i="3"/>
  <c r="AC87" i="4" s="1"/>
  <c r="N122" i="3"/>
  <c r="AB22" i="4" s="1"/>
  <c r="O122" i="3"/>
  <c r="AC22" i="4" s="1"/>
  <c r="P122" i="3"/>
  <c r="AD22" i="4" s="1"/>
  <c r="N121" i="3"/>
  <c r="AB90" i="4" s="1"/>
  <c r="O121" i="3"/>
  <c r="AC90" i="4" s="1"/>
  <c r="P121" i="3"/>
  <c r="AD90" i="4" s="1"/>
  <c r="N109" i="3"/>
  <c r="AB44" i="4" s="1"/>
  <c r="O109" i="3"/>
  <c r="AC44" i="4" s="1"/>
  <c r="P109" i="3"/>
  <c r="AD44" i="4" s="1"/>
  <c r="N97" i="3"/>
  <c r="AB16" i="4" s="1"/>
  <c r="O97" i="3"/>
  <c r="AC16" i="4" s="1"/>
  <c r="P97" i="3"/>
  <c r="AD16" i="4" s="1"/>
  <c r="O103" i="3"/>
  <c r="AC142" i="4" s="1"/>
  <c r="P111" i="3"/>
  <c r="AD8" i="4" s="1"/>
  <c r="Q119" i="3"/>
  <c r="AE139" i="4" s="1"/>
  <c r="O131" i="3"/>
  <c r="AC68" i="4" s="1"/>
  <c r="P131" i="3"/>
  <c r="AD68" i="4" s="1"/>
  <c r="O118" i="3"/>
  <c r="AC15" i="4" s="1"/>
  <c r="Q134" i="3"/>
  <c r="AE13" i="4" s="1"/>
  <c r="N112" i="3"/>
  <c r="AB103" i="4" s="1"/>
  <c r="Q112" i="3"/>
  <c r="AE103" i="4" s="1"/>
  <c r="O112" i="3"/>
  <c r="AC103" i="4" s="1"/>
  <c r="N110" i="3"/>
  <c r="AB50" i="4" s="1"/>
  <c r="O110" i="3"/>
  <c r="AC50" i="4" s="1"/>
  <c r="P110" i="3"/>
  <c r="AD50" i="4" s="1"/>
  <c r="N120" i="3"/>
  <c r="AB101" i="4" s="1"/>
  <c r="O120" i="3"/>
  <c r="AC101" i="4" s="1"/>
  <c r="P120" i="3"/>
  <c r="AD101" i="4" s="1"/>
  <c r="N108" i="3"/>
  <c r="AB48" i="4" s="1"/>
  <c r="O108" i="3"/>
  <c r="AC48" i="4" s="1"/>
  <c r="P108" i="3"/>
  <c r="AD48" i="4" s="1"/>
  <c r="N96" i="3"/>
  <c r="AB21" i="4" s="1"/>
  <c r="O96" i="3"/>
  <c r="AC21" i="4" s="1"/>
  <c r="P96" i="3"/>
  <c r="AD21" i="4" s="1"/>
  <c r="O130" i="3"/>
  <c r="AC24" i="4" s="1"/>
  <c r="O94" i="3"/>
  <c r="AC92" i="4" s="1"/>
  <c r="P138" i="3"/>
  <c r="AD141" i="4" s="1"/>
  <c r="P102" i="3"/>
  <c r="AD58" i="4" s="1"/>
  <c r="Q110" i="3"/>
  <c r="AE50" i="4" s="1"/>
  <c r="O126" i="3"/>
  <c r="AC118" i="4" s="1"/>
  <c r="O136" i="3"/>
  <c r="AC152" i="4" s="1"/>
  <c r="P132" i="3"/>
  <c r="AD63" i="4" s="1"/>
  <c r="O135" i="3"/>
  <c r="AC30" i="4" s="1"/>
  <c r="Q126" i="3"/>
  <c r="AE118" i="4" s="1"/>
  <c r="O132" i="3"/>
  <c r="AC63" i="4" s="1"/>
  <c r="Q136" i="3"/>
  <c r="AE152" i="4" s="1"/>
  <c r="Q135" i="3"/>
  <c r="AE30" i="4" s="1"/>
  <c r="N116" i="3"/>
  <c r="AB38" i="4" s="1"/>
  <c r="N103" i="3"/>
  <c r="AB142" i="4" s="1"/>
  <c r="N93" i="3"/>
  <c r="AB59" i="4" s="1"/>
  <c r="N132" i="3"/>
  <c r="AB63" i="4" s="1"/>
  <c r="N131" i="3"/>
  <c r="AB68" i="4" s="1"/>
  <c r="G137" i="3"/>
  <c r="S134" i="4" s="1"/>
  <c r="M134" i="4" s="1"/>
  <c r="F135" i="3"/>
  <c r="T130" i="4" s="1"/>
  <c r="I137" i="3"/>
  <c r="R134" i="4" s="1"/>
  <c r="E136" i="3"/>
  <c r="G133" i="3"/>
  <c r="S4" i="4" s="1"/>
  <c r="M4" i="4" s="1"/>
  <c r="G134" i="3"/>
  <c r="S18" i="4" s="1"/>
  <c r="M18" i="4" s="1"/>
  <c r="I133" i="3"/>
  <c r="R4" i="4" s="1"/>
  <c r="J132" i="3"/>
  <c r="Q78" i="4" s="1"/>
  <c r="N78" i="4" s="1"/>
  <c r="F137" i="3"/>
  <c r="T134" i="4" s="1"/>
  <c r="G121" i="3"/>
  <c r="G109" i="3"/>
  <c r="G97" i="3"/>
  <c r="E137" i="3"/>
  <c r="D54" i="4"/>
  <c r="E126" i="3"/>
  <c r="J134" i="3"/>
  <c r="Q18" i="4" s="1"/>
  <c r="N18" i="4" s="1"/>
  <c r="J133" i="3"/>
  <c r="Q4" i="4" s="1"/>
  <c r="N4" i="4" s="1"/>
  <c r="F136" i="3"/>
  <c r="T41" i="4" s="1"/>
  <c r="F134" i="3"/>
  <c r="T18" i="4" s="1"/>
  <c r="J136" i="3"/>
  <c r="Q41" i="4" s="1"/>
  <c r="N41" i="4" s="1"/>
  <c r="I136" i="3"/>
  <c r="R41" i="4" s="1"/>
  <c r="I135" i="3"/>
  <c r="R130" i="4" s="1"/>
  <c r="I134" i="3"/>
  <c r="R18" i="4" s="1"/>
  <c r="J135" i="3"/>
  <c r="Q130" i="4" s="1"/>
  <c r="N130" i="4" s="1"/>
  <c r="G136" i="3"/>
  <c r="S41" i="4" s="1"/>
  <c r="M41" i="4" s="1"/>
  <c r="J138" i="3"/>
  <c r="Q66" i="4" s="1"/>
  <c r="N66" i="4" s="1"/>
  <c r="G135" i="3"/>
  <c r="S130" i="4" s="1"/>
  <c r="M130" i="4" s="1"/>
  <c r="G127" i="3"/>
  <c r="S49" i="4" s="1"/>
  <c r="M49" i="4" s="1"/>
  <c r="G126" i="3"/>
  <c r="S25" i="4" s="1"/>
  <c r="M25" i="4" s="1"/>
  <c r="I128" i="3"/>
  <c r="R86" i="4" s="1"/>
  <c r="F138" i="3"/>
  <c r="T66" i="4" s="1"/>
  <c r="I127" i="3"/>
  <c r="R49" i="4" s="1"/>
  <c r="I126" i="3"/>
  <c r="R25" i="4" s="1"/>
  <c r="G138" i="3"/>
  <c r="S66" i="4" s="1"/>
  <c r="M66" i="4" s="1"/>
  <c r="J128" i="3"/>
  <c r="Q86" i="4" s="1"/>
  <c r="N86" i="4" s="1"/>
  <c r="F127" i="3"/>
  <c r="T49" i="4" s="1"/>
  <c r="J127" i="3"/>
  <c r="Q49" i="4" s="1"/>
  <c r="N49" i="4" s="1"/>
  <c r="F126" i="3"/>
  <c r="T25" i="4" s="1"/>
  <c r="J126" i="3"/>
  <c r="Q25" i="4" s="1"/>
  <c r="N25" i="4" s="1"/>
  <c r="I138" i="3"/>
  <c r="R66" i="4" s="1"/>
  <c r="J131" i="3"/>
  <c r="Q149" i="4" s="1"/>
  <c r="N149" i="4" s="1"/>
  <c r="I130" i="3"/>
  <c r="R124" i="4" s="1"/>
  <c r="E131" i="3"/>
  <c r="X149" i="4" s="1"/>
  <c r="J130" i="3"/>
  <c r="Q124" i="4" s="1"/>
  <c r="N124" i="4" s="1"/>
  <c r="I131" i="3"/>
  <c r="R149" i="4" s="1"/>
  <c r="I132" i="3"/>
  <c r="R78" i="4" s="1"/>
  <c r="F131" i="3"/>
  <c r="T149" i="4" s="1"/>
  <c r="F130" i="3"/>
  <c r="T124" i="4" s="1"/>
  <c r="F128" i="3"/>
  <c r="T86" i="4" s="1"/>
  <c r="D130" i="4"/>
  <c r="E138" i="3"/>
  <c r="D4" i="4"/>
  <c r="D78" i="4"/>
  <c r="D149" i="4"/>
  <c r="D135" i="4"/>
  <c r="D86" i="4"/>
  <c r="G129" i="3"/>
  <c r="S135" i="4" s="1"/>
  <c r="M135" i="4" s="1"/>
  <c r="J129" i="3"/>
  <c r="Q135" i="4" s="1"/>
  <c r="N135" i="4" s="1"/>
  <c r="I129" i="3"/>
  <c r="R135" i="4" s="1"/>
  <c r="E135" i="3"/>
  <c r="D41" i="4"/>
  <c r="G132" i="3"/>
  <c r="S78" i="4" s="1"/>
  <c r="M78" i="4" s="1"/>
  <c r="F133" i="3"/>
  <c r="T4" i="4" s="1"/>
  <c r="E134" i="3"/>
  <c r="F132" i="3"/>
  <c r="T78" i="4" s="1"/>
  <c r="E133" i="3"/>
  <c r="E132" i="3"/>
  <c r="G128" i="3"/>
  <c r="S86" i="4" s="1"/>
  <c r="M86" i="4" s="1"/>
  <c r="F129" i="3"/>
  <c r="T135" i="4" s="1"/>
  <c r="E130" i="3"/>
  <c r="E128" i="3"/>
  <c r="E114" i="3"/>
  <c r="J114" i="3"/>
  <c r="J102" i="3"/>
  <c r="J91" i="3"/>
  <c r="I114" i="3"/>
  <c r="I102" i="3"/>
  <c r="G114" i="3"/>
  <c r="E102" i="3"/>
  <c r="G102" i="3"/>
  <c r="F114" i="3"/>
  <c r="F103" i="3"/>
  <c r="F102" i="3"/>
  <c r="I104" i="3"/>
  <c r="E104" i="3"/>
  <c r="E105" i="3"/>
  <c r="I103" i="3"/>
  <c r="G117" i="3"/>
  <c r="J117" i="3"/>
  <c r="F116" i="3"/>
  <c r="J116" i="3"/>
  <c r="G116" i="3"/>
  <c r="I120" i="3"/>
  <c r="I108" i="3"/>
  <c r="I96" i="3"/>
  <c r="F96" i="3"/>
  <c r="G120" i="3"/>
  <c r="I116" i="3"/>
  <c r="I94" i="3"/>
  <c r="G104" i="3"/>
  <c r="E92" i="3"/>
  <c r="F105" i="3"/>
  <c r="J115" i="3"/>
  <c r="I117" i="3"/>
  <c r="I95" i="3"/>
  <c r="G105" i="3"/>
  <c r="J105" i="3"/>
  <c r="I115" i="3"/>
  <c r="I93" i="3"/>
  <c r="G103" i="3"/>
  <c r="G106" i="3"/>
  <c r="F104" i="3"/>
  <c r="J104" i="3"/>
  <c r="I92" i="3"/>
  <c r="F95" i="3"/>
  <c r="I118" i="3"/>
  <c r="E93" i="3"/>
  <c r="J103" i="3"/>
  <c r="I91" i="3"/>
  <c r="G93" i="3"/>
  <c r="F94" i="3"/>
  <c r="I107" i="3"/>
  <c r="G92" i="3"/>
  <c r="F93" i="3"/>
  <c r="I119" i="3"/>
  <c r="J93" i="3"/>
  <c r="I106" i="3"/>
  <c r="G119" i="3"/>
  <c r="G91" i="3"/>
  <c r="F92" i="3"/>
  <c r="J92" i="3"/>
  <c r="I105" i="3"/>
  <c r="G118" i="3"/>
  <c r="F117" i="3"/>
  <c r="F91" i="3"/>
  <c r="G115" i="3"/>
  <c r="F115" i="3"/>
  <c r="E118" i="3"/>
  <c r="X34" i="4" s="1"/>
  <c r="E117" i="3"/>
  <c r="F111" i="3"/>
  <c r="E116" i="3"/>
  <c r="J99" i="3"/>
  <c r="G124" i="3"/>
  <c r="S122" i="4" s="1"/>
  <c r="M122" i="4" s="1"/>
  <c r="G123" i="3"/>
  <c r="J123" i="3"/>
  <c r="I100" i="3"/>
  <c r="I124" i="3"/>
  <c r="R122" i="4" s="1"/>
  <c r="I111" i="3"/>
  <c r="I98" i="3"/>
  <c r="J112" i="3"/>
  <c r="I123" i="3"/>
  <c r="I110" i="3"/>
  <c r="I97" i="3"/>
  <c r="F99" i="3"/>
  <c r="E111" i="3"/>
  <c r="I112" i="3"/>
  <c r="I99" i="3"/>
  <c r="J111" i="3"/>
  <c r="I122" i="3"/>
  <c r="R62" i="4" s="1"/>
  <c r="I109" i="3"/>
  <c r="F98" i="3"/>
  <c r="I121" i="3"/>
  <c r="F123" i="3"/>
  <c r="T141" i="4" s="1"/>
  <c r="G99" i="3"/>
  <c r="G111" i="3"/>
  <c r="E99" i="3"/>
  <c r="J124" i="3"/>
  <c r="Q122" i="4" s="1"/>
  <c r="N122" i="4" s="1"/>
  <c r="J100" i="3"/>
  <c r="G113" i="3"/>
  <c r="F125" i="3"/>
  <c r="T45" i="4" s="1"/>
  <c r="F101" i="3"/>
  <c r="J113" i="3"/>
  <c r="G125" i="3"/>
  <c r="S45" i="4" s="1"/>
  <c r="M45" i="4" s="1"/>
  <c r="E113" i="3"/>
  <c r="I125" i="3"/>
  <c r="R45" i="4" s="1"/>
  <c r="I113" i="3"/>
  <c r="I101" i="3"/>
  <c r="F113" i="3"/>
  <c r="J125" i="3"/>
  <c r="Q45" i="4" s="1"/>
  <c r="N45" i="4" s="1"/>
  <c r="G101" i="3"/>
  <c r="E101" i="3"/>
  <c r="E125" i="3"/>
  <c r="X45" i="4" s="1"/>
  <c r="J101" i="3"/>
  <c r="J120" i="3"/>
  <c r="J108" i="3"/>
  <c r="J96" i="3"/>
  <c r="E98" i="3"/>
  <c r="F122" i="3"/>
  <c r="F107" i="3"/>
  <c r="J118" i="3"/>
  <c r="J106" i="3"/>
  <c r="J94" i="3"/>
  <c r="F120" i="3"/>
  <c r="F106" i="3"/>
  <c r="E95" i="3"/>
  <c r="F110" i="3"/>
  <c r="F119" i="3"/>
  <c r="E110" i="3"/>
  <c r="E94" i="3"/>
  <c r="J121" i="3"/>
  <c r="Q152" i="4" s="1"/>
  <c r="N152" i="4" s="1"/>
  <c r="J109" i="3"/>
  <c r="J97" i="3"/>
  <c r="F108" i="3"/>
  <c r="J119" i="3"/>
  <c r="J107" i="3"/>
  <c r="J95" i="3"/>
  <c r="G98" i="3"/>
  <c r="F118" i="3"/>
  <c r="E108" i="3"/>
  <c r="E96" i="3"/>
  <c r="G96" i="3"/>
  <c r="E123" i="3"/>
  <c r="E107" i="3"/>
  <c r="D24" i="4"/>
  <c r="G110" i="3"/>
  <c r="G95" i="3"/>
  <c r="E122" i="3"/>
  <c r="E106" i="3"/>
  <c r="J122" i="3"/>
  <c r="J110" i="3"/>
  <c r="J98" i="3"/>
  <c r="G108" i="3"/>
  <c r="G94" i="3"/>
  <c r="E120" i="3"/>
  <c r="D116" i="4"/>
  <c r="G122" i="3"/>
  <c r="G107" i="3"/>
  <c r="E119" i="3"/>
  <c r="G100" i="3"/>
  <c r="D82" i="4"/>
  <c r="D120" i="4"/>
  <c r="G112" i="3"/>
  <c r="D45" i="4"/>
  <c r="D6" i="4"/>
  <c r="D38" i="4"/>
  <c r="E100" i="3"/>
  <c r="D122" i="4"/>
  <c r="D27" i="4"/>
  <c r="D118" i="4"/>
  <c r="E112" i="3"/>
  <c r="D62" i="4"/>
  <c r="D138" i="4"/>
  <c r="D152" i="4"/>
  <c r="D103" i="4"/>
  <c r="E124" i="3"/>
  <c r="X122" i="4" s="1"/>
  <c r="D30" i="4"/>
  <c r="D8" i="4"/>
  <c r="D13" i="4"/>
  <c r="D22" i="4"/>
  <c r="D50" i="4"/>
  <c r="F100" i="3"/>
  <c r="D34" i="4"/>
  <c r="D90" i="4"/>
  <c r="F112" i="3"/>
  <c r="D63" i="4"/>
  <c r="D101" i="4"/>
  <c r="D48" i="4"/>
  <c r="F124" i="3"/>
  <c r="T122" i="4" s="1"/>
  <c r="D68" i="4"/>
  <c r="D23" i="4"/>
  <c r="E115" i="3"/>
  <c r="E103" i="3"/>
  <c r="E91" i="3"/>
  <c r="E121" i="3"/>
  <c r="E109" i="3"/>
  <c r="E97" i="3"/>
  <c r="F121" i="3"/>
  <c r="F109" i="3"/>
  <c r="F97" i="3"/>
  <c r="G834" i="1"/>
  <c r="G832" i="1"/>
  <c r="G830" i="1"/>
  <c r="G829" i="1"/>
  <c r="G826" i="1"/>
  <c r="G815" i="1"/>
  <c r="G816" i="1"/>
  <c r="G814" i="1"/>
  <c r="G822" i="1"/>
  <c r="G764" i="1"/>
  <c r="G766" i="1"/>
  <c r="G757" i="1"/>
  <c r="G756" i="1"/>
  <c r="G749" i="1"/>
  <c r="G747" i="1"/>
  <c r="G751" i="1"/>
  <c r="G748" i="1"/>
  <c r="G715" i="1"/>
  <c r="G844" i="1"/>
  <c r="G848" i="1"/>
  <c r="G684" i="1"/>
  <c r="G687" i="1"/>
  <c r="G683" i="1"/>
  <c r="G681" i="1"/>
  <c r="G570" i="1"/>
  <c r="G574" i="1"/>
  <c r="G572" i="1"/>
  <c r="G578" i="1"/>
  <c r="G573" i="1"/>
  <c r="G569" i="1"/>
  <c r="G560" i="1"/>
  <c r="G548" i="1"/>
  <c r="G542" i="1"/>
  <c r="G541" i="1"/>
  <c r="G553" i="1"/>
  <c r="G547" i="1"/>
  <c r="G540" i="1"/>
  <c r="G552" i="1"/>
  <c r="G546" i="1"/>
  <c r="G469" i="1"/>
  <c r="G453" i="1"/>
  <c r="G460" i="1"/>
  <c r="G457" i="1"/>
  <c r="G470" i="1"/>
  <c r="G458" i="1"/>
  <c r="G456" i="1"/>
  <c r="G455" i="1"/>
  <c r="G454" i="1"/>
  <c r="G446" i="1"/>
  <c r="G422" i="1"/>
  <c r="G381" i="1"/>
  <c r="G374" i="1"/>
  <c r="G373" i="1"/>
  <c r="G375" i="1"/>
  <c r="G369" i="1"/>
  <c r="G329" i="1"/>
  <c r="G333" i="1"/>
  <c r="G332" i="1"/>
  <c r="G298" i="1"/>
  <c r="G296" i="1"/>
  <c r="G295" i="1"/>
  <c r="G293" i="1"/>
  <c r="G292" i="1"/>
  <c r="G291" i="1"/>
  <c r="G288" i="1"/>
  <c r="G287" i="1"/>
  <c r="G283" i="1"/>
  <c r="G285" i="1"/>
  <c r="G281" i="1"/>
  <c r="G276" i="1"/>
  <c r="G275" i="1"/>
  <c r="G269" i="1"/>
  <c r="G267" i="1"/>
  <c r="G261" i="1"/>
  <c r="G259" i="1"/>
  <c r="D31" i="4"/>
  <c r="D114" i="4"/>
  <c r="D107" i="4"/>
  <c r="D28" i="4"/>
  <c r="D153" i="4"/>
  <c r="D58" i="4"/>
  <c r="D140" i="4"/>
  <c r="D32" i="4"/>
  <c r="D144" i="4"/>
  <c r="D127" i="4"/>
  <c r="G230" i="1"/>
  <c r="G226" i="1"/>
  <c r="G236" i="1"/>
  <c r="G239" i="1"/>
  <c r="G240" i="1"/>
  <c r="G235" i="1"/>
  <c r="G234" i="1"/>
  <c r="G238" i="1"/>
  <c r="G225" i="1"/>
  <c r="G215" i="1"/>
  <c r="G214" i="1"/>
  <c r="G220" i="1"/>
  <c r="G221" i="1"/>
  <c r="G212" i="1"/>
  <c r="G219" i="1"/>
  <c r="G222" i="1"/>
  <c r="G209" i="1"/>
  <c r="G199" i="1"/>
  <c r="G211" i="1"/>
  <c r="G202" i="1"/>
  <c r="G201" i="1"/>
  <c r="G207" i="1"/>
  <c r="G203" i="1"/>
  <c r="G198" i="1"/>
  <c r="G204" i="1"/>
  <c r="G200" i="1"/>
  <c r="G206" i="1"/>
  <c r="G192" i="1"/>
  <c r="G196" i="1"/>
  <c r="G189" i="1"/>
  <c r="G191" i="1"/>
  <c r="G187" i="1"/>
  <c r="G180" i="1"/>
  <c r="G176" i="1"/>
  <c r="G175" i="1"/>
  <c r="G177" i="1"/>
  <c r="G170" i="1"/>
  <c r="G167" i="1"/>
  <c r="G168" i="1"/>
  <c r="G152" i="1"/>
  <c r="G147" i="1"/>
  <c r="G154" i="1"/>
  <c r="G151" i="1"/>
  <c r="G160" i="1"/>
  <c r="G157" i="1"/>
  <c r="G156" i="1"/>
  <c r="G153" i="1"/>
  <c r="G120" i="1"/>
  <c r="G115" i="1"/>
  <c r="G110" i="1"/>
  <c r="G104" i="1"/>
  <c r="G113" i="1"/>
  <c r="G109" i="1"/>
  <c r="G112" i="1"/>
  <c r="G99" i="1"/>
  <c r="G94" i="1"/>
  <c r="G97" i="1"/>
  <c r="G95" i="1"/>
  <c r="X27" i="4" l="1"/>
  <c r="S50" i="4"/>
  <c r="M50" i="4" s="1"/>
  <c r="S6" i="4"/>
  <c r="M6" i="4" s="1"/>
  <c r="T82" i="4"/>
  <c r="X142" i="3"/>
  <c r="Y142" i="3" s="1"/>
  <c r="AR49" i="4" s="1"/>
  <c r="Q62" i="4"/>
  <c r="N62" i="4" s="1"/>
  <c r="R27" i="4"/>
  <c r="T8" i="4"/>
  <c r="S38" i="4"/>
  <c r="M38" i="4" s="1"/>
  <c r="S27" i="4"/>
  <c r="M27" i="4" s="1"/>
  <c r="R101" i="4"/>
  <c r="X62" i="4"/>
  <c r="AW62" i="4" s="1"/>
  <c r="X38" i="4"/>
  <c r="AW38" i="4" s="1"/>
  <c r="Q38" i="4"/>
  <c r="N38" i="4" s="1"/>
  <c r="Q6" i="4"/>
  <c r="N6" i="4" s="1"/>
  <c r="S24" i="4"/>
  <c r="M24" i="4" s="1"/>
  <c r="S139" i="4"/>
  <c r="M139" i="4" s="1"/>
  <c r="R15" i="4"/>
  <c r="Z141" i="3"/>
  <c r="AA141" i="3" s="1"/>
  <c r="AS25" i="4" s="1"/>
  <c r="Q3" i="4"/>
  <c r="N3" i="4" s="1"/>
  <c r="S141" i="4"/>
  <c r="M141" i="4" s="1"/>
  <c r="T22" i="4"/>
  <c r="R50" i="4"/>
  <c r="T13" i="4"/>
  <c r="Q63" i="4"/>
  <c r="N63" i="4" s="1"/>
  <c r="R120" i="4"/>
  <c r="T34" i="4"/>
  <c r="T141" i="3"/>
  <c r="U141" i="3" s="1"/>
  <c r="AP25" i="4" s="1"/>
  <c r="X144" i="3"/>
  <c r="Y144" i="3" s="1"/>
  <c r="AR135" i="4" s="1"/>
  <c r="R34" i="4"/>
  <c r="V142" i="3"/>
  <c r="W142" i="3" s="1"/>
  <c r="AQ49" i="4" s="1"/>
  <c r="Q89" i="4"/>
  <c r="N89" i="4" s="1"/>
  <c r="R13" i="4"/>
  <c r="Q138" i="4"/>
  <c r="N138" i="4" s="1"/>
  <c r="R82" i="4"/>
  <c r="S90" i="4"/>
  <c r="M90" i="4" s="1"/>
  <c r="T27" i="4"/>
  <c r="T153" i="3"/>
  <c r="U153" i="3" s="1"/>
  <c r="AP66" i="4" s="1"/>
  <c r="V153" i="3"/>
  <c r="W153" i="3" s="1"/>
  <c r="AQ66" i="4" s="1"/>
  <c r="X153" i="3"/>
  <c r="Y153" i="3" s="1"/>
  <c r="AR66" i="4" s="1"/>
  <c r="X151" i="3"/>
  <c r="Y151" i="3" s="1"/>
  <c r="AR41" i="4" s="1"/>
  <c r="T151" i="3"/>
  <c r="U151" i="3" s="1"/>
  <c r="AP41" i="4" s="1"/>
  <c r="V151" i="3"/>
  <c r="W151" i="3" s="1"/>
  <c r="AQ41" i="4" s="1"/>
  <c r="Z151" i="3"/>
  <c r="AA151" i="3" s="1"/>
  <c r="AS41" i="4" s="1"/>
  <c r="V147" i="3"/>
  <c r="W147" i="3" s="1"/>
  <c r="AQ78" i="4" s="1"/>
  <c r="Z147" i="3"/>
  <c r="AA147" i="3" s="1"/>
  <c r="AS78" i="4" s="1"/>
  <c r="X147" i="3"/>
  <c r="Y147" i="3" s="1"/>
  <c r="AR78" i="4" s="1"/>
  <c r="T38" i="4"/>
  <c r="AO132" i="4"/>
  <c r="P132" i="4" s="1"/>
  <c r="L132" i="4" s="1"/>
  <c r="AN122" i="4"/>
  <c r="T87" i="4"/>
  <c r="T152" i="4"/>
  <c r="T30" i="4"/>
  <c r="R24" i="4"/>
  <c r="V149" i="3"/>
  <c r="W149" i="3" s="1"/>
  <c r="AQ18" i="4" s="1"/>
  <c r="Z149" i="3"/>
  <c r="AA149" i="3" s="1"/>
  <c r="AS18" i="4" s="1"/>
  <c r="X149" i="3"/>
  <c r="Y149" i="3" s="1"/>
  <c r="AR18" i="4" s="1"/>
  <c r="Q44" i="4"/>
  <c r="N44" i="4" s="1"/>
  <c r="S48" i="4"/>
  <c r="M48" i="4" s="1"/>
  <c r="X82" i="4"/>
  <c r="AK82" i="4" s="1"/>
  <c r="T54" i="4"/>
  <c r="Q103" i="4"/>
  <c r="N103" i="4" s="1"/>
  <c r="T126" i="4"/>
  <c r="T23" i="4"/>
  <c r="R54" i="4"/>
  <c r="V155" i="3"/>
  <c r="W155" i="3" s="1"/>
  <c r="AQ155" i="4" s="1"/>
  <c r="X155" i="3"/>
  <c r="Y155" i="3" s="1"/>
  <c r="AR155" i="4" s="1"/>
  <c r="Z155" i="3"/>
  <c r="AA155" i="3" s="1"/>
  <c r="AS155" i="4" s="1"/>
  <c r="Z153" i="3"/>
  <c r="AA153" i="3" s="1"/>
  <c r="AS66" i="4" s="1"/>
  <c r="X141" i="3"/>
  <c r="Y141" i="3" s="1"/>
  <c r="AR25" i="4" s="1"/>
  <c r="R6" i="4"/>
  <c r="S126" i="4"/>
  <c r="M126" i="4" s="1"/>
  <c r="S13" i="4"/>
  <c r="M13" i="4" s="1"/>
  <c r="V143" i="3"/>
  <c r="W143" i="3" s="1"/>
  <c r="AQ86" i="4" s="1"/>
  <c r="Z145" i="3"/>
  <c r="AA145" i="3" s="1"/>
  <c r="AS124" i="4" s="1"/>
  <c r="V145" i="3"/>
  <c r="W145" i="3" s="1"/>
  <c r="AQ124" i="4" s="1"/>
  <c r="T145" i="3"/>
  <c r="U145" i="3" s="1"/>
  <c r="AP124" i="4" s="1"/>
  <c r="X145" i="3"/>
  <c r="Y145" i="3" s="1"/>
  <c r="AR124" i="4" s="1"/>
  <c r="T147" i="3"/>
  <c r="U147" i="3" s="1"/>
  <c r="AP78" i="4" s="1"/>
  <c r="T154" i="3"/>
  <c r="U154" i="3" s="1"/>
  <c r="AP132" i="4" s="1"/>
  <c r="Z154" i="3"/>
  <c r="AA154" i="3" s="1"/>
  <c r="AS132" i="4" s="1"/>
  <c r="X154" i="3"/>
  <c r="Y154" i="3" s="1"/>
  <c r="AR132" i="4" s="1"/>
  <c r="AJ149" i="4"/>
  <c r="AK149" i="4"/>
  <c r="AJ122" i="4"/>
  <c r="AK122" i="4"/>
  <c r="AK34" i="4"/>
  <c r="AJ34" i="4"/>
  <c r="AJ45" i="4"/>
  <c r="AK45" i="4"/>
  <c r="AJ27" i="4"/>
  <c r="AK27" i="4"/>
  <c r="AW149" i="4"/>
  <c r="AW122" i="4"/>
  <c r="AW34" i="4"/>
  <c r="AW45" i="4"/>
  <c r="Q50" i="4"/>
  <c r="N50" i="4" s="1"/>
  <c r="F50" i="4" s="1"/>
  <c r="AM50" i="4" s="1"/>
  <c r="AO50" i="4" s="1"/>
  <c r="T3" i="4"/>
  <c r="T63" i="4"/>
  <c r="S3" i="4"/>
  <c r="M3" i="4" s="1"/>
  <c r="T44" i="4"/>
  <c r="X126" i="4"/>
  <c r="AH126" i="4" s="1"/>
  <c r="AI126" i="4" s="1"/>
  <c r="T15" i="4"/>
  <c r="Q120" i="4"/>
  <c r="N120" i="4" s="1"/>
  <c r="Q13" i="4"/>
  <c r="N13" i="4" s="1"/>
  <c r="Q126" i="4"/>
  <c r="N126" i="4" s="1"/>
  <c r="R38" i="4"/>
  <c r="T6" i="4"/>
  <c r="Q87" i="4"/>
  <c r="N87" i="4" s="1"/>
  <c r="X48" i="4"/>
  <c r="T62" i="4"/>
  <c r="Q22" i="4"/>
  <c r="N22" i="4" s="1"/>
  <c r="S34" i="4"/>
  <c r="M34" i="4" s="1"/>
  <c r="R139" i="4"/>
  <c r="S101" i="4"/>
  <c r="M101" i="4" s="1"/>
  <c r="S118" i="4"/>
  <c r="M118" i="4" s="1"/>
  <c r="S116" i="4"/>
  <c r="M116" i="4" s="1"/>
  <c r="S44" i="4"/>
  <c r="M44" i="4" s="1"/>
  <c r="R141" i="4"/>
  <c r="Q24" i="4"/>
  <c r="N24" i="4" s="1"/>
  <c r="Q68" i="4"/>
  <c r="N68" i="4" s="1"/>
  <c r="R44" i="4"/>
  <c r="Q141" i="4"/>
  <c r="N141" i="4" s="1"/>
  <c r="S138" i="4"/>
  <c r="M138" i="4" s="1"/>
  <c r="X118" i="4"/>
  <c r="AH118" i="4" s="1"/>
  <c r="AI118" i="4" s="1"/>
  <c r="S62" i="4"/>
  <c r="M62" i="4" s="1"/>
  <c r="F62" i="4" s="1"/>
  <c r="AM62" i="4" s="1"/>
  <c r="Q34" i="4"/>
  <c r="N34" i="4" s="1"/>
  <c r="S152" i="4"/>
  <c r="M152" i="4" s="1"/>
  <c r="F152" i="4" s="1"/>
  <c r="AM152" i="4" s="1"/>
  <c r="R30" i="4"/>
  <c r="X141" i="4"/>
  <c r="S68" i="4"/>
  <c r="M68" i="4" s="1"/>
  <c r="X8" i="4"/>
  <c r="Q8" i="4"/>
  <c r="N8" i="4" s="1"/>
  <c r="X6" i="4"/>
  <c r="AH6" i="4" s="1"/>
  <c r="AI6" i="4" s="1"/>
  <c r="R152" i="4"/>
  <c r="T68" i="4"/>
  <c r="Q118" i="4"/>
  <c r="N118" i="4" s="1"/>
  <c r="R126" i="4"/>
  <c r="S30" i="4"/>
  <c r="M30" i="4" s="1"/>
  <c r="S22" i="4"/>
  <c r="M22" i="4" s="1"/>
  <c r="Q90" i="4"/>
  <c r="N90" i="4" s="1"/>
  <c r="Q23" i="4"/>
  <c r="N23" i="4" s="1"/>
  <c r="R116" i="4"/>
  <c r="Q101" i="4"/>
  <c r="N101" i="4" s="1"/>
  <c r="R8" i="4"/>
  <c r="T120" i="4"/>
  <c r="S87" i="4"/>
  <c r="M87" i="4" s="1"/>
  <c r="R103" i="4"/>
  <c r="X3" i="4"/>
  <c r="R138" i="4"/>
  <c r="T118" i="4"/>
  <c r="R63" i="4"/>
  <c r="S120" i="4"/>
  <c r="M120" i="4" s="1"/>
  <c r="X30" i="4"/>
  <c r="S8" i="4"/>
  <c r="M8" i="4" s="1"/>
  <c r="R90" i="4"/>
  <c r="T50" i="4"/>
  <c r="X120" i="4"/>
  <c r="S54" i="4"/>
  <c r="M54" i="4" s="1"/>
  <c r="X138" i="4"/>
  <c r="Q27" i="4"/>
  <c r="N27" i="4" s="1"/>
  <c r="Q48" i="4"/>
  <c r="N48" i="4" s="1"/>
  <c r="R23" i="4"/>
  <c r="T101" i="4"/>
  <c r="S82" i="4"/>
  <c r="M82" i="4" s="1"/>
  <c r="T103" i="4"/>
  <c r="X54" i="4"/>
  <c r="Q54" i="4"/>
  <c r="N54" i="4" s="1"/>
  <c r="T89" i="4"/>
  <c r="R89" i="4"/>
  <c r="T24" i="4"/>
  <c r="Q139" i="4"/>
  <c r="N139" i="4" s="1"/>
  <c r="X23" i="4"/>
  <c r="AH23" i="4" s="1"/>
  <c r="AI23" i="4" s="1"/>
  <c r="Q15" i="4"/>
  <c r="N15" i="4" s="1"/>
  <c r="T138" i="4"/>
  <c r="Q30" i="4"/>
  <c r="N30" i="4" s="1"/>
  <c r="R87" i="4"/>
  <c r="R118" i="4"/>
  <c r="T48" i="4"/>
  <c r="T139" i="4"/>
  <c r="S63" i="4"/>
  <c r="M63" i="4" s="1"/>
  <c r="S89" i="4"/>
  <c r="M89" i="4" s="1"/>
  <c r="T116" i="4"/>
  <c r="S23" i="4"/>
  <c r="M23" i="4" s="1"/>
  <c r="Q116" i="4"/>
  <c r="N116" i="4" s="1"/>
  <c r="T90" i="4"/>
  <c r="R3" i="4"/>
  <c r="R22" i="4"/>
  <c r="S15" i="4"/>
  <c r="M15" i="4" s="1"/>
  <c r="R68" i="4"/>
  <c r="X101" i="4"/>
  <c r="R48" i="4"/>
  <c r="X139" i="4"/>
  <c r="Q82" i="4"/>
  <c r="N82" i="4" s="1"/>
  <c r="S103" i="4"/>
  <c r="M103" i="4" s="1"/>
  <c r="AO155" i="4"/>
  <c r="P155" i="4" s="1"/>
  <c r="L155" i="4" s="1"/>
  <c r="AG124" i="4"/>
  <c r="AA124" i="4" s="1"/>
  <c r="Z124" i="4" s="1"/>
  <c r="AG34" i="4"/>
  <c r="AA34" i="4" s="1"/>
  <c r="Z34" i="4" s="1"/>
  <c r="AG86" i="4"/>
  <c r="AA86" i="4" s="1"/>
  <c r="Z86" i="4" s="1"/>
  <c r="T143" i="3"/>
  <c r="U143" i="3" s="1"/>
  <c r="AP86" i="4" s="1"/>
  <c r="Z143" i="3"/>
  <c r="AA143" i="3" s="1"/>
  <c r="AS86" i="4" s="1"/>
  <c r="X143" i="3"/>
  <c r="Y143" i="3" s="1"/>
  <c r="AR86" i="4" s="1"/>
  <c r="AW27" i="4"/>
  <c r="T142" i="3"/>
  <c r="U142" i="3" s="1"/>
  <c r="AP49" i="4" s="1"/>
  <c r="Z142" i="3"/>
  <c r="AA142" i="3" s="1"/>
  <c r="AS49" i="4" s="1"/>
  <c r="Z144" i="3"/>
  <c r="AA144" i="3" s="1"/>
  <c r="AS135" i="4" s="1"/>
  <c r="T144" i="3"/>
  <c r="U144" i="3" s="1"/>
  <c r="AP135" i="4" s="1"/>
  <c r="AG134" i="4"/>
  <c r="AA134" i="4" s="1"/>
  <c r="Z134" i="4" s="1"/>
  <c r="AG66" i="4"/>
  <c r="AA66" i="4" s="1"/>
  <c r="Z66" i="4" s="1"/>
  <c r="AG4" i="4"/>
  <c r="AA4" i="4" s="1"/>
  <c r="Z4" i="4" s="1"/>
  <c r="AG41" i="4"/>
  <c r="AA41" i="4" s="1"/>
  <c r="Z41" i="4" s="1"/>
  <c r="AH149" i="4"/>
  <c r="AI149" i="4" s="1"/>
  <c r="AH34" i="4"/>
  <c r="AI34" i="4" s="1"/>
  <c r="AH27" i="4"/>
  <c r="AI27" i="4" s="1"/>
  <c r="AH122" i="4"/>
  <c r="AI122" i="4" s="1"/>
  <c r="AH45" i="4"/>
  <c r="AI45" i="4" s="1"/>
  <c r="X139" i="3"/>
  <c r="Y139" i="3" s="1"/>
  <c r="AR122" i="4" s="1"/>
  <c r="Z139" i="3"/>
  <c r="AA139" i="3" s="1"/>
  <c r="AS122" i="4" s="1"/>
  <c r="X140" i="3"/>
  <c r="Y140" i="3" s="1"/>
  <c r="AR45" i="4" s="1"/>
  <c r="T139" i="3"/>
  <c r="U139" i="3" s="1"/>
  <c r="AP122" i="4" s="1"/>
  <c r="V139" i="3"/>
  <c r="W139" i="3" s="1"/>
  <c r="AQ122" i="4" s="1"/>
  <c r="T140" i="3"/>
  <c r="U140" i="3" s="1"/>
  <c r="AP45" i="4" s="1"/>
  <c r="Z140" i="3"/>
  <c r="AA140" i="3" s="1"/>
  <c r="AS45" i="4" s="1"/>
  <c r="V140" i="3"/>
  <c r="W140" i="3" s="1"/>
  <c r="AQ45" i="4" s="1"/>
  <c r="S80" i="3"/>
  <c r="K80" i="3" a="1"/>
  <c r="K80" i="3" s="1"/>
  <c r="M80" i="3" a="1"/>
  <c r="M80" i="3" s="1"/>
  <c r="AN127" i="4" s="1"/>
  <c r="S79" i="3"/>
  <c r="M79" i="3" a="1"/>
  <c r="M79" i="3" s="1"/>
  <c r="AN73" i="4" s="1"/>
  <c r="K79" i="3" a="1"/>
  <c r="K79" i="3" s="1"/>
  <c r="S78" i="3"/>
  <c r="M78" i="3" a="1"/>
  <c r="M78" i="3" s="1"/>
  <c r="AN111" i="4" s="1"/>
  <c r="K78" i="3" a="1"/>
  <c r="K78" i="3" s="1"/>
  <c r="S77" i="3"/>
  <c r="M77" i="3" a="1"/>
  <c r="M77" i="3" s="1"/>
  <c r="AN143" i="4" s="1"/>
  <c r="K77" i="3" a="1"/>
  <c r="K77" i="3" s="1"/>
  <c r="S76" i="3"/>
  <c r="K76" i="3" a="1"/>
  <c r="K76" i="3" s="1"/>
  <c r="M76" i="3" a="1"/>
  <c r="M76" i="3" s="1"/>
  <c r="AN104" i="4" s="1"/>
  <c r="S75" i="3"/>
  <c r="K75" i="3" a="1"/>
  <c r="K75" i="3" s="1"/>
  <c r="M75" i="3" a="1"/>
  <c r="M75" i="3" s="1"/>
  <c r="AN77" i="4" s="1"/>
  <c r="S74" i="3"/>
  <c r="K74" i="3" a="1"/>
  <c r="K74" i="3" s="1"/>
  <c r="M74" i="3" a="1"/>
  <c r="M74" i="3" s="1"/>
  <c r="AN57" i="4" s="1"/>
  <c r="S73" i="3"/>
  <c r="K73" i="3" a="1"/>
  <c r="K73" i="3" s="1"/>
  <c r="M73" i="3" a="1"/>
  <c r="M73" i="3" s="1"/>
  <c r="AN105" i="4" s="1"/>
  <c r="S72" i="3"/>
  <c r="K72" i="3" a="1"/>
  <c r="K72" i="3" s="1"/>
  <c r="M72" i="3" a="1"/>
  <c r="M72" i="3" s="1"/>
  <c r="AN144" i="4" s="1"/>
  <c r="S71" i="3"/>
  <c r="M71" i="3" a="1"/>
  <c r="M71" i="3" s="1"/>
  <c r="AN32" i="4" s="1"/>
  <c r="K71" i="3" a="1"/>
  <c r="K71" i="3" s="1"/>
  <c r="S70" i="3"/>
  <c r="M70" i="3" a="1"/>
  <c r="M70" i="3" s="1"/>
  <c r="AN76" i="4" s="1"/>
  <c r="K70" i="3" a="1"/>
  <c r="K70" i="3" s="1"/>
  <c r="S69" i="3"/>
  <c r="M69" i="3" a="1"/>
  <c r="M69" i="3" s="1"/>
  <c r="AN137" i="4" s="1"/>
  <c r="K69" i="3" a="1"/>
  <c r="K69" i="3" s="1"/>
  <c r="S68" i="3"/>
  <c r="M68" i="3" a="1"/>
  <c r="M68" i="3" s="1"/>
  <c r="AN12" i="4" s="1"/>
  <c r="K68" i="3" a="1"/>
  <c r="K68" i="3" s="1"/>
  <c r="S67" i="3"/>
  <c r="M67" i="3" a="1"/>
  <c r="M67" i="3" s="1"/>
  <c r="AN140" i="4" s="1"/>
  <c r="K67" i="3" a="1"/>
  <c r="K67" i="3" s="1"/>
  <c r="S87" i="3"/>
  <c r="K87" i="3" a="1"/>
  <c r="K87" i="3" s="1"/>
  <c r="M87" i="3" a="1"/>
  <c r="M87" i="3" s="1"/>
  <c r="AN114" i="4" s="1"/>
  <c r="S86" i="3"/>
  <c r="K86" i="3" a="1"/>
  <c r="K86" i="3" s="1"/>
  <c r="M86" i="3" a="1"/>
  <c r="M86" i="3" s="1"/>
  <c r="AN9" i="4" s="1"/>
  <c r="S85" i="3"/>
  <c r="K85" i="3" a="1"/>
  <c r="K85" i="3" s="1"/>
  <c r="M85" i="3" a="1"/>
  <c r="M85" i="3" s="1"/>
  <c r="AN42" i="4" s="1"/>
  <c r="S84" i="3"/>
  <c r="K84" i="3" a="1"/>
  <c r="K84" i="3" s="1"/>
  <c r="M84" i="3" a="1"/>
  <c r="M84" i="3" s="1"/>
  <c r="AN40" i="4" s="1"/>
  <c r="S83" i="3"/>
  <c r="K83" i="3" a="1"/>
  <c r="K83" i="3" s="1"/>
  <c r="M83" i="3" a="1"/>
  <c r="M83" i="3" s="1"/>
  <c r="AN151" i="4" s="1"/>
  <c r="S82" i="3"/>
  <c r="K82" i="3" a="1"/>
  <c r="K82" i="3" s="1"/>
  <c r="M82" i="3" a="1"/>
  <c r="M82" i="3" s="1"/>
  <c r="AN74" i="4" s="1"/>
  <c r="S81" i="3"/>
  <c r="K81" i="3" a="1"/>
  <c r="K81" i="3" s="1"/>
  <c r="M81" i="3" a="1"/>
  <c r="M81" i="3" s="1"/>
  <c r="AN31" i="4" s="1"/>
  <c r="S89" i="3"/>
  <c r="K89" i="3" a="1"/>
  <c r="K89" i="3" s="1"/>
  <c r="M89" i="3" a="1"/>
  <c r="M89" i="3" s="1"/>
  <c r="AN7" i="4" s="1"/>
  <c r="S88" i="3"/>
  <c r="K88" i="3" a="1"/>
  <c r="K88" i="3" s="1"/>
  <c r="M88" i="3" a="1"/>
  <c r="M88" i="3" s="1"/>
  <c r="AN107" i="4" s="1"/>
  <c r="S90" i="3"/>
  <c r="K90" i="3" a="1"/>
  <c r="K90" i="3" s="1"/>
  <c r="M90" i="3" a="1"/>
  <c r="M90" i="3" s="1"/>
  <c r="AN47" i="4" s="1"/>
  <c r="L84" i="3"/>
  <c r="H84" i="3" a="1"/>
  <c r="H84" i="3" s="1"/>
  <c r="L71" i="3"/>
  <c r="H71" i="3" a="1"/>
  <c r="H71" i="3" s="1"/>
  <c r="L83" i="3"/>
  <c r="H83" i="3" a="1"/>
  <c r="H83" i="3" s="1"/>
  <c r="L70" i="3"/>
  <c r="H70" i="3" a="1"/>
  <c r="H70" i="3" s="1"/>
  <c r="L82" i="3"/>
  <c r="H82" i="3" a="1"/>
  <c r="H82" i="3" s="1"/>
  <c r="L81" i="3"/>
  <c r="H81" i="3" a="1"/>
  <c r="H81" i="3" s="1"/>
  <c r="L80" i="3"/>
  <c r="H80" i="3" a="1"/>
  <c r="H80" i="3" s="1"/>
  <c r="L68" i="3"/>
  <c r="H68" i="3" a="1"/>
  <c r="H68" i="3" s="1"/>
  <c r="L89" i="3"/>
  <c r="H89" i="3" a="1"/>
  <c r="H89" i="3" s="1"/>
  <c r="F18" i="4"/>
  <c r="AM18" i="4" s="1"/>
  <c r="AO18" i="4" s="1"/>
  <c r="L72" i="3"/>
  <c r="H72" i="3" a="1"/>
  <c r="H72" i="3" s="1"/>
  <c r="L79" i="3"/>
  <c r="H79" i="3" a="1"/>
  <c r="H79" i="3" s="1"/>
  <c r="L69" i="3"/>
  <c r="H69" i="3" a="1"/>
  <c r="H69" i="3" s="1"/>
  <c r="L67" i="3"/>
  <c r="H67" i="3" a="1"/>
  <c r="H67" i="3" s="1"/>
  <c r="L87" i="3"/>
  <c r="H87" i="3" a="1"/>
  <c r="H87" i="3" s="1"/>
  <c r="L86" i="3"/>
  <c r="H86" i="3" a="1"/>
  <c r="H86" i="3" s="1"/>
  <c r="L88" i="3"/>
  <c r="H88" i="3" a="1"/>
  <c r="H88" i="3" s="1"/>
  <c r="L78" i="3"/>
  <c r="H78" i="3" a="1"/>
  <c r="H78" i="3" s="1"/>
  <c r="L90" i="3"/>
  <c r="H90" i="3" a="1"/>
  <c r="H90" i="3" s="1"/>
  <c r="L77" i="3"/>
  <c r="H77" i="3" a="1"/>
  <c r="H77" i="3" s="1"/>
  <c r="L76" i="3"/>
  <c r="H76" i="3" a="1"/>
  <c r="H76" i="3" s="1"/>
  <c r="L74" i="3"/>
  <c r="H74" i="3" a="1"/>
  <c r="H74" i="3" s="1"/>
  <c r="L75" i="3"/>
  <c r="H75" i="3" a="1"/>
  <c r="H75" i="3" s="1"/>
  <c r="L73" i="3"/>
  <c r="H73" i="3" a="1"/>
  <c r="H73" i="3" s="1"/>
  <c r="L85" i="3"/>
  <c r="H85" i="3" a="1"/>
  <c r="H85" i="3" s="1"/>
  <c r="F25" i="4"/>
  <c r="AM25" i="4" s="1"/>
  <c r="AO25" i="4" s="1"/>
  <c r="F86" i="4"/>
  <c r="AM86" i="4" s="1"/>
  <c r="AO86" i="4" s="1"/>
  <c r="F124" i="4"/>
  <c r="AM124" i="4" s="1"/>
  <c r="AO124" i="4" s="1"/>
  <c r="F41" i="4"/>
  <c r="AM41" i="4" s="1"/>
  <c r="AO41" i="4" s="1"/>
  <c r="F122" i="4"/>
  <c r="AM122" i="4" s="1"/>
  <c r="F149" i="4"/>
  <c r="AM149" i="4" s="1"/>
  <c r="AO149" i="4" s="1"/>
  <c r="F4" i="4"/>
  <c r="AM4" i="4" s="1"/>
  <c r="AO4" i="4" s="1"/>
  <c r="F49" i="4"/>
  <c r="AM49" i="4" s="1"/>
  <c r="AO49" i="4" s="1"/>
  <c r="F134" i="4"/>
  <c r="AM134" i="4" s="1"/>
  <c r="AO134" i="4" s="1"/>
  <c r="F6" i="4"/>
  <c r="AM6" i="4" s="1"/>
  <c r="F130" i="4"/>
  <c r="X66" i="4"/>
  <c r="F66" i="4"/>
  <c r="AM66" i="4" s="1"/>
  <c r="AO66" i="4" s="1"/>
  <c r="X134" i="4"/>
  <c r="F45" i="4"/>
  <c r="AM45" i="4" s="1"/>
  <c r="AO45" i="4" s="1"/>
  <c r="X49" i="4"/>
  <c r="X135" i="4"/>
  <c r="V111" i="3"/>
  <c r="W111" i="3" s="1"/>
  <c r="AQ8" i="4" s="1"/>
  <c r="X115" i="3"/>
  <c r="Y115" i="3" s="1"/>
  <c r="AR3" i="4" s="1"/>
  <c r="T106" i="3"/>
  <c r="U106" i="3" s="1"/>
  <c r="AP116" i="4" s="1"/>
  <c r="F78" i="4"/>
  <c r="AM78" i="4" s="1"/>
  <c r="AO78" i="4" s="1"/>
  <c r="F135" i="4"/>
  <c r="AM135" i="4" s="1"/>
  <c r="AO135" i="4" s="1"/>
  <c r="T99" i="3"/>
  <c r="U99" i="3" s="1"/>
  <c r="AP154" i="4" s="1"/>
  <c r="X119" i="3"/>
  <c r="Y119" i="3" s="1"/>
  <c r="AR139" i="4" s="1"/>
  <c r="V132" i="3"/>
  <c r="W132" i="3" s="1"/>
  <c r="AQ63" i="4" s="1"/>
  <c r="X97" i="3"/>
  <c r="Y97" i="3" s="1"/>
  <c r="AR16" i="4" s="1"/>
  <c r="X122" i="3"/>
  <c r="Y122" i="3" s="1"/>
  <c r="AR22" i="4" s="1"/>
  <c r="V137" i="3"/>
  <c r="W137" i="3" s="1"/>
  <c r="AQ62" i="4" s="1"/>
  <c r="X136" i="3"/>
  <c r="Y136" i="3" s="1"/>
  <c r="AR152" i="4" s="1"/>
  <c r="X132" i="3"/>
  <c r="Y132" i="3" s="1"/>
  <c r="AR63" i="4" s="1"/>
  <c r="Z118" i="3"/>
  <c r="AA118" i="3" s="1"/>
  <c r="AS15" i="4" s="1"/>
  <c r="V129" i="3"/>
  <c r="W129" i="3" s="1"/>
  <c r="AQ82" i="4" s="1"/>
  <c r="Z108" i="3"/>
  <c r="AA108" i="3" s="1"/>
  <c r="AS48" i="4" s="1"/>
  <c r="T118" i="3"/>
  <c r="U118" i="3" s="1"/>
  <c r="AP15" i="4" s="1"/>
  <c r="V97" i="3"/>
  <c r="W97" i="3" s="1"/>
  <c r="AQ16" i="4" s="1"/>
  <c r="X113" i="3"/>
  <c r="Y113" i="3" s="1"/>
  <c r="AR89" i="4" s="1"/>
  <c r="X137" i="3"/>
  <c r="Y137" i="3" s="1"/>
  <c r="AR62" i="4" s="1"/>
  <c r="V109" i="3"/>
  <c r="W109" i="3" s="1"/>
  <c r="AQ44" i="4" s="1"/>
  <c r="T126" i="3"/>
  <c r="U126" i="3" s="1"/>
  <c r="AP118" i="4" s="1"/>
  <c r="V133" i="3"/>
  <c r="W133" i="3" s="1"/>
  <c r="AQ34" i="4" s="1"/>
  <c r="X133" i="3"/>
  <c r="Y133" i="3" s="1"/>
  <c r="AR34" i="4" s="1"/>
  <c r="X134" i="3"/>
  <c r="Y134" i="3" s="1"/>
  <c r="AR13" i="4" s="1"/>
  <c r="Z109" i="3"/>
  <c r="AA109" i="3" s="1"/>
  <c r="AS44" i="4" s="1"/>
  <c r="Z98" i="3"/>
  <c r="AA98" i="3" s="1"/>
  <c r="AS153" i="4" s="1"/>
  <c r="Z99" i="3"/>
  <c r="AA99" i="3" s="1"/>
  <c r="AS154" i="4" s="1"/>
  <c r="T95" i="3"/>
  <c r="U95" i="3" s="1"/>
  <c r="AP93" i="4" s="1"/>
  <c r="V127" i="3"/>
  <c r="W127" i="3" s="1"/>
  <c r="AQ27" i="4" s="1"/>
  <c r="Z113" i="3"/>
  <c r="AA113" i="3" s="1"/>
  <c r="AS89" i="4" s="1"/>
  <c r="T110" i="3"/>
  <c r="U110" i="3" s="1"/>
  <c r="AP50" i="4" s="1"/>
  <c r="T100" i="3"/>
  <c r="U100" i="3" s="1"/>
  <c r="AP94" i="4" s="1"/>
  <c r="T134" i="3"/>
  <c r="U134" i="3" s="1"/>
  <c r="AP13" i="4" s="1"/>
  <c r="T128" i="3"/>
  <c r="U128" i="3" s="1"/>
  <c r="AP6" i="4" s="1"/>
  <c r="T127" i="3"/>
  <c r="U127" i="3" s="1"/>
  <c r="AP27" i="4" s="1"/>
  <c r="V91" i="3"/>
  <c r="W91" i="3" s="1"/>
  <c r="AQ53" i="4" s="1"/>
  <c r="X93" i="3"/>
  <c r="Y93" i="3" s="1"/>
  <c r="AR59" i="4" s="1"/>
  <c r="V99" i="3"/>
  <c r="W99" i="3" s="1"/>
  <c r="AQ154" i="4" s="1"/>
  <c r="V130" i="3"/>
  <c r="W130" i="3" s="1"/>
  <c r="AQ24" i="4" s="1"/>
  <c r="T123" i="3"/>
  <c r="U123" i="3" s="1"/>
  <c r="AP54" i="4" s="1"/>
  <c r="T114" i="3"/>
  <c r="U114" i="3" s="1"/>
  <c r="AP126" i="4" s="1"/>
  <c r="Z112" i="3"/>
  <c r="AA112" i="3" s="1"/>
  <c r="AS103" i="4" s="1"/>
  <c r="X105" i="3"/>
  <c r="Y105" i="3" s="1"/>
  <c r="AR136" i="4" s="1"/>
  <c r="X109" i="3"/>
  <c r="Y109" i="3" s="1"/>
  <c r="AR44" i="4" s="1"/>
  <c r="X99" i="3"/>
  <c r="Y99" i="3" s="1"/>
  <c r="AR154" i="4" s="1"/>
  <c r="X118" i="3"/>
  <c r="Y118" i="3" s="1"/>
  <c r="AR15" i="4" s="1"/>
  <c r="Z137" i="3"/>
  <c r="AA137" i="3" s="1"/>
  <c r="AS62" i="4" s="1"/>
  <c r="T138" i="3"/>
  <c r="U138" i="3" s="1"/>
  <c r="AP141" i="4" s="1"/>
  <c r="X116" i="3"/>
  <c r="Y116" i="3" s="1"/>
  <c r="AR38" i="4" s="1"/>
  <c r="T91" i="3"/>
  <c r="U91" i="3" s="1"/>
  <c r="AP53" i="4" s="1"/>
  <c r="V92" i="3"/>
  <c r="W92" i="3" s="1"/>
  <c r="AQ28" i="4" s="1"/>
  <c r="V121" i="3"/>
  <c r="W121" i="3" s="1"/>
  <c r="AQ90" i="4" s="1"/>
  <c r="Z105" i="3"/>
  <c r="AA105" i="3" s="1"/>
  <c r="AS136" i="4" s="1"/>
  <c r="X98" i="3"/>
  <c r="Y98" i="3" s="1"/>
  <c r="AR153" i="4" s="1"/>
  <c r="T107" i="3"/>
  <c r="U107" i="3" s="1"/>
  <c r="AP23" i="4" s="1"/>
  <c r="T97" i="3"/>
  <c r="U97" i="3" s="1"/>
  <c r="AP16" i="4" s="1"/>
  <c r="X135" i="3"/>
  <c r="Y135" i="3" s="1"/>
  <c r="AR30" i="4" s="1"/>
  <c r="X126" i="3"/>
  <c r="Y126" i="3" s="1"/>
  <c r="AR118" i="4" s="1"/>
  <c r="Z131" i="3"/>
  <c r="AA131" i="3" s="1"/>
  <c r="AS68" i="4" s="1"/>
  <c r="V95" i="3"/>
  <c r="W95" i="3" s="1"/>
  <c r="AQ93" i="4" s="1"/>
  <c r="Z115" i="3"/>
  <c r="AA115" i="3" s="1"/>
  <c r="AS3" i="4" s="1"/>
  <c r="V100" i="3"/>
  <c r="W100" i="3" s="1"/>
  <c r="AQ94" i="4" s="1"/>
  <c r="T102" i="3"/>
  <c r="U102" i="3" s="1"/>
  <c r="AP58" i="4" s="1"/>
  <c r="X112" i="3"/>
  <c r="Y112" i="3" s="1"/>
  <c r="AR103" i="4" s="1"/>
  <c r="Z92" i="3"/>
  <c r="AA92" i="3" s="1"/>
  <c r="AS28" i="4" s="1"/>
  <c r="Z104" i="3"/>
  <c r="AA104" i="3" s="1"/>
  <c r="AS75" i="4" s="1"/>
  <c r="X108" i="3"/>
  <c r="Y108" i="3" s="1"/>
  <c r="AR48" i="4" s="1"/>
  <c r="Z136" i="3"/>
  <c r="AA136" i="3" s="1"/>
  <c r="AS152" i="4" s="1"/>
  <c r="V119" i="3"/>
  <c r="W119" i="3" s="1"/>
  <c r="AQ139" i="4" s="1"/>
  <c r="V103" i="3"/>
  <c r="W103" i="3" s="1"/>
  <c r="AQ142" i="4" s="1"/>
  <c r="Z95" i="3"/>
  <c r="AA95" i="3" s="1"/>
  <c r="AS93" i="4" s="1"/>
  <c r="V105" i="3"/>
  <c r="W105" i="3" s="1"/>
  <c r="AQ136" i="4" s="1"/>
  <c r="X106" i="3"/>
  <c r="Y106" i="3" s="1"/>
  <c r="AR116" i="4" s="1"/>
  <c r="X104" i="3"/>
  <c r="Y104" i="3" s="1"/>
  <c r="AR75" i="4" s="1"/>
  <c r="V124" i="3"/>
  <c r="W124" i="3" s="1"/>
  <c r="AQ87" i="4" s="1"/>
  <c r="V113" i="3"/>
  <c r="W113" i="3" s="1"/>
  <c r="AQ89" i="4" s="1"/>
  <c r="V128" i="3"/>
  <c r="W128" i="3" s="1"/>
  <c r="AQ6" i="4" s="1"/>
  <c r="V131" i="3"/>
  <c r="W131" i="3" s="1"/>
  <c r="AQ68" i="4" s="1"/>
  <c r="T130" i="3"/>
  <c r="U130" i="3" s="1"/>
  <c r="AP24" i="4" s="1"/>
  <c r="T121" i="3"/>
  <c r="U121" i="3" s="1"/>
  <c r="AP90" i="4" s="1"/>
  <c r="T129" i="3"/>
  <c r="U129" i="3" s="1"/>
  <c r="AP82" i="4" s="1"/>
  <c r="T116" i="3"/>
  <c r="U116" i="3" s="1"/>
  <c r="AP38" i="4" s="1"/>
  <c r="X127" i="3"/>
  <c r="Y127" i="3" s="1"/>
  <c r="AR27" i="4" s="1"/>
  <c r="Z119" i="3"/>
  <c r="AA119" i="3" s="1"/>
  <c r="AS139" i="4" s="1"/>
  <c r="T103" i="3"/>
  <c r="U103" i="3" s="1"/>
  <c r="AP142" i="4" s="1"/>
  <c r="V120" i="3"/>
  <c r="W120" i="3" s="1"/>
  <c r="AQ101" i="4" s="1"/>
  <c r="V136" i="3"/>
  <c r="W136" i="3" s="1"/>
  <c r="AQ152" i="4" s="1"/>
  <c r="Z121" i="3"/>
  <c r="AA121" i="3" s="1"/>
  <c r="AS90" i="4" s="1"/>
  <c r="V98" i="3"/>
  <c r="W98" i="3" s="1"/>
  <c r="AQ153" i="4" s="1"/>
  <c r="X123" i="3"/>
  <c r="Y123" i="3" s="1"/>
  <c r="AR54" i="4" s="1"/>
  <c r="T119" i="3"/>
  <c r="U119" i="3" s="1"/>
  <c r="AP139" i="4" s="1"/>
  <c r="T109" i="3"/>
  <c r="U109" i="3" s="1"/>
  <c r="AP44" i="4" s="1"/>
  <c r="V125" i="3"/>
  <c r="W125" i="3" s="1"/>
  <c r="AQ138" i="4" s="1"/>
  <c r="Z103" i="3"/>
  <c r="AA103" i="3" s="1"/>
  <c r="AS142" i="4" s="1"/>
  <c r="Z135" i="3"/>
  <c r="AA135" i="3" s="1"/>
  <c r="AS30" i="4" s="1"/>
  <c r="Z126" i="3"/>
  <c r="AA126" i="3" s="1"/>
  <c r="AS118" i="4" s="1"/>
  <c r="T112" i="3"/>
  <c r="U112" i="3" s="1"/>
  <c r="AP103" i="4" s="1"/>
  <c r="V107" i="3"/>
  <c r="W107" i="3" s="1"/>
  <c r="AQ23" i="4" s="1"/>
  <c r="T137" i="3"/>
  <c r="U137" i="3" s="1"/>
  <c r="AP62" i="4" s="1"/>
  <c r="V112" i="3"/>
  <c r="W112" i="3" s="1"/>
  <c r="AQ103" i="4" s="1"/>
  <c r="Z127" i="3"/>
  <c r="AA127" i="3" s="1"/>
  <c r="AS27" i="4" s="1"/>
  <c r="V117" i="3"/>
  <c r="W117" i="3" s="1"/>
  <c r="AQ120" i="4" s="1"/>
  <c r="T115" i="3"/>
  <c r="U115" i="3" s="1"/>
  <c r="AP3" i="4" s="1"/>
  <c r="V135" i="3"/>
  <c r="W135" i="3" s="1"/>
  <c r="AQ30" i="4" s="1"/>
  <c r="T93" i="3"/>
  <c r="U93" i="3" s="1"/>
  <c r="AP59" i="4" s="1"/>
  <c r="Z107" i="3"/>
  <c r="AA107" i="3" s="1"/>
  <c r="AS23" i="4" s="1"/>
  <c r="Z123" i="3"/>
  <c r="AA123" i="3" s="1"/>
  <c r="AS54" i="4" s="1"/>
  <c r="V134" i="3"/>
  <c r="W134" i="3" s="1"/>
  <c r="AQ13" i="4" s="1"/>
  <c r="X125" i="3"/>
  <c r="Y125" i="3" s="1"/>
  <c r="AR138" i="4" s="1"/>
  <c r="Z132" i="3"/>
  <c r="AA132" i="3" s="1"/>
  <c r="AS63" i="4" s="1"/>
  <c r="V102" i="3"/>
  <c r="W102" i="3" s="1"/>
  <c r="AQ58" i="4" s="1"/>
  <c r="T98" i="3"/>
  <c r="U98" i="3" s="1"/>
  <c r="AP153" i="4" s="1"/>
  <c r="T113" i="3"/>
  <c r="U113" i="3" s="1"/>
  <c r="AP89" i="4" s="1"/>
  <c r="Z133" i="3"/>
  <c r="AA133" i="3" s="1"/>
  <c r="AS34" i="4" s="1"/>
  <c r="Z96" i="3"/>
  <c r="AA96" i="3" s="1"/>
  <c r="AS21" i="4" s="1"/>
  <c r="Z93" i="3"/>
  <c r="AA93" i="3" s="1"/>
  <c r="AS59" i="4" s="1"/>
  <c r="Z128" i="3"/>
  <c r="AA128" i="3" s="1"/>
  <c r="AS6" i="4" s="1"/>
  <c r="T92" i="3"/>
  <c r="U92" i="3" s="1"/>
  <c r="AP28" i="4" s="1"/>
  <c r="T105" i="3"/>
  <c r="U105" i="3" s="1"/>
  <c r="AP136" i="4" s="1"/>
  <c r="X111" i="3"/>
  <c r="Y111" i="3" s="1"/>
  <c r="AR8" i="4" s="1"/>
  <c r="X107" i="3"/>
  <c r="Y107" i="3" s="1"/>
  <c r="AR23" i="4" s="1"/>
  <c r="X110" i="3"/>
  <c r="Y110" i="3" s="1"/>
  <c r="AR50" i="4" s="1"/>
  <c r="X117" i="3"/>
  <c r="Y117" i="3" s="1"/>
  <c r="AR120" i="4" s="1"/>
  <c r="Z125" i="3"/>
  <c r="AA125" i="3" s="1"/>
  <c r="AS138" i="4" s="1"/>
  <c r="X92" i="3"/>
  <c r="Y92" i="3" s="1"/>
  <c r="AR28" i="4" s="1"/>
  <c r="Z130" i="3"/>
  <c r="AA130" i="3" s="1"/>
  <c r="AS24" i="4" s="1"/>
  <c r="X94" i="3"/>
  <c r="Y94" i="3" s="1"/>
  <c r="AR92" i="4" s="1"/>
  <c r="T135" i="3"/>
  <c r="U135" i="3" s="1"/>
  <c r="AP30" i="4" s="1"/>
  <c r="Z110" i="3"/>
  <c r="AA110" i="3" s="1"/>
  <c r="AS50" i="4" s="1"/>
  <c r="X91" i="3"/>
  <c r="Y91" i="3" s="1"/>
  <c r="AR53" i="4" s="1"/>
  <c r="X95" i="3"/>
  <c r="Y95" i="3" s="1"/>
  <c r="AR93" i="4" s="1"/>
  <c r="X96" i="3"/>
  <c r="Y96" i="3" s="1"/>
  <c r="AR21" i="4" s="1"/>
  <c r="X128" i="3"/>
  <c r="Y128" i="3" s="1"/>
  <c r="AR6" i="4" s="1"/>
  <c r="T104" i="3"/>
  <c r="U104" i="3" s="1"/>
  <c r="AP75" i="4" s="1"/>
  <c r="T117" i="3"/>
  <c r="U117" i="3" s="1"/>
  <c r="AP120" i="4" s="1"/>
  <c r="Z111" i="3"/>
  <c r="AA111" i="3" s="1"/>
  <c r="AS8" i="4" s="1"/>
  <c r="V94" i="3"/>
  <c r="W94" i="3" s="1"/>
  <c r="AQ92" i="4" s="1"/>
  <c r="V110" i="3"/>
  <c r="W110" i="3" s="1"/>
  <c r="AQ50" i="4" s="1"/>
  <c r="V116" i="3"/>
  <c r="W116" i="3" s="1"/>
  <c r="AQ38" i="4" s="1"/>
  <c r="V126" i="3"/>
  <c r="W126" i="3" s="1"/>
  <c r="AQ118" i="4" s="1"/>
  <c r="X102" i="3"/>
  <c r="Y102" i="3" s="1"/>
  <c r="AR58" i="4" s="1"/>
  <c r="X120" i="3"/>
  <c r="Y120" i="3" s="1"/>
  <c r="AR101" i="4" s="1"/>
  <c r="T124" i="3"/>
  <c r="U124" i="3" s="1"/>
  <c r="AP87" i="4" s="1"/>
  <c r="V96" i="3"/>
  <c r="W96" i="3" s="1"/>
  <c r="AQ21" i="4" s="1"/>
  <c r="T122" i="3"/>
  <c r="U122" i="3" s="1"/>
  <c r="AP22" i="4" s="1"/>
  <c r="X131" i="3"/>
  <c r="Y131" i="3" s="1"/>
  <c r="AR68" i="4" s="1"/>
  <c r="Z91" i="3"/>
  <c r="AA91" i="3" s="1"/>
  <c r="AS53" i="4" s="1"/>
  <c r="X129" i="3"/>
  <c r="Y129" i="3" s="1"/>
  <c r="AR82" i="4" s="1"/>
  <c r="V123" i="3"/>
  <c r="W123" i="3" s="1"/>
  <c r="AQ54" i="4" s="1"/>
  <c r="X138" i="3"/>
  <c r="Y138" i="3" s="1"/>
  <c r="AR141" i="4" s="1"/>
  <c r="T96" i="3"/>
  <c r="U96" i="3" s="1"/>
  <c r="AP21" i="4" s="1"/>
  <c r="X101" i="3"/>
  <c r="Y101" i="3" s="1"/>
  <c r="AR35" i="4" s="1"/>
  <c r="X114" i="3"/>
  <c r="Y114" i="3" s="1"/>
  <c r="AR126" i="4" s="1"/>
  <c r="Z117" i="3"/>
  <c r="AA117" i="3" s="1"/>
  <c r="AS120" i="4" s="1"/>
  <c r="Z102" i="3"/>
  <c r="AA102" i="3" s="1"/>
  <c r="AS58" i="4" s="1"/>
  <c r="V115" i="3"/>
  <c r="W115" i="3" s="1"/>
  <c r="AQ3" i="4" s="1"/>
  <c r="T133" i="3"/>
  <c r="U133" i="3" s="1"/>
  <c r="AP34" i="4" s="1"/>
  <c r="V108" i="3"/>
  <c r="W108" i="3" s="1"/>
  <c r="AQ48" i="4" s="1"/>
  <c r="T101" i="3"/>
  <c r="U101" i="3" s="1"/>
  <c r="AP35" i="4" s="1"/>
  <c r="T131" i="3"/>
  <c r="U131" i="3" s="1"/>
  <c r="AP68" i="4" s="1"/>
  <c r="V93" i="3"/>
  <c r="W93" i="3" s="1"/>
  <c r="AQ59" i="4" s="1"/>
  <c r="T132" i="3"/>
  <c r="U132" i="3" s="1"/>
  <c r="AP63" i="4" s="1"/>
  <c r="V104" i="3"/>
  <c r="W104" i="3" s="1"/>
  <c r="AQ75" i="4" s="1"/>
  <c r="Z106" i="3"/>
  <c r="AA106" i="3" s="1"/>
  <c r="AS116" i="4" s="1"/>
  <c r="Z134" i="3"/>
  <c r="AA134" i="3" s="1"/>
  <c r="AS13" i="4" s="1"/>
  <c r="X124" i="3"/>
  <c r="Y124" i="3" s="1"/>
  <c r="AR87" i="4" s="1"/>
  <c r="Z129" i="3"/>
  <c r="AA129" i="3" s="1"/>
  <c r="AS82" i="4" s="1"/>
  <c r="X100" i="3"/>
  <c r="Y100" i="3" s="1"/>
  <c r="AR94" i="4" s="1"/>
  <c r="V138" i="3"/>
  <c r="W138" i="3" s="1"/>
  <c r="AQ141" i="4" s="1"/>
  <c r="Z122" i="3"/>
  <c r="AA122" i="3" s="1"/>
  <c r="AS22" i="4" s="1"/>
  <c r="Z138" i="3"/>
  <c r="AA138" i="3" s="1"/>
  <c r="AS141" i="4" s="1"/>
  <c r="T108" i="3"/>
  <c r="U108" i="3" s="1"/>
  <c r="AP48" i="4" s="1"/>
  <c r="V101" i="3"/>
  <c r="W101" i="3" s="1"/>
  <c r="AQ35" i="4" s="1"/>
  <c r="Z114" i="3"/>
  <c r="AA114" i="3" s="1"/>
  <c r="AS126" i="4" s="1"/>
  <c r="X121" i="3"/>
  <c r="Y121" i="3" s="1"/>
  <c r="AR90" i="4" s="1"/>
  <c r="Z94" i="3"/>
  <c r="AA94" i="3" s="1"/>
  <c r="AS92" i="4" s="1"/>
  <c r="T125" i="3"/>
  <c r="U125" i="3" s="1"/>
  <c r="AP138" i="4" s="1"/>
  <c r="V114" i="3"/>
  <c r="W114" i="3" s="1"/>
  <c r="AQ126" i="4" s="1"/>
  <c r="V118" i="3"/>
  <c r="W118" i="3" s="1"/>
  <c r="AQ15" i="4" s="1"/>
  <c r="Z120" i="3"/>
  <c r="AA120" i="3" s="1"/>
  <c r="AS101" i="4" s="1"/>
  <c r="X103" i="3"/>
  <c r="Y103" i="3" s="1"/>
  <c r="AR142" i="4" s="1"/>
  <c r="Z124" i="3"/>
  <c r="AA124" i="3" s="1"/>
  <c r="AS87" i="4" s="1"/>
  <c r="Z97" i="3"/>
  <c r="AA97" i="3" s="1"/>
  <c r="AS16" i="4" s="1"/>
  <c r="Z100" i="3"/>
  <c r="AA100" i="3" s="1"/>
  <c r="AS94" i="4" s="1"/>
  <c r="T94" i="3"/>
  <c r="U94" i="3" s="1"/>
  <c r="AP92" i="4" s="1"/>
  <c r="V122" i="3"/>
  <c r="W122" i="3" s="1"/>
  <c r="AQ22" i="4" s="1"/>
  <c r="T120" i="3"/>
  <c r="U120" i="3" s="1"/>
  <c r="AP101" i="4" s="1"/>
  <c r="Z101" i="3"/>
  <c r="AA101" i="3" s="1"/>
  <c r="AS35" i="4" s="1"/>
  <c r="Z116" i="3"/>
  <c r="AA116" i="3" s="1"/>
  <c r="AS38" i="4" s="1"/>
  <c r="T111" i="3"/>
  <c r="U111" i="3" s="1"/>
  <c r="AP8" i="4" s="1"/>
  <c r="X130" i="3"/>
  <c r="Y130" i="3" s="1"/>
  <c r="AR24" i="4" s="1"/>
  <c r="V106" i="3"/>
  <c r="W106" i="3" s="1"/>
  <c r="AQ116" i="4" s="1"/>
  <c r="T136" i="3"/>
  <c r="U136" i="3" s="1"/>
  <c r="AP152" i="4" s="1"/>
  <c r="R73" i="3"/>
  <c r="R85" i="3"/>
  <c r="R72" i="3"/>
  <c r="R84" i="3"/>
  <c r="R70" i="3"/>
  <c r="R82" i="3"/>
  <c r="R83" i="3"/>
  <c r="R80" i="3"/>
  <c r="R68" i="3"/>
  <c r="R89" i="3"/>
  <c r="R67" i="3"/>
  <c r="R78" i="3"/>
  <c r="R87" i="3"/>
  <c r="R90" i="3"/>
  <c r="R86" i="3"/>
  <c r="R69" i="3"/>
  <c r="R81" i="3"/>
  <c r="R77" i="3"/>
  <c r="R76" i="3"/>
  <c r="R88" i="3"/>
  <c r="R75" i="3"/>
  <c r="R71" i="3"/>
  <c r="R79" i="3"/>
  <c r="R74" i="3"/>
  <c r="N75" i="3"/>
  <c r="AB77" i="4" s="1"/>
  <c r="O75" i="3"/>
  <c r="AC77" i="4" s="1"/>
  <c r="P75" i="3"/>
  <c r="AD77" i="4" s="1"/>
  <c r="Q75" i="3"/>
  <c r="AE77" i="4" s="1"/>
  <c r="N73" i="3"/>
  <c r="AB105" i="4" s="1"/>
  <c r="P73" i="3"/>
  <c r="AD105" i="4" s="1"/>
  <c r="Q73" i="3"/>
  <c r="AE105" i="4" s="1"/>
  <c r="O73" i="3"/>
  <c r="AC105" i="4" s="1"/>
  <c r="N83" i="3"/>
  <c r="AB151" i="4" s="1"/>
  <c r="P83" i="3"/>
  <c r="AD151" i="4" s="1"/>
  <c r="Q83" i="3"/>
  <c r="AE151" i="4" s="1"/>
  <c r="O83" i="3"/>
  <c r="AC151" i="4" s="1"/>
  <c r="N70" i="3"/>
  <c r="AB76" i="4" s="1"/>
  <c r="P70" i="3"/>
  <c r="AD76" i="4" s="1"/>
  <c r="Q70" i="3"/>
  <c r="AE76" i="4" s="1"/>
  <c r="O70" i="3"/>
  <c r="AC76" i="4" s="1"/>
  <c r="N78" i="3"/>
  <c r="AB111" i="4" s="1"/>
  <c r="Q78" i="3"/>
  <c r="AE111" i="4" s="1"/>
  <c r="O78" i="3"/>
  <c r="AC111" i="4" s="1"/>
  <c r="P78" i="3"/>
  <c r="AD111" i="4" s="1"/>
  <c r="N87" i="3"/>
  <c r="AB114" i="4" s="1"/>
  <c r="Q87" i="3"/>
  <c r="AE114" i="4" s="1"/>
  <c r="O87" i="3"/>
  <c r="AC114" i="4" s="1"/>
  <c r="P87" i="3"/>
  <c r="AD114" i="4" s="1"/>
  <c r="N90" i="3"/>
  <c r="AB47" i="4" s="1"/>
  <c r="Q90" i="3"/>
  <c r="AE47" i="4" s="1"/>
  <c r="O90" i="3"/>
  <c r="AC47" i="4" s="1"/>
  <c r="P90" i="3"/>
  <c r="AD47" i="4" s="1"/>
  <c r="N76" i="3"/>
  <c r="AB104" i="4" s="1"/>
  <c r="O76" i="3"/>
  <c r="AC104" i="4" s="1"/>
  <c r="P76" i="3"/>
  <c r="AD104" i="4" s="1"/>
  <c r="Q76" i="3"/>
  <c r="AE104" i="4" s="1"/>
  <c r="N74" i="3"/>
  <c r="AB57" i="4" s="1"/>
  <c r="O74" i="3"/>
  <c r="AC57" i="4" s="1"/>
  <c r="P74" i="3"/>
  <c r="AD57" i="4" s="1"/>
  <c r="Q74" i="3"/>
  <c r="AE57" i="4" s="1"/>
  <c r="N77" i="3"/>
  <c r="AB143" i="4" s="1"/>
  <c r="O77" i="3"/>
  <c r="AC143" i="4" s="1"/>
  <c r="P77" i="3"/>
  <c r="AD143" i="4" s="1"/>
  <c r="Q77" i="3"/>
  <c r="AE143" i="4" s="1"/>
  <c r="N86" i="3"/>
  <c r="AB9" i="4" s="1"/>
  <c r="O86" i="3"/>
  <c r="AC9" i="4" s="1"/>
  <c r="P86" i="3"/>
  <c r="AD9" i="4" s="1"/>
  <c r="Q86" i="3"/>
  <c r="AE9" i="4" s="1"/>
  <c r="N85" i="3"/>
  <c r="AB42" i="4" s="1"/>
  <c r="P85" i="3"/>
  <c r="AD42" i="4" s="1"/>
  <c r="Q85" i="3"/>
  <c r="AE42" i="4" s="1"/>
  <c r="O85" i="3"/>
  <c r="AC42" i="4" s="1"/>
  <c r="N71" i="3"/>
  <c r="AB32" i="4" s="1"/>
  <c r="P71" i="3"/>
  <c r="AD32" i="4" s="1"/>
  <c r="Q71" i="3"/>
  <c r="AE32" i="4" s="1"/>
  <c r="O71" i="3"/>
  <c r="AC32" i="4" s="1"/>
  <c r="N82" i="3"/>
  <c r="AB74" i="4" s="1"/>
  <c r="P82" i="3"/>
  <c r="AD74" i="4" s="1"/>
  <c r="Q82" i="3"/>
  <c r="AE74" i="4" s="1"/>
  <c r="O82" i="3"/>
  <c r="AC74" i="4" s="1"/>
  <c r="N72" i="3"/>
  <c r="AB144" i="4" s="1"/>
  <c r="P72" i="3"/>
  <c r="AD144" i="4" s="1"/>
  <c r="Q72" i="3"/>
  <c r="AE144" i="4" s="1"/>
  <c r="O72" i="3"/>
  <c r="AC144" i="4" s="1"/>
  <c r="N84" i="3"/>
  <c r="AB40" i="4" s="1"/>
  <c r="P84" i="3"/>
  <c r="AD40" i="4" s="1"/>
  <c r="Q84" i="3"/>
  <c r="AE40" i="4" s="1"/>
  <c r="O84" i="3"/>
  <c r="AC40" i="4" s="1"/>
  <c r="N69" i="3"/>
  <c r="AB137" i="4" s="1"/>
  <c r="Q69" i="3"/>
  <c r="AE137" i="4" s="1"/>
  <c r="O69" i="3"/>
  <c r="AC137" i="4" s="1"/>
  <c r="P69" i="3"/>
  <c r="AD137" i="4" s="1"/>
  <c r="N81" i="3"/>
  <c r="AB31" i="4" s="1"/>
  <c r="Q81" i="3"/>
  <c r="AE31" i="4" s="1"/>
  <c r="O81" i="3"/>
  <c r="AC31" i="4" s="1"/>
  <c r="P81" i="3"/>
  <c r="AD31" i="4" s="1"/>
  <c r="N80" i="3"/>
  <c r="AB127" i="4" s="1"/>
  <c r="Q80" i="3"/>
  <c r="AE127" i="4" s="1"/>
  <c r="O80" i="3"/>
  <c r="AC127" i="4" s="1"/>
  <c r="P80" i="3"/>
  <c r="AD127" i="4" s="1"/>
  <c r="N68" i="3"/>
  <c r="AB12" i="4" s="1"/>
  <c r="Q68" i="3"/>
  <c r="AE12" i="4" s="1"/>
  <c r="O68" i="3"/>
  <c r="AC12" i="4" s="1"/>
  <c r="P68" i="3"/>
  <c r="AD12" i="4" s="1"/>
  <c r="N89" i="3"/>
  <c r="AB7" i="4" s="1"/>
  <c r="Q89" i="3"/>
  <c r="AE7" i="4" s="1"/>
  <c r="O89" i="3"/>
  <c r="AC7" i="4" s="1"/>
  <c r="P89" i="3"/>
  <c r="AD7" i="4" s="1"/>
  <c r="N79" i="3"/>
  <c r="AB73" i="4" s="1"/>
  <c r="Q79" i="3"/>
  <c r="AE73" i="4" s="1"/>
  <c r="O79" i="3"/>
  <c r="AC73" i="4" s="1"/>
  <c r="P79" i="3"/>
  <c r="AD73" i="4" s="1"/>
  <c r="N67" i="3"/>
  <c r="AB140" i="4" s="1"/>
  <c r="Q67" i="3"/>
  <c r="AE140" i="4" s="1"/>
  <c r="O67" i="3"/>
  <c r="AC140" i="4" s="1"/>
  <c r="P67" i="3"/>
  <c r="AD140" i="4" s="1"/>
  <c r="N88" i="3"/>
  <c r="AB107" i="4" s="1"/>
  <c r="Q88" i="3"/>
  <c r="AE107" i="4" s="1"/>
  <c r="O88" i="3"/>
  <c r="AC107" i="4" s="1"/>
  <c r="P88" i="3"/>
  <c r="AD107" i="4" s="1"/>
  <c r="X41" i="4"/>
  <c r="X68" i="4"/>
  <c r="R28" i="4"/>
  <c r="Z67" i="3"/>
  <c r="V67" i="3"/>
  <c r="X67" i="3"/>
  <c r="T67" i="3"/>
  <c r="Z88" i="3"/>
  <c r="X88" i="3"/>
  <c r="V88" i="3"/>
  <c r="T88" i="3"/>
  <c r="Z87" i="3"/>
  <c r="X87" i="3"/>
  <c r="V87" i="3"/>
  <c r="T87" i="3"/>
  <c r="E77" i="3"/>
  <c r="V77" i="3"/>
  <c r="X77" i="3"/>
  <c r="Z77" i="3"/>
  <c r="T77" i="3"/>
  <c r="D35" i="4"/>
  <c r="V86" i="3"/>
  <c r="X86" i="3"/>
  <c r="Z86" i="3"/>
  <c r="T86" i="3"/>
  <c r="D7" i="4"/>
  <c r="X25" i="4"/>
  <c r="Z80" i="3"/>
  <c r="V80" i="3"/>
  <c r="X80" i="3"/>
  <c r="T80" i="3"/>
  <c r="E76" i="3"/>
  <c r="X76" i="3"/>
  <c r="Z76" i="3"/>
  <c r="V76" i="3"/>
  <c r="T76" i="3"/>
  <c r="Z79" i="3"/>
  <c r="V79" i="3"/>
  <c r="T79" i="3"/>
  <c r="X79" i="3"/>
  <c r="Z68" i="3"/>
  <c r="V68" i="3"/>
  <c r="T68" i="3"/>
  <c r="X68" i="3"/>
  <c r="Z90" i="3"/>
  <c r="V90" i="3"/>
  <c r="T90" i="3"/>
  <c r="X90" i="3"/>
  <c r="E75" i="3"/>
  <c r="X77" i="4" s="1"/>
  <c r="X75" i="3"/>
  <c r="Z75" i="3"/>
  <c r="V75" i="3"/>
  <c r="T75" i="3"/>
  <c r="S53" i="4"/>
  <c r="M53" i="4" s="1"/>
  <c r="F78" i="3"/>
  <c r="T111" i="4" s="1"/>
  <c r="Z78" i="3"/>
  <c r="X78" i="3"/>
  <c r="V78" i="3"/>
  <c r="T78" i="3"/>
  <c r="F74" i="3"/>
  <c r="T57" i="4" s="1"/>
  <c r="X74" i="3"/>
  <c r="Z74" i="3"/>
  <c r="V74" i="3"/>
  <c r="T74" i="3"/>
  <c r="F73" i="3"/>
  <c r="T105" i="4" s="1"/>
  <c r="X73" i="3"/>
  <c r="Z73" i="3"/>
  <c r="T73" i="3"/>
  <c r="V73" i="3"/>
  <c r="X85" i="3"/>
  <c r="T85" i="3"/>
  <c r="V85" i="3"/>
  <c r="Z85" i="3"/>
  <c r="G72" i="3"/>
  <c r="S144" i="4" s="1"/>
  <c r="M144" i="4" s="1"/>
  <c r="Z72" i="3"/>
  <c r="X72" i="3"/>
  <c r="T72" i="3"/>
  <c r="V72" i="3"/>
  <c r="Z89" i="3"/>
  <c r="V89" i="3"/>
  <c r="X89" i="3"/>
  <c r="T89" i="3"/>
  <c r="X71" i="3"/>
  <c r="Z71" i="3"/>
  <c r="T71" i="3"/>
  <c r="V71" i="3"/>
  <c r="X83" i="3"/>
  <c r="T83" i="3"/>
  <c r="V83" i="3"/>
  <c r="Z83" i="3"/>
  <c r="Z70" i="3"/>
  <c r="T70" i="3"/>
  <c r="V70" i="3"/>
  <c r="X70" i="3"/>
  <c r="Z82" i="3"/>
  <c r="X82" i="3"/>
  <c r="T82" i="3"/>
  <c r="V82" i="3"/>
  <c r="X84" i="3"/>
  <c r="T84" i="3"/>
  <c r="V84" i="3"/>
  <c r="Z84" i="3"/>
  <c r="Z69" i="3"/>
  <c r="T69" i="3"/>
  <c r="V69" i="3"/>
  <c r="X69" i="3"/>
  <c r="Z81" i="3"/>
  <c r="X81" i="3"/>
  <c r="T81" i="3"/>
  <c r="V81" i="3"/>
  <c r="X78" i="4"/>
  <c r="X4" i="4"/>
  <c r="X130" i="4"/>
  <c r="X86" i="4"/>
  <c r="X18" i="4"/>
  <c r="X124" i="4"/>
  <c r="X63" i="4"/>
  <c r="X44" i="4"/>
  <c r="X89" i="4"/>
  <c r="X22" i="4"/>
  <c r="X50" i="4"/>
  <c r="X13" i="4"/>
  <c r="X90" i="4"/>
  <c r="X87" i="4"/>
  <c r="X152" i="4"/>
  <c r="X116" i="4"/>
  <c r="X15" i="4"/>
  <c r="X24" i="4"/>
  <c r="X103" i="4"/>
  <c r="J83" i="3"/>
  <c r="Q151" i="4" s="1"/>
  <c r="N151" i="4" s="1"/>
  <c r="R16" i="4"/>
  <c r="G85" i="3"/>
  <c r="S42" i="4" s="1"/>
  <c r="M42" i="4" s="1"/>
  <c r="F83" i="3"/>
  <c r="T151" i="4" s="1"/>
  <c r="R93" i="4"/>
  <c r="T21" i="4"/>
  <c r="R53" i="4"/>
  <c r="T93" i="4"/>
  <c r="R21" i="4"/>
  <c r="F84" i="3"/>
  <c r="T40" i="4" s="1"/>
  <c r="E84" i="3"/>
  <c r="X40" i="4" s="1"/>
  <c r="J73" i="3"/>
  <c r="Q105" i="4" s="1"/>
  <c r="N105" i="4" s="1"/>
  <c r="I84" i="3"/>
  <c r="R40" i="4" s="1"/>
  <c r="E83" i="3"/>
  <c r="X151" i="4" s="1"/>
  <c r="E74" i="3"/>
  <c r="X57" i="4" s="1"/>
  <c r="I83" i="3"/>
  <c r="R151" i="4" s="1"/>
  <c r="S21" i="4"/>
  <c r="M21" i="4" s="1"/>
  <c r="S93" i="4"/>
  <c r="M93" i="4" s="1"/>
  <c r="Q21" i="4"/>
  <c r="N21" i="4" s="1"/>
  <c r="Q93" i="4"/>
  <c r="N93" i="4" s="1"/>
  <c r="G84" i="3"/>
  <c r="S40" i="4" s="1"/>
  <c r="M40" i="4" s="1"/>
  <c r="J84" i="3"/>
  <c r="Q40" i="4" s="1"/>
  <c r="N40" i="4" s="1"/>
  <c r="G83" i="3"/>
  <c r="S151" i="4" s="1"/>
  <c r="M151" i="4" s="1"/>
  <c r="Q53" i="4"/>
  <c r="N53" i="4" s="1"/>
  <c r="E68" i="3"/>
  <c r="X12" i="4" s="1"/>
  <c r="Q28" i="4"/>
  <c r="N28" i="4" s="1"/>
  <c r="I74" i="3"/>
  <c r="R57" i="4" s="1"/>
  <c r="G71" i="3"/>
  <c r="S32" i="4" s="1"/>
  <c r="M32" i="4" s="1"/>
  <c r="E73" i="3"/>
  <c r="X105" i="4" s="1"/>
  <c r="J87" i="3"/>
  <c r="Q58" i="4" s="1"/>
  <c r="N58" i="4" s="1"/>
  <c r="F87" i="3"/>
  <c r="T58" i="4" s="1"/>
  <c r="J72" i="3"/>
  <c r="Q144" i="4" s="1"/>
  <c r="N144" i="4" s="1"/>
  <c r="J71" i="3"/>
  <c r="Q32" i="4" s="1"/>
  <c r="N32" i="4" s="1"/>
  <c r="G87" i="3"/>
  <c r="S58" i="4" s="1"/>
  <c r="M58" i="4" s="1"/>
  <c r="I87" i="3"/>
  <c r="R58" i="4" s="1"/>
  <c r="R154" i="4"/>
  <c r="R153" i="4"/>
  <c r="E87" i="3"/>
  <c r="X114" i="4" s="1"/>
  <c r="D136" i="4"/>
  <c r="J74" i="3"/>
  <c r="Q57" i="4" s="1"/>
  <c r="N57" i="4" s="1"/>
  <c r="D75" i="4"/>
  <c r="X154" i="4"/>
  <c r="X153" i="4"/>
  <c r="D151" i="4"/>
  <c r="I70" i="3"/>
  <c r="R76" i="4" s="1"/>
  <c r="G70" i="3"/>
  <c r="S76" i="4" s="1"/>
  <c r="M76" i="4" s="1"/>
  <c r="G86" i="3"/>
  <c r="S35" i="4" s="1"/>
  <c r="M35" i="4" s="1"/>
  <c r="G68" i="3"/>
  <c r="S12" i="4" s="1"/>
  <c r="M12" i="4" s="1"/>
  <c r="S94" i="4"/>
  <c r="M94" i="4" s="1"/>
  <c r="Q94" i="4"/>
  <c r="N94" i="4" s="1"/>
  <c r="S154" i="4"/>
  <c r="M154" i="4" s="1"/>
  <c r="J90" i="3"/>
  <c r="Q136" i="4" s="1"/>
  <c r="N136" i="4" s="1"/>
  <c r="G69" i="3"/>
  <c r="S137" i="4" s="1"/>
  <c r="M137" i="4" s="1"/>
  <c r="I80" i="3"/>
  <c r="R127" i="4" s="1"/>
  <c r="G67" i="3"/>
  <c r="S140" i="4" s="1"/>
  <c r="M140" i="4" s="1"/>
  <c r="J86" i="3"/>
  <c r="Q35" i="4" s="1"/>
  <c r="N35" i="4" s="1"/>
  <c r="Q154" i="4"/>
  <c r="N154" i="4" s="1"/>
  <c r="J85" i="3"/>
  <c r="Q42" i="4" s="1"/>
  <c r="N42" i="4" s="1"/>
  <c r="S153" i="4"/>
  <c r="M153" i="4" s="1"/>
  <c r="I90" i="3"/>
  <c r="R136" i="4" s="1"/>
  <c r="F79" i="3"/>
  <c r="T73" i="4" s="1"/>
  <c r="I73" i="3"/>
  <c r="R105" i="4" s="1"/>
  <c r="F72" i="3"/>
  <c r="T144" i="4" s="1"/>
  <c r="I72" i="3"/>
  <c r="R144" i="4" s="1"/>
  <c r="E80" i="3"/>
  <c r="X127" i="4" s="1"/>
  <c r="Q153" i="4"/>
  <c r="N153" i="4" s="1"/>
  <c r="S16" i="4"/>
  <c r="M16" i="4" s="1"/>
  <c r="F86" i="3"/>
  <c r="T35" i="4" s="1"/>
  <c r="F85" i="3"/>
  <c r="T42" i="4" s="1"/>
  <c r="G90" i="3"/>
  <c r="S136" i="4" s="1"/>
  <c r="M136" i="4" s="1"/>
  <c r="I71" i="3"/>
  <c r="R32" i="4" s="1"/>
  <c r="E79" i="3"/>
  <c r="X73" i="4" s="1"/>
  <c r="Q16" i="4"/>
  <c r="N16" i="4" s="1"/>
  <c r="T94" i="4"/>
  <c r="E85" i="3"/>
  <c r="X42" i="4" s="1"/>
  <c r="F90" i="3"/>
  <c r="T136" i="4" s="1"/>
  <c r="T154" i="4"/>
  <c r="D93" i="4"/>
  <c r="E90" i="3"/>
  <c r="X47" i="4" s="1"/>
  <c r="T153" i="4"/>
  <c r="I69" i="3"/>
  <c r="R137" i="4" s="1"/>
  <c r="I86" i="3"/>
  <c r="R35" i="4" s="1"/>
  <c r="J80" i="3"/>
  <c r="Q127" i="4" s="1"/>
  <c r="N127" i="4" s="1"/>
  <c r="I68" i="3"/>
  <c r="R12" i="4" s="1"/>
  <c r="E72" i="3"/>
  <c r="X144" i="4" s="1"/>
  <c r="R94" i="4"/>
  <c r="I85" i="3"/>
  <c r="R42" i="4" s="1"/>
  <c r="T16" i="4"/>
  <c r="E86" i="3"/>
  <c r="X9" i="4" s="1"/>
  <c r="D42" i="4"/>
  <c r="J69" i="3"/>
  <c r="Q137" i="4" s="1"/>
  <c r="N137" i="4" s="1"/>
  <c r="G80" i="3"/>
  <c r="S127" i="4" s="1"/>
  <c r="M127" i="4" s="1"/>
  <c r="F69" i="3"/>
  <c r="T137" i="4" s="1"/>
  <c r="J68" i="3"/>
  <c r="Q12" i="4" s="1"/>
  <c r="N12" i="4" s="1"/>
  <c r="G74" i="3"/>
  <c r="S57" i="4" s="1"/>
  <c r="M57" i="4" s="1"/>
  <c r="F68" i="3"/>
  <c r="T12" i="4" s="1"/>
  <c r="J67" i="3"/>
  <c r="Q140" i="4" s="1"/>
  <c r="N140" i="4" s="1"/>
  <c r="G73" i="3"/>
  <c r="S105" i="4" s="1"/>
  <c r="M105" i="4" s="1"/>
  <c r="F67" i="3"/>
  <c r="T140" i="4" s="1"/>
  <c r="X93" i="4"/>
  <c r="D47" i="4"/>
  <c r="D111" i="4"/>
  <c r="I89" i="3"/>
  <c r="R75" i="4" s="1"/>
  <c r="D143" i="4"/>
  <c r="I88" i="3"/>
  <c r="R142" i="4" s="1"/>
  <c r="D94" i="4"/>
  <c r="D104" i="4"/>
  <c r="G89" i="3"/>
  <c r="S75" i="4" s="1"/>
  <c r="M75" i="4" s="1"/>
  <c r="D154" i="4"/>
  <c r="D77" i="4"/>
  <c r="G88" i="3"/>
  <c r="S142" i="4" s="1"/>
  <c r="M142" i="4" s="1"/>
  <c r="D9" i="4"/>
  <c r="D57" i="4"/>
  <c r="F89" i="3"/>
  <c r="T75" i="4" s="1"/>
  <c r="D16" i="4"/>
  <c r="D105" i="4"/>
  <c r="F88" i="3"/>
  <c r="T142" i="4" s="1"/>
  <c r="F80" i="3"/>
  <c r="T127" i="4" s="1"/>
  <c r="E71" i="3"/>
  <c r="X32" i="4" s="1"/>
  <c r="D21" i="4"/>
  <c r="D40" i="4"/>
  <c r="D142" i="4"/>
  <c r="E89" i="3"/>
  <c r="E88" i="3"/>
  <c r="D92" i="4"/>
  <c r="D74" i="4"/>
  <c r="D76" i="4"/>
  <c r="D59" i="4"/>
  <c r="D137" i="4"/>
  <c r="J70" i="3"/>
  <c r="Q76" i="4" s="1"/>
  <c r="N76" i="4" s="1"/>
  <c r="I67" i="3"/>
  <c r="R140" i="4" s="1"/>
  <c r="F71" i="3"/>
  <c r="T32" i="4" s="1"/>
  <c r="X16" i="4"/>
  <c r="D12" i="4"/>
  <c r="J89" i="3"/>
  <c r="Q75" i="4" s="1"/>
  <c r="N75" i="4" s="1"/>
  <c r="X21" i="4"/>
  <c r="D53" i="4"/>
  <c r="D73" i="4"/>
  <c r="J88" i="3"/>
  <c r="Q142" i="4" s="1"/>
  <c r="N142" i="4" s="1"/>
  <c r="G79" i="3"/>
  <c r="S73" i="4" s="1"/>
  <c r="M73" i="4" s="1"/>
  <c r="E81" i="3"/>
  <c r="J78" i="3"/>
  <c r="Q111" i="4" s="1"/>
  <c r="N111" i="4" s="1"/>
  <c r="I78" i="3"/>
  <c r="R111" i="4" s="1"/>
  <c r="G78" i="3"/>
  <c r="S111" i="4" s="1"/>
  <c r="M111" i="4" s="1"/>
  <c r="F77" i="3"/>
  <c r="T143" i="4" s="1"/>
  <c r="T92" i="4"/>
  <c r="F82" i="3"/>
  <c r="T74" i="4" s="1"/>
  <c r="T59" i="4"/>
  <c r="F81" i="3"/>
  <c r="T31" i="4" s="1"/>
  <c r="E78" i="3"/>
  <c r="E82" i="3"/>
  <c r="J77" i="3"/>
  <c r="Q143" i="4" s="1"/>
  <c r="N143" i="4" s="1"/>
  <c r="I77" i="3"/>
  <c r="R143" i="4" s="1"/>
  <c r="G77" i="3"/>
  <c r="S143" i="4" s="1"/>
  <c r="M143" i="4" s="1"/>
  <c r="S92" i="4"/>
  <c r="M92" i="4" s="1"/>
  <c r="G82" i="3"/>
  <c r="S74" i="4" s="1"/>
  <c r="M74" i="4" s="1"/>
  <c r="T28" i="4"/>
  <c r="J79" i="3"/>
  <c r="Q73" i="4" s="1"/>
  <c r="N73" i="4" s="1"/>
  <c r="I79" i="3"/>
  <c r="R73" i="4" s="1"/>
  <c r="F70" i="3"/>
  <c r="T76" i="4" s="1"/>
  <c r="E70" i="3"/>
  <c r="S59" i="4"/>
  <c r="M59" i="4" s="1"/>
  <c r="G81" i="3"/>
  <c r="S31" i="4" s="1"/>
  <c r="M31" i="4" s="1"/>
  <c r="T53" i="4"/>
  <c r="R92" i="4"/>
  <c r="I82" i="3"/>
  <c r="R74" i="4" s="1"/>
  <c r="S28" i="4"/>
  <c r="M28" i="4" s="1"/>
  <c r="E67" i="3"/>
  <c r="R59" i="4"/>
  <c r="I81" i="3"/>
  <c r="R31" i="4" s="1"/>
  <c r="Q92" i="4"/>
  <c r="N92" i="4" s="1"/>
  <c r="J82" i="3"/>
  <c r="Q74" i="4" s="1"/>
  <c r="N74" i="4" s="1"/>
  <c r="Q59" i="4"/>
  <c r="N59" i="4" s="1"/>
  <c r="J81" i="3"/>
  <c r="Q31" i="4" s="1"/>
  <c r="N31" i="4" s="1"/>
  <c r="J76" i="3"/>
  <c r="Q104" i="4" s="1"/>
  <c r="N104" i="4" s="1"/>
  <c r="J75" i="3"/>
  <c r="Q77" i="4" s="1"/>
  <c r="N77" i="4" s="1"/>
  <c r="I76" i="3"/>
  <c r="R104" i="4" s="1"/>
  <c r="I75" i="3"/>
  <c r="R77" i="4" s="1"/>
  <c r="E69" i="3"/>
  <c r="G76" i="3"/>
  <c r="S104" i="4" s="1"/>
  <c r="M104" i="4" s="1"/>
  <c r="G75" i="3"/>
  <c r="S77" i="4" s="1"/>
  <c r="M77" i="4" s="1"/>
  <c r="F76" i="3"/>
  <c r="T104" i="4" s="1"/>
  <c r="F75" i="3"/>
  <c r="T77" i="4" s="1"/>
  <c r="G810" i="1"/>
  <c r="G808" i="1"/>
  <c r="G809" i="1"/>
  <c r="G811" i="1"/>
  <c r="G801" i="1"/>
  <c r="G804" i="1"/>
  <c r="G803" i="1"/>
  <c r="G799" i="1"/>
  <c r="G798" i="1"/>
  <c r="G802" i="1"/>
  <c r="G790" i="1"/>
  <c r="D85" i="4"/>
  <c r="G783" i="1"/>
  <c r="G782" i="1"/>
  <c r="G781" i="1"/>
  <c r="G770" i="1"/>
  <c r="G776" i="1"/>
  <c r="G780" i="1"/>
  <c r="G771" i="1"/>
  <c r="G778" i="1"/>
  <c r="G779" i="1"/>
  <c r="G772" i="1"/>
  <c r="G773" i="1"/>
  <c r="G774" i="1"/>
  <c r="G777" i="1"/>
  <c r="G769" i="1"/>
  <c r="G789" i="1"/>
  <c r="G791" i="1"/>
  <c r="G792" i="1"/>
  <c r="G793" i="1"/>
  <c r="G786" i="1"/>
  <c r="G788" i="1"/>
  <c r="G785" i="1"/>
  <c r="G787" i="1"/>
  <c r="G257" i="1"/>
  <c r="G251" i="1"/>
  <c r="G250" i="1"/>
  <c r="G252" i="1"/>
  <c r="G258" i="1"/>
  <c r="G253" i="1"/>
  <c r="G246" i="1"/>
  <c r="G242" i="1"/>
  <c r="G245" i="1"/>
  <c r="G248" i="1"/>
  <c r="G161" i="1"/>
  <c r="G135" i="1"/>
  <c r="G139" i="1"/>
  <c r="G134" i="1"/>
  <c r="G132" i="1"/>
  <c r="G133" i="1"/>
  <c r="G130" i="1"/>
  <c r="D81" i="4"/>
  <c r="D80" i="4"/>
  <c r="G122" i="1"/>
  <c r="G124" i="1"/>
  <c r="G127" i="1"/>
  <c r="G125" i="1"/>
  <c r="G123" i="1"/>
  <c r="G121" i="1"/>
  <c r="G126" i="1"/>
  <c r="G66" i="1"/>
  <c r="G65" i="1"/>
  <c r="G59" i="1"/>
  <c r="G64" i="1"/>
  <c r="G51" i="1"/>
  <c r="G52" i="1"/>
  <c r="G50" i="1"/>
  <c r="G55" i="1"/>
  <c r="D14" i="4"/>
  <c r="G44" i="1"/>
  <c r="G57" i="1"/>
  <c r="G54" i="1"/>
  <c r="G82" i="1"/>
  <c r="G84" i="1"/>
  <c r="G90" i="1"/>
  <c r="G92" i="1"/>
  <c r="G83" i="1"/>
  <c r="G91" i="1"/>
  <c r="G72" i="1"/>
  <c r="G34" i="1"/>
  <c r="G30" i="1"/>
  <c r="D11" i="4"/>
  <c r="D96" i="4"/>
  <c r="D17" i="4"/>
  <c r="D110" i="4"/>
  <c r="D112" i="4"/>
  <c r="G103" i="1"/>
  <c r="G43" i="1"/>
  <c r="G28" i="1"/>
  <c r="G25" i="1"/>
  <c r="G24" i="1"/>
  <c r="G27" i="1"/>
  <c r="G621" i="1"/>
  <c r="G625" i="1"/>
  <c r="G619" i="1"/>
  <c r="G620" i="1"/>
  <c r="G627" i="1"/>
  <c r="G618" i="1"/>
  <c r="G628" i="1"/>
  <c r="G622" i="1"/>
  <c r="G630" i="1"/>
  <c r="G636" i="1"/>
  <c r="G629" i="1"/>
  <c r="G491" i="1"/>
  <c r="G486" i="1"/>
  <c r="G490" i="1"/>
  <c r="G489" i="1"/>
  <c r="G7" i="1"/>
  <c r="G11" i="1"/>
  <c r="G10" i="1"/>
  <c r="G14" i="1"/>
  <c r="G20" i="1"/>
  <c r="G19" i="1"/>
  <c r="G26" i="1"/>
  <c r="G29" i="1"/>
  <c r="G33" i="1"/>
  <c r="G32" i="1"/>
  <c r="G31" i="1"/>
  <c r="G35" i="1"/>
  <c r="G53" i="1"/>
  <c r="G67" i="1"/>
  <c r="G68" i="1"/>
  <c r="G73" i="1"/>
  <c r="G96" i="1"/>
  <c r="G101" i="1"/>
  <c r="G111" i="1"/>
  <c r="G116" i="1"/>
  <c r="G128" i="1"/>
  <c r="G129" i="1"/>
  <c r="G140" i="1"/>
  <c r="G155" i="1"/>
  <c r="G162" i="1"/>
  <c r="G166" i="1"/>
  <c r="G169" i="1"/>
  <c r="G179" i="1"/>
  <c r="G188" i="1"/>
  <c r="G197" i="1"/>
  <c r="G205" i="1"/>
  <c r="G229" i="1"/>
  <c r="G241" i="1"/>
  <c r="G249" i="1"/>
  <c r="G254" i="1"/>
  <c r="G266" i="1"/>
  <c r="G268" i="1"/>
  <c r="G277" i="1"/>
  <c r="G282" i="1"/>
  <c r="G297" i="1"/>
  <c r="G302" i="1"/>
  <c r="G323" i="1"/>
  <c r="G325" i="1"/>
  <c r="G334" i="1"/>
  <c r="G359" i="1"/>
  <c r="G376" i="1"/>
  <c r="G377" i="1"/>
  <c r="G395" i="1"/>
  <c r="G396" i="1"/>
  <c r="G411" i="1"/>
  <c r="G421" i="1"/>
  <c r="G426" i="1"/>
  <c r="G433" i="1"/>
  <c r="G441" i="1"/>
  <c r="G442" i="1"/>
  <c r="G451" i="1"/>
  <c r="G459" i="1"/>
  <c r="G476" i="1"/>
  <c r="G484" i="1"/>
  <c r="G497" i="1"/>
  <c r="G504" i="1"/>
  <c r="G511" i="1"/>
  <c r="G517" i="1"/>
  <c r="G529" i="1"/>
  <c r="G531" i="1"/>
  <c r="G551" i="1"/>
  <c r="G559" i="1"/>
  <c r="G566" i="1"/>
  <c r="G571" i="1"/>
  <c r="G594" i="1"/>
  <c r="G602" i="1"/>
  <c r="G610" i="1"/>
  <c r="G626" i="1"/>
  <c r="G637" i="1"/>
  <c r="G638" i="1"/>
  <c r="G643" i="1"/>
  <c r="G651" i="1"/>
  <c r="G661" i="1"/>
  <c r="G664" i="1"/>
  <c r="G685" i="1"/>
  <c r="G680" i="1"/>
  <c r="G688" i="1"/>
  <c r="G689" i="1"/>
  <c r="G706" i="1"/>
  <c r="G708" i="1"/>
  <c r="G716" i="1"/>
  <c r="G741" i="1"/>
  <c r="G755" i="1"/>
  <c r="G759" i="1"/>
  <c r="G767" i="1"/>
  <c r="G775" i="1"/>
  <c r="G784" i="1"/>
  <c r="G794" i="1"/>
  <c r="G800" i="1"/>
  <c r="G812" i="1"/>
  <c r="G817" i="1"/>
  <c r="G833" i="1"/>
  <c r="G828" i="1"/>
  <c r="G840" i="1"/>
  <c r="F89" i="4" l="1"/>
  <c r="AM89" i="4" s="1"/>
  <c r="AO89" i="4" s="1"/>
  <c r="AH62" i="4"/>
  <c r="AI62" i="4" s="1"/>
  <c r="F141" i="4"/>
  <c r="AM141" i="4" s="1"/>
  <c r="F27" i="4"/>
  <c r="AM27" i="4" s="1"/>
  <c r="AO27" i="4" s="1"/>
  <c r="F138" i="4"/>
  <c r="AM138" i="4" s="1"/>
  <c r="AO138" i="4" s="1"/>
  <c r="AH38" i="4"/>
  <c r="AI38" i="4" s="1"/>
  <c r="AK38" i="4"/>
  <c r="AJ38" i="4"/>
  <c r="AK62" i="4"/>
  <c r="AJ62" i="4"/>
  <c r="F38" i="4"/>
  <c r="AM38" i="4" s="1"/>
  <c r="AO38" i="4" s="1"/>
  <c r="F24" i="4"/>
  <c r="AM24" i="4" s="1"/>
  <c r="AO24" i="4" s="1"/>
  <c r="F139" i="4"/>
  <c r="AM139" i="4" s="1"/>
  <c r="AO139" i="4" s="1"/>
  <c r="F3" i="4"/>
  <c r="AM3" i="4" s="1"/>
  <c r="AO3" i="4" s="1"/>
  <c r="AJ82" i="4"/>
  <c r="AL82" i="4" s="1"/>
  <c r="F63" i="4"/>
  <c r="AM63" i="4" s="1"/>
  <c r="AO63" i="4" s="1"/>
  <c r="AO122" i="4"/>
  <c r="F118" i="4"/>
  <c r="AM118" i="4" s="1"/>
  <c r="AO118" i="4" s="1"/>
  <c r="T7" i="4"/>
  <c r="F103" i="4"/>
  <c r="AM103" i="4" s="1"/>
  <c r="AO103" i="4" s="1"/>
  <c r="R7" i="4"/>
  <c r="F90" i="4"/>
  <c r="AM90" i="4" s="1"/>
  <c r="AO90" i="4" s="1"/>
  <c r="F120" i="4"/>
  <c r="AM120" i="4" s="1"/>
  <c r="AO120" i="4" s="1"/>
  <c r="F8" i="4"/>
  <c r="AM8" i="4" s="1"/>
  <c r="AO8" i="4" s="1"/>
  <c r="F68" i="4"/>
  <c r="AM68" i="4" s="1"/>
  <c r="AO68" i="4" s="1"/>
  <c r="AH82" i="4"/>
  <c r="AI82" i="4" s="1"/>
  <c r="F44" i="4"/>
  <c r="AM44" i="4" s="1"/>
  <c r="AO44" i="4" s="1"/>
  <c r="F87" i="4"/>
  <c r="AM87" i="4" s="1"/>
  <c r="AO87" i="4" s="1"/>
  <c r="F101" i="4"/>
  <c r="AM101" i="4" s="1"/>
  <c r="AO101" i="4" s="1"/>
  <c r="AW82" i="4"/>
  <c r="F126" i="4"/>
  <c r="AM126" i="4" s="1"/>
  <c r="AO126" i="4" s="1"/>
  <c r="F13" i="4"/>
  <c r="AM13" i="4" s="1"/>
  <c r="AO13" i="4" s="1"/>
  <c r="S7" i="4"/>
  <c r="M7" i="4" s="1"/>
  <c r="F30" i="4"/>
  <c r="AM30" i="4" s="1"/>
  <c r="AO30" i="4" s="1"/>
  <c r="F22" i="4"/>
  <c r="AM22" i="4" s="1"/>
  <c r="AO22" i="4" s="1"/>
  <c r="F48" i="4"/>
  <c r="AM48" i="4" s="1"/>
  <c r="AO48" i="4" s="1"/>
  <c r="F34" i="4"/>
  <c r="AM34" i="4" s="1"/>
  <c r="AO34" i="4" s="1"/>
  <c r="F82" i="4"/>
  <c r="AM82" i="4" s="1"/>
  <c r="AO82" i="4" s="1"/>
  <c r="F116" i="4"/>
  <c r="AM116" i="4" s="1"/>
  <c r="AO116" i="4" s="1"/>
  <c r="F23" i="4"/>
  <c r="AM23" i="4" s="1"/>
  <c r="AO23" i="4" s="1"/>
  <c r="AJ139" i="4"/>
  <c r="AK139" i="4"/>
  <c r="AJ73" i="4"/>
  <c r="AK73" i="4"/>
  <c r="AJ114" i="4"/>
  <c r="AK114" i="4"/>
  <c r="AJ151" i="4"/>
  <c r="AK151" i="4"/>
  <c r="AJ89" i="4"/>
  <c r="AK89" i="4"/>
  <c r="AK101" i="4"/>
  <c r="AJ101" i="4"/>
  <c r="AJ54" i="4"/>
  <c r="AK54" i="4"/>
  <c r="AJ8" i="4"/>
  <c r="AK8" i="4"/>
  <c r="AJ12" i="4"/>
  <c r="AK12" i="4"/>
  <c r="AK44" i="4"/>
  <c r="AJ44" i="4"/>
  <c r="AH139" i="4"/>
  <c r="AI139" i="4" s="1"/>
  <c r="AJ30" i="4"/>
  <c r="AK30" i="4"/>
  <c r="AK141" i="4"/>
  <c r="AJ141" i="4"/>
  <c r="AJ103" i="4"/>
  <c r="AK103" i="4"/>
  <c r="AK63" i="4"/>
  <c r="AJ63" i="4"/>
  <c r="AH101" i="4"/>
  <c r="AI101" i="4" s="1"/>
  <c r="AJ57" i="4"/>
  <c r="AK57" i="4"/>
  <c r="AK40" i="4"/>
  <c r="AJ40" i="4"/>
  <c r="AK124" i="4"/>
  <c r="AJ124" i="4"/>
  <c r="AJ41" i="4"/>
  <c r="AK41" i="4"/>
  <c r="AJ134" i="4"/>
  <c r="AK134" i="4"/>
  <c r="AJ32" i="4"/>
  <c r="AK32" i="4"/>
  <c r="AJ24" i="4"/>
  <c r="AK24" i="4"/>
  <c r="AJ15" i="4"/>
  <c r="AK15" i="4"/>
  <c r="AJ18" i="4"/>
  <c r="AK18" i="4"/>
  <c r="AJ66" i="4"/>
  <c r="AK66" i="4"/>
  <c r="AH54" i="4"/>
  <c r="AI54" i="4" s="1"/>
  <c r="AK16" i="4"/>
  <c r="AJ16" i="4"/>
  <c r="AK47" i="4"/>
  <c r="AJ47" i="4"/>
  <c r="AJ116" i="4"/>
  <c r="AK116" i="4"/>
  <c r="AJ86" i="4"/>
  <c r="AK86" i="4"/>
  <c r="AK126" i="4"/>
  <c r="AJ126" i="4"/>
  <c r="AJ22" i="4"/>
  <c r="AK22" i="4"/>
  <c r="AJ152" i="4"/>
  <c r="AK152" i="4"/>
  <c r="AJ130" i="4"/>
  <c r="AK130" i="4"/>
  <c r="AK135" i="4"/>
  <c r="AJ135" i="4"/>
  <c r="AJ23" i="4"/>
  <c r="AK23" i="4"/>
  <c r="AJ3" i="4"/>
  <c r="AK3" i="4"/>
  <c r="AJ118" i="4"/>
  <c r="AK118" i="4"/>
  <c r="AJ9" i="4"/>
  <c r="AK9" i="4"/>
  <c r="AJ93" i="4"/>
  <c r="AK93" i="4"/>
  <c r="AJ153" i="4"/>
  <c r="AK153" i="4"/>
  <c r="AK87" i="4"/>
  <c r="AJ87" i="4"/>
  <c r="AK4" i="4"/>
  <c r="AJ4" i="4"/>
  <c r="AJ49" i="4"/>
  <c r="AK49" i="4"/>
  <c r="AJ138" i="4"/>
  <c r="AK138" i="4"/>
  <c r="AJ77" i="4"/>
  <c r="AK77" i="4"/>
  <c r="AK144" i="4"/>
  <c r="AJ144" i="4"/>
  <c r="AK21" i="4"/>
  <c r="AJ21" i="4"/>
  <c r="AJ127" i="4"/>
  <c r="AK127" i="4"/>
  <c r="AJ154" i="4"/>
  <c r="AK154" i="4"/>
  <c r="AK90" i="4"/>
  <c r="AJ90" i="4"/>
  <c r="AJ78" i="4"/>
  <c r="AK78" i="4"/>
  <c r="AJ25" i="4"/>
  <c r="AK25" i="4"/>
  <c r="AJ50" i="4"/>
  <c r="AK50" i="4"/>
  <c r="AK42" i="4"/>
  <c r="AJ42" i="4"/>
  <c r="AK105" i="4"/>
  <c r="AJ105" i="4"/>
  <c r="AJ13" i="4"/>
  <c r="AK13" i="4"/>
  <c r="AJ68" i="4"/>
  <c r="AK68" i="4"/>
  <c r="AJ120" i="4"/>
  <c r="AK120" i="4"/>
  <c r="AJ6" i="4"/>
  <c r="AK6" i="4"/>
  <c r="AK48" i="4"/>
  <c r="AJ48" i="4"/>
  <c r="AW32" i="4"/>
  <c r="AW151" i="4"/>
  <c r="AW89" i="4"/>
  <c r="AW44" i="4"/>
  <c r="AH48" i="4"/>
  <c r="AI48" i="4" s="1"/>
  <c r="AW16" i="4"/>
  <c r="AW50" i="4"/>
  <c r="AW41" i="4"/>
  <c r="AW73" i="4"/>
  <c r="AW114" i="4"/>
  <c r="AW66" i="4"/>
  <c r="AW103" i="4"/>
  <c r="AW63" i="4"/>
  <c r="AW135" i="4"/>
  <c r="AW126" i="4"/>
  <c r="AG18" i="4"/>
  <c r="AA18" i="4" s="1"/>
  <c r="Z18" i="4" s="1"/>
  <c r="AW23" i="4"/>
  <c r="AW3" i="4"/>
  <c r="AW118" i="4"/>
  <c r="AW18" i="4"/>
  <c r="AW138" i="4"/>
  <c r="AW15" i="4"/>
  <c r="AW116" i="4"/>
  <c r="AW86" i="4"/>
  <c r="AW120" i="4"/>
  <c r="AW21" i="4"/>
  <c r="AW87" i="4"/>
  <c r="AW139" i="4"/>
  <c r="AW77" i="4"/>
  <c r="AW40" i="4"/>
  <c r="AW124" i="4"/>
  <c r="AW49" i="4"/>
  <c r="AW152" i="4"/>
  <c r="AW6" i="4"/>
  <c r="AW48" i="4"/>
  <c r="AW93" i="4"/>
  <c r="AW153" i="4"/>
  <c r="AW4" i="4"/>
  <c r="AW154" i="4"/>
  <c r="AW90" i="4"/>
  <c r="AW78" i="4"/>
  <c r="AW25" i="4"/>
  <c r="AW134" i="4"/>
  <c r="AH120" i="4"/>
  <c r="AI120" i="4" s="1"/>
  <c r="F54" i="4"/>
  <c r="AM54" i="4" s="1"/>
  <c r="AO54" i="4" s="1"/>
  <c r="AW8" i="4"/>
  <c r="AW30" i="4"/>
  <c r="AW141" i="4"/>
  <c r="AW57" i="4"/>
  <c r="AW22" i="4"/>
  <c r="AW9" i="4"/>
  <c r="AW130" i="4"/>
  <c r="AW42" i="4"/>
  <c r="AW105" i="4"/>
  <c r="AW13" i="4"/>
  <c r="AW68" i="4"/>
  <c r="AW101" i="4"/>
  <c r="AW54" i="4"/>
  <c r="AH141" i="4"/>
  <c r="AI141" i="4" s="1"/>
  <c r="T47" i="4"/>
  <c r="AG62" i="4"/>
  <c r="AA62" i="4" s="1"/>
  <c r="Z62" i="4" s="1"/>
  <c r="F15" i="4"/>
  <c r="AM15" i="4" s="1"/>
  <c r="AO15" i="4" s="1"/>
  <c r="AH30" i="4"/>
  <c r="AI30" i="4" s="1"/>
  <c r="R9" i="4"/>
  <c r="AH138" i="4"/>
  <c r="AI138" i="4" s="1"/>
  <c r="R114" i="4"/>
  <c r="AH8" i="4"/>
  <c r="AI8" i="4" s="1"/>
  <c r="S107" i="4"/>
  <c r="M107" i="4" s="1"/>
  <c r="T107" i="4"/>
  <c r="Q107" i="4"/>
  <c r="N107" i="4" s="1"/>
  <c r="Q7" i="4"/>
  <c r="N7" i="4" s="1"/>
  <c r="S47" i="4"/>
  <c r="M47" i="4" s="1"/>
  <c r="AG135" i="4"/>
  <c r="AA135" i="4" s="1"/>
  <c r="Z135" i="4" s="1"/>
  <c r="Q114" i="4"/>
  <c r="N114" i="4" s="1"/>
  <c r="T114" i="4"/>
  <c r="S9" i="4"/>
  <c r="M9" i="4" s="1"/>
  <c r="Q47" i="4"/>
  <c r="N47" i="4" s="1"/>
  <c r="AG30" i="4"/>
  <c r="AA30" i="4" s="1"/>
  <c r="Z30" i="4" s="1"/>
  <c r="R47" i="4"/>
  <c r="AH3" i="4"/>
  <c r="AI3" i="4" s="1"/>
  <c r="Q9" i="4"/>
  <c r="N9" i="4" s="1"/>
  <c r="S114" i="4"/>
  <c r="M114" i="4" s="1"/>
  <c r="AG141" i="4"/>
  <c r="AA141" i="4" s="1"/>
  <c r="Z141" i="4" s="1"/>
  <c r="T9" i="4"/>
  <c r="R107" i="4"/>
  <c r="AG82" i="4"/>
  <c r="AA82" i="4" s="1"/>
  <c r="Z82" i="4" s="1"/>
  <c r="AG13" i="4"/>
  <c r="AA13" i="4" s="1"/>
  <c r="Z13" i="4" s="1"/>
  <c r="AG45" i="4"/>
  <c r="AA45" i="4" s="1"/>
  <c r="Z45" i="4" s="1"/>
  <c r="AG38" i="4"/>
  <c r="AA38" i="4" s="1"/>
  <c r="Z38" i="4" s="1"/>
  <c r="AG152" i="4"/>
  <c r="AA152" i="4" s="1"/>
  <c r="Z152" i="4" s="1"/>
  <c r="AG149" i="4"/>
  <c r="AA149" i="4" s="1"/>
  <c r="Z149" i="4" s="1"/>
  <c r="AG25" i="4"/>
  <c r="AA25" i="4" s="1"/>
  <c r="Z25" i="4" s="1"/>
  <c r="AG78" i="4"/>
  <c r="AA78" i="4" s="1"/>
  <c r="Z78" i="4" s="1"/>
  <c r="AU134" i="4"/>
  <c r="AV134" i="4" s="1"/>
  <c r="AO6" i="4"/>
  <c r="AG24" i="4"/>
  <c r="AA24" i="4" s="1"/>
  <c r="Z24" i="4" s="1"/>
  <c r="AG6" i="4"/>
  <c r="AA6" i="4" s="1"/>
  <c r="Z6" i="4" s="1"/>
  <c r="AG49" i="4"/>
  <c r="AA49" i="4" s="1"/>
  <c r="Z49" i="4" s="1"/>
  <c r="AU155" i="4"/>
  <c r="AV155" i="4" s="1"/>
  <c r="AU41" i="4"/>
  <c r="AV41" i="4" s="1"/>
  <c r="AG68" i="4"/>
  <c r="AA68" i="4" s="1"/>
  <c r="Z68" i="4" s="1"/>
  <c r="AU132" i="4"/>
  <c r="AV132" i="4" s="1"/>
  <c r="AU49" i="4"/>
  <c r="AV49" i="4" s="1"/>
  <c r="AU124" i="4"/>
  <c r="AV124" i="4" s="1"/>
  <c r="AG118" i="4"/>
  <c r="AA118" i="4" s="1"/>
  <c r="Z118" i="4" s="1"/>
  <c r="AU78" i="4"/>
  <c r="AV78" i="4" s="1"/>
  <c r="AO62" i="4"/>
  <c r="AU149" i="4"/>
  <c r="AV149" i="4" s="1"/>
  <c r="AG15" i="4"/>
  <c r="AA15" i="4" s="1"/>
  <c r="Z15" i="4" s="1"/>
  <c r="AO152" i="4"/>
  <c r="AG139" i="4"/>
  <c r="AA139" i="4" s="1"/>
  <c r="Z139" i="4" s="1"/>
  <c r="AG122" i="4"/>
  <c r="AA122" i="4" s="1"/>
  <c r="Z122" i="4" s="1"/>
  <c r="AG3" i="4"/>
  <c r="AA3" i="4" s="1"/>
  <c r="Z3" i="4" s="1"/>
  <c r="AG27" i="4"/>
  <c r="AA27" i="4" s="1"/>
  <c r="Z27" i="4" s="1"/>
  <c r="AU86" i="4"/>
  <c r="AV86" i="4" s="1"/>
  <c r="AO141" i="4"/>
  <c r="AG23" i="4"/>
  <c r="AA23" i="4" s="1"/>
  <c r="Z23" i="4" s="1"/>
  <c r="AG89" i="4"/>
  <c r="AA89" i="4" s="1"/>
  <c r="Z89" i="4" s="1"/>
  <c r="AG103" i="4"/>
  <c r="AA103" i="4" s="1"/>
  <c r="Z103" i="4" s="1"/>
  <c r="AG63" i="4"/>
  <c r="AA63" i="4" s="1"/>
  <c r="Z63" i="4" s="1"/>
  <c r="AU141" i="4"/>
  <c r="AV141" i="4" s="1"/>
  <c r="AG101" i="4"/>
  <c r="AA101" i="4" s="1"/>
  <c r="Z101" i="4" s="1"/>
  <c r="AU62" i="4"/>
  <c r="AV62" i="4" s="1"/>
  <c r="AG54" i="4"/>
  <c r="AA54" i="4" s="1"/>
  <c r="Z54" i="4" s="1"/>
  <c r="AG90" i="4"/>
  <c r="AA90" i="4" s="1"/>
  <c r="Z90" i="4" s="1"/>
  <c r="AG87" i="4"/>
  <c r="AA87" i="4" s="1"/>
  <c r="Z87" i="4" s="1"/>
  <c r="AU152" i="4"/>
  <c r="AV152" i="4" s="1"/>
  <c r="AG50" i="4"/>
  <c r="AA50" i="4" s="1"/>
  <c r="Z50" i="4" s="1"/>
  <c r="AG44" i="4"/>
  <c r="AA44" i="4" s="1"/>
  <c r="Z44" i="4" s="1"/>
  <c r="AG22" i="4"/>
  <c r="AA22" i="4" s="1"/>
  <c r="Z22" i="4" s="1"/>
  <c r="AG116" i="4"/>
  <c r="AA116" i="4" s="1"/>
  <c r="Z116" i="4" s="1"/>
  <c r="AG8" i="4"/>
  <c r="AA8" i="4" s="1"/>
  <c r="Z8" i="4" s="1"/>
  <c r="AG48" i="4"/>
  <c r="AA48" i="4" s="1"/>
  <c r="Z48" i="4" s="1"/>
  <c r="AG138" i="4"/>
  <c r="AA138" i="4" s="1"/>
  <c r="Z138" i="4" s="1"/>
  <c r="AG120" i="4"/>
  <c r="AA120" i="4" s="1"/>
  <c r="Z120" i="4" s="1"/>
  <c r="AG126" i="4"/>
  <c r="AA126" i="4" s="1"/>
  <c r="Z126" i="4" s="1"/>
  <c r="AW127" i="4"/>
  <c r="AW47" i="4"/>
  <c r="AW144" i="4"/>
  <c r="AW12" i="4"/>
  <c r="AW24" i="4"/>
  <c r="AG140" i="4"/>
  <c r="AA140" i="4" s="1"/>
  <c r="Z140" i="4" s="1"/>
  <c r="AG28" i="4"/>
  <c r="AA28" i="4" s="1"/>
  <c r="Z28" i="4" s="1"/>
  <c r="AG31" i="4"/>
  <c r="AA31" i="4" s="1"/>
  <c r="Z31" i="4" s="1"/>
  <c r="AG40" i="4"/>
  <c r="AA40" i="4" s="1"/>
  <c r="Z40" i="4" s="1"/>
  <c r="AG16" i="4"/>
  <c r="AA16" i="4" s="1"/>
  <c r="Z16" i="4" s="1"/>
  <c r="AG32" i="4"/>
  <c r="AA32" i="4" s="1"/>
  <c r="Z32" i="4" s="1"/>
  <c r="AG154" i="4"/>
  <c r="AA154" i="4" s="1"/>
  <c r="Z154" i="4" s="1"/>
  <c r="AG35" i="4"/>
  <c r="AA35" i="4" s="1"/>
  <c r="Z35" i="4" s="1"/>
  <c r="AG57" i="4"/>
  <c r="AA57" i="4" s="1"/>
  <c r="Z57" i="4" s="1"/>
  <c r="AG47" i="4"/>
  <c r="AA47" i="4" s="1"/>
  <c r="Z47" i="4" s="1"/>
  <c r="AG76" i="4"/>
  <c r="AA76" i="4" s="1"/>
  <c r="Z76" i="4" s="1"/>
  <c r="AG105" i="4"/>
  <c r="AA105" i="4" s="1"/>
  <c r="Z105" i="4" s="1"/>
  <c r="AG77" i="4"/>
  <c r="AA77" i="4" s="1"/>
  <c r="Z77" i="4" s="1"/>
  <c r="AG75" i="4"/>
  <c r="AA75" i="4" s="1"/>
  <c r="Z75" i="4" s="1"/>
  <c r="AG127" i="4"/>
  <c r="AA127" i="4" s="1"/>
  <c r="Z127" i="4" s="1"/>
  <c r="AG53" i="4"/>
  <c r="AA53" i="4" s="1"/>
  <c r="Z53" i="4" s="1"/>
  <c r="AG137" i="4"/>
  <c r="AA137" i="4" s="1"/>
  <c r="Z137" i="4" s="1"/>
  <c r="AG144" i="4"/>
  <c r="AA144" i="4" s="1"/>
  <c r="Z144" i="4" s="1"/>
  <c r="AG92" i="4"/>
  <c r="AA92" i="4" s="1"/>
  <c r="Z92" i="4" s="1"/>
  <c r="AG107" i="4"/>
  <c r="AA107" i="4" s="1"/>
  <c r="Z107" i="4" s="1"/>
  <c r="AG7" i="4"/>
  <c r="AA7" i="4" s="1"/>
  <c r="Z7" i="4" s="1"/>
  <c r="AG9" i="4"/>
  <c r="AA9" i="4" s="1"/>
  <c r="Z9" i="4" s="1"/>
  <c r="AG136" i="4"/>
  <c r="AA136" i="4" s="1"/>
  <c r="Z136" i="4" s="1"/>
  <c r="AG111" i="4"/>
  <c r="AA111" i="4" s="1"/>
  <c r="Z111" i="4" s="1"/>
  <c r="AG93" i="4"/>
  <c r="AA93" i="4" s="1"/>
  <c r="Z93" i="4" s="1"/>
  <c r="AG114" i="4"/>
  <c r="AA114" i="4" s="1"/>
  <c r="Z114" i="4" s="1"/>
  <c r="AG142" i="4"/>
  <c r="AA142" i="4" s="1"/>
  <c r="Z142" i="4" s="1"/>
  <c r="AG73" i="4"/>
  <c r="AA73" i="4" s="1"/>
  <c r="Z73" i="4" s="1"/>
  <c r="AG12" i="4"/>
  <c r="AA12" i="4" s="1"/>
  <c r="Z12" i="4" s="1"/>
  <c r="AG59" i="4"/>
  <c r="AA59" i="4" s="1"/>
  <c r="Z59" i="4" s="1"/>
  <c r="AG21" i="4"/>
  <c r="AA21" i="4" s="1"/>
  <c r="Z21" i="4" s="1"/>
  <c r="AG74" i="4"/>
  <c r="AA74" i="4" s="1"/>
  <c r="Z74" i="4" s="1"/>
  <c r="AG42" i="4"/>
  <c r="AA42" i="4" s="1"/>
  <c r="Z42" i="4" s="1"/>
  <c r="AG94" i="4"/>
  <c r="AA94" i="4" s="1"/>
  <c r="Z94" i="4" s="1"/>
  <c r="AG143" i="4"/>
  <c r="AA143" i="4" s="1"/>
  <c r="Z143" i="4" s="1"/>
  <c r="AG104" i="4"/>
  <c r="AA104" i="4" s="1"/>
  <c r="Z104" i="4" s="1"/>
  <c r="AG58" i="4"/>
  <c r="AA58" i="4" s="1"/>
  <c r="Z58" i="4" s="1"/>
  <c r="AG151" i="4"/>
  <c r="AA151" i="4" s="1"/>
  <c r="Z151" i="4" s="1"/>
  <c r="AG153" i="4"/>
  <c r="AA153" i="4" s="1"/>
  <c r="Z153" i="4" s="1"/>
  <c r="AH40" i="4"/>
  <c r="AI40" i="4" s="1"/>
  <c r="AH24" i="4"/>
  <c r="AI24" i="4" s="1"/>
  <c r="AH124" i="4"/>
  <c r="AI124" i="4" s="1"/>
  <c r="AH103" i="4"/>
  <c r="AI103" i="4" s="1"/>
  <c r="AH73" i="4"/>
  <c r="AI73" i="4" s="1"/>
  <c r="AH15" i="4"/>
  <c r="AI15" i="4" s="1"/>
  <c r="AH18" i="4"/>
  <c r="AI18" i="4" s="1"/>
  <c r="AH127" i="4"/>
  <c r="AI127" i="4" s="1"/>
  <c r="AH116" i="4"/>
  <c r="AI116" i="4" s="1"/>
  <c r="AH86" i="4"/>
  <c r="AI86" i="4" s="1"/>
  <c r="AH134" i="4"/>
  <c r="AI134" i="4" s="1"/>
  <c r="AH12" i="4"/>
  <c r="AI12" i="4" s="1"/>
  <c r="AH152" i="4"/>
  <c r="AI152" i="4" s="1"/>
  <c r="AL45" i="4"/>
  <c r="AL34" i="4"/>
  <c r="AL149" i="4"/>
  <c r="AH32" i="4"/>
  <c r="AI32" i="4" s="1"/>
  <c r="AH44" i="4"/>
  <c r="AI44" i="4" s="1"/>
  <c r="AH63" i="4"/>
  <c r="AI63" i="4" s="1"/>
  <c r="AL27" i="4"/>
  <c r="AH87" i="4"/>
  <c r="AI87" i="4" s="1"/>
  <c r="AH4" i="4"/>
  <c r="AI4" i="4" s="1"/>
  <c r="AH21" i="4"/>
  <c r="AI21" i="4" s="1"/>
  <c r="AH93" i="4"/>
  <c r="AI93" i="4" s="1"/>
  <c r="AH90" i="4"/>
  <c r="AI90" i="4" s="1"/>
  <c r="AH78" i="4"/>
  <c r="AI78" i="4" s="1"/>
  <c r="AL122" i="4"/>
  <c r="AH105" i="4"/>
  <c r="AI105" i="4" s="1"/>
  <c r="AH13" i="4"/>
  <c r="AI13" i="4" s="1"/>
  <c r="AH68" i="4"/>
  <c r="AI68" i="4" s="1"/>
  <c r="AH114" i="4"/>
  <c r="AI114" i="4" s="1"/>
  <c r="AH153" i="4"/>
  <c r="AI153" i="4" s="1"/>
  <c r="AH50" i="4"/>
  <c r="AI50" i="4" s="1"/>
  <c r="AH41" i="4"/>
  <c r="AI41" i="4" s="1"/>
  <c r="AH66" i="4"/>
  <c r="AI66" i="4" s="1"/>
  <c r="AH9" i="4"/>
  <c r="AI9" i="4" s="1"/>
  <c r="AH154" i="4"/>
  <c r="AI154" i="4" s="1"/>
  <c r="AH57" i="4"/>
  <c r="AI57" i="4" s="1"/>
  <c r="AH22" i="4"/>
  <c r="AI22" i="4" s="1"/>
  <c r="AH135" i="4"/>
  <c r="AI135" i="4" s="1"/>
  <c r="AH77" i="4"/>
  <c r="AI77" i="4" s="1"/>
  <c r="AH16" i="4"/>
  <c r="AI16" i="4" s="1"/>
  <c r="AH144" i="4"/>
  <c r="AI144" i="4" s="1"/>
  <c r="AH42" i="4"/>
  <c r="AI42" i="4" s="1"/>
  <c r="AH47" i="4"/>
  <c r="AI47" i="4" s="1"/>
  <c r="AH151" i="4"/>
  <c r="AI151" i="4" s="1"/>
  <c r="AH89" i="4"/>
  <c r="AI89" i="4" s="1"/>
  <c r="AH25" i="4"/>
  <c r="AI25" i="4" s="1"/>
  <c r="AH49" i="4"/>
  <c r="AI49" i="4" s="1"/>
  <c r="H2" i="3" a="1"/>
  <c r="H2" i="3" s="1"/>
  <c r="S2" i="3"/>
  <c r="K2" i="3" a="1"/>
  <c r="K2" i="3" s="1"/>
  <c r="M2" i="3" a="1"/>
  <c r="M2" i="3" s="1"/>
  <c r="AN67" i="4" s="1"/>
  <c r="S32" i="3"/>
  <c r="K32" i="3" a="1"/>
  <c r="K32" i="3" s="1"/>
  <c r="M32" i="3" a="1"/>
  <c r="M32" i="3" s="1"/>
  <c r="AN51" i="4" s="1"/>
  <c r="S31" i="3"/>
  <c r="K31" i="3" a="1"/>
  <c r="K31" i="3" s="1"/>
  <c r="M31" i="3" a="1"/>
  <c r="M31" i="3" s="1"/>
  <c r="AN133" i="4" s="1"/>
  <c r="S30" i="3"/>
  <c r="M30" i="3" a="1"/>
  <c r="M30" i="3" s="1"/>
  <c r="AN146" i="4" s="1"/>
  <c r="K30" i="3" a="1"/>
  <c r="K30" i="3" s="1"/>
  <c r="S29" i="3"/>
  <c r="M29" i="3" a="1"/>
  <c r="M29" i="3" s="1"/>
  <c r="AN112" i="4" s="1"/>
  <c r="K29" i="3" a="1"/>
  <c r="K29" i="3" s="1"/>
  <c r="S28" i="3"/>
  <c r="M28" i="3" a="1"/>
  <c r="M28" i="3" s="1"/>
  <c r="AN131" i="4" s="1"/>
  <c r="K28" i="3" a="1"/>
  <c r="K28" i="3" s="1"/>
  <c r="S27" i="3"/>
  <c r="M27" i="3" a="1"/>
  <c r="M27" i="3" s="1"/>
  <c r="AN150" i="4" s="1"/>
  <c r="K27" i="3" a="1"/>
  <c r="K27" i="3" s="1"/>
  <c r="S26" i="3"/>
  <c r="M26" i="3" a="1"/>
  <c r="M26" i="3" s="1"/>
  <c r="AN148" i="4" s="1"/>
  <c r="K26" i="3" a="1"/>
  <c r="K26" i="3" s="1"/>
  <c r="S25" i="3"/>
  <c r="K25" i="3" a="1"/>
  <c r="K25" i="3" s="1"/>
  <c r="M25" i="3" a="1"/>
  <c r="M25" i="3" s="1"/>
  <c r="AN110" i="4" s="1"/>
  <c r="S24" i="3"/>
  <c r="K24" i="3" a="1"/>
  <c r="K24" i="3" s="1"/>
  <c r="M24" i="3" a="1"/>
  <c r="M24" i="3" s="1"/>
  <c r="AN72" i="4" s="1"/>
  <c r="S23" i="3"/>
  <c r="M23" i="3" a="1"/>
  <c r="M23" i="3" s="1"/>
  <c r="AN83" i="4" s="1"/>
  <c r="K23" i="3" a="1"/>
  <c r="K23" i="3" s="1"/>
  <c r="S22" i="3"/>
  <c r="M22" i="3" a="1"/>
  <c r="M22" i="3" s="1"/>
  <c r="AN145" i="4" s="1"/>
  <c r="K22" i="3" a="1"/>
  <c r="K22" i="3" s="1"/>
  <c r="S21" i="3"/>
  <c r="M21" i="3" a="1"/>
  <c r="M21" i="3" s="1"/>
  <c r="AN117" i="4" s="1"/>
  <c r="K21" i="3" a="1"/>
  <c r="K21" i="3" s="1"/>
  <c r="S20" i="3"/>
  <c r="M20" i="3" a="1"/>
  <c r="M20" i="3" s="1"/>
  <c r="AN26" i="4" s="1"/>
  <c r="K20" i="3" a="1"/>
  <c r="K20" i="3" s="1"/>
  <c r="S19" i="3"/>
  <c r="M19" i="3" a="1"/>
  <c r="M19" i="3" s="1"/>
  <c r="AN106" i="4" s="1"/>
  <c r="K19" i="3" a="1"/>
  <c r="K19" i="3" s="1"/>
  <c r="S18" i="3"/>
  <c r="M18" i="3" a="1"/>
  <c r="M18" i="3" s="1"/>
  <c r="AN70" i="4" s="1"/>
  <c r="K18" i="3" a="1"/>
  <c r="K18" i="3" s="1"/>
  <c r="S17" i="3"/>
  <c r="M17" i="3" a="1"/>
  <c r="M17" i="3" s="1"/>
  <c r="AN64" i="4" s="1"/>
  <c r="K17" i="3" a="1"/>
  <c r="K17" i="3" s="1"/>
  <c r="S16" i="3"/>
  <c r="M16" i="3" a="1"/>
  <c r="M16" i="3" s="1"/>
  <c r="AN147" i="4" s="1"/>
  <c r="K16" i="3" a="1"/>
  <c r="K16" i="3" s="1"/>
  <c r="S15" i="3"/>
  <c r="M15" i="3" a="1"/>
  <c r="M15" i="3" s="1"/>
  <c r="AN71" i="4" s="1"/>
  <c r="K15" i="3" a="1"/>
  <c r="K15" i="3" s="1"/>
  <c r="S14" i="3"/>
  <c r="M14" i="3" a="1"/>
  <c r="M14" i="3" s="1"/>
  <c r="AN17" i="4" s="1"/>
  <c r="K14" i="3" a="1"/>
  <c r="K14" i="3" s="1"/>
  <c r="S13" i="3"/>
  <c r="M13" i="3" a="1"/>
  <c r="M13" i="3" s="1"/>
  <c r="AN43" i="4" s="1"/>
  <c r="K13" i="3" a="1"/>
  <c r="K13" i="3" s="1"/>
  <c r="S12" i="3"/>
  <c r="K12" i="3" a="1"/>
  <c r="K12" i="3" s="1"/>
  <c r="M12" i="3" a="1"/>
  <c r="M12" i="3" s="1"/>
  <c r="AN39" i="4" s="1"/>
  <c r="S11" i="3"/>
  <c r="K11" i="3" a="1"/>
  <c r="K11" i="3" s="1"/>
  <c r="M11" i="3" a="1"/>
  <c r="M11" i="3" s="1"/>
  <c r="AN60" i="4" s="1"/>
  <c r="S10" i="3"/>
  <c r="K10" i="3" a="1"/>
  <c r="K10" i="3" s="1"/>
  <c r="M10" i="3" a="1"/>
  <c r="M10" i="3" s="1"/>
  <c r="AN10" i="4" s="1"/>
  <c r="S9" i="3"/>
  <c r="K9" i="3" a="1"/>
  <c r="K9" i="3" s="1"/>
  <c r="M9" i="3" a="1"/>
  <c r="M9" i="3" s="1"/>
  <c r="AN119" i="4" s="1"/>
  <c r="S8" i="3"/>
  <c r="K8" i="3" a="1"/>
  <c r="K8" i="3" s="1"/>
  <c r="M8" i="3" a="1"/>
  <c r="M8" i="3" s="1"/>
  <c r="AN98" i="4" s="1"/>
  <c r="S7" i="3"/>
  <c r="K7" i="3" a="1"/>
  <c r="K7" i="3" s="1"/>
  <c r="M7" i="3" a="1"/>
  <c r="M7" i="3" s="1"/>
  <c r="AN95" i="4" s="1"/>
  <c r="S6" i="3"/>
  <c r="M6" i="3" a="1"/>
  <c r="M6" i="3" s="1"/>
  <c r="AN2" i="4" s="1"/>
  <c r="K6" i="3" a="1"/>
  <c r="K6" i="3" s="1"/>
  <c r="S5" i="3"/>
  <c r="M5" i="3" a="1"/>
  <c r="M5" i="3" s="1"/>
  <c r="AN79" i="4" s="1"/>
  <c r="K5" i="3" a="1"/>
  <c r="K5" i="3" s="1"/>
  <c r="S4" i="3"/>
  <c r="K4" i="3" a="1"/>
  <c r="K4" i="3" s="1"/>
  <c r="M4" i="3" a="1"/>
  <c r="M4" i="3" s="1"/>
  <c r="AN91" i="4" s="1"/>
  <c r="S3" i="3"/>
  <c r="K3" i="3" a="1"/>
  <c r="K3" i="3" s="1"/>
  <c r="M3" i="3" a="1"/>
  <c r="M3" i="3" s="1"/>
  <c r="AN55" i="4" s="1"/>
  <c r="S34" i="3"/>
  <c r="K34" i="3" a="1"/>
  <c r="K34" i="3" s="1"/>
  <c r="M34" i="3" a="1"/>
  <c r="M34" i="3" s="1"/>
  <c r="AN65" i="4" s="1"/>
  <c r="S33" i="3"/>
  <c r="K33" i="3" a="1"/>
  <c r="K33" i="3" s="1"/>
  <c r="M33" i="3" a="1"/>
  <c r="M33" i="3" s="1"/>
  <c r="AN96" i="4" s="1"/>
  <c r="S36" i="3"/>
  <c r="M36" i="3" a="1"/>
  <c r="M36" i="3" s="1"/>
  <c r="AN84" i="4" s="1"/>
  <c r="K36" i="3" a="1"/>
  <c r="K36" i="3" s="1"/>
  <c r="S35" i="3"/>
  <c r="K35" i="3" a="1"/>
  <c r="K35" i="3" s="1"/>
  <c r="M35" i="3" a="1"/>
  <c r="M35" i="3" s="1"/>
  <c r="AN11" i="4" s="1"/>
  <c r="S39" i="3"/>
  <c r="K39" i="3" a="1"/>
  <c r="K39" i="3" s="1"/>
  <c r="M39" i="3" a="1"/>
  <c r="M39" i="3" s="1"/>
  <c r="AN121" i="4" s="1"/>
  <c r="S38" i="3"/>
  <c r="M38" i="3" a="1"/>
  <c r="M38" i="3" s="1"/>
  <c r="AN97" i="4" s="1"/>
  <c r="K38" i="3" a="1"/>
  <c r="K38" i="3" s="1"/>
  <c r="S37" i="3"/>
  <c r="M37" i="3" a="1"/>
  <c r="M37" i="3" s="1"/>
  <c r="AN88" i="4" s="1"/>
  <c r="K37" i="3" a="1"/>
  <c r="K37" i="3" s="1"/>
  <c r="S40" i="3"/>
  <c r="K40" i="3" a="1"/>
  <c r="K40" i="3" s="1"/>
  <c r="M40" i="3" a="1"/>
  <c r="M40" i="3" s="1"/>
  <c r="AN14" i="4" s="1"/>
  <c r="S41" i="3"/>
  <c r="K41" i="3" a="1"/>
  <c r="K41" i="3" s="1"/>
  <c r="M41" i="3" a="1"/>
  <c r="M41" i="3" s="1"/>
  <c r="AN99" i="4" s="1"/>
  <c r="S44" i="3"/>
  <c r="K44" i="3" a="1"/>
  <c r="K44" i="3" s="1"/>
  <c r="M44" i="3" a="1"/>
  <c r="M44" i="3" s="1"/>
  <c r="AN20" i="4" s="1"/>
  <c r="S43" i="3"/>
  <c r="K43" i="3" a="1"/>
  <c r="K43" i="3" s="1"/>
  <c r="M43" i="3" a="1"/>
  <c r="M43" i="3" s="1"/>
  <c r="AN69" i="4" s="1"/>
  <c r="S42" i="3"/>
  <c r="K42" i="3" a="1"/>
  <c r="K42" i="3" s="1"/>
  <c r="M42" i="3" a="1"/>
  <c r="M42" i="3" s="1"/>
  <c r="AN125" i="4" s="1"/>
  <c r="S45" i="3"/>
  <c r="K45" i="3" a="1"/>
  <c r="K45" i="3" s="1"/>
  <c r="M45" i="3" a="1"/>
  <c r="M45" i="3" s="1"/>
  <c r="AN80" i="4" s="1"/>
  <c r="S47" i="3"/>
  <c r="M47" i="3" a="1"/>
  <c r="M47" i="3" s="1"/>
  <c r="AN36" i="4" s="1"/>
  <c r="K47" i="3" a="1"/>
  <c r="K47" i="3" s="1"/>
  <c r="S46" i="3"/>
  <c r="M46" i="3" a="1"/>
  <c r="M46" i="3" s="1"/>
  <c r="AN81" i="4" s="1"/>
  <c r="K46" i="3" a="1"/>
  <c r="K46" i="3" s="1"/>
  <c r="S49" i="3"/>
  <c r="M49" i="3" a="1"/>
  <c r="M49" i="3" s="1"/>
  <c r="AN113" i="4" s="1"/>
  <c r="K49" i="3" a="1"/>
  <c r="K49" i="3" s="1"/>
  <c r="S48" i="3"/>
  <c r="K48" i="3" a="1"/>
  <c r="K48" i="3" s="1"/>
  <c r="M48" i="3" a="1"/>
  <c r="M48" i="3" s="1"/>
  <c r="AN102" i="4" s="1"/>
  <c r="S50" i="3"/>
  <c r="M50" i="3" a="1"/>
  <c r="M50" i="3" s="1"/>
  <c r="AN100" i="4" s="1"/>
  <c r="K50" i="3" a="1"/>
  <c r="K50" i="3" s="1"/>
  <c r="S51" i="3"/>
  <c r="M51" i="3" a="1"/>
  <c r="M51" i="3" s="1"/>
  <c r="AN128" i="4" s="1"/>
  <c r="K51" i="3" a="1"/>
  <c r="K51" i="3" s="1"/>
  <c r="S61" i="3"/>
  <c r="M61" i="3" a="1"/>
  <c r="M61" i="3" s="1"/>
  <c r="AN19" i="4" s="1"/>
  <c r="K61" i="3" a="1"/>
  <c r="K61" i="3" s="1"/>
  <c r="S60" i="3"/>
  <c r="M60" i="3" a="1"/>
  <c r="M60" i="3" s="1"/>
  <c r="AN33" i="4" s="1"/>
  <c r="K60" i="3" a="1"/>
  <c r="K60" i="3" s="1"/>
  <c r="S59" i="3"/>
  <c r="M59" i="3" a="1"/>
  <c r="M59" i="3" s="1"/>
  <c r="AN37" i="4" s="1"/>
  <c r="K59" i="3" a="1"/>
  <c r="K59" i="3" s="1"/>
  <c r="S58" i="3"/>
  <c r="M58" i="3" a="1"/>
  <c r="M58" i="3" s="1"/>
  <c r="AN85" i="4" s="1"/>
  <c r="K58" i="3" a="1"/>
  <c r="K58" i="3" s="1"/>
  <c r="S57" i="3"/>
  <c r="M57" i="3" a="1"/>
  <c r="M57" i="3" s="1"/>
  <c r="AN129" i="4" s="1"/>
  <c r="K57" i="3" a="1"/>
  <c r="K57" i="3" s="1"/>
  <c r="S56" i="3"/>
  <c r="M56" i="3" a="1"/>
  <c r="M56" i="3" s="1"/>
  <c r="AN61" i="4" s="1"/>
  <c r="K56" i="3" a="1"/>
  <c r="K56" i="3" s="1"/>
  <c r="S55" i="3"/>
  <c r="K55" i="3" a="1"/>
  <c r="K55" i="3" s="1"/>
  <c r="M55" i="3" a="1"/>
  <c r="M55" i="3" s="1"/>
  <c r="AN29" i="4" s="1"/>
  <c r="S54" i="3"/>
  <c r="M54" i="3" a="1"/>
  <c r="M54" i="3" s="1"/>
  <c r="AN115" i="4" s="1"/>
  <c r="K54" i="3" a="1"/>
  <c r="K54" i="3" s="1"/>
  <c r="S53" i="3"/>
  <c r="M53" i="3" a="1"/>
  <c r="M53" i="3" s="1"/>
  <c r="AN109" i="4" s="1"/>
  <c r="K53" i="3" a="1"/>
  <c r="K53" i="3" s="1"/>
  <c r="S52" i="3"/>
  <c r="M52" i="3" a="1"/>
  <c r="M52" i="3" s="1"/>
  <c r="AN108" i="4" s="1"/>
  <c r="K52" i="3" a="1"/>
  <c r="K52" i="3" s="1"/>
  <c r="S64" i="3"/>
  <c r="K64" i="3" a="1"/>
  <c r="K64" i="3" s="1"/>
  <c r="M64" i="3" a="1"/>
  <c r="M64" i="3" s="1"/>
  <c r="AN5" i="4" s="1"/>
  <c r="S63" i="3"/>
  <c r="K63" i="3" a="1"/>
  <c r="K63" i="3" s="1"/>
  <c r="M63" i="3" a="1"/>
  <c r="M63" i="3" s="1"/>
  <c r="AN52" i="4" s="1"/>
  <c r="S62" i="3"/>
  <c r="M62" i="3" a="1"/>
  <c r="M62" i="3" s="1"/>
  <c r="AN56" i="4" s="1"/>
  <c r="K62" i="3" a="1"/>
  <c r="K62" i="3" s="1"/>
  <c r="S66" i="3"/>
  <c r="K66" i="3" a="1"/>
  <c r="K66" i="3" s="1"/>
  <c r="M66" i="3" a="1"/>
  <c r="M66" i="3" s="1"/>
  <c r="AN123" i="4" s="1"/>
  <c r="S65" i="3"/>
  <c r="K65" i="3" a="1"/>
  <c r="K65" i="3" s="1"/>
  <c r="M65" i="3" a="1"/>
  <c r="M65" i="3" s="1"/>
  <c r="AN46" i="4" s="1"/>
  <c r="AH130" i="4"/>
  <c r="AI130" i="4" s="1"/>
  <c r="E124" i="4"/>
  <c r="E50" i="4"/>
  <c r="E86" i="4"/>
  <c r="E130" i="4"/>
  <c r="AM130" i="4"/>
  <c r="AO130" i="4" s="1"/>
  <c r="E6" i="4"/>
  <c r="E122" i="4"/>
  <c r="E45" i="4"/>
  <c r="E78" i="4"/>
  <c r="E134" i="4"/>
  <c r="E49" i="4"/>
  <c r="E41" i="4"/>
  <c r="E25" i="4"/>
  <c r="E18" i="4"/>
  <c r="E141" i="4"/>
  <c r="E89" i="4"/>
  <c r="E62" i="4"/>
  <c r="E66" i="4"/>
  <c r="E152" i="4"/>
  <c r="E135" i="4"/>
  <c r="E138" i="4"/>
  <c r="E4" i="4"/>
  <c r="E149" i="4"/>
  <c r="F93" i="4"/>
  <c r="AM93" i="4" s="1"/>
  <c r="AO93" i="4" s="1"/>
  <c r="L13" i="3"/>
  <c r="H13" i="3" a="1"/>
  <c r="H13" i="3" s="1"/>
  <c r="L61" i="3"/>
  <c r="H61" i="3" a="1"/>
  <c r="H61" i="3" s="1"/>
  <c r="L24" i="3"/>
  <c r="H24" i="3" a="1"/>
  <c r="H24" i="3" s="1"/>
  <c r="L38" i="3"/>
  <c r="H38" i="3" a="1"/>
  <c r="H38" i="3" s="1"/>
  <c r="L44" i="3"/>
  <c r="H44" i="3" a="1"/>
  <c r="H44" i="3" s="1"/>
  <c r="L22" i="3"/>
  <c r="H22" i="3" a="1"/>
  <c r="H22" i="3" s="1"/>
  <c r="L12" i="3"/>
  <c r="H12" i="3" a="1"/>
  <c r="H12" i="3" s="1"/>
  <c r="L23" i="3"/>
  <c r="H23" i="3" a="1"/>
  <c r="H23" i="3" s="1"/>
  <c r="L65" i="3"/>
  <c r="H65" i="3" a="1"/>
  <c r="H65" i="3" s="1"/>
  <c r="L21" i="3"/>
  <c r="H21" i="3" a="1"/>
  <c r="H21" i="3" s="1"/>
  <c r="L9" i="3"/>
  <c r="H9" i="3" a="1"/>
  <c r="H9" i="3" s="1"/>
  <c r="L42" i="3"/>
  <c r="H42" i="3" a="1"/>
  <c r="H42" i="3" s="1"/>
  <c r="L57" i="3"/>
  <c r="H57" i="3" a="1"/>
  <c r="H57" i="3" s="1"/>
  <c r="F31" i="4"/>
  <c r="AM31" i="4" s="1"/>
  <c r="AO31" i="4" s="1"/>
  <c r="F136" i="4"/>
  <c r="AM136" i="4" s="1"/>
  <c r="AO136" i="4" s="1"/>
  <c r="L10" i="3"/>
  <c r="H10" i="3" a="1"/>
  <c r="H10" i="3" s="1"/>
  <c r="L58" i="3"/>
  <c r="H58" i="3" a="1"/>
  <c r="H58" i="3" s="1"/>
  <c r="L32" i="3"/>
  <c r="H32" i="3" a="1"/>
  <c r="H32" i="3" s="1"/>
  <c r="L20" i="3"/>
  <c r="H20" i="3" a="1"/>
  <c r="H20" i="3" s="1"/>
  <c r="L8" i="3"/>
  <c r="H8" i="3" a="1"/>
  <c r="H8" i="3" s="1"/>
  <c r="L41" i="3"/>
  <c r="H41" i="3" a="1"/>
  <c r="H41" i="3" s="1"/>
  <c r="L56" i="3"/>
  <c r="H56" i="3" a="1"/>
  <c r="H56" i="3" s="1"/>
  <c r="L36" i="3"/>
  <c r="H36" i="3" a="1"/>
  <c r="H36" i="3" s="1"/>
  <c r="L59" i="3"/>
  <c r="H59" i="3" a="1"/>
  <c r="H59" i="3" s="1"/>
  <c r="L7" i="3"/>
  <c r="H7" i="3" a="1"/>
  <c r="H7" i="3" s="1"/>
  <c r="L55" i="3"/>
  <c r="H55" i="3" a="1"/>
  <c r="H55" i="3" s="1"/>
  <c r="L37" i="3"/>
  <c r="H37" i="3" a="1"/>
  <c r="H37" i="3" s="1"/>
  <c r="L35" i="3"/>
  <c r="H35" i="3" a="1"/>
  <c r="H35" i="3" s="1"/>
  <c r="L30" i="3"/>
  <c r="H30" i="3" a="1"/>
  <c r="H30" i="3" s="1"/>
  <c r="L18" i="3"/>
  <c r="H18" i="3" a="1"/>
  <c r="H18" i="3" s="1"/>
  <c r="L6" i="3"/>
  <c r="H6" i="3" a="1"/>
  <c r="H6" i="3" s="1"/>
  <c r="L45" i="3"/>
  <c r="H45" i="3" a="1"/>
  <c r="H45" i="3" s="1"/>
  <c r="L48" i="3"/>
  <c r="H48" i="3" a="1"/>
  <c r="H48" i="3" s="1"/>
  <c r="L54" i="3"/>
  <c r="H54" i="3" a="1"/>
  <c r="H54" i="3" s="1"/>
  <c r="L25" i="3"/>
  <c r="H25" i="3" a="1"/>
  <c r="H25" i="3" s="1"/>
  <c r="L11" i="3"/>
  <c r="H11" i="3" a="1"/>
  <c r="H11" i="3" s="1"/>
  <c r="L43" i="3"/>
  <c r="H43" i="3" a="1"/>
  <c r="H43" i="3" s="1"/>
  <c r="L19" i="3"/>
  <c r="H19" i="3" a="1"/>
  <c r="H19" i="3" s="1"/>
  <c r="L29" i="3"/>
  <c r="H29" i="3" a="1"/>
  <c r="H29" i="3" s="1"/>
  <c r="L17" i="3"/>
  <c r="H17" i="3" a="1"/>
  <c r="H17" i="3" s="1"/>
  <c r="L5" i="3"/>
  <c r="H5" i="3" a="1"/>
  <c r="H5" i="3" s="1"/>
  <c r="L40" i="3"/>
  <c r="H40" i="3" a="1"/>
  <c r="H40" i="3" s="1"/>
  <c r="L47" i="3"/>
  <c r="H47" i="3" a="1"/>
  <c r="H47" i="3" s="1"/>
  <c r="L50" i="3"/>
  <c r="H50" i="3" a="1"/>
  <c r="H50" i="3" s="1"/>
  <c r="L53" i="3"/>
  <c r="H53" i="3" a="1"/>
  <c r="H53" i="3" s="1"/>
  <c r="L33" i="3"/>
  <c r="H33" i="3" a="1"/>
  <c r="H33" i="3" s="1"/>
  <c r="L62" i="3"/>
  <c r="H62" i="3" a="1"/>
  <c r="H62" i="3" s="1"/>
  <c r="L66" i="3"/>
  <c r="H66" i="3" a="1"/>
  <c r="H66" i="3" s="1"/>
  <c r="L49" i="3"/>
  <c r="H49" i="3" a="1"/>
  <c r="H49" i="3" s="1"/>
  <c r="L16" i="3"/>
  <c r="H16" i="3" a="1"/>
  <c r="H16" i="3" s="1"/>
  <c r="L46" i="3"/>
  <c r="H46" i="3" a="1"/>
  <c r="H46" i="3" s="1"/>
  <c r="L52" i="3"/>
  <c r="H52" i="3" a="1"/>
  <c r="H52" i="3" s="1"/>
  <c r="L60" i="3"/>
  <c r="H60" i="3" a="1"/>
  <c r="H60" i="3" s="1"/>
  <c r="L31" i="3"/>
  <c r="H31" i="3" a="1"/>
  <c r="H31" i="3" s="1"/>
  <c r="F127" i="4"/>
  <c r="AM127" i="4" s="1"/>
  <c r="AO127" i="4" s="1"/>
  <c r="L27" i="3"/>
  <c r="H27" i="3" a="1"/>
  <c r="H27" i="3" s="1"/>
  <c r="L15" i="3"/>
  <c r="H15" i="3" a="1"/>
  <c r="H15" i="3" s="1"/>
  <c r="L3" i="3"/>
  <c r="H3" i="3" a="1"/>
  <c r="H3" i="3" s="1"/>
  <c r="L64" i="3"/>
  <c r="H64" i="3" a="1"/>
  <c r="H64" i="3" s="1"/>
  <c r="L28" i="3"/>
  <c r="H28" i="3" a="1"/>
  <c r="H28" i="3" s="1"/>
  <c r="L4" i="3"/>
  <c r="H4" i="3" a="1"/>
  <c r="H4" i="3" s="1"/>
  <c r="L51" i="3"/>
  <c r="H51" i="3" a="1"/>
  <c r="H51" i="3" s="1"/>
  <c r="F137" i="4"/>
  <c r="AM137" i="4" s="1"/>
  <c r="AO137" i="4" s="1"/>
  <c r="L26" i="3"/>
  <c r="H26" i="3" a="1"/>
  <c r="H26" i="3" s="1"/>
  <c r="L14" i="3"/>
  <c r="H14" i="3" a="1"/>
  <c r="H14" i="3" s="1"/>
  <c r="L34" i="3"/>
  <c r="H34" i="3" a="1"/>
  <c r="H34" i="3" s="1"/>
  <c r="L39" i="3"/>
  <c r="H39" i="3" a="1"/>
  <c r="H39" i="3" s="1"/>
  <c r="L63" i="3"/>
  <c r="H63" i="3" a="1"/>
  <c r="H63" i="3" s="1"/>
  <c r="F154" i="4"/>
  <c r="AM154" i="4" s="1"/>
  <c r="AO154" i="4" s="1"/>
  <c r="F144" i="4"/>
  <c r="AM144" i="4" s="1"/>
  <c r="AO144" i="4" s="1"/>
  <c r="F104" i="4"/>
  <c r="AM104" i="4" s="1"/>
  <c r="AO104" i="4" s="1"/>
  <c r="F140" i="4"/>
  <c r="AM140" i="4" s="1"/>
  <c r="AO140" i="4" s="1"/>
  <c r="F59" i="4"/>
  <c r="AM59" i="4" s="1"/>
  <c r="AO59" i="4" s="1"/>
  <c r="F92" i="4"/>
  <c r="AM92" i="4" s="1"/>
  <c r="AO92" i="4" s="1"/>
  <c r="F74" i="4"/>
  <c r="AM74" i="4" s="1"/>
  <c r="AO74" i="4" s="1"/>
  <c r="F151" i="4"/>
  <c r="AM151" i="4" s="1"/>
  <c r="AO151" i="4" s="1"/>
  <c r="F73" i="4"/>
  <c r="AM73" i="4" s="1"/>
  <c r="AO73" i="4" s="1"/>
  <c r="F53" i="4"/>
  <c r="AM53" i="4" s="1"/>
  <c r="AO53" i="4" s="1"/>
  <c r="F94" i="4"/>
  <c r="AM94" i="4" s="1"/>
  <c r="AO94" i="4" s="1"/>
  <c r="F105" i="4"/>
  <c r="AM105" i="4" s="1"/>
  <c r="AO105" i="4" s="1"/>
  <c r="F142" i="4"/>
  <c r="AM142" i="4" s="1"/>
  <c r="AO142" i="4" s="1"/>
  <c r="F16" i="4"/>
  <c r="AM16" i="4" s="1"/>
  <c r="AO16" i="4" s="1"/>
  <c r="F76" i="4"/>
  <c r="AM76" i="4" s="1"/>
  <c r="AO76" i="4" s="1"/>
  <c r="F153" i="4"/>
  <c r="AM153" i="4" s="1"/>
  <c r="AO153" i="4" s="1"/>
  <c r="F42" i="4"/>
  <c r="AM42" i="4" s="1"/>
  <c r="AO42" i="4" s="1"/>
  <c r="F57" i="4"/>
  <c r="AM57" i="4" s="1"/>
  <c r="AO57" i="4" s="1"/>
  <c r="F32" i="4"/>
  <c r="AM32" i="4" s="1"/>
  <c r="AO32" i="4" s="1"/>
  <c r="F40" i="4"/>
  <c r="AM40" i="4" s="1"/>
  <c r="AO40" i="4" s="1"/>
  <c r="F58" i="4"/>
  <c r="AM58" i="4" s="1"/>
  <c r="AO58" i="4" s="1"/>
  <c r="F143" i="4"/>
  <c r="AM143" i="4" s="1"/>
  <c r="AO143" i="4" s="1"/>
  <c r="F111" i="4"/>
  <c r="AM111" i="4" s="1"/>
  <c r="AO111" i="4" s="1"/>
  <c r="F28" i="4"/>
  <c r="AM28" i="4" s="1"/>
  <c r="AO28" i="4" s="1"/>
  <c r="F21" i="4"/>
  <c r="AM21" i="4" s="1"/>
  <c r="AO21" i="4" s="1"/>
  <c r="F77" i="4"/>
  <c r="AM77" i="4" s="1"/>
  <c r="AO77" i="4" s="1"/>
  <c r="F12" i="4"/>
  <c r="AM12" i="4" s="1"/>
  <c r="AO12" i="4" s="1"/>
  <c r="F35" i="4"/>
  <c r="AM35" i="4" s="1"/>
  <c r="AO35" i="4" s="1"/>
  <c r="F75" i="4"/>
  <c r="AM75" i="4" s="1"/>
  <c r="AO75" i="4" s="1"/>
  <c r="L2" i="3"/>
  <c r="R34" i="3"/>
  <c r="R39" i="3"/>
  <c r="R35" i="3"/>
  <c r="R62" i="3"/>
  <c r="R22" i="3"/>
  <c r="R43" i="3"/>
  <c r="R66" i="3"/>
  <c r="R23" i="3"/>
  <c r="R11" i="3"/>
  <c r="R10" i="3"/>
  <c r="R60" i="3"/>
  <c r="R9" i="3"/>
  <c r="R59" i="3"/>
  <c r="R32" i="3"/>
  <c r="R20" i="3"/>
  <c r="R8" i="3"/>
  <c r="R41" i="3"/>
  <c r="R58" i="3"/>
  <c r="R19" i="3"/>
  <c r="R57" i="3"/>
  <c r="R44" i="3"/>
  <c r="R61" i="3"/>
  <c r="R42" i="3"/>
  <c r="R31" i="3"/>
  <c r="R7" i="3"/>
  <c r="R49" i="3"/>
  <c r="R30" i="3"/>
  <c r="R18" i="3"/>
  <c r="R6" i="3"/>
  <c r="R45" i="3"/>
  <c r="R48" i="3"/>
  <c r="R56" i="3"/>
  <c r="R29" i="3"/>
  <c r="R17" i="3"/>
  <c r="R5" i="3"/>
  <c r="R40" i="3"/>
  <c r="R47" i="3"/>
  <c r="R50" i="3"/>
  <c r="R55" i="3"/>
  <c r="R24" i="3"/>
  <c r="R12" i="3"/>
  <c r="R36" i="3"/>
  <c r="R37" i="3"/>
  <c r="R63" i="3"/>
  <c r="R28" i="3"/>
  <c r="R16" i="3"/>
  <c r="R4" i="3"/>
  <c r="R46" i="3"/>
  <c r="R51" i="3"/>
  <c r="R54" i="3"/>
  <c r="R25" i="3"/>
  <c r="R33" i="3"/>
  <c r="R27" i="3"/>
  <c r="R15" i="3"/>
  <c r="R3" i="3"/>
  <c r="R53" i="3"/>
  <c r="R13" i="3"/>
  <c r="R38" i="3"/>
  <c r="R14" i="3"/>
  <c r="R52" i="3"/>
  <c r="R26" i="3"/>
  <c r="R64" i="3"/>
  <c r="R21" i="3"/>
  <c r="R65" i="3"/>
  <c r="R2" i="3"/>
  <c r="N24" i="3"/>
  <c r="AB72" i="4" s="1"/>
  <c r="Q24" i="3"/>
  <c r="AE72" i="4" s="1"/>
  <c r="O24" i="3"/>
  <c r="AC72" i="4" s="1"/>
  <c r="P24" i="3"/>
  <c r="AD72" i="4" s="1"/>
  <c r="N12" i="3"/>
  <c r="AB39" i="4" s="1"/>
  <c r="P12" i="3"/>
  <c r="AD39" i="4" s="1"/>
  <c r="Q12" i="3"/>
  <c r="AE39" i="4" s="1"/>
  <c r="O12" i="3"/>
  <c r="AC39" i="4" s="1"/>
  <c r="N36" i="3"/>
  <c r="AB84" i="4" s="1"/>
  <c r="O36" i="3"/>
  <c r="AC84" i="4" s="1"/>
  <c r="P36" i="3"/>
  <c r="AD84" i="4" s="1"/>
  <c r="Q36" i="3"/>
  <c r="AE84" i="4" s="1"/>
  <c r="N37" i="3"/>
  <c r="AB88" i="4" s="1"/>
  <c r="O37" i="3"/>
  <c r="AC88" i="4" s="1"/>
  <c r="P37" i="3"/>
  <c r="AD88" i="4" s="1"/>
  <c r="Q37" i="3"/>
  <c r="AE88" i="4" s="1"/>
  <c r="N63" i="3"/>
  <c r="AB52" i="4" s="1"/>
  <c r="O63" i="3"/>
  <c r="AC52" i="4" s="1"/>
  <c r="P63" i="3"/>
  <c r="AD52" i="4" s="1"/>
  <c r="Q63" i="3"/>
  <c r="AE52" i="4" s="1"/>
  <c r="N26" i="3"/>
  <c r="AB148" i="4" s="1"/>
  <c r="Q26" i="3"/>
  <c r="AE148" i="4" s="1"/>
  <c r="O26" i="3"/>
  <c r="AC148" i="4" s="1"/>
  <c r="P26" i="3"/>
  <c r="AD148" i="4" s="1"/>
  <c r="N14" i="3"/>
  <c r="AB17" i="4" s="1"/>
  <c r="P14" i="3"/>
  <c r="AD17" i="4" s="1"/>
  <c r="Q14" i="3"/>
  <c r="AE17" i="4" s="1"/>
  <c r="O14" i="3"/>
  <c r="AC17" i="4" s="1"/>
  <c r="N34" i="3"/>
  <c r="AB65" i="4" s="1"/>
  <c r="O34" i="3"/>
  <c r="AC65" i="4" s="1"/>
  <c r="P34" i="3"/>
  <c r="AD65" i="4" s="1"/>
  <c r="Q34" i="3"/>
  <c r="AE65" i="4" s="1"/>
  <c r="N39" i="3"/>
  <c r="AB121" i="4" s="1"/>
  <c r="O39" i="3"/>
  <c r="AC121" i="4" s="1"/>
  <c r="P39" i="3"/>
  <c r="AD121" i="4" s="1"/>
  <c r="Q39" i="3"/>
  <c r="AE121" i="4" s="1"/>
  <c r="N52" i="3"/>
  <c r="AB108" i="4" s="1"/>
  <c r="O52" i="3"/>
  <c r="AC108" i="4" s="1"/>
  <c r="P52" i="3"/>
  <c r="AD108" i="4" s="1"/>
  <c r="Q52" i="3"/>
  <c r="AE108" i="4" s="1"/>
  <c r="N2" i="3"/>
  <c r="AB67" i="4" s="1"/>
  <c r="Q2" i="3"/>
  <c r="AE67" i="4" s="1"/>
  <c r="O2" i="3"/>
  <c r="AC67" i="4" s="1"/>
  <c r="P2" i="3"/>
  <c r="AD67" i="4" s="1"/>
  <c r="N25" i="3"/>
  <c r="AB110" i="4" s="1"/>
  <c r="Q25" i="3"/>
  <c r="AE110" i="4" s="1"/>
  <c r="O25" i="3"/>
  <c r="AC110" i="4" s="1"/>
  <c r="P25" i="3"/>
  <c r="AD110" i="4" s="1"/>
  <c r="N13" i="3"/>
  <c r="AB43" i="4" s="1"/>
  <c r="P13" i="3"/>
  <c r="AD43" i="4" s="1"/>
  <c r="Q13" i="3"/>
  <c r="AE43" i="4" s="1"/>
  <c r="O13" i="3"/>
  <c r="AC43" i="4" s="1"/>
  <c r="N33" i="3"/>
  <c r="AB96" i="4" s="1"/>
  <c r="P33" i="3"/>
  <c r="AD96" i="4" s="1"/>
  <c r="Q33" i="3"/>
  <c r="AE96" i="4" s="1"/>
  <c r="O33" i="3"/>
  <c r="AC96" i="4" s="1"/>
  <c r="N38" i="3"/>
  <c r="AB97" i="4" s="1"/>
  <c r="O38" i="3"/>
  <c r="AC97" i="4" s="1"/>
  <c r="P38" i="3"/>
  <c r="AD97" i="4" s="1"/>
  <c r="Q38" i="3"/>
  <c r="AE97" i="4" s="1"/>
  <c r="N64" i="3"/>
  <c r="AB5" i="4" s="1"/>
  <c r="O64" i="3"/>
  <c r="AC5" i="4" s="1"/>
  <c r="P64" i="3"/>
  <c r="AD5" i="4" s="1"/>
  <c r="Q64" i="3"/>
  <c r="AE5" i="4" s="1"/>
  <c r="N23" i="3"/>
  <c r="AB83" i="4" s="1"/>
  <c r="O23" i="3"/>
  <c r="AC83" i="4" s="1"/>
  <c r="P23" i="3"/>
  <c r="AD83" i="4" s="1"/>
  <c r="Q23" i="3"/>
  <c r="AE83" i="4" s="1"/>
  <c r="N44" i="3"/>
  <c r="AB20" i="4" s="1"/>
  <c r="Q44" i="3"/>
  <c r="AE20" i="4" s="1"/>
  <c r="O44" i="3"/>
  <c r="AC20" i="4" s="1"/>
  <c r="P44" i="3"/>
  <c r="AD20" i="4" s="1"/>
  <c r="N11" i="3"/>
  <c r="AB60" i="4" s="1"/>
  <c r="P11" i="3"/>
  <c r="AD60" i="4" s="1"/>
  <c r="Q11" i="3"/>
  <c r="AE60" i="4" s="1"/>
  <c r="O11" i="3"/>
  <c r="AC60" i="4" s="1"/>
  <c r="N35" i="3"/>
  <c r="AB11" i="4" s="1"/>
  <c r="O35" i="3"/>
  <c r="AC11" i="4" s="1"/>
  <c r="P35" i="3"/>
  <c r="AD11" i="4" s="1"/>
  <c r="Q35" i="3"/>
  <c r="AE11" i="4" s="1"/>
  <c r="N61" i="3"/>
  <c r="AB19" i="4" s="1"/>
  <c r="P61" i="3"/>
  <c r="AD19" i="4" s="1"/>
  <c r="Q61" i="3"/>
  <c r="AE19" i="4" s="1"/>
  <c r="O61" i="3"/>
  <c r="AC19" i="4" s="1"/>
  <c r="N62" i="3"/>
  <c r="AB56" i="4" s="1"/>
  <c r="O62" i="3"/>
  <c r="AC56" i="4" s="1"/>
  <c r="P62" i="3"/>
  <c r="AD56" i="4" s="1"/>
  <c r="Q62" i="3"/>
  <c r="AE56" i="4" s="1"/>
  <c r="N22" i="3"/>
  <c r="AB145" i="4" s="1"/>
  <c r="O22" i="3"/>
  <c r="AC145" i="4" s="1"/>
  <c r="P22" i="3"/>
  <c r="AD145" i="4" s="1"/>
  <c r="Q22" i="3"/>
  <c r="AE145" i="4" s="1"/>
  <c r="N10" i="3"/>
  <c r="AB10" i="4" s="1"/>
  <c r="Q10" i="3"/>
  <c r="AE10" i="4" s="1"/>
  <c r="O10" i="3"/>
  <c r="AC10" i="4" s="1"/>
  <c r="P10" i="3"/>
  <c r="AD10" i="4" s="1"/>
  <c r="N43" i="3"/>
  <c r="AB69" i="4" s="1"/>
  <c r="Q43" i="3"/>
  <c r="AE69" i="4" s="1"/>
  <c r="O43" i="3"/>
  <c r="AC69" i="4" s="1"/>
  <c r="P43" i="3"/>
  <c r="AD69" i="4" s="1"/>
  <c r="N60" i="3"/>
  <c r="AB33" i="4" s="1"/>
  <c r="P60" i="3"/>
  <c r="AD33" i="4" s="1"/>
  <c r="Q60" i="3"/>
  <c r="AE33" i="4" s="1"/>
  <c r="O60" i="3"/>
  <c r="AC33" i="4" s="1"/>
  <c r="N66" i="3"/>
  <c r="AB123" i="4" s="1"/>
  <c r="Q66" i="3"/>
  <c r="AE123" i="4" s="1"/>
  <c r="O66" i="3"/>
  <c r="AC123" i="4" s="1"/>
  <c r="P66" i="3"/>
  <c r="AD123" i="4" s="1"/>
  <c r="N21" i="3"/>
  <c r="AB117" i="4" s="1"/>
  <c r="O21" i="3"/>
  <c r="AC117" i="4" s="1"/>
  <c r="P21" i="3"/>
  <c r="AD117" i="4" s="1"/>
  <c r="Q21" i="3"/>
  <c r="AE117" i="4" s="1"/>
  <c r="N9" i="3"/>
  <c r="AB119" i="4" s="1"/>
  <c r="Q9" i="3"/>
  <c r="AE119" i="4" s="1"/>
  <c r="O9" i="3"/>
  <c r="AC119" i="4" s="1"/>
  <c r="P9" i="3"/>
  <c r="AD119" i="4" s="1"/>
  <c r="N42" i="3"/>
  <c r="AB125" i="4" s="1"/>
  <c r="Q42" i="3"/>
  <c r="AE125" i="4" s="1"/>
  <c r="O42" i="3"/>
  <c r="AC125" i="4" s="1"/>
  <c r="P42" i="3"/>
  <c r="AD125" i="4" s="1"/>
  <c r="N59" i="3"/>
  <c r="AB37" i="4" s="1"/>
  <c r="P59" i="3"/>
  <c r="AD37" i="4" s="1"/>
  <c r="Q59" i="3"/>
  <c r="AE37" i="4" s="1"/>
  <c r="O59" i="3"/>
  <c r="AC37" i="4" s="1"/>
  <c r="N65" i="3"/>
  <c r="AB46" i="4" s="1"/>
  <c r="O65" i="3"/>
  <c r="AC46" i="4" s="1"/>
  <c r="P65" i="3"/>
  <c r="AD46" i="4" s="1"/>
  <c r="Q65" i="3"/>
  <c r="AE46" i="4" s="1"/>
  <c r="N16" i="3"/>
  <c r="AB147" i="4" s="1"/>
  <c r="P16" i="3"/>
  <c r="AD147" i="4" s="1"/>
  <c r="Q16" i="3"/>
  <c r="AE147" i="4" s="1"/>
  <c r="O16" i="3"/>
  <c r="AC147" i="4" s="1"/>
  <c r="N4" i="3"/>
  <c r="AB91" i="4" s="1"/>
  <c r="Q4" i="3"/>
  <c r="AE91" i="4" s="1"/>
  <c r="O4" i="3"/>
  <c r="AC91" i="4" s="1"/>
  <c r="P4" i="3"/>
  <c r="AD91" i="4" s="1"/>
  <c r="N28" i="3"/>
  <c r="AB131" i="4" s="1"/>
  <c r="P28" i="3"/>
  <c r="AD131" i="4" s="1"/>
  <c r="Q28" i="3"/>
  <c r="AE131" i="4" s="1"/>
  <c r="O28" i="3"/>
  <c r="AC131" i="4" s="1"/>
  <c r="N46" i="3"/>
  <c r="AB81" i="4" s="1"/>
  <c r="P46" i="3"/>
  <c r="AD81" i="4" s="1"/>
  <c r="Q46" i="3"/>
  <c r="AE81" i="4" s="1"/>
  <c r="O46" i="3"/>
  <c r="AC81" i="4" s="1"/>
  <c r="N51" i="3"/>
  <c r="AB128" i="4" s="1"/>
  <c r="O51" i="3"/>
  <c r="AC128" i="4" s="1"/>
  <c r="P51" i="3"/>
  <c r="AD128" i="4" s="1"/>
  <c r="Q51" i="3"/>
  <c r="AE128" i="4" s="1"/>
  <c r="N54" i="3"/>
  <c r="AB115" i="4" s="1"/>
  <c r="Q54" i="3"/>
  <c r="AE115" i="4" s="1"/>
  <c r="O54" i="3"/>
  <c r="AC115" i="4" s="1"/>
  <c r="P54" i="3"/>
  <c r="AD115" i="4" s="1"/>
  <c r="N19" i="3"/>
  <c r="AB106" i="4" s="1"/>
  <c r="O19" i="3"/>
  <c r="AC106" i="4" s="1"/>
  <c r="P19" i="3"/>
  <c r="AD106" i="4" s="1"/>
  <c r="Q19" i="3"/>
  <c r="AE106" i="4" s="1"/>
  <c r="N57" i="3"/>
  <c r="AB129" i="4" s="1"/>
  <c r="Q57" i="3"/>
  <c r="AE129" i="4" s="1"/>
  <c r="O57" i="3"/>
  <c r="AC129" i="4" s="1"/>
  <c r="P57" i="3"/>
  <c r="AD129" i="4" s="1"/>
  <c r="N27" i="3"/>
  <c r="AB150" i="4" s="1"/>
  <c r="Q27" i="3"/>
  <c r="AE150" i="4" s="1"/>
  <c r="O27" i="3"/>
  <c r="AC150" i="4" s="1"/>
  <c r="P27" i="3"/>
  <c r="AD150" i="4" s="1"/>
  <c r="N15" i="3"/>
  <c r="AB71" i="4" s="1"/>
  <c r="P15" i="3"/>
  <c r="AD71" i="4" s="1"/>
  <c r="Q15" i="3"/>
  <c r="AE71" i="4" s="1"/>
  <c r="O15" i="3"/>
  <c r="AC71" i="4" s="1"/>
  <c r="N3" i="3"/>
  <c r="AB55" i="4" s="1"/>
  <c r="Q3" i="3"/>
  <c r="AE55" i="4" s="1"/>
  <c r="O3" i="3"/>
  <c r="AC55" i="4" s="1"/>
  <c r="P3" i="3"/>
  <c r="AD55" i="4" s="1"/>
  <c r="N53" i="3"/>
  <c r="AB109" i="4" s="1"/>
  <c r="O53" i="3"/>
  <c r="AC109" i="4" s="1"/>
  <c r="P53" i="3"/>
  <c r="AD109" i="4" s="1"/>
  <c r="Q53" i="3"/>
  <c r="AE109" i="4" s="1"/>
  <c r="N32" i="3"/>
  <c r="AB51" i="4" s="1"/>
  <c r="P32" i="3"/>
  <c r="AD51" i="4" s="1"/>
  <c r="Q32" i="3"/>
  <c r="AE51" i="4" s="1"/>
  <c r="O32" i="3"/>
  <c r="AC51" i="4" s="1"/>
  <c r="N20" i="3"/>
  <c r="AB26" i="4" s="1"/>
  <c r="O20" i="3"/>
  <c r="AC26" i="4" s="1"/>
  <c r="P20" i="3"/>
  <c r="AD26" i="4" s="1"/>
  <c r="Q20" i="3"/>
  <c r="AE26" i="4" s="1"/>
  <c r="N8" i="3"/>
  <c r="AB98" i="4" s="1"/>
  <c r="P8" i="3"/>
  <c r="AD98" i="4" s="1"/>
  <c r="Q8" i="3"/>
  <c r="AE98" i="4" s="1"/>
  <c r="O8" i="3"/>
  <c r="AC98" i="4" s="1"/>
  <c r="N41" i="3"/>
  <c r="AB99" i="4" s="1"/>
  <c r="Q41" i="3"/>
  <c r="AE99" i="4" s="1"/>
  <c r="O41" i="3"/>
  <c r="AC99" i="4" s="1"/>
  <c r="P41" i="3"/>
  <c r="AD99" i="4" s="1"/>
  <c r="N58" i="3"/>
  <c r="AB85" i="4" s="1"/>
  <c r="P58" i="3"/>
  <c r="AD85" i="4" s="1"/>
  <c r="Q58" i="3"/>
  <c r="AE85" i="4" s="1"/>
  <c r="O58" i="3"/>
  <c r="AC85" i="4" s="1"/>
  <c r="N31" i="3"/>
  <c r="AB133" i="4" s="1"/>
  <c r="P31" i="3"/>
  <c r="AD133" i="4" s="1"/>
  <c r="Q31" i="3"/>
  <c r="AE133" i="4" s="1"/>
  <c r="O31" i="3"/>
  <c r="AC133" i="4" s="1"/>
  <c r="N7" i="3"/>
  <c r="AB95" i="4" s="1"/>
  <c r="P7" i="3"/>
  <c r="AD95" i="4" s="1"/>
  <c r="Q7" i="3"/>
  <c r="AE95" i="4" s="1"/>
  <c r="O7" i="3"/>
  <c r="AC95" i="4" s="1"/>
  <c r="N49" i="3"/>
  <c r="AB113" i="4" s="1"/>
  <c r="P49" i="3"/>
  <c r="AD113" i="4" s="1"/>
  <c r="Q49" i="3"/>
  <c r="AE113" i="4" s="1"/>
  <c r="O49" i="3"/>
  <c r="AC113" i="4" s="1"/>
  <c r="N30" i="3"/>
  <c r="AB146" i="4" s="1"/>
  <c r="O30" i="3"/>
  <c r="AC146" i="4" s="1"/>
  <c r="P30" i="3"/>
  <c r="AD146" i="4" s="1"/>
  <c r="Q30" i="3"/>
  <c r="AE146" i="4" s="1"/>
  <c r="N18" i="3"/>
  <c r="AB70" i="4" s="1"/>
  <c r="O18" i="3"/>
  <c r="AC70" i="4" s="1"/>
  <c r="P18" i="3"/>
  <c r="AD70" i="4" s="1"/>
  <c r="Q18" i="3"/>
  <c r="AE70" i="4" s="1"/>
  <c r="N6" i="3"/>
  <c r="AB2" i="4" s="1"/>
  <c r="Q6" i="3"/>
  <c r="AE2" i="4" s="1"/>
  <c r="O6" i="3"/>
  <c r="AC2" i="4" s="1"/>
  <c r="P6" i="3"/>
  <c r="AD2" i="4" s="1"/>
  <c r="N45" i="3"/>
  <c r="AB80" i="4" s="1"/>
  <c r="Q45" i="3"/>
  <c r="AE80" i="4" s="1"/>
  <c r="O45" i="3"/>
  <c r="AC80" i="4" s="1"/>
  <c r="P45" i="3"/>
  <c r="AD80" i="4" s="1"/>
  <c r="N48" i="3"/>
  <c r="AB102" i="4" s="1"/>
  <c r="P48" i="3"/>
  <c r="AD102" i="4" s="1"/>
  <c r="Q48" i="3"/>
  <c r="AE102" i="4" s="1"/>
  <c r="O48" i="3"/>
  <c r="AC102" i="4" s="1"/>
  <c r="N56" i="3"/>
  <c r="AB61" i="4" s="1"/>
  <c r="Q56" i="3"/>
  <c r="AE61" i="4" s="1"/>
  <c r="O56" i="3"/>
  <c r="AC61" i="4" s="1"/>
  <c r="P56" i="3"/>
  <c r="AD61" i="4" s="1"/>
  <c r="O29" i="3"/>
  <c r="AC112" i="4" s="1"/>
  <c r="P29" i="3"/>
  <c r="AD112" i="4" s="1"/>
  <c r="N29" i="3"/>
  <c r="AB112" i="4" s="1"/>
  <c r="Q29" i="3"/>
  <c r="AE112" i="4" s="1"/>
  <c r="N17" i="3"/>
  <c r="AB64" i="4" s="1"/>
  <c r="O17" i="3"/>
  <c r="AC64" i="4" s="1"/>
  <c r="P17" i="3"/>
  <c r="AD64" i="4" s="1"/>
  <c r="Q17" i="3"/>
  <c r="AE64" i="4" s="1"/>
  <c r="N5" i="3"/>
  <c r="AB79" i="4" s="1"/>
  <c r="Q5" i="3"/>
  <c r="AE79" i="4" s="1"/>
  <c r="O5" i="3"/>
  <c r="AC79" i="4" s="1"/>
  <c r="P5" i="3"/>
  <c r="AD79" i="4" s="1"/>
  <c r="N40" i="3"/>
  <c r="AB14" i="4" s="1"/>
  <c r="O40" i="3"/>
  <c r="AC14" i="4" s="1"/>
  <c r="P40" i="3"/>
  <c r="AD14" i="4" s="1"/>
  <c r="Q40" i="3"/>
  <c r="AE14" i="4" s="1"/>
  <c r="N47" i="3"/>
  <c r="AB36" i="4" s="1"/>
  <c r="P47" i="3"/>
  <c r="AD36" i="4" s="1"/>
  <c r="Q47" i="3"/>
  <c r="AE36" i="4" s="1"/>
  <c r="O47" i="3"/>
  <c r="AC36" i="4" s="1"/>
  <c r="N50" i="3"/>
  <c r="AB100" i="4" s="1"/>
  <c r="O50" i="3"/>
  <c r="AC100" i="4" s="1"/>
  <c r="P50" i="3"/>
  <c r="AD100" i="4" s="1"/>
  <c r="Q50" i="3"/>
  <c r="AE100" i="4" s="1"/>
  <c r="N55" i="3"/>
  <c r="AB29" i="4" s="1"/>
  <c r="Q55" i="3"/>
  <c r="AE29" i="4" s="1"/>
  <c r="O55" i="3"/>
  <c r="AC29" i="4" s="1"/>
  <c r="P55" i="3"/>
  <c r="AD29" i="4" s="1"/>
  <c r="X143" i="4"/>
  <c r="W77" i="3"/>
  <c r="AQ143" i="4" s="1"/>
  <c r="U77" i="3"/>
  <c r="AP143" i="4" s="1"/>
  <c r="X104" i="4"/>
  <c r="W76" i="3"/>
  <c r="AQ104" i="4" s="1"/>
  <c r="U76" i="3"/>
  <c r="AP104" i="4" s="1"/>
  <c r="Y77" i="3"/>
  <c r="AR143" i="4" s="1"/>
  <c r="Y84" i="3"/>
  <c r="AR40" i="4" s="1"/>
  <c r="AA76" i="3"/>
  <c r="AS104" i="4" s="1"/>
  <c r="W75" i="3"/>
  <c r="AQ77" i="4" s="1"/>
  <c r="E18" i="3"/>
  <c r="Z18" i="3"/>
  <c r="X18" i="3"/>
  <c r="V18" i="3"/>
  <c r="T18" i="3"/>
  <c r="E6" i="3"/>
  <c r="X2" i="4" s="1"/>
  <c r="Z6" i="3"/>
  <c r="X6" i="3"/>
  <c r="V6" i="3"/>
  <c r="T6" i="3"/>
  <c r="Z56" i="3"/>
  <c r="V56" i="3"/>
  <c r="X56" i="3"/>
  <c r="T56" i="3"/>
  <c r="AA78" i="3"/>
  <c r="AS111" i="4" s="1"/>
  <c r="W90" i="3"/>
  <c r="AQ47" i="4" s="1"/>
  <c r="W79" i="3"/>
  <c r="AQ73" i="4" s="1"/>
  <c r="AA80" i="3"/>
  <c r="AS127" i="4" s="1"/>
  <c r="Z29" i="3"/>
  <c r="V29" i="3"/>
  <c r="X29" i="3"/>
  <c r="T29" i="3"/>
  <c r="G17" i="3"/>
  <c r="S64" i="4" s="1"/>
  <c r="M64" i="4" s="1"/>
  <c r="V17" i="3"/>
  <c r="Z17" i="3"/>
  <c r="X17" i="3"/>
  <c r="T17" i="3"/>
  <c r="E5" i="3"/>
  <c r="Z5" i="3"/>
  <c r="X5" i="3"/>
  <c r="T5" i="3"/>
  <c r="V5" i="3"/>
  <c r="V40" i="3"/>
  <c r="X40" i="3"/>
  <c r="Z40" i="3"/>
  <c r="T40" i="3"/>
  <c r="X47" i="3"/>
  <c r="Z47" i="3"/>
  <c r="V47" i="3"/>
  <c r="T47" i="3"/>
  <c r="Z50" i="3"/>
  <c r="X50" i="3"/>
  <c r="V50" i="3"/>
  <c r="T50" i="3"/>
  <c r="Z55" i="3"/>
  <c r="V55" i="3"/>
  <c r="T55" i="3"/>
  <c r="X55" i="3"/>
  <c r="W82" i="3"/>
  <c r="AQ74" i="4" s="1"/>
  <c r="Y70" i="3"/>
  <c r="AR76" i="4" s="1"/>
  <c r="U89" i="3"/>
  <c r="AP7" i="4" s="1"/>
  <c r="AA87" i="3"/>
  <c r="AS114" i="4" s="1"/>
  <c r="AA67" i="3"/>
  <c r="AS140" i="4" s="1"/>
  <c r="E21" i="3"/>
  <c r="X117" i="4" s="1"/>
  <c r="Z21" i="3"/>
  <c r="X21" i="3"/>
  <c r="V21" i="3"/>
  <c r="T21" i="3"/>
  <c r="Z32" i="3"/>
  <c r="X32" i="3"/>
  <c r="T32" i="3"/>
  <c r="V32" i="3"/>
  <c r="G31" i="3"/>
  <c r="S133" i="4" s="1"/>
  <c r="M133" i="4" s="1"/>
  <c r="X31" i="3"/>
  <c r="Z31" i="3"/>
  <c r="T31" i="3"/>
  <c r="V31" i="3"/>
  <c r="U82" i="3"/>
  <c r="AP74" i="4" s="1"/>
  <c r="W70" i="3"/>
  <c r="AQ76" i="4" s="1"/>
  <c r="Y89" i="3"/>
  <c r="AR7" i="4" s="1"/>
  <c r="AA85" i="3"/>
  <c r="AS42" i="4" s="1"/>
  <c r="W73" i="3"/>
  <c r="AQ105" i="4" s="1"/>
  <c r="U74" i="3"/>
  <c r="AP57" i="4" s="1"/>
  <c r="AA90" i="3"/>
  <c r="AS47" i="4" s="1"/>
  <c r="AA79" i="3"/>
  <c r="AS73" i="4" s="1"/>
  <c r="Y76" i="3"/>
  <c r="AR104" i="4" s="1"/>
  <c r="AA77" i="3"/>
  <c r="AS143" i="4" s="1"/>
  <c r="W81" i="3"/>
  <c r="AQ31" i="4" s="1"/>
  <c r="Y69" i="3"/>
  <c r="AR137" i="4" s="1"/>
  <c r="Y82" i="3"/>
  <c r="AR74" i="4" s="1"/>
  <c r="U70" i="3"/>
  <c r="AP76" i="4" s="1"/>
  <c r="W85" i="3"/>
  <c r="AQ42" i="4" s="1"/>
  <c r="U73" i="3"/>
  <c r="AP105" i="4" s="1"/>
  <c r="W74" i="3"/>
  <c r="AQ57" i="4" s="1"/>
  <c r="U88" i="3"/>
  <c r="AP107" i="4" s="1"/>
  <c r="J9" i="3"/>
  <c r="Q119" i="4" s="1"/>
  <c r="N119" i="4" s="1"/>
  <c r="Z9" i="3"/>
  <c r="X9" i="3"/>
  <c r="V9" i="3"/>
  <c r="T9" i="3"/>
  <c r="Z41" i="3"/>
  <c r="V41" i="3"/>
  <c r="T41" i="3"/>
  <c r="X41" i="3"/>
  <c r="E19" i="3"/>
  <c r="X106" i="4" s="1"/>
  <c r="Z19" i="3"/>
  <c r="X19" i="3"/>
  <c r="V19" i="3"/>
  <c r="T19" i="3"/>
  <c r="F7" i="3"/>
  <c r="T95" i="4" s="1"/>
  <c r="Z7" i="3"/>
  <c r="X7" i="3"/>
  <c r="V7" i="3"/>
  <c r="T7" i="3"/>
  <c r="E57" i="3"/>
  <c r="X129" i="4" s="1"/>
  <c r="Z57" i="3"/>
  <c r="T57" i="3"/>
  <c r="X57" i="3"/>
  <c r="V57" i="3"/>
  <c r="Z46" i="3"/>
  <c r="X46" i="3"/>
  <c r="V46" i="3"/>
  <c r="T46" i="3"/>
  <c r="Z54" i="3"/>
  <c r="V54" i="3"/>
  <c r="X54" i="3"/>
  <c r="T54" i="3"/>
  <c r="Z27" i="3"/>
  <c r="X27" i="3"/>
  <c r="T27" i="3"/>
  <c r="V27" i="3"/>
  <c r="Z3" i="3"/>
  <c r="V3" i="3"/>
  <c r="X3" i="3"/>
  <c r="T3" i="3"/>
  <c r="F26" i="3"/>
  <c r="T148" i="4" s="1"/>
  <c r="Z26" i="3"/>
  <c r="X26" i="3"/>
  <c r="V26" i="3"/>
  <c r="T26" i="3"/>
  <c r="V39" i="3"/>
  <c r="Z39" i="3"/>
  <c r="X39" i="3"/>
  <c r="T39" i="3"/>
  <c r="U81" i="3"/>
  <c r="AP31" i="4" s="1"/>
  <c r="W69" i="3"/>
  <c r="AQ137" i="4" s="1"/>
  <c r="AA82" i="3"/>
  <c r="AS74" i="4" s="1"/>
  <c r="AA70" i="3"/>
  <c r="AS76" i="4" s="1"/>
  <c r="W89" i="3"/>
  <c r="AQ7" i="4" s="1"/>
  <c r="W72" i="3"/>
  <c r="AQ144" i="4" s="1"/>
  <c r="U85" i="3"/>
  <c r="AP42" i="4" s="1"/>
  <c r="AA73" i="3"/>
  <c r="AS105" i="4" s="1"/>
  <c r="AA74" i="3"/>
  <c r="AS57" i="4" s="1"/>
  <c r="U75" i="3"/>
  <c r="AP77" i="4" s="1"/>
  <c r="Y68" i="3"/>
  <c r="AR12" i="4" s="1"/>
  <c r="W88" i="3"/>
  <c r="AQ107" i="4" s="1"/>
  <c r="Z65" i="3"/>
  <c r="V65" i="3"/>
  <c r="X65" i="3"/>
  <c r="T65" i="3"/>
  <c r="G20" i="3"/>
  <c r="S26" i="4" s="1"/>
  <c r="M26" i="4" s="1"/>
  <c r="V20" i="3"/>
  <c r="Z20" i="3"/>
  <c r="X20" i="3"/>
  <c r="T20" i="3"/>
  <c r="I8" i="3"/>
  <c r="R98" i="4" s="1"/>
  <c r="X8" i="3"/>
  <c r="Z8" i="3"/>
  <c r="T8" i="3"/>
  <c r="V8" i="3"/>
  <c r="Z49" i="3"/>
  <c r="X49" i="3"/>
  <c r="V49" i="3"/>
  <c r="T49" i="3"/>
  <c r="Z25" i="3"/>
  <c r="V25" i="3"/>
  <c r="X25" i="3"/>
  <c r="T25" i="3"/>
  <c r="X33" i="3"/>
  <c r="T33" i="3"/>
  <c r="Z33" i="3"/>
  <c r="V33" i="3"/>
  <c r="Y81" i="3"/>
  <c r="AR31" i="4" s="1"/>
  <c r="U69" i="3"/>
  <c r="AP137" i="4" s="1"/>
  <c r="AA89" i="3"/>
  <c r="AS7" i="4" s="1"/>
  <c r="U72" i="3"/>
  <c r="AP144" i="4" s="1"/>
  <c r="Y85" i="3"/>
  <c r="AR42" i="4" s="1"/>
  <c r="Y73" i="3"/>
  <c r="AR105" i="4" s="1"/>
  <c r="Y74" i="3"/>
  <c r="AR57" i="4" s="1"/>
  <c r="U68" i="3"/>
  <c r="AP12" i="4" s="1"/>
  <c r="Y88" i="3"/>
  <c r="AR107" i="4" s="1"/>
  <c r="Z48" i="3"/>
  <c r="X48" i="3"/>
  <c r="V48" i="3"/>
  <c r="T48" i="3"/>
  <c r="I28" i="3"/>
  <c r="R131" i="4" s="1"/>
  <c r="X28" i="3"/>
  <c r="Z28" i="3"/>
  <c r="T28" i="3"/>
  <c r="V28" i="3"/>
  <c r="E16" i="3"/>
  <c r="Z16" i="3"/>
  <c r="X16" i="3"/>
  <c r="V16" i="3"/>
  <c r="T16" i="3"/>
  <c r="Z4" i="3"/>
  <c r="V4" i="3"/>
  <c r="X4" i="3"/>
  <c r="T4" i="3"/>
  <c r="Z51" i="3"/>
  <c r="X51" i="3"/>
  <c r="V51" i="3"/>
  <c r="T51" i="3"/>
  <c r="V53" i="3"/>
  <c r="Z53" i="3"/>
  <c r="X53" i="3"/>
  <c r="T53" i="3"/>
  <c r="E14" i="3"/>
  <c r="X17" i="4" s="1"/>
  <c r="Z14" i="3"/>
  <c r="X14" i="3"/>
  <c r="V14" i="3"/>
  <c r="T14" i="3"/>
  <c r="Z52" i="3"/>
  <c r="X52" i="3"/>
  <c r="V52" i="3"/>
  <c r="T52" i="3"/>
  <c r="Y72" i="3"/>
  <c r="AR144" i="4" s="1"/>
  <c r="AA75" i="3"/>
  <c r="AS77" i="4" s="1"/>
  <c r="F59" i="3"/>
  <c r="T37" i="4" s="1"/>
  <c r="X59" i="3"/>
  <c r="Z59" i="3"/>
  <c r="T59" i="3"/>
  <c r="V59" i="3"/>
  <c r="Z30" i="3"/>
  <c r="X30" i="3"/>
  <c r="T30" i="3"/>
  <c r="V30" i="3"/>
  <c r="Z45" i="3"/>
  <c r="X45" i="3"/>
  <c r="V45" i="3"/>
  <c r="T45" i="3"/>
  <c r="Z2" i="3"/>
  <c r="V2" i="3"/>
  <c r="X2" i="3"/>
  <c r="T2" i="3"/>
  <c r="X13" i="3"/>
  <c r="V13" i="3"/>
  <c r="T13" i="3"/>
  <c r="Z13" i="3"/>
  <c r="V38" i="3"/>
  <c r="Z38" i="3"/>
  <c r="X38" i="3"/>
  <c r="T38" i="3"/>
  <c r="X64" i="3"/>
  <c r="V64" i="3"/>
  <c r="Z64" i="3"/>
  <c r="T64" i="3"/>
  <c r="Z23" i="3"/>
  <c r="T23" i="3"/>
  <c r="V23" i="3"/>
  <c r="X23" i="3"/>
  <c r="Z11" i="3"/>
  <c r="X11" i="3"/>
  <c r="T11" i="3"/>
  <c r="V11" i="3"/>
  <c r="Z35" i="3"/>
  <c r="V35" i="3"/>
  <c r="T35" i="3"/>
  <c r="X35" i="3"/>
  <c r="Z44" i="3"/>
  <c r="V44" i="3"/>
  <c r="X44" i="3"/>
  <c r="T44" i="3"/>
  <c r="G61" i="3"/>
  <c r="S19" i="4" s="1"/>
  <c r="M19" i="4" s="1"/>
  <c r="X61" i="3"/>
  <c r="V61" i="3"/>
  <c r="Z61" i="3"/>
  <c r="T61" i="3"/>
  <c r="Z62" i="3"/>
  <c r="X62" i="3"/>
  <c r="V62" i="3"/>
  <c r="T62" i="3"/>
  <c r="AA81" i="3"/>
  <c r="AS31" i="4" s="1"/>
  <c r="AA69" i="3"/>
  <c r="AS137" i="4" s="1"/>
  <c r="AA83" i="3"/>
  <c r="AS151" i="4" s="1"/>
  <c r="W71" i="3"/>
  <c r="AQ32" i="4" s="1"/>
  <c r="AA72" i="3"/>
  <c r="AS144" i="4" s="1"/>
  <c r="Y75" i="3"/>
  <c r="AR77" i="4" s="1"/>
  <c r="W68" i="3"/>
  <c r="AQ12" i="4" s="1"/>
  <c r="U86" i="3"/>
  <c r="AP9" i="4" s="1"/>
  <c r="AA88" i="3"/>
  <c r="AS107" i="4" s="1"/>
  <c r="J15" i="3"/>
  <c r="Q71" i="4" s="1"/>
  <c r="N71" i="4" s="1"/>
  <c r="Z15" i="3"/>
  <c r="X15" i="3"/>
  <c r="T15" i="3"/>
  <c r="V15" i="3"/>
  <c r="X34" i="3"/>
  <c r="T34" i="3"/>
  <c r="Z34" i="3"/>
  <c r="V34" i="3"/>
  <c r="Z24" i="3"/>
  <c r="V24" i="3"/>
  <c r="X24" i="3"/>
  <c r="T24" i="3"/>
  <c r="X12" i="3"/>
  <c r="V12" i="3"/>
  <c r="T12" i="3"/>
  <c r="Z12" i="3"/>
  <c r="X36" i="3"/>
  <c r="Z36" i="3"/>
  <c r="V36" i="3"/>
  <c r="T36" i="3"/>
  <c r="Z37" i="3"/>
  <c r="V37" i="3"/>
  <c r="X37" i="3"/>
  <c r="T37" i="3"/>
  <c r="X63" i="3"/>
  <c r="V63" i="3"/>
  <c r="Z63" i="3"/>
  <c r="T63" i="3"/>
  <c r="F22" i="3"/>
  <c r="T145" i="4" s="1"/>
  <c r="V22" i="3"/>
  <c r="Z22" i="3"/>
  <c r="X22" i="3"/>
  <c r="T22" i="3"/>
  <c r="I10" i="3"/>
  <c r="R10" i="4" s="1"/>
  <c r="Z10" i="3"/>
  <c r="X10" i="3"/>
  <c r="T10" i="3"/>
  <c r="V10" i="3"/>
  <c r="Z43" i="3"/>
  <c r="X43" i="3"/>
  <c r="V43" i="3"/>
  <c r="T43" i="3"/>
  <c r="F60" i="3"/>
  <c r="T33" i="4" s="1"/>
  <c r="X60" i="3"/>
  <c r="V60" i="3"/>
  <c r="Z60" i="3"/>
  <c r="T60" i="3"/>
  <c r="Z66" i="3"/>
  <c r="V66" i="3"/>
  <c r="X66" i="3"/>
  <c r="T66" i="3"/>
  <c r="W83" i="3"/>
  <c r="AQ151" i="4" s="1"/>
  <c r="U71" i="3"/>
  <c r="AP32" i="4" s="1"/>
  <c r="U78" i="3"/>
  <c r="AP111" i="4" s="1"/>
  <c r="AA68" i="3"/>
  <c r="AS12" i="4" s="1"/>
  <c r="U80" i="3"/>
  <c r="AP127" i="4" s="1"/>
  <c r="AA86" i="3"/>
  <c r="AS9" i="4" s="1"/>
  <c r="AA84" i="3"/>
  <c r="AS40" i="4" s="1"/>
  <c r="U83" i="3"/>
  <c r="AP151" i="4" s="1"/>
  <c r="AA71" i="3"/>
  <c r="AS32" i="4" s="1"/>
  <c r="W78" i="3"/>
  <c r="AQ111" i="4" s="1"/>
  <c r="Y80" i="3"/>
  <c r="AR127" i="4" s="1"/>
  <c r="Y86" i="3"/>
  <c r="AR9" i="4" s="1"/>
  <c r="U87" i="3"/>
  <c r="AP114" i="4" s="1"/>
  <c r="U67" i="3"/>
  <c r="AP140" i="4" s="1"/>
  <c r="E58" i="3"/>
  <c r="X85" i="4" s="1"/>
  <c r="X58" i="3"/>
  <c r="Z58" i="3"/>
  <c r="T58" i="3"/>
  <c r="V58" i="3"/>
  <c r="W84" i="3"/>
  <c r="AQ40" i="4" s="1"/>
  <c r="Y83" i="3"/>
  <c r="AR151" i="4" s="1"/>
  <c r="Y71" i="3"/>
  <c r="AR32" i="4" s="1"/>
  <c r="Y78" i="3"/>
  <c r="AR111" i="4" s="1"/>
  <c r="Y90" i="3"/>
  <c r="AR47" i="4" s="1"/>
  <c r="Y79" i="3"/>
  <c r="AR73" i="4" s="1"/>
  <c r="W86" i="3"/>
  <c r="AQ9" i="4" s="1"/>
  <c r="W87" i="3"/>
  <c r="AQ114" i="4" s="1"/>
  <c r="Y67" i="3"/>
  <c r="AR140" i="4" s="1"/>
  <c r="Z42" i="3"/>
  <c r="V42" i="3"/>
  <c r="X42" i="3"/>
  <c r="T42" i="3"/>
  <c r="U84" i="3"/>
  <c r="AP40" i="4" s="1"/>
  <c r="U90" i="3"/>
  <c r="AP47" i="4" s="1"/>
  <c r="U79" i="3"/>
  <c r="AP73" i="4" s="1"/>
  <c r="W80" i="3"/>
  <c r="AQ127" i="4" s="1"/>
  <c r="Y87" i="3"/>
  <c r="AR114" i="4" s="1"/>
  <c r="W67" i="3"/>
  <c r="AQ140" i="4" s="1"/>
  <c r="X58" i="4"/>
  <c r="X7" i="4"/>
  <c r="X94" i="4"/>
  <c r="X107" i="4"/>
  <c r="X75" i="4"/>
  <c r="X136" i="4"/>
  <c r="X35" i="4"/>
  <c r="X142" i="4"/>
  <c r="X140" i="4"/>
  <c r="X28" i="4"/>
  <c r="X137" i="4"/>
  <c r="X53" i="4"/>
  <c r="X74" i="4"/>
  <c r="X76" i="4"/>
  <c r="X92" i="4"/>
  <c r="X111" i="4"/>
  <c r="X31" i="4"/>
  <c r="X59" i="4"/>
  <c r="J59" i="3"/>
  <c r="Q37" i="4" s="1"/>
  <c r="N37" i="4" s="1"/>
  <c r="J55" i="3"/>
  <c r="Q29" i="4" s="1"/>
  <c r="N29" i="4" s="1"/>
  <c r="G59" i="3"/>
  <c r="S37" i="4" s="1"/>
  <c r="M37" i="4" s="1"/>
  <c r="J57" i="3"/>
  <c r="Q129" i="4" s="1"/>
  <c r="N129" i="4" s="1"/>
  <c r="G55" i="3"/>
  <c r="S29" i="4" s="1"/>
  <c r="M29" i="4" s="1"/>
  <c r="I57" i="3"/>
  <c r="R129" i="4" s="1"/>
  <c r="F55" i="3"/>
  <c r="T29" i="4" s="1"/>
  <c r="I63" i="3"/>
  <c r="R52" i="4" s="1"/>
  <c r="I55" i="3"/>
  <c r="R29" i="4" s="1"/>
  <c r="E55" i="3"/>
  <c r="X29" i="4" s="1"/>
  <c r="I62" i="3"/>
  <c r="R56" i="4" s="1"/>
  <c r="G56" i="3"/>
  <c r="S61" i="4" s="1"/>
  <c r="M61" i="4" s="1"/>
  <c r="E56" i="3"/>
  <c r="X61" i="4" s="1"/>
  <c r="D61" i="4"/>
  <c r="F62" i="3"/>
  <c r="T56" i="4" s="1"/>
  <c r="J56" i="3"/>
  <c r="Q61" i="4" s="1"/>
  <c r="N61" i="4" s="1"/>
  <c r="I56" i="3"/>
  <c r="R61" i="4" s="1"/>
  <c r="G65" i="3"/>
  <c r="S46" i="4" s="1"/>
  <c r="M46" i="4" s="1"/>
  <c r="D33" i="4"/>
  <c r="D102" i="4"/>
  <c r="J58" i="3"/>
  <c r="Q85" i="4" s="1"/>
  <c r="N85" i="4" s="1"/>
  <c r="E59" i="3"/>
  <c r="X37" i="4" s="1"/>
  <c r="F66" i="3"/>
  <c r="T123" i="4" s="1"/>
  <c r="D37" i="4"/>
  <c r="D36" i="4"/>
  <c r="I64" i="3"/>
  <c r="R5" i="4" s="1"/>
  <c r="F65" i="3"/>
  <c r="T46" i="4" s="1"/>
  <c r="D123" i="4"/>
  <c r="E65" i="3"/>
  <c r="X46" i="4" s="1"/>
  <c r="D129" i="4"/>
  <c r="D46" i="4"/>
  <c r="D5" i="4"/>
  <c r="D29" i="4"/>
  <c r="D52" i="4"/>
  <c r="D115" i="4"/>
  <c r="D56" i="4"/>
  <c r="D109" i="4"/>
  <c r="D108" i="4"/>
  <c r="G57" i="3"/>
  <c r="S129" i="4" s="1"/>
  <c r="M129" i="4" s="1"/>
  <c r="I66" i="3"/>
  <c r="R123" i="4" s="1"/>
  <c r="D128" i="4"/>
  <c r="J61" i="3"/>
  <c r="Q19" i="4" s="1"/>
  <c r="N19" i="4" s="1"/>
  <c r="I65" i="3"/>
  <c r="R46" i="4" s="1"/>
  <c r="D100" i="4"/>
  <c r="J60" i="3"/>
  <c r="Q33" i="4" s="1"/>
  <c r="N33" i="4" s="1"/>
  <c r="G66" i="3"/>
  <c r="S123" i="4" s="1"/>
  <c r="M123" i="4" s="1"/>
  <c r="D19" i="4"/>
  <c r="D113" i="4"/>
  <c r="F64" i="3"/>
  <c r="T5" i="4" s="1"/>
  <c r="E66" i="3"/>
  <c r="J52" i="3"/>
  <c r="Q108" i="4" s="1"/>
  <c r="N108" i="4" s="1"/>
  <c r="G53" i="3"/>
  <c r="S109" i="4" s="1"/>
  <c r="M109" i="4" s="1"/>
  <c r="F53" i="3"/>
  <c r="T109" i="4" s="1"/>
  <c r="I53" i="3"/>
  <c r="R109" i="4" s="1"/>
  <c r="I61" i="3"/>
  <c r="R19" i="4" s="1"/>
  <c r="G52" i="3"/>
  <c r="S108" i="4" s="1"/>
  <c r="M108" i="4" s="1"/>
  <c r="I59" i="3"/>
  <c r="R37" i="4" s="1"/>
  <c r="F58" i="3"/>
  <c r="T85" i="4" s="1"/>
  <c r="I58" i="3"/>
  <c r="R85" i="4" s="1"/>
  <c r="F56" i="3"/>
  <c r="T61" i="4" s="1"/>
  <c r="J66" i="3"/>
  <c r="Q123" i="4" s="1"/>
  <c r="N123" i="4" s="1"/>
  <c r="J65" i="3"/>
  <c r="Q46" i="4" s="1"/>
  <c r="N46" i="4" s="1"/>
  <c r="G58" i="3"/>
  <c r="S85" i="4" s="1"/>
  <c r="M85" i="4" s="1"/>
  <c r="F63" i="3"/>
  <c r="T52" i="4" s="1"/>
  <c r="E53" i="3"/>
  <c r="J64" i="3"/>
  <c r="Q5" i="4" s="1"/>
  <c r="N5" i="4" s="1"/>
  <c r="E64" i="3"/>
  <c r="I60" i="3"/>
  <c r="R33" i="4" s="1"/>
  <c r="E52" i="3"/>
  <c r="J63" i="3"/>
  <c r="Q52" i="4" s="1"/>
  <c r="N52" i="4" s="1"/>
  <c r="E63" i="3"/>
  <c r="J62" i="3"/>
  <c r="Q56" i="4" s="1"/>
  <c r="N56" i="4" s="1"/>
  <c r="E62" i="3"/>
  <c r="G64" i="3"/>
  <c r="S5" i="4" s="1"/>
  <c r="M5" i="4" s="1"/>
  <c r="G63" i="3"/>
  <c r="S52" i="4" s="1"/>
  <c r="M52" i="4" s="1"/>
  <c r="G60" i="3"/>
  <c r="S33" i="4" s="1"/>
  <c r="M33" i="4" s="1"/>
  <c r="F52" i="3"/>
  <c r="T108" i="4" s="1"/>
  <c r="G62" i="3"/>
  <c r="S56" i="4" s="1"/>
  <c r="M56" i="4" s="1"/>
  <c r="F57" i="3"/>
  <c r="T129" i="4" s="1"/>
  <c r="E54" i="3"/>
  <c r="G54" i="3"/>
  <c r="S115" i="4" s="1"/>
  <c r="M115" i="4" s="1"/>
  <c r="E61" i="3"/>
  <c r="F54" i="3"/>
  <c r="T115" i="4" s="1"/>
  <c r="I54" i="3"/>
  <c r="R115" i="4" s="1"/>
  <c r="E60" i="3"/>
  <c r="F61" i="3"/>
  <c r="T19" i="4" s="1"/>
  <c r="J54" i="3"/>
  <c r="Q115" i="4" s="1"/>
  <c r="N115" i="4" s="1"/>
  <c r="I52" i="3"/>
  <c r="R108" i="4" s="1"/>
  <c r="J53" i="3"/>
  <c r="Q109" i="4" s="1"/>
  <c r="N109" i="4" s="1"/>
  <c r="J50" i="3"/>
  <c r="Q100" i="4" s="1"/>
  <c r="N100" i="4" s="1"/>
  <c r="I50" i="3"/>
  <c r="R100" i="4" s="1"/>
  <c r="G50" i="3"/>
  <c r="S100" i="4" s="1"/>
  <c r="M100" i="4" s="1"/>
  <c r="F50" i="3"/>
  <c r="T100" i="4" s="1"/>
  <c r="J51" i="3"/>
  <c r="Q128" i="4" s="1"/>
  <c r="N128" i="4" s="1"/>
  <c r="I51" i="3"/>
  <c r="R128" i="4" s="1"/>
  <c r="G48" i="3"/>
  <c r="S102" i="4" s="1"/>
  <c r="M102" i="4" s="1"/>
  <c r="G51" i="3"/>
  <c r="S128" i="4" s="1"/>
  <c r="M128" i="4" s="1"/>
  <c r="F49" i="3"/>
  <c r="T113" i="4" s="1"/>
  <c r="F51" i="3"/>
  <c r="T128" i="4" s="1"/>
  <c r="E49" i="3"/>
  <c r="E51" i="3"/>
  <c r="I49" i="3"/>
  <c r="R113" i="4" s="1"/>
  <c r="E50" i="3"/>
  <c r="I48" i="3"/>
  <c r="R102" i="4" s="1"/>
  <c r="G49" i="3"/>
  <c r="S113" i="4" s="1"/>
  <c r="M113" i="4" s="1"/>
  <c r="F48" i="3"/>
  <c r="T102" i="4" s="1"/>
  <c r="E48" i="3"/>
  <c r="J49" i="3"/>
  <c r="Q113" i="4" s="1"/>
  <c r="N113" i="4" s="1"/>
  <c r="J48" i="3"/>
  <c r="Q102" i="4" s="1"/>
  <c r="N102" i="4" s="1"/>
  <c r="I47" i="3"/>
  <c r="R36" i="4" s="1"/>
  <c r="I46" i="3"/>
  <c r="R81" i="4" s="1"/>
  <c r="G47" i="3"/>
  <c r="S36" i="4" s="1"/>
  <c r="M36" i="4" s="1"/>
  <c r="G46" i="3"/>
  <c r="S81" i="4" s="1"/>
  <c r="M81" i="4" s="1"/>
  <c r="F47" i="3"/>
  <c r="T36" i="4" s="1"/>
  <c r="F46" i="3"/>
  <c r="T81" i="4" s="1"/>
  <c r="E47" i="3"/>
  <c r="E46" i="3"/>
  <c r="J47" i="3"/>
  <c r="Q36" i="4" s="1"/>
  <c r="N36" i="4" s="1"/>
  <c r="J46" i="3"/>
  <c r="Q81" i="4" s="1"/>
  <c r="N81" i="4" s="1"/>
  <c r="J45" i="3"/>
  <c r="Q80" i="4" s="1"/>
  <c r="N80" i="4" s="1"/>
  <c r="I45" i="3"/>
  <c r="R80" i="4" s="1"/>
  <c r="G45" i="3"/>
  <c r="S80" i="4" s="1"/>
  <c r="M80" i="4" s="1"/>
  <c r="F45" i="3"/>
  <c r="T80" i="4" s="1"/>
  <c r="E45" i="3"/>
  <c r="E43" i="3"/>
  <c r="J44" i="3"/>
  <c r="Q20" i="4" s="1"/>
  <c r="N20" i="4" s="1"/>
  <c r="J43" i="3"/>
  <c r="Q69" i="4" s="1"/>
  <c r="N69" i="4" s="1"/>
  <c r="D20" i="4"/>
  <c r="I44" i="3"/>
  <c r="R20" i="4" s="1"/>
  <c r="D69" i="4"/>
  <c r="I43" i="3"/>
  <c r="R69" i="4" s="1"/>
  <c r="D125" i="4"/>
  <c r="I42" i="3"/>
  <c r="R125" i="4" s="1"/>
  <c r="D99" i="4"/>
  <c r="F44" i="3"/>
  <c r="T20" i="4" s="1"/>
  <c r="F43" i="3"/>
  <c r="T69" i="4" s="1"/>
  <c r="F42" i="3"/>
  <c r="T125" i="4" s="1"/>
  <c r="E44" i="3"/>
  <c r="J42" i="3"/>
  <c r="Q125" i="4" s="1"/>
  <c r="N125" i="4" s="1"/>
  <c r="E42" i="3"/>
  <c r="G44" i="3"/>
  <c r="S20" i="4" s="1"/>
  <c r="M20" i="4" s="1"/>
  <c r="G43" i="3"/>
  <c r="S69" i="4" s="1"/>
  <c r="M69" i="4" s="1"/>
  <c r="G42" i="3"/>
  <c r="S125" i="4" s="1"/>
  <c r="M125" i="4" s="1"/>
  <c r="E40" i="3"/>
  <c r="G40" i="3"/>
  <c r="S14" i="4" s="1"/>
  <c r="M14" i="4" s="1"/>
  <c r="J41" i="3"/>
  <c r="Q99" i="4" s="1"/>
  <c r="N99" i="4" s="1"/>
  <c r="F40" i="3"/>
  <c r="T14" i="4" s="1"/>
  <c r="I41" i="3"/>
  <c r="R99" i="4" s="1"/>
  <c r="G41" i="3"/>
  <c r="S99" i="4" s="1"/>
  <c r="M99" i="4" s="1"/>
  <c r="F41" i="3"/>
  <c r="T99" i="4" s="1"/>
  <c r="E41" i="3"/>
  <c r="J40" i="3"/>
  <c r="Q14" i="4" s="1"/>
  <c r="N14" i="4" s="1"/>
  <c r="I40" i="3"/>
  <c r="R14" i="4" s="1"/>
  <c r="F38" i="3"/>
  <c r="T97" i="4" s="1"/>
  <c r="F37" i="3"/>
  <c r="T88" i="4" s="1"/>
  <c r="D121" i="4"/>
  <c r="D97" i="4"/>
  <c r="D88" i="4"/>
  <c r="E38" i="3"/>
  <c r="J38" i="3"/>
  <c r="Q97" i="4" s="1"/>
  <c r="N97" i="4" s="1"/>
  <c r="J37" i="3"/>
  <c r="Q88" i="4" s="1"/>
  <c r="N88" i="4" s="1"/>
  <c r="I39" i="3"/>
  <c r="R121" i="4" s="1"/>
  <c r="I38" i="3"/>
  <c r="R97" i="4" s="1"/>
  <c r="I37" i="3"/>
  <c r="R88" i="4" s="1"/>
  <c r="F39" i="3"/>
  <c r="T121" i="4" s="1"/>
  <c r="J39" i="3"/>
  <c r="Q121" i="4" s="1"/>
  <c r="N121" i="4" s="1"/>
  <c r="E39" i="3"/>
  <c r="D84" i="4"/>
  <c r="E37" i="3"/>
  <c r="D65" i="4"/>
  <c r="G39" i="3"/>
  <c r="S121" i="4" s="1"/>
  <c r="M121" i="4" s="1"/>
  <c r="G38" i="3"/>
  <c r="S97" i="4" s="1"/>
  <c r="M97" i="4" s="1"/>
  <c r="G37" i="3"/>
  <c r="S88" i="4" s="1"/>
  <c r="M88" i="4" s="1"/>
  <c r="F9" i="3"/>
  <c r="T119" i="4" s="1"/>
  <c r="F27" i="3"/>
  <c r="T150" i="4" s="1"/>
  <c r="E27" i="3"/>
  <c r="X150" i="4" s="1"/>
  <c r="J31" i="3"/>
  <c r="Q133" i="4" s="1"/>
  <c r="N133" i="4" s="1"/>
  <c r="I32" i="3"/>
  <c r="R51" i="4" s="1"/>
  <c r="D133" i="4"/>
  <c r="I31" i="3"/>
  <c r="R133" i="4" s="1"/>
  <c r="J32" i="3"/>
  <c r="Q51" i="4" s="1"/>
  <c r="N51" i="4" s="1"/>
  <c r="G32" i="3"/>
  <c r="S51" i="4" s="1"/>
  <c r="M51" i="4" s="1"/>
  <c r="F32" i="3"/>
  <c r="T51" i="4" s="1"/>
  <c r="F31" i="3"/>
  <c r="T133" i="4" s="1"/>
  <c r="E32" i="3"/>
  <c r="D51" i="4"/>
  <c r="E31" i="3"/>
  <c r="I36" i="3"/>
  <c r="R84" i="4" s="1"/>
  <c r="G36" i="3"/>
  <c r="S84" i="4" s="1"/>
  <c r="M84" i="4" s="1"/>
  <c r="I30" i="3"/>
  <c r="R146" i="4" s="1"/>
  <c r="I35" i="3"/>
  <c r="R11" i="4" s="1"/>
  <c r="D146" i="4"/>
  <c r="G30" i="3"/>
  <c r="S146" i="4" s="1"/>
  <c r="M146" i="4" s="1"/>
  <c r="G35" i="3"/>
  <c r="S11" i="4" s="1"/>
  <c r="M11" i="4" s="1"/>
  <c r="I34" i="3"/>
  <c r="R65" i="4" s="1"/>
  <c r="F36" i="3"/>
  <c r="T84" i="4" s="1"/>
  <c r="I33" i="3"/>
  <c r="R96" i="4" s="1"/>
  <c r="F35" i="3"/>
  <c r="T11" i="4" s="1"/>
  <c r="G34" i="3"/>
  <c r="S65" i="4" s="1"/>
  <c r="M65" i="4" s="1"/>
  <c r="E36" i="3"/>
  <c r="E34" i="3"/>
  <c r="E35" i="3"/>
  <c r="J36" i="3"/>
  <c r="Q84" i="4" s="1"/>
  <c r="N84" i="4" s="1"/>
  <c r="J35" i="3"/>
  <c r="Q11" i="4" s="1"/>
  <c r="N11" i="4" s="1"/>
  <c r="G33" i="3"/>
  <c r="S96" i="4" s="1"/>
  <c r="M96" i="4" s="1"/>
  <c r="F34" i="3"/>
  <c r="T65" i="4" s="1"/>
  <c r="F33" i="3"/>
  <c r="T96" i="4" s="1"/>
  <c r="E33" i="3"/>
  <c r="F30" i="3"/>
  <c r="T146" i="4" s="1"/>
  <c r="J34" i="3"/>
  <c r="Q65" i="4" s="1"/>
  <c r="N65" i="4" s="1"/>
  <c r="J30" i="3"/>
  <c r="Q146" i="4" s="1"/>
  <c r="N146" i="4" s="1"/>
  <c r="E30" i="3"/>
  <c r="J33" i="3"/>
  <c r="Q96" i="4" s="1"/>
  <c r="N96" i="4" s="1"/>
  <c r="F15" i="3"/>
  <c r="T71" i="4" s="1"/>
  <c r="E15" i="3"/>
  <c r="X71" i="4" s="1"/>
  <c r="E3" i="3"/>
  <c r="X55" i="4" s="1"/>
  <c r="I3" i="3"/>
  <c r="R55" i="4" s="1"/>
  <c r="J3" i="3"/>
  <c r="Q55" i="4" s="1"/>
  <c r="N55" i="4" s="1"/>
  <c r="J27" i="3"/>
  <c r="Q150" i="4" s="1"/>
  <c r="N150" i="4" s="1"/>
  <c r="G28" i="3"/>
  <c r="S131" i="4" s="1"/>
  <c r="M131" i="4" s="1"/>
  <c r="I15" i="3"/>
  <c r="R71" i="4" s="1"/>
  <c r="G27" i="3"/>
  <c r="S150" i="4" s="1"/>
  <c r="M150" i="4" s="1"/>
  <c r="G15" i="3"/>
  <c r="S71" i="4" s="1"/>
  <c r="M71" i="4" s="1"/>
  <c r="E28" i="3"/>
  <c r="X131" i="4" s="1"/>
  <c r="F3" i="3"/>
  <c r="T55" i="4" s="1"/>
  <c r="G8" i="3"/>
  <c r="S98" i="4" s="1"/>
  <c r="M98" i="4" s="1"/>
  <c r="J20" i="3"/>
  <c r="Q26" i="4" s="1"/>
  <c r="N26" i="4" s="1"/>
  <c r="J29" i="3"/>
  <c r="Q112" i="4" s="1"/>
  <c r="N112" i="4" s="1"/>
  <c r="F8" i="3"/>
  <c r="T98" i="4" s="1"/>
  <c r="G7" i="3"/>
  <c r="S95" i="4" s="1"/>
  <c r="M95" i="4" s="1"/>
  <c r="J16" i="3"/>
  <c r="Q147" i="4" s="1"/>
  <c r="N147" i="4" s="1"/>
  <c r="I29" i="3"/>
  <c r="R112" i="4" s="1"/>
  <c r="E8" i="3"/>
  <c r="X98" i="4" s="1"/>
  <c r="E4" i="3"/>
  <c r="X91" i="4" s="1"/>
  <c r="G29" i="3"/>
  <c r="S112" i="4" s="1"/>
  <c r="M112" i="4" s="1"/>
  <c r="J8" i="3"/>
  <c r="Q98" i="4" s="1"/>
  <c r="N98" i="4" s="1"/>
  <c r="G3" i="3"/>
  <c r="S55" i="4" s="1"/>
  <c r="M55" i="4" s="1"/>
  <c r="I27" i="3"/>
  <c r="R150" i="4" s="1"/>
  <c r="I16" i="3"/>
  <c r="R147" i="4" s="1"/>
  <c r="F29" i="3"/>
  <c r="T112" i="4" s="1"/>
  <c r="I7" i="3"/>
  <c r="R95" i="4" s="1"/>
  <c r="J7" i="3"/>
  <c r="Q95" i="4" s="1"/>
  <c r="N95" i="4" s="1"/>
  <c r="I19" i="3"/>
  <c r="R106" i="4" s="1"/>
  <c r="E7" i="3"/>
  <c r="X95" i="4" s="1"/>
  <c r="F19" i="3"/>
  <c r="T106" i="4" s="1"/>
  <c r="E29" i="3"/>
  <c r="F6" i="3"/>
  <c r="T2" i="4" s="1"/>
  <c r="I6" i="3"/>
  <c r="R2" i="4" s="1"/>
  <c r="F16" i="3"/>
  <c r="T147" i="4" s="1"/>
  <c r="F5" i="3"/>
  <c r="T79" i="4" s="1"/>
  <c r="I18" i="3"/>
  <c r="R70" i="4" s="1"/>
  <c r="F18" i="3"/>
  <c r="T70" i="4" s="1"/>
  <c r="F17" i="3"/>
  <c r="T64" i="4" s="1"/>
  <c r="I5" i="3"/>
  <c r="R79" i="4" s="1"/>
  <c r="F4" i="3"/>
  <c r="T91" i="4" s="1"/>
  <c r="I4" i="3"/>
  <c r="R91" i="4" s="1"/>
  <c r="I17" i="3"/>
  <c r="R64" i="4" s="1"/>
  <c r="E17" i="3"/>
  <c r="X64" i="4" s="1"/>
  <c r="G6" i="3"/>
  <c r="S2" i="4" s="1"/>
  <c r="M2" i="4" s="1"/>
  <c r="J6" i="3"/>
  <c r="Q2" i="4" s="1"/>
  <c r="N2" i="4" s="1"/>
  <c r="G5" i="3"/>
  <c r="S79" i="4" s="1"/>
  <c r="M79" i="4" s="1"/>
  <c r="J5" i="3"/>
  <c r="Q79" i="4" s="1"/>
  <c r="N79" i="4" s="1"/>
  <c r="G10" i="3"/>
  <c r="S10" i="4" s="1"/>
  <c r="M10" i="4" s="1"/>
  <c r="F28" i="3"/>
  <c r="T131" i="4" s="1"/>
  <c r="G16" i="3"/>
  <c r="S147" i="4" s="1"/>
  <c r="M147" i="4" s="1"/>
  <c r="G4" i="3"/>
  <c r="S91" i="4" s="1"/>
  <c r="M91" i="4" s="1"/>
  <c r="J4" i="3"/>
  <c r="Q91" i="4" s="1"/>
  <c r="N91" i="4" s="1"/>
  <c r="J17" i="3"/>
  <c r="Q64" i="4" s="1"/>
  <c r="N64" i="4" s="1"/>
  <c r="G9" i="3"/>
  <c r="S119" i="4" s="1"/>
  <c r="M119" i="4" s="1"/>
  <c r="E20" i="3"/>
  <c r="J22" i="3"/>
  <c r="Q145" i="4" s="1"/>
  <c r="N145" i="4" s="1"/>
  <c r="I9" i="3"/>
  <c r="R119" i="4" s="1"/>
  <c r="J21" i="3"/>
  <c r="Q117" i="4" s="1"/>
  <c r="N117" i="4" s="1"/>
  <c r="E10" i="3"/>
  <c r="I20" i="3"/>
  <c r="R26" i="4" s="1"/>
  <c r="F21" i="3"/>
  <c r="T117" i="4" s="1"/>
  <c r="E9" i="3"/>
  <c r="X119" i="4" s="1"/>
  <c r="F20" i="3"/>
  <c r="T26" i="4" s="1"/>
  <c r="J28" i="3"/>
  <c r="Q131" i="4" s="1"/>
  <c r="N131" i="4" s="1"/>
  <c r="G22" i="3"/>
  <c r="S145" i="4" s="1"/>
  <c r="M145" i="4" s="1"/>
  <c r="G21" i="3"/>
  <c r="S117" i="4" s="1"/>
  <c r="M117" i="4" s="1"/>
  <c r="I22" i="3"/>
  <c r="R145" i="4" s="1"/>
  <c r="I21" i="3"/>
  <c r="R117" i="4" s="1"/>
  <c r="G23" i="3"/>
  <c r="S83" i="4" s="1"/>
  <c r="M83" i="4" s="1"/>
  <c r="E11" i="3"/>
  <c r="I23" i="3"/>
  <c r="R83" i="4" s="1"/>
  <c r="J23" i="3"/>
  <c r="Q83" i="4" s="1"/>
  <c r="N83" i="4" s="1"/>
  <c r="E23" i="3"/>
  <c r="X83" i="4" s="1"/>
  <c r="G11" i="3"/>
  <c r="S60" i="4" s="1"/>
  <c r="M60" i="4" s="1"/>
  <c r="F10" i="3"/>
  <c r="T10" i="4" s="1"/>
  <c r="J11" i="3"/>
  <c r="Q60" i="4" s="1"/>
  <c r="N60" i="4" s="1"/>
  <c r="I11" i="3"/>
  <c r="R60" i="4" s="1"/>
  <c r="E22" i="3"/>
  <c r="J10" i="3"/>
  <c r="Q10" i="4" s="1"/>
  <c r="N10" i="4" s="1"/>
  <c r="G26" i="3"/>
  <c r="S148" i="4" s="1"/>
  <c r="M148" i="4" s="1"/>
  <c r="J25" i="3"/>
  <c r="Q110" i="4" s="1"/>
  <c r="N110" i="4" s="1"/>
  <c r="J13" i="3"/>
  <c r="Q43" i="4" s="1"/>
  <c r="N43" i="4" s="1"/>
  <c r="G25" i="3"/>
  <c r="S110" i="4" s="1"/>
  <c r="M110" i="4" s="1"/>
  <c r="G13" i="3"/>
  <c r="S43" i="4" s="1"/>
  <c r="M43" i="4" s="1"/>
  <c r="E25" i="3"/>
  <c r="X110" i="4" s="1"/>
  <c r="E13" i="3"/>
  <c r="X43" i="4" s="1"/>
  <c r="G14" i="3"/>
  <c r="S17" i="4" s="1"/>
  <c r="M17" i="4" s="1"/>
  <c r="J24" i="3"/>
  <c r="Q72" i="4" s="1"/>
  <c r="N72" i="4" s="1"/>
  <c r="J12" i="3"/>
  <c r="Q39" i="4" s="1"/>
  <c r="N39" i="4" s="1"/>
  <c r="G24" i="3"/>
  <c r="S72" i="4" s="1"/>
  <c r="M72" i="4" s="1"/>
  <c r="G12" i="3"/>
  <c r="S39" i="4" s="1"/>
  <c r="M39" i="4" s="1"/>
  <c r="E24" i="3"/>
  <c r="X72" i="4" s="1"/>
  <c r="E12" i="3"/>
  <c r="J14" i="3"/>
  <c r="Q17" i="4" s="1"/>
  <c r="N17" i="4" s="1"/>
  <c r="E26" i="3"/>
  <c r="F14" i="3"/>
  <c r="T17" i="4" s="1"/>
  <c r="I14" i="3"/>
  <c r="R17" i="4" s="1"/>
  <c r="J19" i="3"/>
  <c r="Q106" i="4" s="1"/>
  <c r="N106" i="4" s="1"/>
  <c r="I25" i="3"/>
  <c r="R110" i="4" s="1"/>
  <c r="I13" i="3"/>
  <c r="R43" i="4" s="1"/>
  <c r="G19" i="3"/>
  <c r="S106" i="4" s="1"/>
  <c r="M106" i="4" s="1"/>
  <c r="F25" i="3"/>
  <c r="T110" i="4" s="1"/>
  <c r="F13" i="3"/>
  <c r="T43" i="4" s="1"/>
  <c r="J26" i="3"/>
  <c r="Q148" i="4" s="1"/>
  <c r="N148" i="4" s="1"/>
  <c r="I26" i="3"/>
  <c r="R148" i="4" s="1"/>
  <c r="J18" i="3"/>
  <c r="Q70" i="4" s="1"/>
  <c r="N70" i="4" s="1"/>
  <c r="I24" i="3"/>
  <c r="R72" i="4" s="1"/>
  <c r="I12" i="3"/>
  <c r="R39" i="4" s="1"/>
  <c r="G18" i="3"/>
  <c r="S70" i="4" s="1"/>
  <c r="M70" i="4" s="1"/>
  <c r="F24" i="3"/>
  <c r="T72" i="4" s="1"/>
  <c r="F12" i="3"/>
  <c r="T39" i="4" s="1"/>
  <c r="F23" i="3"/>
  <c r="T83" i="4" s="1"/>
  <c r="F11" i="3"/>
  <c r="T60" i="4" s="1"/>
  <c r="D79" i="4"/>
  <c r="D55" i="4"/>
  <c r="D71" i="4"/>
  <c r="D10" i="4"/>
  <c r="D117" i="4"/>
  <c r="D91" i="4"/>
  <c r="D60" i="4"/>
  <c r="D145" i="4"/>
  <c r="D148" i="4"/>
  <c r="D26" i="4"/>
  <c r="D98" i="4"/>
  <c r="D106" i="4"/>
  <c r="D95" i="4"/>
  <c r="D70" i="4"/>
  <c r="D2" i="4"/>
  <c r="D64" i="4"/>
  <c r="D119" i="4"/>
  <c r="D147" i="4"/>
  <c r="D131" i="4"/>
  <c r="D72" i="4"/>
  <c r="D150" i="4"/>
  <c r="D83" i="4"/>
  <c r="D43" i="4"/>
  <c r="D39" i="4"/>
  <c r="E27" i="4" l="1"/>
  <c r="AL38" i="4"/>
  <c r="E38" i="4"/>
  <c r="AL62" i="4"/>
  <c r="E24" i="4"/>
  <c r="E139" i="4"/>
  <c r="E63" i="4"/>
  <c r="E3" i="4"/>
  <c r="E118" i="4"/>
  <c r="E103" i="4"/>
  <c r="E90" i="4"/>
  <c r="E101" i="4"/>
  <c r="E68" i="4"/>
  <c r="AL54" i="4"/>
  <c r="AL139" i="4"/>
  <c r="E120" i="4"/>
  <c r="E8" i="4"/>
  <c r="E44" i="4"/>
  <c r="E82" i="4"/>
  <c r="E87" i="4"/>
  <c r="E23" i="4"/>
  <c r="E13" i="4"/>
  <c r="AL8" i="4"/>
  <c r="F7" i="4"/>
  <c r="AM7" i="4" s="1"/>
  <c r="AO7" i="4" s="1"/>
  <c r="E30" i="4"/>
  <c r="E126" i="4"/>
  <c r="E22" i="4"/>
  <c r="E48" i="4"/>
  <c r="E34" i="4"/>
  <c r="E116" i="4"/>
  <c r="AL138" i="4"/>
  <c r="F114" i="4"/>
  <c r="AM114" i="4" s="1"/>
  <c r="AO114" i="4" s="1"/>
  <c r="AL118" i="4"/>
  <c r="E15" i="4"/>
  <c r="F107" i="4"/>
  <c r="AM107" i="4" s="1"/>
  <c r="AO107" i="4" s="1"/>
  <c r="AL120" i="4"/>
  <c r="AL48" i="4"/>
  <c r="AL126" i="4"/>
  <c r="AL141" i="4"/>
  <c r="F9" i="4"/>
  <c r="AM9" i="4" s="1"/>
  <c r="AO9" i="4" s="1"/>
  <c r="AL30" i="4"/>
  <c r="F47" i="4"/>
  <c r="AM47" i="4" s="1"/>
  <c r="AO47" i="4" s="1"/>
  <c r="AL6" i="4"/>
  <c r="AL23" i="4"/>
  <c r="E54" i="4"/>
  <c r="AL101" i="4"/>
  <c r="AJ35" i="4"/>
  <c r="AK35" i="4"/>
  <c r="AJ31" i="4"/>
  <c r="AK31" i="4"/>
  <c r="AJ75" i="4"/>
  <c r="AK75" i="4"/>
  <c r="AJ17" i="4"/>
  <c r="AK17" i="4"/>
  <c r="AK2" i="4"/>
  <c r="AJ2" i="4"/>
  <c r="AK111" i="4"/>
  <c r="AJ111" i="4"/>
  <c r="AJ107" i="4"/>
  <c r="AK107" i="4"/>
  <c r="AJ143" i="4"/>
  <c r="AK143" i="4"/>
  <c r="AJ83" i="4"/>
  <c r="AK83" i="4"/>
  <c r="AJ92" i="4"/>
  <c r="AK92" i="4"/>
  <c r="AK110" i="4"/>
  <c r="AJ110" i="4"/>
  <c r="AJ150" i="4"/>
  <c r="AK150" i="4"/>
  <c r="AJ76" i="4"/>
  <c r="AK76" i="4"/>
  <c r="AJ119" i="4"/>
  <c r="AK119" i="4"/>
  <c r="AJ61" i="4"/>
  <c r="AK61" i="4"/>
  <c r="AJ104" i="4"/>
  <c r="AK104" i="4"/>
  <c r="AK131" i="4"/>
  <c r="AJ131" i="4"/>
  <c r="AJ7" i="4"/>
  <c r="AK7" i="4"/>
  <c r="AK72" i="4"/>
  <c r="AJ72" i="4"/>
  <c r="AJ74" i="4"/>
  <c r="AK74" i="4"/>
  <c r="AK58" i="4"/>
  <c r="AJ58" i="4"/>
  <c r="AJ85" i="4"/>
  <c r="AK85" i="4"/>
  <c r="AJ117" i="4"/>
  <c r="AK117" i="4"/>
  <c r="AJ142" i="4"/>
  <c r="AK142" i="4"/>
  <c r="AJ29" i="4"/>
  <c r="AK29" i="4"/>
  <c r="AJ55" i="4"/>
  <c r="AK55" i="4"/>
  <c r="AJ136" i="4"/>
  <c r="AK136" i="4"/>
  <c r="AJ71" i="4"/>
  <c r="AK71" i="4"/>
  <c r="AJ64" i="4"/>
  <c r="AK64" i="4"/>
  <c r="AJ53" i="4"/>
  <c r="AK53" i="4"/>
  <c r="AJ98" i="4"/>
  <c r="AK98" i="4"/>
  <c r="AJ95" i="4"/>
  <c r="AK95" i="4"/>
  <c r="AJ28" i="4"/>
  <c r="AK28" i="4"/>
  <c r="AJ129" i="4"/>
  <c r="AK129" i="4"/>
  <c r="AK43" i="4"/>
  <c r="AJ43" i="4"/>
  <c r="AJ59" i="4"/>
  <c r="AK59" i="4"/>
  <c r="AJ37" i="4"/>
  <c r="AK37" i="4"/>
  <c r="AJ94" i="4"/>
  <c r="AK94" i="4"/>
  <c r="AJ91" i="4"/>
  <c r="AK91" i="4"/>
  <c r="AJ106" i="4"/>
  <c r="AK106" i="4"/>
  <c r="AJ46" i="4"/>
  <c r="AK46" i="4"/>
  <c r="AJ137" i="4"/>
  <c r="AK137" i="4"/>
  <c r="AJ140" i="4"/>
  <c r="AK140" i="4"/>
  <c r="AW37" i="4"/>
  <c r="AW53" i="4"/>
  <c r="AW46" i="4"/>
  <c r="AW95" i="4"/>
  <c r="AW28" i="4"/>
  <c r="AW137" i="4"/>
  <c r="AW98" i="4"/>
  <c r="AW142" i="4"/>
  <c r="AW2" i="4"/>
  <c r="AW104" i="4"/>
  <c r="AW64" i="4"/>
  <c r="AW43" i="4"/>
  <c r="AW119" i="4"/>
  <c r="AW61" i="4"/>
  <c r="AW35" i="4"/>
  <c r="AW110" i="4"/>
  <c r="AW83" i="4"/>
  <c r="AW55" i="4"/>
  <c r="AW59" i="4"/>
  <c r="AW136" i="4"/>
  <c r="AW107" i="4"/>
  <c r="AW92" i="4"/>
  <c r="AW140" i="4"/>
  <c r="AW71" i="4"/>
  <c r="AW75" i="4"/>
  <c r="AW111" i="4"/>
  <c r="AW29" i="4"/>
  <c r="AW131" i="4"/>
  <c r="AW129" i="4"/>
  <c r="AL3" i="4"/>
  <c r="AW7" i="4"/>
  <c r="AW74" i="4"/>
  <c r="AW58" i="4"/>
  <c r="AW85" i="4"/>
  <c r="AW117" i="4"/>
  <c r="AW143" i="4"/>
  <c r="AW94" i="4"/>
  <c r="AU135" i="4"/>
  <c r="AV135" i="4" s="1"/>
  <c r="AT66" i="4"/>
  <c r="AT41" i="4"/>
  <c r="O41" i="4" s="1"/>
  <c r="K41" i="4" s="1"/>
  <c r="AT134" i="4"/>
  <c r="O134" i="4" s="1"/>
  <c r="K134" i="4" s="1"/>
  <c r="AT63" i="4"/>
  <c r="AT155" i="4"/>
  <c r="O155" i="4" s="1"/>
  <c r="AU66" i="4"/>
  <c r="AV66" i="4" s="1"/>
  <c r="AU54" i="4"/>
  <c r="AV54" i="4" s="1"/>
  <c r="AT126" i="4"/>
  <c r="AT149" i="4"/>
  <c r="O149" i="4" s="1"/>
  <c r="K149" i="4" s="1"/>
  <c r="AT78" i="4"/>
  <c r="O78" i="4" s="1"/>
  <c r="K78" i="4" s="1"/>
  <c r="AU82" i="4"/>
  <c r="AV82" i="4" s="1"/>
  <c r="AU15" i="4"/>
  <c r="AV15" i="4" s="1"/>
  <c r="AT45" i="4"/>
  <c r="AU87" i="4"/>
  <c r="AV87" i="4" s="1"/>
  <c r="AT24" i="4"/>
  <c r="AU44" i="4"/>
  <c r="AV44" i="4" s="1"/>
  <c r="AT124" i="4"/>
  <c r="O124" i="4" s="1"/>
  <c r="K124" i="4" s="1"/>
  <c r="AT152" i="4"/>
  <c r="O152" i="4" s="1"/>
  <c r="K152" i="4" s="1"/>
  <c r="AT90" i="4"/>
  <c r="AT86" i="4"/>
  <c r="O86" i="4" s="1"/>
  <c r="K86" i="4" s="1"/>
  <c r="AT25" i="4"/>
  <c r="AT130" i="4"/>
  <c r="AT103" i="4"/>
  <c r="AT82" i="4"/>
  <c r="AT4" i="4"/>
  <c r="AT18" i="4"/>
  <c r="AT34" i="4"/>
  <c r="AU139" i="4"/>
  <c r="AV139" i="4" s="1"/>
  <c r="AT3" i="4"/>
  <c r="AT62" i="4"/>
  <c r="O62" i="4" s="1"/>
  <c r="K62" i="4" s="1"/>
  <c r="AT49" i="4"/>
  <c r="O49" i="4" s="1"/>
  <c r="K49" i="4" s="1"/>
  <c r="AU48" i="4"/>
  <c r="AV48" i="4" s="1"/>
  <c r="AT132" i="4"/>
  <c r="O132" i="4" s="1"/>
  <c r="K132" i="4" s="1"/>
  <c r="I132" i="4" s="1"/>
  <c r="AU130" i="4"/>
  <c r="AV130" i="4" s="1"/>
  <c r="AU4" i="4"/>
  <c r="AV4" i="4" s="1"/>
  <c r="AU25" i="4"/>
  <c r="AV25" i="4" s="1"/>
  <c r="AU18" i="4"/>
  <c r="AV18" i="4" s="1"/>
  <c r="AT44" i="4"/>
  <c r="AU103" i="4"/>
  <c r="AV103" i="4" s="1"/>
  <c r="AU101" i="4"/>
  <c r="AV101" i="4" s="1"/>
  <c r="AT27" i="4"/>
  <c r="AT122" i="4"/>
  <c r="AT54" i="4"/>
  <c r="AT135" i="4"/>
  <c r="AU8" i="4"/>
  <c r="AV8" i="4" s="1"/>
  <c r="AT68" i="4"/>
  <c r="AU126" i="4"/>
  <c r="AV126" i="4" s="1"/>
  <c r="AU45" i="4"/>
  <c r="AV45" i="4" s="1"/>
  <c r="AT141" i="4"/>
  <c r="O141" i="4" s="1"/>
  <c r="K141" i="4" s="1"/>
  <c r="AU3" i="4"/>
  <c r="AV3" i="4" s="1"/>
  <c r="AT38" i="4"/>
  <c r="AU120" i="4"/>
  <c r="AV120" i="4" s="1"/>
  <c r="AT87" i="4"/>
  <c r="AT23" i="4"/>
  <c r="AT116" i="4"/>
  <c r="AU122" i="4"/>
  <c r="AV122" i="4" s="1"/>
  <c r="AT6" i="4"/>
  <c r="AT8" i="4"/>
  <c r="AU13" i="4"/>
  <c r="AV13" i="4" s="1"/>
  <c r="AT30" i="4"/>
  <c r="AU24" i="4"/>
  <c r="AV24" i="4" s="1"/>
  <c r="AT50" i="4"/>
  <c r="AT118" i="4"/>
  <c r="AU27" i="4"/>
  <c r="AV27" i="4" s="1"/>
  <c r="AU138" i="4"/>
  <c r="AV138" i="4" s="1"/>
  <c r="AT139" i="4"/>
  <c r="AU6" i="4"/>
  <c r="AV6" i="4" s="1"/>
  <c r="AU89" i="4"/>
  <c r="AV89" i="4" s="1"/>
  <c r="AU116" i="4"/>
  <c r="AV116" i="4" s="1"/>
  <c r="AT138" i="4"/>
  <c r="AT48" i="4"/>
  <c r="AU63" i="4"/>
  <c r="AV63" i="4" s="1"/>
  <c r="AU38" i="4"/>
  <c r="AV38" i="4" s="1"/>
  <c r="AU68" i="4"/>
  <c r="AV68" i="4" s="1"/>
  <c r="AT13" i="4"/>
  <c r="AU34" i="4"/>
  <c r="AV34" i="4" s="1"/>
  <c r="AU118" i="4"/>
  <c r="AV118" i="4" s="1"/>
  <c r="AU22" i="4"/>
  <c r="AV22" i="4" s="1"/>
  <c r="AU30" i="4"/>
  <c r="AV30" i="4" s="1"/>
  <c r="AT89" i="4"/>
  <c r="AT101" i="4"/>
  <c r="AT120" i="4"/>
  <c r="AU23" i="4"/>
  <c r="AV23" i="4" s="1"/>
  <c r="AU90" i="4"/>
  <c r="AV90" i="4" s="1"/>
  <c r="AT15" i="4"/>
  <c r="AU50" i="4"/>
  <c r="AV50" i="4" s="1"/>
  <c r="AT22" i="4"/>
  <c r="O14" i="8"/>
  <c r="N14" i="8"/>
  <c r="O9" i="8"/>
  <c r="N9" i="8"/>
  <c r="O15" i="8"/>
  <c r="N8" i="8"/>
  <c r="N12" i="8"/>
  <c r="O18" i="8"/>
  <c r="N18" i="8"/>
  <c r="N10" i="8"/>
  <c r="O19" i="8"/>
  <c r="O17" i="8"/>
  <c r="AW31" i="4"/>
  <c r="O8" i="8"/>
  <c r="N17" i="8"/>
  <c r="N15" i="8"/>
  <c r="N19" i="8"/>
  <c r="AW72" i="4"/>
  <c r="AW91" i="4"/>
  <c r="O12" i="8"/>
  <c r="N13" i="8"/>
  <c r="O13" i="8"/>
  <c r="O10" i="8"/>
  <c r="AW17" i="4"/>
  <c r="N13" i="10"/>
  <c r="M13" i="10"/>
  <c r="N4" i="10"/>
  <c r="N9" i="10"/>
  <c r="M6" i="10"/>
  <c r="M2" i="10"/>
  <c r="N11" i="10"/>
  <c r="N12" i="10"/>
  <c r="M9" i="10"/>
  <c r="N6" i="10"/>
  <c r="M11" i="10"/>
  <c r="N7" i="10"/>
  <c r="N2" i="10"/>
  <c r="M7" i="10"/>
  <c r="M12" i="10"/>
  <c r="M5" i="10"/>
  <c r="AW106" i="4"/>
  <c r="M4" i="10"/>
  <c r="N5" i="10"/>
  <c r="AW150" i="4"/>
  <c r="AW76" i="4"/>
  <c r="AT28" i="4"/>
  <c r="AT93" i="4"/>
  <c r="AT16" i="4"/>
  <c r="AT107" i="4"/>
  <c r="AT144" i="4"/>
  <c r="AT31" i="4"/>
  <c r="AT111" i="4"/>
  <c r="AT42" i="4"/>
  <c r="AT94" i="4"/>
  <c r="AT137" i="4"/>
  <c r="AT47" i="4"/>
  <c r="AT153" i="4"/>
  <c r="AT140" i="4"/>
  <c r="AT77" i="4"/>
  <c r="AT57" i="4"/>
  <c r="AT104" i="4"/>
  <c r="AT73" i="4"/>
  <c r="AT127" i="4"/>
  <c r="AT75" i="4"/>
  <c r="AT136" i="4"/>
  <c r="AT21" i="4"/>
  <c r="AT142" i="4"/>
  <c r="AT143" i="4"/>
  <c r="AL153" i="4"/>
  <c r="AT114" i="4"/>
  <c r="AT35" i="4"/>
  <c r="AT154" i="4"/>
  <c r="AT74" i="4"/>
  <c r="AT40" i="4"/>
  <c r="AT151" i="4"/>
  <c r="AT105" i="4"/>
  <c r="AL154" i="4"/>
  <c r="AT12" i="4"/>
  <c r="AT59" i="4"/>
  <c r="AT9" i="4"/>
  <c r="AT92" i="4"/>
  <c r="AT32" i="4"/>
  <c r="AT53" i="4"/>
  <c r="AT58" i="4"/>
  <c r="AT76" i="4"/>
  <c r="AT7" i="4"/>
  <c r="AL124" i="4"/>
  <c r="AL49" i="4"/>
  <c r="AL15" i="4"/>
  <c r="AL57" i="4"/>
  <c r="AL50" i="4"/>
  <c r="AL41" i="4"/>
  <c r="AL89" i="4"/>
  <c r="AL42" i="4"/>
  <c r="AL22" i="4"/>
  <c r="AL9" i="4"/>
  <c r="AU76" i="4"/>
  <c r="AV76" i="4" s="1"/>
  <c r="AG20" i="4"/>
  <c r="AA20" i="4" s="1"/>
  <c r="Z20" i="4" s="1"/>
  <c r="AU73" i="4"/>
  <c r="AV73" i="4" s="1"/>
  <c r="AU40" i="4"/>
  <c r="AV40" i="4" s="1"/>
  <c r="AU127" i="4"/>
  <c r="AV127" i="4" s="1"/>
  <c r="AU136" i="4"/>
  <c r="AV136" i="4" s="1"/>
  <c r="AU47" i="4"/>
  <c r="AV47" i="4" s="1"/>
  <c r="AU21" i="4"/>
  <c r="AV21" i="4" s="1"/>
  <c r="AU142" i="4"/>
  <c r="AV142" i="4" s="1"/>
  <c r="AU143" i="4"/>
  <c r="AV143" i="4" s="1"/>
  <c r="AG10" i="4"/>
  <c r="AA10" i="4" s="1"/>
  <c r="Z10" i="4" s="1"/>
  <c r="AG148" i="4"/>
  <c r="AA148" i="4" s="1"/>
  <c r="Z148" i="4" s="1"/>
  <c r="AU153" i="4"/>
  <c r="AV153" i="4" s="1"/>
  <c r="AU93" i="4"/>
  <c r="AV93" i="4" s="1"/>
  <c r="AU111" i="4"/>
  <c r="AV111" i="4" s="1"/>
  <c r="AU42" i="4"/>
  <c r="AV42" i="4" s="1"/>
  <c r="AG36" i="4"/>
  <c r="AA36" i="4" s="1"/>
  <c r="Z36" i="4" s="1"/>
  <c r="AG70" i="4"/>
  <c r="AA70" i="4" s="1"/>
  <c r="Z70" i="4" s="1"/>
  <c r="AG95" i="4"/>
  <c r="AA95" i="4" s="1"/>
  <c r="Z95" i="4" s="1"/>
  <c r="AG99" i="4"/>
  <c r="AA99" i="4" s="1"/>
  <c r="Z99" i="4" s="1"/>
  <c r="AG51" i="4"/>
  <c r="AA51" i="4" s="1"/>
  <c r="Z51" i="4" s="1"/>
  <c r="AG71" i="4"/>
  <c r="AA71" i="4" s="1"/>
  <c r="Z71" i="4" s="1"/>
  <c r="AG106" i="4"/>
  <c r="AA106" i="4" s="1"/>
  <c r="Z106" i="4" s="1"/>
  <c r="AG81" i="4"/>
  <c r="AA81" i="4" s="1"/>
  <c r="Z81" i="4" s="1"/>
  <c r="AG147" i="4"/>
  <c r="AA147" i="4" s="1"/>
  <c r="Z147" i="4" s="1"/>
  <c r="AG125" i="4"/>
  <c r="AA125" i="4" s="1"/>
  <c r="Z125" i="4" s="1"/>
  <c r="AG123" i="4"/>
  <c r="AA123" i="4" s="1"/>
  <c r="Z123" i="4" s="1"/>
  <c r="AG19" i="4"/>
  <c r="AA19" i="4" s="1"/>
  <c r="Z19" i="4" s="1"/>
  <c r="AG97" i="4"/>
  <c r="AA97" i="4" s="1"/>
  <c r="Z97" i="4" s="1"/>
  <c r="AG121" i="4"/>
  <c r="AA121" i="4" s="1"/>
  <c r="Z121" i="4" s="1"/>
  <c r="AG84" i="4"/>
  <c r="AA84" i="4" s="1"/>
  <c r="Z84" i="4" s="1"/>
  <c r="AU140" i="4"/>
  <c r="AV140" i="4" s="1"/>
  <c r="AU114" i="4"/>
  <c r="AV114" i="4" s="1"/>
  <c r="AU35" i="4"/>
  <c r="AV35" i="4" s="1"/>
  <c r="AU154" i="4"/>
  <c r="AV154" i="4" s="1"/>
  <c r="AU74" i="4"/>
  <c r="AV74" i="4" s="1"/>
  <c r="AU94" i="4"/>
  <c r="AV94" i="4" s="1"/>
  <c r="AG112" i="4"/>
  <c r="AA112" i="4" s="1"/>
  <c r="Z112" i="4" s="1"/>
  <c r="AU137" i="4"/>
  <c r="AV137" i="4" s="1"/>
  <c r="AU151" i="4"/>
  <c r="AV151" i="4" s="1"/>
  <c r="AU105" i="4"/>
  <c r="AV105" i="4" s="1"/>
  <c r="AL135" i="4"/>
  <c r="AU12" i="4"/>
  <c r="AV12" i="4" s="1"/>
  <c r="AU59" i="4"/>
  <c r="AV59" i="4" s="1"/>
  <c r="AU9" i="4"/>
  <c r="AV9" i="4" s="1"/>
  <c r="AU28" i="4"/>
  <c r="AV28" i="4" s="1"/>
  <c r="AU92" i="4"/>
  <c r="AV92" i="4" s="1"/>
  <c r="AU32" i="4"/>
  <c r="AV32" i="4" s="1"/>
  <c r="AG29" i="4"/>
  <c r="AA29" i="4" s="1"/>
  <c r="Z29" i="4" s="1"/>
  <c r="AG14" i="4"/>
  <c r="AA14" i="4" s="1"/>
  <c r="Z14" i="4" s="1"/>
  <c r="AG80" i="4"/>
  <c r="AA80" i="4" s="1"/>
  <c r="Z80" i="4" s="1"/>
  <c r="AG146" i="4"/>
  <c r="AA146" i="4" s="1"/>
  <c r="Z146" i="4" s="1"/>
  <c r="AG133" i="4"/>
  <c r="AA133" i="4" s="1"/>
  <c r="Z133" i="4" s="1"/>
  <c r="AG98" i="4"/>
  <c r="AA98" i="4" s="1"/>
  <c r="Z98" i="4" s="1"/>
  <c r="AG109" i="4"/>
  <c r="AA109" i="4" s="1"/>
  <c r="Z109" i="4" s="1"/>
  <c r="AG150" i="4"/>
  <c r="AA150" i="4" s="1"/>
  <c r="Z150" i="4" s="1"/>
  <c r="AG115" i="4"/>
  <c r="AA115" i="4" s="1"/>
  <c r="Z115" i="4" s="1"/>
  <c r="AG131" i="4"/>
  <c r="AA131" i="4" s="1"/>
  <c r="Z131" i="4" s="1"/>
  <c r="AG46" i="4"/>
  <c r="AA46" i="4" s="1"/>
  <c r="Z46" i="4" s="1"/>
  <c r="AG119" i="4"/>
  <c r="AA119" i="4" s="1"/>
  <c r="Z119" i="4" s="1"/>
  <c r="AG33" i="4"/>
  <c r="AA33" i="4" s="1"/>
  <c r="Z33" i="4" s="1"/>
  <c r="AG145" i="4"/>
  <c r="AA145" i="4" s="1"/>
  <c r="Z145" i="4" s="1"/>
  <c r="AG11" i="4"/>
  <c r="AA11" i="4" s="1"/>
  <c r="Z11" i="4" s="1"/>
  <c r="AG83" i="4"/>
  <c r="AA83" i="4" s="1"/>
  <c r="Z83" i="4" s="1"/>
  <c r="AG96" i="4"/>
  <c r="AA96" i="4" s="1"/>
  <c r="Z96" i="4" s="1"/>
  <c r="AG67" i="4"/>
  <c r="AA67" i="4" s="1"/>
  <c r="Z67" i="4" s="1"/>
  <c r="AG65" i="4"/>
  <c r="AA65" i="4" s="1"/>
  <c r="Z65" i="4" s="1"/>
  <c r="AG52" i="4"/>
  <c r="AA52" i="4" s="1"/>
  <c r="Z52" i="4" s="1"/>
  <c r="AG39" i="4"/>
  <c r="AA39" i="4" s="1"/>
  <c r="Z39" i="4" s="1"/>
  <c r="AU53" i="4"/>
  <c r="AV53" i="4" s="1"/>
  <c r="AU58" i="4"/>
  <c r="AV58" i="4" s="1"/>
  <c r="AU7" i="4"/>
  <c r="AV7" i="4" s="1"/>
  <c r="AU16" i="4"/>
  <c r="AV16" i="4" s="1"/>
  <c r="AU77" i="4"/>
  <c r="AV77" i="4" s="1"/>
  <c r="AU57" i="4"/>
  <c r="AV57" i="4" s="1"/>
  <c r="AU104" i="4"/>
  <c r="AV104" i="4" s="1"/>
  <c r="AU107" i="4"/>
  <c r="AV107" i="4" s="1"/>
  <c r="AU144" i="4"/>
  <c r="AV144" i="4" s="1"/>
  <c r="AU31" i="4"/>
  <c r="AV31" i="4" s="1"/>
  <c r="AG100" i="4"/>
  <c r="AA100" i="4" s="1"/>
  <c r="Z100" i="4" s="1"/>
  <c r="AG79" i="4"/>
  <c r="AA79" i="4" s="1"/>
  <c r="Z79" i="4" s="1"/>
  <c r="AG61" i="4"/>
  <c r="AA61" i="4" s="1"/>
  <c r="Z61" i="4" s="1"/>
  <c r="AG2" i="4"/>
  <c r="AA2" i="4" s="1"/>
  <c r="Z2" i="4" s="1"/>
  <c r="AG113" i="4"/>
  <c r="AA113" i="4" s="1"/>
  <c r="Z113" i="4" s="1"/>
  <c r="AG85" i="4"/>
  <c r="AA85" i="4" s="1"/>
  <c r="Z85" i="4" s="1"/>
  <c r="AG26" i="4"/>
  <c r="AA26" i="4" s="1"/>
  <c r="Z26" i="4" s="1"/>
  <c r="AG55" i="4"/>
  <c r="AA55" i="4" s="1"/>
  <c r="Z55" i="4" s="1"/>
  <c r="AG129" i="4"/>
  <c r="AA129" i="4" s="1"/>
  <c r="Z129" i="4" s="1"/>
  <c r="AG128" i="4"/>
  <c r="AA128" i="4" s="1"/>
  <c r="Z128" i="4" s="1"/>
  <c r="AG91" i="4"/>
  <c r="AA91" i="4" s="1"/>
  <c r="Z91" i="4" s="1"/>
  <c r="AG37" i="4"/>
  <c r="AA37" i="4" s="1"/>
  <c r="Z37" i="4" s="1"/>
  <c r="AG117" i="4"/>
  <c r="AA117" i="4" s="1"/>
  <c r="Z117" i="4" s="1"/>
  <c r="AG69" i="4"/>
  <c r="AA69" i="4" s="1"/>
  <c r="Z69" i="4" s="1"/>
  <c r="AG56" i="4"/>
  <c r="AA56" i="4" s="1"/>
  <c r="Z56" i="4" s="1"/>
  <c r="AG60" i="4"/>
  <c r="AA60" i="4" s="1"/>
  <c r="Z60" i="4" s="1"/>
  <c r="AG5" i="4"/>
  <c r="AA5" i="4" s="1"/>
  <c r="Z5" i="4" s="1"/>
  <c r="AG43" i="4"/>
  <c r="AA43" i="4" s="1"/>
  <c r="Z43" i="4" s="1"/>
  <c r="AG108" i="4"/>
  <c r="AA108" i="4" s="1"/>
  <c r="Z108" i="4" s="1"/>
  <c r="AG17" i="4"/>
  <c r="AA17" i="4" s="1"/>
  <c r="Z17" i="4" s="1"/>
  <c r="AG88" i="4"/>
  <c r="AA88" i="4" s="1"/>
  <c r="Z88" i="4" s="1"/>
  <c r="AG72" i="4"/>
  <c r="AA72" i="4" s="1"/>
  <c r="Z72" i="4" s="1"/>
  <c r="AL77" i="4"/>
  <c r="AL114" i="4"/>
  <c r="AU75" i="4"/>
  <c r="AV75" i="4" s="1"/>
  <c r="AG102" i="4"/>
  <c r="AA102" i="4" s="1"/>
  <c r="Z102" i="4" s="1"/>
  <c r="AG110" i="4"/>
  <c r="AA110" i="4" s="1"/>
  <c r="Z110" i="4" s="1"/>
  <c r="AL68" i="4"/>
  <c r="AH131" i="4"/>
  <c r="AI131" i="4" s="1"/>
  <c r="AH150" i="4"/>
  <c r="AI150" i="4" s="1"/>
  <c r="AH76" i="4"/>
  <c r="AI76" i="4" s="1"/>
  <c r="AH7" i="4"/>
  <c r="AI7" i="4" s="1"/>
  <c r="AH129" i="4"/>
  <c r="AI129" i="4" s="1"/>
  <c r="AH72" i="4"/>
  <c r="AI72" i="4" s="1"/>
  <c r="AH74" i="4"/>
  <c r="AI74" i="4" s="1"/>
  <c r="AH58" i="4"/>
  <c r="AI58" i="4" s="1"/>
  <c r="AH85" i="4"/>
  <c r="AI85" i="4" s="1"/>
  <c r="AH117" i="4"/>
  <c r="AI117" i="4" s="1"/>
  <c r="AL13" i="4"/>
  <c r="AL21" i="4"/>
  <c r="AL116" i="4"/>
  <c r="AH91" i="4"/>
  <c r="AI91" i="4" s="1"/>
  <c r="AH53" i="4"/>
  <c r="AI53" i="4" s="1"/>
  <c r="AL151" i="4"/>
  <c r="AL144" i="4"/>
  <c r="AL63" i="4"/>
  <c r="AH98" i="4"/>
  <c r="AI98" i="4" s="1"/>
  <c r="AH46" i="4"/>
  <c r="AI46" i="4" s="1"/>
  <c r="AH137" i="4"/>
  <c r="AI137" i="4" s="1"/>
  <c r="AL78" i="4"/>
  <c r="AH95" i="4"/>
  <c r="AI95" i="4" s="1"/>
  <c r="AH28" i="4"/>
  <c r="AI28" i="4" s="1"/>
  <c r="AH140" i="4"/>
  <c r="AI140" i="4" s="1"/>
  <c r="AL47" i="4"/>
  <c r="AL105" i="4"/>
  <c r="AL90" i="4"/>
  <c r="AL4" i="4"/>
  <c r="AL127" i="4"/>
  <c r="AL24" i="4"/>
  <c r="AH142" i="4"/>
  <c r="AI142" i="4" s="1"/>
  <c r="AL25" i="4"/>
  <c r="AL16" i="4"/>
  <c r="AL44" i="4"/>
  <c r="AL134" i="4"/>
  <c r="P134" i="4" s="1"/>
  <c r="AL73" i="4"/>
  <c r="AH119" i="4"/>
  <c r="AI119" i="4" s="1"/>
  <c r="AH61" i="4"/>
  <c r="AI61" i="4" s="1"/>
  <c r="AH35" i="4"/>
  <c r="AI35" i="4" s="1"/>
  <c r="AH17" i="4"/>
  <c r="AI17" i="4" s="1"/>
  <c r="AH2" i="4"/>
  <c r="AI2" i="4" s="1"/>
  <c r="AH104" i="4"/>
  <c r="AI104" i="4" s="1"/>
  <c r="AH55" i="4"/>
  <c r="AI55" i="4" s="1"/>
  <c r="AH59" i="4"/>
  <c r="AI59" i="4" s="1"/>
  <c r="AH136" i="4"/>
  <c r="AI136" i="4" s="1"/>
  <c r="AL18" i="4"/>
  <c r="AL40" i="4"/>
  <c r="AH43" i="4"/>
  <c r="AI43" i="4" s="1"/>
  <c r="AH71" i="4"/>
  <c r="AI71" i="4" s="1"/>
  <c r="AH31" i="4"/>
  <c r="AI31" i="4" s="1"/>
  <c r="AH75" i="4"/>
  <c r="AI75" i="4" s="1"/>
  <c r="AL93" i="4"/>
  <c r="AL87" i="4"/>
  <c r="AL152" i="4"/>
  <c r="AL86" i="4"/>
  <c r="AH83" i="4"/>
  <c r="AI83" i="4" s="1"/>
  <c r="AH37" i="4"/>
  <c r="AI37" i="4" s="1"/>
  <c r="AH29" i="4"/>
  <c r="AI29" i="4" s="1"/>
  <c r="AH111" i="4"/>
  <c r="AI111" i="4" s="1"/>
  <c r="AH107" i="4"/>
  <c r="AI107" i="4" s="1"/>
  <c r="AH106" i="4"/>
  <c r="AI106" i="4" s="1"/>
  <c r="AH143" i="4"/>
  <c r="AI143" i="4" s="1"/>
  <c r="AL32" i="4"/>
  <c r="AL103" i="4"/>
  <c r="AH110" i="4"/>
  <c r="AI110" i="4" s="1"/>
  <c r="AH92" i="4"/>
  <c r="AI92" i="4" s="1"/>
  <c r="AH94" i="4"/>
  <c r="AI94" i="4" s="1"/>
  <c r="AL66" i="4"/>
  <c r="P66" i="4" s="1"/>
  <c r="AL12" i="4"/>
  <c r="AH64" i="4"/>
  <c r="AI64" i="4" s="1"/>
  <c r="AL130" i="4"/>
  <c r="E93" i="4"/>
  <c r="E12" i="4"/>
  <c r="E105" i="4"/>
  <c r="E151" i="4"/>
  <c r="E154" i="4"/>
  <c r="E77" i="4"/>
  <c r="E111" i="4"/>
  <c r="E74" i="4"/>
  <c r="E92" i="4"/>
  <c r="E21" i="4"/>
  <c r="E40" i="4"/>
  <c r="E142" i="4"/>
  <c r="E32" i="4"/>
  <c r="E59" i="4"/>
  <c r="E137" i="4"/>
  <c r="E57" i="4"/>
  <c r="E143" i="4"/>
  <c r="E42" i="4"/>
  <c r="E35" i="4"/>
  <c r="E28" i="4"/>
  <c r="E153" i="4"/>
  <c r="E94" i="4"/>
  <c r="E140" i="4"/>
  <c r="E127" i="4"/>
  <c r="E31" i="4"/>
  <c r="E144" i="4"/>
  <c r="E75" i="4"/>
  <c r="E136" i="4"/>
  <c r="E58" i="4"/>
  <c r="E76" i="4"/>
  <c r="E53" i="4"/>
  <c r="E104" i="4"/>
  <c r="E16" i="4"/>
  <c r="E73" i="4"/>
  <c r="F5" i="4"/>
  <c r="AM5" i="4" s="1"/>
  <c r="AO5" i="4" s="1"/>
  <c r="F60" i="4"/>
  <c r="AM60" i="4" s="1"/>
  <c r="AO60" i="4" s="1"/>
  <c r="F65" i="4"/>
  <c r="AM65" i="4" s="1"/>
  <c r="AO65" i="4" s="1"/>
  <c r="F80" i="4"/>
  <c r="AM80" i="4" s="1"/>
  <c r="AO80" i="4" s="1"/>
  <c r="F113" i="4"/>
  <c r="AM113" i="4" s="1"/>
  <c r="AO113" i="4" s="1"/>
  <c r="F131" i="4"/>
  <c r="AM131" i="4" s="1"/>
  <c r="AO131" i="4" s="1"/>
  <c r="F55" i="4"/>
  <c r="AM55" i="4" s="1"/>
  <c r="AO55" i="4" s="1"/>
  <c r="F123" i="4"/>
  <c r="AM123" i="4" s="1"/>
  <c r="AO123" i="4" s="1"/>
  <c r="F61" i="4"/>
  <c r="AM61" i="4" s="1"/>
  <c r="AO61" i="4" s="1"/>
  <c r="F83" i="4"/>
  <c r="AM83" i="4" s="1"/>
  <c r="AO83" i="4" s="1"/>
  <c r="F99" i="4"/>
  <c r="AM99" i="4" s="1"/>
  <c r="AO99" i="4" s="1"/>
  <c r="F145" i="4"/>
  <c r="AM145" i="4" s="1"/>
  <c r="AO145" i="4" s="1"/>
  <c r="F128" i="4"/>
  <c r="AM128" i="4" s="1"/>
  <c r="AO128" i="4" s="1"/>
  <c r="F69" i="4"/>
  <c r="AM69" i="4" s="1"/>
  <c r="AO69" i="4" s="1"/>
  <c r="F112" i="4"/>
  <c r="AM112" i="4" s="1"/>
  <c r="AO112" i="4" s="1"/>
  <c r="F29" i="4"/>
  <c r="AM29" i="4" s="1"/>
  <c r="AO29" i="4" s="1"/>
  <c r="F115" i="4"/>
  <c r="AM115" i="4" s="1"/>
  <c r="AO115" i="4" s="1"/>
  <c r="F133" i="4"/>
  <c r="AM133" i="4" s="1"/>
  <c r="AO133" i="4" s="1"/>
  <c r="F129" i="4"/>
  <c r="AM129" i="4" s="1"/>
  <c r="AO129" i="4" s="1"/>
  <c r="F88" i="4"/>
  <c r="AM88" i="4" s="1"/>
  <c r="AO88" i="4" s="1"/>
  <c r="F56" i="4"/>
  <c r="AM56" i="4" s="1"/>
  <c r="AO56" i="4" s="1"/>
  <c r="F148" i="4"/>
  <c r="AM148" i="4" s="1"/>
  <c r="AO148" i="4" s="1"/>
  <c r="F17" i="4"/>
  <c r="AM17" i="4" s="1"/>
  <c r="AO17" i="4" s="1"/>
  <c r="F43" i="4"/>
  <c r="AM43" i="4" s="1"/>
  <c r="AO43" i="4" s="1"/>
  <c r="F64" i="4"/>
  <c r="F2" i="4"/>
  <c r="AM2" i="4" s="1"/>
  <c r="AO2" i="4" s="1"/>
  <c r="F26" i="4"/>
  <c r="AM26" i="4" s="1"/>
  <c r="AO26" i="4" s="1"/>
  <c r="F11" i="4"/>
  <c r="AM11" i="4" s="1"/>
  <c r="AO11" i="4" s="1"/>
  <c r="F97" i="4"/>
  <c r="AM97" i="4" s="1"/>
  <c r="AO97" i="4" s="1"/>
  <c r="F20" i="4"/>
  <c r="AM20" i="4" s="1"/>
  <c r="AO20" i="4" s="1"/>
  <c r="F100" i="4"/>
  <c r="AM100" i="4" s="1"/>
  <c r="AO100" i="4" s="1"/>
  <c r="F110" i="4"/>
  <c r="AM110" i="4" s="1"/>
  <c r="AO110" i="4" s="1"/>
  <c r="F84" i="4"/>
  <c r="AM84" i="4" s="1"/>
  <c r="AO84" i="4" s="1"/>
  <c r="F52" i="4"/>
  <c r="AM52" i="4" s="1"/>
  <c r="AO52" i="4" s="1"/>
  <c r="F37" i="4"/>
  <c r="AM37" i="4" s="1"/>
  <c r="AO37" i="4" s="1"/>
  <c r="F33" i="4"/>
  <c r="AM33" i="4" s="1"/>
  <c r="AO33" i="4" s="1"/>
  <c r="F39" i="4"/>
  <c r="AM39" i="4" s="1"/>
  <c r="AO39" i="4" s="1"/>
  <c r="F146" i="4"/>
  <c r="AM146" i="4" s="1"/>
  <c r="AO146" i="4" s="1"/>
  <c r="F102" i="4"/>
  <c r="AM102" i="4" s="1"/>
  <c r="AO102" i="4" s="1"/>
  <c r="F19" i="4"/>
  <c r="AM19" i="4" s="1"/>
  <c r="AO19" i="4" s="1"/>
  <c r="F85" i="4"/>
  <c r="AM85" i="4" s="1"/>
  <c r="AO85" i="4" s="1"/>
  <c r="F117" i="4"/>
  <c r="AM117" i="4" s="1"/>
  <c r="AO117" i="4" s="1"/>
  <c r="F121" i="4"/>
  <c r="AM121" i="4" s="1"/>
  <c r="AO121" i="4" s="1"/>
  <c r="F72" i="4"/>
  <c r="AM72" i="4" s="1"/>
  <c r="AO72" i="4" s="1"/>
  <c r="F95" i="4"/>
  <c r="AM95" i="4" s="1"/>
  <c r="AO95" i="4" s="1"/>
  <c r="F147" i="4"/>
  <c r="AM147" i="4" s="1"/>
  <c r="AO147" i="4" s="1"/>
  <c r="F81" i="4"/>
  <c r="AM81" i="4" s="1"/>
  <c r="AO81" i="4" s="1"/>
  <c r="F71" i="4"/>
  <c r="AM71" i="4" s="1"/>
  <c r="AO71" i="4" s="1"/>
  <c r="F46" i="4"/>
  <c r="AM46" i="4" s="1"/>
  <c r="AO46" i="4" s="1"/>
  <c r="F119" i="4"/>
  <c r="AM119" i="4" s="1"/>
  <c r="AO119" i="4" s="1"/>
  <c r="F70" i="4"/>
  <c r="AM70" i="4" s="1"/>
  <c r="AO70" i="4" s="1"/>
  <c r="F10" i="4"/>
  <c r="AM10" i="4" s="1"/>
  <c r="AO10" i="4" s="1"/>
  <c r="F125" i="4"/>
  <c r="AM125" i="4" s="1"/>
  <c r="AO125" i="4" s="1"/>
  <c r="F109" i="4"/>
  <c r="AM109" i="4" s="1"/>
  <c r="AO109" i="4" s="1"/>
  <c r="F91" i="4"/>
  <c r="AM91" i="4" s="1"/>
  <c r="AO91" i="4" s="1"/>
  <c r="F79" i="4"/>
  <c r="AM79" i="4" s="1"/>
  <c r="AO79" i="4" s="1"/>
  <c r="F98" i="4"/>
  <c r="AM98" i="4" s="1"/>
  <c r="AO98" i="4" s="1"/>
  <c r="F36" i="4"/>
  <c r="AM36" i="4" s="1"/>
  <c r="AO36" i="4" s="1"/>
  <c r="F106" i="4"/>
  <c r="AM106" i="4" s="1"/>
  <c r="AO106" i="4" s="1"/>
  <c r="F14" i="4"/>
  <c r="AM14" i="4" s="1"/>
  <c r="AO14" i="4" s="1"/>
  <c r="F108" i="4"/>
  <c r="AM108" i="4" s="1"/>
  <c r="AO108" i="4" s="1"/>
  <c r="F150" i="4"/>
  <c r="AM150" i="4" s="1"/>
  <c r="AO150" i="4" s="1"/>
  <c r="X70" i="4"/>
  <c r="X147" i="4"/>
  <c r="W14" i="3"/>
  <c r="AQ17" i="4" s="1"/>
  <c r="W16" i="3"/>
  <c r="AQ147" i="4" s="1"/>
  <c r="X79" i="4"/>
  <c r="Y14" i="3"/>
  <c r="AR17" i="4" s="1"/>
  <c r="Y16" i="3"/>
  <c r="AR147" i="4" s="1"/>
  <c r="Y18" i="3"/>
  <c r="AR70" i="4" s="1"/>
  <c r="W57" i="3"/>
  <c r="AQ129" i="4" s="1"/>
  <c r="Y57" i="3"/>
  <c r="AR129" i="4" s="1"/>
  <c r="W19" i="3"/>
  <c r="AQ106" i="4" s="1"/>
  <c r="Y21" i="3"/>
  <c r="AR117" i="4" s="1"/>
  <c r="Y5" i="3"/>
  <c r="AR79" i="4" s="1"/>
  <c r="U18" i="3"/>
  <c r="AP70" i="4" s="1"/>
  <c r="U57" i="3"/>
  <c r="AP129" i="4" s="1"/>
  <c r="Y19" i="3"/>
  <c r="AR106" i="4" s="1"/>
  <c r="AA5" i="3"/>
  <c r="AS79" i="4" s="1"/>
  <c r="W18" i="3"/>
  <c r="AQ70" i="4" s="1"/>
  <c r="U14" i="3"/>
  <c r="AP17" i="4" s="1"/>
  <c r="U16" i="3"/>
  <c r="AP147" i="4" s="1"/>
  <c r="U5" i="3"/>
  <c r="AP79" i="4" s="1"/>
  <c r="AA18" i="3"/>
  <c r="AS70" i="4" s="1"/>
  <c r="W5" i="3"/>
  <c r="AQ79" i="4" s="1"/>
  <c r="Y58" i="3"/>
  <c r="AR85" i="4" s="1"/>
  <c r="U6" i="3"/>
  <c r="AP2" i="4" s="1"/>
  <c r="W6" i="3"/>
  <c r="AQ2" i="4" s="1"/>
  <c r="U58" i="3"/>
  <c r="AP85" i="4" s="1"/>
  <c r="Y6" i="3"/>
  <c r="AR2" i="4" s="1"/>
  <c r="AA58" i="3"/>
  <c r="AS85" i="4" s="1"/>
  <c r="U42" i="3"/>
  <c r="AP125" i="4" s="1"/>
  <c r="W62" i="3"/>
  <c r="AQ56" i="4" s="1"/>
  <c r="W44" i="3"/>
  <c r="AQ20" i="4" s="1"/>
  <c r="Y11" i="3"/>
  <c r="AR60" i="4" s="1"/>
  <c r="AA64" i="3"/>
  <c r="AS5" i="4" s="1"/>
  <c r="W13" i="3"/>
  <c r="AQ43" i="4" s="1"/>
  <c r="Y59" i="3"/>
  <c r="AR37" i="4" s="1"/>
  <c r="U33" i="3"/>
  <c r="AP96" i="4" s="1"/>
  <c r="Y49" i="3"/>
  <c r="AR113" i="4" s="1"/>
  <c r="AA20" i="3"/>
  <c r="AS26" i="4" s="1"/>
  <c r="AA26" i="3"/>
  <c r="AS148" i="4" s="1"/>
  <c r="AA27" i="3"/>
  <c r="AS150" i="4" s="1"/>
  <c r="AA41" i="3"/>
  <c r="AS99" i="4" s="1"/>
  <c r="Y31" i="3"/>
  <c r="AR133" i="4" s="1"/>
  <c r="Y55" i="3"/>
  <c r="AR29" i="4" s="1"/>
  <c r="U47" i="3"/>
  <c r="AP36" i="4" s="1"/>
  <c r="U29" i="3"/>
  <c r="AP112" i="4" s="1"/>
  <c r="Y42" i="3"/>
  <c r="AR125" i="4" s="1"/>
  <c r="U66" i="3"/>
  <c r="AP123" i="4" s="1"/>
  <c r="U43" i="3"/>
  <c r="AP69" i="4" s="1"/>
  <c r="U22" i="3"/>
  <c r="AP145" i="4" s="1"/>
  <c r="U37" i="3"/>
  <c r="AP88" i="4" s="1"/>
  <c r="AA12" i="3"/>
  <c r="AS39" i="4" s="1"/>
  <c r="W34" i="3"/>
  <c r="AQ65" i="4" s="1"/>
  <c r="Y62" i="3"/>
  <c r="AR56" i="4" s="1"/>
  <c r="AA11" i="3"/>
  <c r="AS60" i="4" s="1"/>
  <c r="W64" i="3"/>
  <c r="AQ5" i="4" s="1"/>
  <c r="Y13" i="3"/>
  <c r="AR43" i="4" s="1"/>
  <c r="AA45" i="3"/>
  <c r="AS80" i="4" s="1"/>
  <c r="Y33" i="3"/>
  <c r="AR96" i="4" s="1"/>
  <c r="AA49" i="3"/>
  <c r="AS113" i="4" s="1"/>
  <c r="W20" i="3"/>
  <c r="AQ26" i="4" s="1"/>
  <c r="U55" i="3"/>
  <c r="AP29" i="4" s="1"/>
  <c r="W47" i="3"/>
  <c r="AQ36" i="4" s="1"/>
  <c r="Y29" i="3"/>
  <c r="AR112" i="4" s="1"/>
  <c r="W42" i="3"/>
  <c r="AQ125" i="4" s="1"/>
  <c r="Y66" i="3"/>
  <c r="AR123" i="4" s="1"/>
  <c r="Y22" i="3"/>
  <c r="AR145" i="4" s="1"/>
  <c r="Y37" i="3"/>
  <c r="AR88" i="4" s="1"/>
  <c r="U12" i="3"/>
  <c r="AP39" i="4" s="1"/>
  <c r="AA34" i="3"/>
  <c r="AS65" i="4" s="1"/>
  <c r="AA62" i="3"/>
  <c r="AS56" i="4" s="1"/>
  <c r="AA44" i="3"/>
  <c r="AS20" i="4" s="1"/>
  <c r="Y64" i="3"/>
  <c r="AR5" i="4" s="1"/>
  <c r="U52" i="3"/>
  <c r="AP108" i="4" s="1"/>
  <c r="U53" i="3"/>
  <c r="AP109" i="4" s="1"/>
  <c r="U4" i="3"/>
  <c r="AP91" i="4" s="1"/>
  <c r="W28" i="3"/>
  <c r="AQ131" i="4" s="1"/>
  <c r="U39" i="3"/>
  <c r="AP121" i="4" s="1"/>
  <c r="U3" i="3"/>
  <c r="AP55" i="4" s="1"/>
  <c r="U54" i="3"/>
  <c r="AP115" i="4" s="1"/>
  <c r="U19" i="3"/>
  <c r="AP106" i="4" s="1"/>
  <c r="U9" i="3"/>
  <c r="AP119" i="4" s="1"/>
  <c r="AA47" i="3"/>
  <c r="AS36" i="4" s="1"/>
  <c r="W29" i="3"/>
  <c r="AQ112" i="4" s="1"/>
  <c r="AA42" i="3"/>
  <c r="AS125" i="4" s="1"/>
  <c r="W66" i="3"/>
  <c r="AQ123" i="4" s="1"/>
  <c r="W43" i="3"/>
  <c r="AQ69" i="4" s="1"/>
  <c r="AA22" i="3"/>
  <c r="AS145" i="4" s="1"/>
  <c r="W37" i="3"/>
  <c r="AQ88" i="4" s="1"/>
  <c r="W12" i="3"/>
  <c r="AQ39" i="4" s="1"/>
  <c r="U34" i="3"/>
  <c r="AP65" i="4" s="1"/>
  <c r="W52" i="3"/>
  <c r="AQ108" i="4" s="1"/>
  <c r="Y53" i="3"/>
  <c r="AR109" i="4" s="1"/>
  <c r="U28" i="3"/>
  <c r="AP131" i="4" s="1"/>
  <c r="Y39" i="3"/>
  <c r="AR121" i="4" s="1"/>
  <c r="Y54" i="3"/>
  <c r="AR115" i="4" s="1"/>
  <c r="W9" i="3"/>
  <c r="AQ119" i="4" s="1"/>
  <c r="W32" i="3"/>
  <c r="AQ51" i="4" s="1"/>
  <c r="W55" i="3"/>
  <c r="AQ29" i="4" s="1"/>
  <c r="Y47" i="3"/>
  <c r="AR36" i="4" s="1"/>
  <c r="Y43" i="3"/>
  <c r="AR69" i="4" s="1"/>
  <c r="W22" i="3"/>
  <c r="AQ145" i="4" s="1"/>
  <c r="AA37" i="3"/>
  <c r="AS88" i="4" s="1"/>
  <c r="Y12" i="3"/>
  <c r="AR39" i="4" s="1"/>
  <c r="U61" i="3"/>
  <c r="AP19" i="4" s="1"/>
  <c r="Y35" i="3"/>
  <c r="AR11" i="4" s="1"/>
  <c r="Y23" i="3"/>
  <c r="AR83" i="4" s="1"/>
  <c r="U38" i="3"/>
  <c r="AP97" i="4" s="1"/>
  <c r="W30" i="3"/>
  <c r="AQ146" i="4" s="1"/>
  <c r="Y52" i="3"/>
  <c r="AR108" i="4" s="1"/>
  <c r="AA53" i="3"/>
  <c r="AS109" i="4" s="1"/>
  <c r="Y4" i="3"/>
  <c r="AR91" i="4" s="1"/>
  <c r="AA28" i="3"/>
  <c r="AS131" i="4" s="1"/>
  <c r="U25" i="3"/>
  <c r="AP110" i="4" s="1"/>
  <c r="W8" i="3"/>
  <c r="AQ98" i="4" s="1"/>
  <c r="U65" i="3"/>
  <c r="AP46" i="4" s="1"/>
  <c r="AA39" i="3"/>
  <c r="AS121" i="4" s="1"/>
  <c r="Y3" i="3"/>
  <c r="AR55" i="4" s="1"/>
  <c r="Y9" i="3"/>
  <c r="AR119" i="4" s="1"/>
  <c r="U32" i="3"/>
  <c r="AP51" i="4" s="1"/>
  <c r="AA55" i="3"/>
  <c r="AS29" i="4" s="1"/>
  <c r="AA29" i="3"/>
  <c r="AS112" i="4" s="1"/>
  <c r="AA6" i="3"/>
  <c r="AS2" i="4" s="1"/>
  <c r="AA66" i="3"/>
  <c r="AS123" i="4" s="1"/>
  <c r="AA43" i="3"/>
  <c r="AS69" i="4" s="1"/>
  <c r="Y34" i="3"/>
  <c r="AR65" i="4" s="1"/>
  <c r="AA61" i="3"/>
  <c r="AS19" i="4" s="1"/>
  <c r="U35" i="3"/>
  <c r="AP11" i="4" s="1"/>
  <c r="W23" i="3"/>
  <c r="AQ83" i="4" s="1"/>
  <c r="Y38" i="3"/>
  <c r="AR97" i="4" s="1"/>
  <c r="U30" i="3"/>
  <c r="AP146" i="4" s="1"/>
  <c r="W4" i="3"/>
  <c r="AQ91" i="4" s="1"/>
  <c r="Y28" i="3"/>
  <c r="AR131" i="4" s="1"/>
  <c r="Y25" i="3"/>
  <c r="AR110" i="4" s="1"/>
  <c r="U8" i="3"/>
  <c r="AP98" i="4" s="1"/>
  <c r="Y65" i="3"/>
  <c r="AR46" i="4" s="1"/>
  <c r="W3" i="3"/>
  <c r="AQ55" i="4" s="1"/>
  <c r="W54" i="3"/>
  <c r="AQ115" i="4" s="1"/>
  <c r="AA19" i="3"/>
  <c r="AS106" i="4" s="1"/>
  <c r="Y32" i="3"/>
  <c r="AR51" i="4" s="1"/>
  <c r="W61" i="3"/>
  <c r="AQ19" i="4" s="1"/>
  <c r="U23" i="3"/>
  <c r="AP83" i="4" s="1"/>
  <c r="Y30" i="3"/>
  <c r="AR146" i="4" s="1"/>
  <c r="AA52" i="3"/>
  <c r="AS108" i="4" s="1"/>
  <c r="W53" i="3"/>
  <c r="AQ109" i="4" s="1"/>
  <c r="AA4" i="3"/>
  <c r="AS91" i="4" s="1"/>
  <c r="AA8" i="3"/>
  <c r="AS98" i="4" s="1"/>
  <c r="W65" i="3"/>
  <c r="AQ46" i="4" s="1"/>
  <c r="W39" i="3"/>
  <c r="AQ121" i="4" s="1"/>
  <c r="AA3" i="3"/>
  <c r="AS55" i="4" s="1"/>
  <c r="AA54" i="3"/>
  <c r="AS115" i="4" s="1"/>
  <c r="AA57" i="3"/>
  <c r="AS129" i="4" s="1"/>
  <c r="AA9" i="3"/>
  <c r="AS119" i="4" s="1"/>
  <c r="AA32" i="3"/>
  <c r="AS51" i="4" s="1"/>
  <c r="U50" i="3"/>
  <c r="AP100" i="4" s="1"/>
  <c r="U40" i="3"/>
  <c r="AP14" i="4" s="1"/>
  <c r="U17" i="3"/>
  <c r="AP64" i="4" s="1"/>
  <c r="U56" i="3"/>
  <c r="AP61" i="4" s="1"/>
  <c r="U60" i="3"/>
  <c r="AP33" i="4" s="1"/>
  <c r="W10" i="3"/>
  <c r="AQ10" i="4" s="1"/>
  <c r="U63" i="3"/>
  <c r="AP52" i="4" s="1"/>
  <c r="U36" i="3"/>
  <c r="AP84" i="4" s="1"/>
  <c r="U24" i="3"/>
  <c r="AP72" i="4" s="1"/>
  <c r="W15" i="3"/>
  <c r="AQ71" i="4" s="1"/>
  <c r="Y61" i="3"/>
  <c r="AR19" i="4" s="1"/>
  <c r="W35" i="3"/>
  <c r="AQ11" i="4" s="1"/>
  <c r="AA23" i="3"/>
  <c r="AS83" i="4" s="1"/>
  <c r="AA38" i="3"/>
  <c r="AS97" i="4" s="1"/>
  <c r="AA30" i="3"/>
  <c r="AS146" i="4" s="1"/>
  <c r="W25" i="3"/>
  <c r="AQ110" i="4" s="1"/>
  <c r="Y8" i="3"/>
  <c r="AR98" i="4" s="1"/>
  <c r="AA65" i="3"/>
  <c r="AS46" i="4" s="1"/>
  <c r="W50" i="3"/>
  <c r="AQ100" i="4" s="1"/>
  <c r="AA40" i="3"/>
  <c r="AS14" i="4" s="1"/>
  <c r="Y17" i="3"/>
  <c r="AR64" i="4" s="1"/>
  <c r="Y56" i="3"/>
  <c r="AR61" i="4" s="1"/>
  <c r="W58" i="3"/>
  <c r="AQ85" i="4" s="1"/>
  <c r="AA60" i="3"/>
  <c r="AS33" i="4" s="1"/>
  <c r="U10" i="3"/>
  <c r="AP10" i="4" s="1"/>
  <c r="Y24" i="3"/>
  <c r="AR72" i="4" s="1"/>
  <c r="U15" i="3"/>
  <c r="AP71" i="4" s="1"/>
  <c r="AA35" i="3"/>
  <c r="AS11" i="4" s="1"/>
  <c r="W38" i="3"/>
  <c r="AQ97" i="4" s="1"/>
  <c r="U51" i="3"/>
  <c r="AP128" i="4" s="1"/>
  <c r="U48" i="3"/>
  <c r="AP102" i="4" s="1"/>
  <c r="AA25" i="3"/>
  <c r="AS110" i="4" s="1"/>
  <c r="U26" i="3"/>
  <c r="AP148" i="4" s="1"/>
  <c r="W27" i="3"/>
  <c r="AQ150" i="4" s="1"/>
  <c r="U46" i="3"/>
  <c r="AP81" i="4" s="1"/>
  <c r="U7" i="3"/>
  <c r="AP95" i="4" s="1"/>
  <c r="Y41" i="3"/>
  <c r="AR99" i="4" s="1"/>
  <c r="U21" i="3"/>
  <c r="AP117" i="4" s="1"/>
  <c r="Y50" i="3"/>
  <c r="AR100" i="4" s="1"/>
  <c r="W56" i="3"/>
  <c r="AQ61" i="4" s="1"/>
  <c r="W60" i="3"/>
  <c r="AQ33" i="4" s="1"/>
  <c r="Y10" i="3"/>
  <c r="AR10" i="4" s="1"/>
  <c r="AA63" i="3"/>
  <c r="AS52" i="4" s="1"/>
  <c r="W36" i="3"/>
  <c r="AQ84" i="4" s="1"/>
  <c r="W24" i="3"/>
  <c r="AQ72" i="4" s="1"/>
  <c r="Y15" i="3"/>
  <c r="AR71" i="4" s="1"/>
  <c r="U45" i="3"/>
  <c r="AP80" i="4" s="1"/>
  <c r="W59" i="3"/>
  <c r="AQ37" i="4" s="1"/>
  <c r="W51" i="3"/>
  <c r="AQ128" i="4" s="1"/>
  <c r="W48" i="3"/>
  <c r="AQ102" i="4" s="1"/>
  <c r="U27" i="3"/>
  <c r="AP150" i="4" s="1"/>
  <c r="W46" i="3"/>
  <c r="AQ81" i="4" s="1"/>
  <c r="W7" i="3"/>
  <c r="AQ95" i="4" s="1"/>
  <c r="U41" i="3"/>
  <c r="AP99" i="4" s="1"/>
  <c r="W31" i="3"/>
  <c r="AQ133" i="4" s="1"/>
  <c r="W21" i="3"/>
  <c r="AQ117" i="4" s="1"/>
  <c r="AA50" i="3"/>
  <c r="AS100" i="4" s="1"/>
  <c r="Y40" i="3"/>
  <c r="AR14" i="4" s="1"/>
  <c r="AA17" i="3"/>
  <c r="AS64" i="4" s="1"/>
  <c r="Y60" i="3"/>
  <c r="AR33" i="4" s="1"/>
  <c r="W63" i="3"/>
  <c r="AQ52" i="4" s="1"/>
  <c r="AA36" i="3"/>
  <c r="AS84" i="4" s="1"/>
  <c r="AA15" i="3"/>
  <c r="AS71" i="4" s="1"/>
  <c r="U44" i="3"/>
  <c r="AP20" i="4" s="1"/>
  <c r="W11" i="3"/>
  <c r="AQ60" i="4" s="1"/>
  <c r="AA13" i="3"/>
  <c r="AS43" i="4" s="1"/>
  <c r="W45" i="3"/>
  <c r="AQ80" i="4" s="1"/>
  <c r="U59" i="3"/>
  <c r="AP37" i="4" s="1"/>
  <c r="Y51" i="3"/>
  <c r="AR128" i="4" s="1"/>
  <c r="Y48" i="3"/>
  <c r="AR102" i="4" s="1"/>
  <c r="W33" i="3"/>
  <c r="AQ96" i="4" s="1"/>
  <c r="U49" i="3"/>
  <c r="AP113" i="4" s="1"/>
  <c r="U20" i="3"/>
  <c r="AP26" i="4" s="1"/>
  <c r="W26" i="3"/>
  <c r="AQ148" i="4" s="1"/>
  <c r="Y46" i="3"/>
  <c r="AR81" i="4" s="1"/>
  <c r="Y7" i="3"/>
  <c r="AR95" i="4" s="1"/>
  <c r="U31" i="3"/>
  <c r="AP133" i="4" s="1"/>
  <c r="W40" i="3"/>
  <c r="AQ14" i="4" s="1"/>
  <c r="W17" i="3"/>
  <c r="AQ64" i="4" s="1"/>
  <c r="AA56" i="3"/>
  <c r="AS61" i="4" s="1"/>
  <c r="AA10" i="3"/>
  <c r="AS10" i="4" s="1"/>
  <c r="Y63" i="3"/>
  <c r="AR52" i="4" s="1"/>
  <c r="Y36" i="3"/>
  <c r="AR84" i="4" s="1"/>
  <c r="AA24" i="3"/>
  <c r="AS72" i="4" s="1"/>
  <c r="U62" i="3"/>
  <c r="AP56" i="4" s="1"/>
  <c r="Y44" i="3"/>
  <c r="AR20" i="4" s="1"/>
  <c r="U11" i="3"/>
  <c r="AP60" i="4" s="1"/>
  <c r="U64" i="3"/>
  <c r="AP5" i="4" s="1"/>
  <c r="U13" i="3"/>
  <c r="AP43" i="4" s="1"/>
  <c r="Y45" i="3"/>
  <c r="AR80" i="4" s="1"/>
  <c r="AA59" i="3"/>
  <c r="AS37" i="4" s="1"/>
  <c r="AA14" i="3"/>
  <c r="AS17" i="4" s="1"/>
  <c r="AA51" i="3"/>
  <c r="AS128" i="4" s="1"/>
  <c r="AA16" i="3"/>
  <c r="AS147" i="4" s="1"/>
  <c r="AA48" i="3"/>
  <c r="AS102" i="4" s="1"/>
  <c r="AA33" i="3"/>
  <c r="AS96" i="4" s="1"/>
  <c r="W49" i="3"/>
  <c r="AQ113" i="4" s="1"/>
  <c r="Y20" i="3"/>
  <c r="AR26" i="4" s="1"/>
  <c r="Y26" i="3"/>
  <c r="AR148" i="4" s="1"/>
  <c r="Y27" i="3"/>
  <c r="AR150" i="4" s="1"/>
  <c r="AA46" i="3"/>
  <c r="AS81" i="4" s="1"/>
  <c r="AA7" i="3"/>
  <c r="AS95" i="4" s="1"/>
  <c r="W41" i="3"/>
  <c r="AQ99" i="4" s="1"/>
  <c r="AA31" i="3"/>
  <c r="AS133" i="4" s="1"/>
  <c r="AA21" i="3"/>
  <c r="AS117" i="4" s="1"/>
  <c r="X52" i="4"/>
  <c r="X128" i="4"/>
  <c r="X80" i="4"/>
  <c r="X113" i="4"/>
  <c r="X108" i="4"/>
  <c r="X115" i="4"/>
  <c r="X5" i="4"/>
  <c r="X33" i="4"/>
  <c r="X109" i="4"/>
  <c r="X102" i="4"/>
  <c r="X81" i="4"/>
  <c r="X19" i="4"/>
  <c r="X123" i="4"/>
  <c r="X36" i="4"/>
  <c r="X56" i="4"/>
  <c r="X100" i="4"/>
  <c r="X125" i="4"/>
  <c r="X20" i="4"/>
  <c r="X99" i="4"/>
  <c r="X69" i="4"/>
  <c r="X14" i="4"/>
  <c r="X133" i="4"/>
  <c r="X97" i="4"/>
  <c r="X11" i="4"/>
  <c r="X65" i="4"/>
  <c r="X84" i="4"/>
  <c r="X88" i="4"/>
  <c r="X121" i="4"/>
  <c r="X96" i="4"/>
  <c r="X51" i="4"/>
  <c r="X146" i="4"/>
  <c r="X26" i="4"/>
  <c r="X112" i="4"/>
  <c r="X10" i="4"/>
  <c r="X39" i="4"/>
  <c r="X60" i="4"/>
  <c r="X148" i="4"/>
  <c r="X145" i="4"/>
  <c r="J2" i="3"/>
  <c r="Q67" i="4" s="1"/>
  <c r="N67" i="4" s="1"/>
  <c r="G2" i="3"/>
  <c r="S67" i="4" s="1"/>
  <c r="M67" i="4" s="1"/>
  <c r="I2" i="3"/>
  <c r="R67" i="4" s="1"/>
  <c r="M10" i="10" s="1"/>
  <c r="E2" i="3"/>
  <c r="D67" i="4"/>
  <c r="F2" i="3"/>
  <c r="T67" i="4" s="1"/>
  <c r="N10" i="10" s="1"/>
  <c r="E7" i="4" l="1"/>
  <c r="O89" i="4"/>
  <c r="K89" i="4" s="1"/>
  <c r="E114" i="4"/>
  <c r="E107" i="4"/>
  <c r="E47" i="4"/>
  <c r="E9" i="4"/>
  <c r="O66" i="4"/>
  <c r="K66" i="4" s="1"/>
  <c r="O135" i="4"/>
  <c r="K135" i="4" s="1"/>
  <c r="AK88" i="4"/>
  <c r="AJ88" i="4"/>
  <c r="AJ56" i="4"/>
  <c r="AK56" i="4"/>
  <c r="AJ36" i="4"/>
  <c r="AK36" i="4"/>
  <c r="AJ121" i="4"/>
  <c r="AK121" i="4"/>
  <c r="AJ80" i="4"/>
  <c r="AK80" i="4"/>
  <c r="AJ145" i="4"/>
  <c r="AK145" i="4"/>
  <c r="AK84" i="4"/>
  <c r="AJ84" i="4"/>
  <c r="AJ128" i="4"/>
  <c r="AK128" i="4"/>
  <c r="AJ148" i="4"/>
  <c r="AK148" i="4"/>
  <c r="AJ65" i="4"/>
  <c r="AK65" i="4"/>
  <c r="AJ123" i="4"/>
  <c r="AK123" i="4"/>
  <c r="AJ52" i="4"/>
  <c r="AK52" i="4"/>
  <c r="AJ11" i="4"/>
  <c r="AK11" i="4"/>
  <c r="AJ60" i="4"/>
  <c r="AK60" i="4"/>
  <c r="AK19" i="4"/>
  <c r="AJ19" i="4"/>
  <c r="AK39" i="4"/>
  <c r="AJ39" i="4"/>
  <c r="AJ97" i="4"/>
  <c r="AK97" i="4"/>
  <c r="AJ81" i="4"/>
  <c r="AK81" i="4"/>
  <c r="AJ133" i="4"/>
  <c r="AK133" i="4"/>
  <c r="AJ79" i="4"/>
  <c r="AK79" i="4"/>
  <c r="AJ100" i="4"/>
  <c r="AK100" i="4"/>
  <c r="AK102" i="4"/>
  <c r="AJ102" i="4"/>
  <c r="AJ112" i="4"/>
  <c r="AK112" i="4"/>
  <c r="AK14" i="4"/>
  <c r="AJ14" i="4"/>
  <c r="AJ109" i="4"/>
  <c r="AK109" i="4"/>
  <c r="AJ69" i="4"/>
  <c r="AK69" i="4"/>
  <c r="AJ10" i="4"/>
  <c r="AK10" i="4"/>
  <c r="AK33" i="4"/>
  <c r="AJ33" i="4"/>
  <c r="AK146" i="4"/>
  <c r="AJ146" i="4"/>
  <c r="AJ99" i="4"/>
  <c r="AK99" i="4"/>
  <c r="AJ5" i="4"/>
  <c r="AK5" i="4"/>
  <c r="AJ147" i="4"/>
  <c r="AK147" i="4"/>
  <c r="AJ26" i="4"/>
  <c r="AK26" i="4"/>
  <c r="AJ51" i="4"/>
  <c r="AK51" i="4"/>
  <c r="AJ20" i="4"/>
  <c r="AK20" i="4"/>
  <c r="AK115" i="4"/>
  <c r="AJ115" i="4"/>
  <c r="AK70" i="4"/>
  <c r="AJ70" i="4"/>
  <c r="AK113" i="4"/>
  <c r="AJ113" i="4"/>
  <c r="AJ96" i="4"/>
  <c r="AK96" i="4"/>
  <c r="AK125" i="4"/>
  <c r="AJ125" i="4"/>
  <c r="AJ108" i="4"/>
  <c r="AK108" i="4"/>
  <c r="O54" i="4"/>
  <c r="K54" i="4" s="1"/>
  <c r="O34" i="4"/>
  <c r="K34" i="4" s="1"/>
  <c r="AW108" i="4"/>
  <c r="AW147" i="4"/>
  <c r="AW125" i="4"/>
  <c r="AW113" i="4"/>
  <c r="AW88" i="4"/>
  <c r="AW146" i="4"/>
  <c r="AW51" i="4"/>
  <c r="AW100" i="4"/>
  <c r="AW84" i="4"/>
  <c r="AW128" i="4"/>
  <c r="AW99" i="4"/>
  <c r="AW123" i="4"/>
  <c r="AW148" i="4"/>
  <c r="AW19" i="4"/>
  <c r="AW97" i="4"/>
  <c r="AW102" i="4"/>
  <c r="AW5" i="4"/>
  <c r="AW115" i="4"/>
  <c r="AW81" i="4"/>
  <c r="AW79" i="4"/>
  <c r="AW112" i="4"/>
  <c r="AW14" i="4"/>
  <c r="AW109" i="4"/>
  <c r="AW39" i="4"/>
  <c r="AW26" i="4"/>
  <c r="AW69" i="4"/>
  <c r="AW33" i="4"/>
  <c r="O9" i="4"/>
  <c r="K9" i="4" s="1"/>
  <c r="O47" i="4"/>
  <c r="O126" i="4"/>
  <c r="K126" i="4" s="1"/>
  <c r="O63" i="4"/>
  <c r="K63" i="4" s="1"/>
  <c r="O107" i="4"/>
  <c r="K107" i="4" s="1"/>
  <c r="O7" i="4"/>
  <c r="K7" i="4" s="1"/>
  <c r="O114" i="4"/>
  <c r="K114" i="4" s="1"/>
  <c r="O82" i="4"/>
  <c r="K82" i="4" s="1"/>
  <c r="O15" i="4"/>
  <c r="K15" i="4" s="1"/>
  <c r="O120" i="4"/>
  <c r="K120" i="4" s="1"/>
  <c r="O44" i="4"/>
  <c r="K44" i="4" s="1"/>
  <c r="O38" i="4"/>
  <c r="K38" i="4" s="1"/>
  <c r="O50" i="4"/>
  <c r="K50" i="4" s="1"/>
  <c r="O24" i="4"/>
  <c r="K24" i="4" s="1"/>
  <c r="O18" i="4"/>
  <c r="K18" i="4" s="1"/>
  <c r="O45" i="4"/>
  <c r="K45" i="4" s="1"/>
  <c r="O22" i="4"/>
  <c r="K22" i="4" s="1"/>
  <c r="O139" i="4"/>
  <c r="K139" i="4" s="1"/>
  <c r="O118" i="4"/>
  <c r="K118" i="4" s="1"/>
  <c r="O138" i="4"/>
  <c r="K138" i="4" s="1"/>
  <c r="O87" i="4"/>
  <c r="K87" i="4" s="1"/>
  <c r="O27" i="4"/>
  <c r="K27" i="4" s="1"/>
  <c r="O3" i="4"/>
  <c r="K3" i="4" s="1"/>
  <c r="O122" i="4"/>
  <c r="K122" i="4" s="1"/>
  <c r="O13" i="4"/>
  <c r="K13" i="4" s="1"/>
  <c r="O4" i="4"/>
  <c r="K4" i="4" s="1"/>
  <c r="O23" i="4"/>
  <c r="K23" i="4" s="1"/>
  <c r="O48" i="4"/>
  <c r="K48" i="4" s="1"/>
  <c r="O103" i="4"/>
  <c r="K103" i="4" s="1"/>
  <c r="O68" i="4"/>
  <c r="K68" i="4" s="1"/>
  <c r="O101" i="4"/>
  <c r="K101" i="4" s="1"/>
  <c r="O116" i="4"/>
  <c r="K116" i="4" s="1"/>
  <c r="O6" i="4"/>
  <c r="K6" i="4" s="1"/>
  <c r="O130" i="4"/>
  <c r="K130" i="4" s="1"/>
  <c r="O90" i="4"/>
  <c r="K90" i="4" s="1"/>
  <c r="O25" i="4"/>
  <c r="K25" i="4" s="1"/>
  <c r="O8" i="4"/>
  <c r="K8" i="4" s="1"/>
  <c r="O30" i="4"/>
  <c r="K30" i="4" s="1"/>
  <c r="M14" i="8"/>
  <c r="F14" i="8" s="1"/>
  <c r="E14" i="8" s="1"/>
  <c r="O16" i="8"/>
  <c r="N16" i="8"/>
  <c r="M13" i="8"/>
  <c r="F13" i="8" s="1"/>
  <c r="E13" i="8" s="1"/>
  <c r="M8" i="8"/>
  <c r="F8" i="8" s="1"/>
  <c r="E8" i="8" s="1"/>
  <c r="N3" i="10"/>
  <c r="O11" i="8"/>
  <c r="AW20" i="4"/>
  <c r="M19" i="8"/>
  <c r="F19" i="8" s="1"/>
  <c r="E19" i="8" s="1"/>
  <c r="M15" i="8"/>
  <c r="F15" i="8" s="1"/>
  <c r="E15" i="8" s="1"/>
  <c r="M3" i="10"/>
  <c r="N11" i="8"/>
  <c r="M9" i="8"/>
  <c r="F9" i="8" s="1"/>
  <c r="E9" i="8" s="1"/>
  <c r="L2" i="10"/>
  <c r="D2" i="10" s="1"/>
  <c r="C2" i="10" s="1"/>
  <c r="AW60" i="4"/>
  <c r="M18" i="8"/>
  <c r="F18" i="8" s="1"/>
  <c r="E18" i="8" s="1"/>
  <c r="AW145" i="4"/>
  <c r="M12" i="8"/>
  <c r="F12" i="8" s="1"/>
  <c r="E12" i="8" s="1"/>
  <c r="AW52" i="4"/>
  <c r="AW65" i="4"/>
  <c r="M10" i="8"/>
  <c r="F10" i="8" s="1"/>
  <c r="E10" i="8" s="1"/>
  <c r="AW10" i="4"/>
  <c r="M17" i="8"/>
  <c r="F17" i="8" s="1"/>
  <c r="E17" i="8" s="1"/>
  <c r="AT106" i="4"/>
  <c r="M8" i="10"/>
  <c r="N8" i="10"/>
  <c r="L6" i="10"/>
  <c r="D6" i="10" s="1"/>
  <c r="C6" i="10" s="1"/>
  <c r="L4" i="10"/>
  <c r="D4" i="10" s="1"/>
  <c r="C4" i="10" s="1"/>
  <c r="AW11" i="4"/>
  <c r="L12" i="10"/>
  <c r="D12" i="10" s="1"/>
  <c r="C12" i="10" s="1"/>
  <c r="AW56" i="4"/>
  <c r="AW36" i="4"/>
  <c r="L9" i="10"/>
  <c r="D9" i="10" s="1"/>
  <c r="C9" i="10" s="1"/>
  <c r="AW133" i="4"/>
  <c r="L11" i="10"/>
  <c r="D11" i="10" s="1"/>
  <c r="C11" i="10" s="1"/>
  <c r="L13" i="10"/>
  <c r="D13" i="10" s="1"/>
  <c r="C13" i="10" s="1"/>
  <c r="AW80" i="4"/>
  <c r="L7" i="10"/>
  <c r="D7" i="10" s="1"/>
  <c r="C7" i="10" s="1"/>
  <c r="AW70" i="4"/>
  <c r="AW96" i="4"/>
  <c r="AW121" i="4"/>
  <c r="L5" i="10"/>
  <c r="D5" i="10" s="1"/>
  <c r="C5" i="10" s="1"/>
  <c r="O94" i="4"/>
  <c r="K94" i="4" s="1"/>
  <c r="O75" i="4"/>
  <c r="K75" i="4" s="1"/>
  <c r="AT5" i="4"/>
  <c r="AT56" i="4"/>
  <c r="O42" i="4"/>
  <c r="K42" i="4" s="1"/>
  <c r="O53" i="4"/>
  <c r="K53" i="4" s="1"/>
  <c r="O104" i="4"/>
  <c r="K104" i="4" s="1"/>
  <c r="AT20" i="4"/>
  <c r="AT60" i="4"/>
  <c r="AT26" i="4"/>
  <c r="O142" i="4"/>
  <c r="K142" i="4" s="1"/>
  <c r="AT37" i="4"/>
  <c r="AT84" i="4"/>
  <c r="AT110" i="4"/>
  <c r="AT121" i="4"/>
  <c r="AT125" i="4"/>
  <c r="AT102" i="4"/>
  <c r="AT52" i="4"/>
  <c r="AT128" i="4"/>
  <c r="AT91" i="4"/>
  <c r="AT43" i="4"/>
  <c r="AT133" i="4"/>
  <c r="AT33" i="4"/>
  <c r="AT98" i="4"/>
  <c r="AT109" i="4"/>
  <c r="AT88" i="4"/>
  <c r="AT85" i="4"/>
  <c r="AT129" i="4"/>
  <c r="AT61" i="4"/>
  <c r="AT108" i="4"/>
  <c r="AT29" i="4"/>
  <c r="AT145" i="4"/>
  <c r="AT70" i="4"/>
  <c r="AT64" i="4"/>
  <c r="AT69" i="4"/>
  <c r="AT96" i="4"/>
  <c r="AT2" i="4"/>
  <c r="AT117" i="4"/>
  <c r="AT14" i="4"/>
  <c r="AT51" i="4"/>
  <c r="AT97" i="4"/>
  <c r="AT123" i="4"/>
  <c r="AT10" i="4"/>
  <c r="AT100" i="4"/>
  <c r="AT146" i="4"/>
  <c r="AT113" i="4"/>
  <c r="AT95" i="4"/>
  <c r="AT83" i="4"/>
  <c r="AT131" i="4"/>
  <c r="AT119" i="4"/>
  <c r="AT112" i="4"/>
  <c r="AT99" i="4"/>
  <c r="AT150" i="4"/>
  <c r="AT71" i="4"/>
  <c r="AT80" i="4"/>
  <c r="AT81" i="4"/>
  <c r="AT19" i="4"/>
  <c r="AT39" i="4"/>
  <c r="AT36" i="4"/>
  <c r="AT79" i="4"/>
  <c r="AT11" i="4"/>
  <c r="AT46" i="4"/>
  <c r="AT115" i="4"/>
  <c r="AT147" i="4"/>
  <c r="AT148" i="4"/>
  <c r="AT72" i="4"/>
  <c r="AT65" i="4"/>
  <c r="AT55" i="4"/>
  <c r="AT17" i="4"/>
  <c r="J132" i="4"/>
  <c r="H132" i="4" s="1"/>
  <c r="O35" i="4"/>
  <c r="K35" i="4" s="1"/>
  <c r="O140" i="4"/>
  <c r="K140" i="4" s="1"/>
  <c r="O111" i="4"/>
  <c r="K111" i="4" s="1"/>
  <c r="O136" i="4"/>
  <c r="K136" i="4" s="1"/>
  <c r="O58" i="4"/>
  <c r="K58" i="4" s="1"/>
  <c r="O59" i="4"/>
  <c r="K59" i="4" s="1"/>
  <c r="O137" i="4"/>
  <c r="K137" i="4" s="1"/>
  <c r="O76" i="4"/>
  <c r="K76" i="4" s="1"/>
  <c r="O143" i="4"/>
  <c r="K143" i="4" s="1"/>
  <c r="O73" i="4"/>
  <c r="K73" i="4" s="1"/>
  <c r="O74" i="4"/>
  <c r="K74" i="4" s="1"/>
  <c r="O92" i="4"/>
  <c r="K92" i="4" s="1"/>
  <c r="O31" i="4"/>
  <c r="O28" i="4"/>
  <c r="K28" i="4" s="1"/>
  <c r="O105" i="4"/>
  <c r="K105" i="4" s="1"/>
  <c r="O151" i="4"/>
  <c r="K151" i="4" s="1"/>
  <c r="O93" i="4"/>
  <c r="K93" i="4" s="1"/>
  <c r="O153" i="4"/>
  <c r="K153" i="4" s="1"/>
  <c r="O127" i="4"/>
  <c r="O40" i="4"/>
  <c r="K40" i="4" s="1"/>
  <c r="O16" i="4"/>
  <c r="K16" i="4" s="1"/>
  <c r="O12" i="4"/>
  <c r="O21" i="4"/>
  <c r="K21" i="4" s="1"/>
  <c r="O57" i="4"/>
  <c r="O32" i="4"/>
  <c r="K32" i="4" s="1"/>
  <c r="O77" i="4"/>
  <c r="K77" i="4" s="1"/>
  <c r="O144" i="4"/>
  <c r="O154" i="4"/>
  <c r="AL136" i="4"/>
  <c r="AL110" i="4"/>
  <c r="AU20" i="4"/>
  <c r="AV20" i="4" s="1"/>
  <c r="AU110" i="4"/>
  <c r="AV110" i="4" s="1"/>
  <c r="AL28" i="4"/>
  <c r="AU70" i="4"/>
  <c r="AV70" i="4" s="1"/>
  <c r="AU83" i="4"/>
  <c r="AV83" i="4" s="1"/>
  <c r="AL37" i="4"/>
  <c r="AL43" i="4"/>
  <c r="AU84" i="4"/>
  <c r="AV84" i="4" s="1"/>
  <c r="AU121" i="4"/>
  <c r="AV121" i="4" s="1"/>
  <c r="AU125" i="4"/>
  <c r="AV125" i="4" s="1"/>
  <c r="AL35" i="4"/>
  <c r="AU52" i="4"/>
  <c r="AV52" i="4" s="1"/>
  <c r="AU102" i="4"/>
  <c r="AV102" i="4" s="1"/>
  <c r="AU99" i="4"/>
  <c r="AV99" i="4" s="1"/>
  <c r="AU128" i="4"/>
  <c r="AV128" i="4" s="1"/>
  <c r="AU91" i="4"/>
  <c r="AV91" i="4" s="1"/>
  <c r="AU43" i="4"/>
  <c r="AV43" i="4" s="1"/>
  <c r="AU133" i="4"/>
  <c r="AV133" i="4" s="1"/>
  <c r="AU33" i="4"/>
  <c r="AV33" i="4" s="1"/>
  <c r="AU98" i="4"/>
  <c r="AV98" i="4" s="1"/>
  <c r="AU109" i="4"/>
  <c r="AV109" i="4" s="1"/>
  <c r="AU88" i="4"/>
  <c r="AV88" i="4" s="1"/>
  <c r="AU85" i="4"/>
  <c r="AV85" i="4" s="1"/>
  <c r="AU129" i="4"/>
  <c r="AV129" i="4" s="1"/>
  <c r="AU37" i="4"/>
  <c r="AV37" i="4" s="1"/>
  <c r="AU61" i="4"/>
  <c r="AV61" i="4" s="1"/>
  <c r="AU108" i="4"/>
  <c r="AV108" i="4" s="1"/>
  <c r="AU29" i="4"/>
  <c r="AV29" i="4" s="1"/>
  <c r="AU145" i="4"/>
  <c r="AV145" i="4" s="1"/>
  <c r="AU150" i="4"/>
  <c r="AV150" i="4" s="1"/>
  <c r="AU71" i="4"/>
  <c r="AV71" i="4" s="1"/>
  <c r="AU69" i="4"/>
  <c r="AV69" i="4" s="1"/>
  <c r="AU96" i="4"/>
  <c r="AV96" i="4" s="1"/>
  <c r="AU2" i="4"/>
  <c r="AV2" i="4" s="1"/>
  <c r="AU117" i="4"/>
  <c r="AV117" i="4" s="1"/>
  <c r="AU14" i="4"/>
  <c r="AV14" i="4" s="1"/>
  <c r="AU51" i="4"/>
  <c r="AV51" i="4" s="1"/>
  <c r="AU97" i="4"/>
  <c r="AV97" i="4" s="1"/>
  <c r="AU123" i="4"/>
  <c r="AV123" i="4" s="1"/>
  <c r="AU10" i="4"/>
  <c r="AV10" i="4" s="1"/>
  <c r="AU100" i="4"/>
  <c r="AV100" i="4" s="1"/>
  <c r="AU146" i="4"/>
  <c r="AV146" i="4" s="1"/>
  <c r="AL46" i="4"/>
  <c r="AL53" i="4"/>
  <c r="AL117" i="4"/>
  <c r="AL74" i="4"/>
  <c r="AU113" i="4"/>
  <c r="AV113" i="4" s="1"/>
  <c r="AU131" i="4"/>
  <c r="AV131" i="4" s="1"/>
  <c r="AU119" i="4"/>
  <c r="AV119" i="4" s="1"/>
  <c r="AU112" i="4"/>
  <c r="AV112" i="4" s="1"/>
  <c r="AU26" i="4"/>
  <c r="AV26" i="4" s="1"/>
  <c r="AU81" i="4"/>
  <c r="AV81" i="4" s="1"/>
  <c r="AU19" i="4"/>
  <c r="AV19" i="4" s="1"/>
  <c r="AU39" i="4"/>
  <c r="AV39" i="4" s="1"/>
  <c r="AU36" i="4"/>
  <c r="AV36" i="4" s="1"/>
  <c r="AU79" i="4"/>
  <c r="AV79" i="4" s="1"/>
  <c r="AU5" i="4"/>
  <c r="AV5" i="4" s="1"/>
  <c r="AU60" i="4"/>
  <c r="AV60" i="4" s="1"/>
  <c r="AU106" i="4"/>
  <c r="AV106" i="4" s="1"/>
  <c r="AU11" i="4"/>
  <c r="AV11" i="4" s="1"/>
  <c r="AU46" i="4"/>
  <c r="AV46" i="4" s="1"/>
  <c r="AU115" i="4"/>
  <c r="AV115" i="4" s="1"/>
  <c r="AU147" i="4"/>
  <c r="AV147" i="4" s="1"/>
  <c r="AL91" i="4"/>
  <c r="AU56" i="4"/>
  <c r="AV56" i="4" s="1"/>
  <c r="AU95" i="4"/>
  <c r="AV95" i="4" s="1"/>
  <c r="AU80" i="4"/>
  <c r="AV80" i="4" s="1"/>
  <c r="AU148" i="4"/>
  <c r="AV148" i="4" s="1"/>
  <c r="AU72" i="4"/>
  <c r="AV72" i="4" s="1"/>
  <c r="AU65" i="4"/>
  <c r="AV65" i="4" s="1"/>
  <c r="AU55" i="4"/>
  <c r="AV55" i="4" s="1"/>
  <c r="AU17" i="4"/>
  <c r="AV17" i="4" s="1"/>
  <c r="AL95" i="4"/>
  <c r="AL92" i="4"/>
  <c r="AL83" i="4"/>
  <c r="AL104" i="4"/>
  <c r="P104" i="4" s="1"/>
  <c r="AL98" i="4"/>
  <c r="AL85" i="4"/>
  <c r="AL72" i="4"/>
  <c r="AL76" i="4"/>
  <c r="P76" i="4" s="1"/>
  <c r="AH108" i="4"/>
  <c r="AI108" i="4" s="1"/>
  <c r="AH121" i="4"/>
  <c r="AI121" i="4" s="1"/>
  <c r="AH51" i="4"/>
  <c r="AI51" i="4" s="1"/>
  <c r="AH56" i="4"/>
  <c r="AI56" i="4" s="1"/>
  <c r="AL106" i="4"/>
  <c r="AL29" i="4"/>
  <c r="AL71" i="4"/>
  <c r="AH80" i="4"/>
  <c r="AI80" i="4" s="1"/>
  <c r="AL140" i="4"/>
  <c r="P140" i="4" s="1"/>
  <c r="AH115" i="4"/>
  <c r="AI115" i="4" s="1"/>
  <c r="AH113" i="4"/>
  <c r="AI113" i="4" s="1"/>
  <c r="AH84" i="4"/>
  <c r="AI84" i="4" s="1"/>
  <c r="AH52" i="4"/>
  <c r="AI52" i="4" s="1"/>
  <c r="AL59" i="4"/>
  <c r="AL61" i="4"/>
  <c r="AL142" i="4"/>
  <c r="AL137" i="4"/>
  <c r="P137" i="4" s="1"/>
  <c r="AL58" i="4"/>
  <c r="AL129" i="4"/>
  <c r="AH96" i="4"/>
  <c r="AI96" i="4" s="1"/>
  <c r="AH36" i="4"/>
  <c r="AI36" i="4" s="1"/>
  <c r="AL2" i="4"/>
  <c r="AL150" i="4"/>
  <c r="AH20" i="4"/>
  <c r="AI20" i="4" s="1"/>
  <c r="AH123" i="4"/>
  <c r="AI123" i="4" s="1"/>
  <c r="AL107" i="4"/>
  <c r="AL75" i="4"/>
  <c r="AH148" i="4"/>
  <c r="AI148" i="4" s="1"/>
  <c r="AH60" i="4"/>
  <c r="AI60" i="4" s="1"/>
  <c r="AH39" i="4"/>
  <c r="AI39" i="4" s="1"/>
  <c r="AH133" i="4"/>
  <c r="AI133" i="4" s="1"/>
  <c r="AH102" i="4"/>
  <c r="AI102" i="4" s="1"/>
  <c r="AH79" i="4"/>
  <c r="AI79" i="4" s="1"/>
  <c r="AH70" i="4"/>
  <c r="AI70" i="4" s="1"/>
  <c r="AH88" i="4"/>
  <c r="AI88" i="4" s="1"/>
  <c r="AH65" i="4"/>
  <c r="AI65" i="4" s="1"/>
  <c r="AH10" i="4"/>
  <c r="AI10" i="4" s="1"/>
  <c r="AH109" i="4"/>
  <c r="AI109" i="4" s="1"/>
  <c r="AL94" i="4"/>
  <c r="AL55" i="4"/>
  <c r="AL119" i="4"/>
  <c r="AL131" i="4"/>
  <c r="AH125" i="4"/>
  <c r="AI125" i="4" s="1"/>
  <c r="AH145" i="4"/>
  <c r="AI145" i="4" s="1"/>
  <c r="AH19" i="4"/>
  <c r="AI19" i="4" s="1"/>
  <c r="AH97" i="4"/>
  <c r="AI97" i="4" s="1"/>
  <c r="AH14" i="4"/>
  <c r="AI14" i="4" s="1"/>
  <c r="AH26" i="4"/>
  <c r="AI26" i="4" s="1"/>
  <c r="AH69" i="4"/>
  <c r="AI69" i="4" s="1"/>
  <c r="AH33" i="4"/>
  <c r="AI33" i="4" s="1"/>
  <c r="AL7" i="4"/>
  <c r="AH100" i="4"/>
  <c r="AI100" i="4" s="1"/>
  <c r="AH128" i="4"/>
  <c r="AI128" i="4" s="1"/>
  <c r="AH11" i="4"/>
  <c r="AI11" i="4" s="1"/>
  <c r="AH81" i="4"/>
  <c r="AI81" i="4" s="1"/>
  <c r="AH112" i="4"/>
  <c r="AI112" i="4" s="1"/>
  <c r="AH146" i="4"/>
  <c r="AI146" i="4" s="1"/>
  <c r="AH99" i="4"/>
  <c r="AI99" i="4" s="1"/>
  <c r="AH5" i="4"/>
  <c r="AI5" i="4" s="1"/>
  <c r="AH147" i="4"/>
  <c r="AI147" i="4" s="1"/>
  <c r="AL143" i="4"/>
  <c r="P143" i="4" s="1"/>
  <c r="AL111" i="4"/>
  <c r="AL31" i="4"/>
  <c r="AL17" i="4"/>
  <c r="K155" i="4"/>
  <c r="I155" i="4" s="1"/>
  <c r="J155" i="4"/>
  <c r="H155" i="4" s="1"/>
  <c r="AU64" i="4"/>
  <c r="AV64" i="4" s="1"/>
  <c r="P77" i="4"/>
  <c r="L77" i="4" s="1"/>
  <c r="P57" i="4"/>
  <c r="P12" i="4"/>
  <c r="P32" i="4"/>
  <c r="P105" i="4"/>
  <c r="L105" i="4" s="1"/>
  <c r="P144" i="4"/>
  <c r="L66" i="4"/>
  <c r="J66" i="4"/>
  <c r="H66" i="4" s="1"/>
  <c r="L134" i="4"/>
  <c r="I134" i="4" s="1"/>
  <c r="J134" i="4"/>
  <c r="H134" i="4" s="1"/>
  <c r="AL64" i="4"/>
  <c r="E17" i="4"/>
  <c r="E110" i="4"/>
  <c r="E83" i="4"/>
  <c r="E60" i="4"/>
  <c r="E61" i="4"/>
  <c r="E80" i="4"/>
  <c r="E113" i="4"/>
  <c r="E145" i="4"/>
  <c r="E56" i="4"/>
  <c r="E119" i="4"/>
  <c r="E81" i="4"/>
  <c r="E14" i="4"/>
  <c r="E91" i="4"/>
  <c r="E46" i="4"/>
  <c r="E147" i="4"/>
  <c r="E146" i="4"/>
  <c r="E11" i="4"/>
  <c r="E29" i="4"/>
  <c r="E123" i="4"/>
  <c r="E100" i="4"/>
  <c r="E150" i="4"/>
  <c r="E133" i="4"/>
  <c r="E84" i="4"/>
  <c r="E109" i="4"/>
  <c r="E95" i="4"/>
  <c r="E39" i="4"/>
  <c r="E26" i="4"/>
  <c r="E112" i="4"/>
  <c r="E55" i="4"/>
  <c r="E128" i="4"/>
  <c r="E65" i="4"/>
  <c r="E79" i="4"/>
  <c r="E97" i="4"/>
  <c r="E85" i="4"/>
  <c r="E19" i="4"/>
  <c r="E108" i="4"/>
  <c r="E115" i="4"/>
  <c r="E106" i="4"/>
  <c r="E69" i="4"/>
  <c r="E72" i="4"/>
  <c r="E33" i="4"/>
  <c r="E2" i="4"/>
  <c r="E131" i="4"/>
  <c r="E98" i="4"/>
  <c r="E99" i="4"/>
  <c r="E88" i="4"/>
  <c r="E129" i="4"/>
  <c r="E102" i="4"/>
  <c r="E125" i="4"/>
  <c r="E121" i="4"/>
  <c r="E64" i="4"/>
  <c r="AM64" i="4"/>
  <c r="AO64" i="4" s="1"/>
  <c r="E5" i="4"/>
  <c r="E10" i="4"/>
  <c r="E117" i="4"/>
  <c r="E37" i="4"/>
  <c r="E43" i="4"/>
  <c r="E36" i="4"/>
  <c r="E52" i="4"/>
  <c r="R4" i="10" s="1"/>
  <c r="E20" i="4"/>
  <c r="E71" i="4"/>
  <c r="E70" i="4"/>
  <c r="E148" i="4"/>
  <c r="F96" i="4"/>
  <c r="AM96" i="4" s="1"/>
  <c r="AO96" i="4" s="1"/>
  <c r="F51" i="4"/>
  <c r="AM51" i="4" s="1"/>
  <c r="AO51" i="4" s="1"/>
  <c r="F67" i="4"/>
  <c r="AM67" i="4" s="1"/>
  <c r="AO67" i="4" s="1"/>
  <c r="AG64" i="4"/>
  <c r="AA64" i="4" s="1"/>
  <c r="Z64" i="4" s="1"/>
  <c r="P54" i="4"/>
  <c r="P3" i="4"/>
  <c r="P118" i="4"/>
  <c r="P120" i="4"/>
  <c r="P62" i="4"/>
  <c r="P149" i="4"/>
  <c r="P101" i="4"/>
  <c r="P93" i="4"/>
  <c r="P9" i="4"/>
  <c r="P45" i="4"/>
  <c r="P13" i="4"/>
  <c r="P4" i="4"/>
  <c r="P25" i="4"/>
  <c r="AG130" i="4"/>
  <c r="AA130" i="4" s="1"/>
  <c r="Z130" i="4" s="1"/>
  <c r="P130" i="4" s="1"/>
  <c r="P116" i="4"/>
  <c r="P6" i="4"/>
  <c r="P34" i="4"/>
  <c r="P30" i="4"/>
  <c r="P8" i="4"/>
  <c r="P82" i="4"/>
  <c r="P90" i="4"/>
  <c r="P126" i="4"/>
  <c r="P141" i="4"/>
  <c r="P78" i="4"/>
  <c r="P114" i="4"/>
  <c r="P139" i="4"/>
  <c r="P122" i="4"/>
  <c r="P27" i="4"/>
  <c r="P152" i="4"/>
  <c r="P15" i="4"/>
  <c r="P138" i="4"/>
  <c r="P49" i="4"/>
  <c r="P89" i="4"/>
  <c r="P16" i="4"/>
  <c r="P151" i="4"/>
  <c r="P86" i="4"/>
  <c r="P73" i="4"/>
  <c r="P42" i="4"/>
  <c r="P24" i="4"/>
  <c r="P154" i="4"/>
  <c r="P153" i="4"/>
  <c r="P21" i="4"/>
  <c r="P63" i="4"/>
  <c r="P40" i="4"/>
  <c r="P68" i="4"/>
  <c r="P44" i="4"/>
  <c r="P135" i="4"/>
  <c r="P23" i="4"/>
  <c r="P47" i="4"/>
  <c r="P103" i="4"/>
  <c r="P41" i="4"/>
  <c r="P124" i="4"/>
  <c r="P87" i="4"/>
  <c r="P127" i="4"/>
  <c r="P50" i="4"/>
  <c r="P38" i="4"/>
  <c r="P22" i="4"/>
  <c r="P18" i="4"/>
  <c r="P48" i="4"/>
  <c r="U2" i="3"/>
  <c r="AP67" i="4" s="1"/>
  <c r="W2" i="3"/>
  <c r="AQ67" i="4" s="1"/>
  <c r="Y2" i="3"/>
  <c r="AR67" i="4" s="1"/>
  <c r="AA2" i="3"/>
  <c r="AS67" i="4" s="1"/>
  <c r="X67" i="4"/>
  <c r="I66" i="4" l="1"/>
  <c r="S13" i="10"/>
  <c r="T5" i="10"/>
  <c r="Q7" i="10"/>
  <c r="T7" i="10"/>
  <c r="R7" i="10"/>
  <c r="S7" i="10"/>
  <c r="Q5" i="10"/>
  <c r="S5" i="10"/>
  <c r="R5" i="10"/>
  <c r="Q3" i="10"/>
  <c r="R3" i="10"/>
  <c r="T3" i="10"/>
  <c r="S3" i="10"/>
  <c r="Q9" i="10"/>
  <c r="T9" i="10"/>
  <c r="R9" i="10"/>
  <c r="S9" i="10"/>
  <c r="Q12" i="10"/>
  <c r="S12" i="10"/>
  <c r="T12" i="10"/>
  <c r="R12" i="10"/>
  <c r="T13" i="10"/>
  <c r="R13" i="10"/>
  <c r="Q4" i="10"/>
  <c r="Q13" i="10"/>
  <c r="S4" i="10"/>
  <c r="T4" i="10"/>
  <c r="T2" i="10"/>
  <c r="S2" i="10"/>
  <c r="R2" i="10"/>
  <c r="Q2" i="10"/>
  <c r="Q6" i="10"/>
  <c r="S6" i="10"/>
  <c r="R6" i="10"/>
  <c r="T6" i="10"/>
  <c r="S11" i="10"/>
  <c r="T11" i="10"/>
  <c r="Q11" i="10"/>
  <c r="R11" i="10"/>
  <c r="AJ67" i="4"/>
  <c r="AK67" i="4"/>
  <c r="M16" i="8"/>
  <c r="F16" i="8" s="1"/>
  <c r="E16" i="8" s="1"/>
  <c r="L10" i="10"/>
  <c r="D10" i="10" s="1"/>
  <c r="C10" i="10" s="1"/>
  <c r="K31" i="4"/>
  <c r="AW67" i="4"/>
  <c r="M11" i="8"/>
  <c r="F11" i="8" s="1"/>
  <c r="E11" i="8" s="1"/>
  <c r="L8" i="10"/>
  <c r="D8" i="10" s="1"/>
  <c r="C8" i="10" s="1"/>
  <c r="L144" i="4"/>
  <c r="K154" i="4"/>
  <c r="K144" i="4"/>
  <c r="L12" i="4"/>
  <c r="K57" i="4"/>
  <c r="K47" i="4"/>
  <c r="K12" i="4"/>
  <c r="K127" i="4"/>
  <c r="L3" i="10"/>
  <c r="D3" i="10" s="1"/>
  <c r="C3" i="10" s="1"/>
  <c r="O5" i="4"/>
  <c r="K5" i="4" s="1"/>
  <c r="O113" i="4"/>
  <c r="K113" i="4" s="1"/>
  <c r="O52" i="4"/>
  <c r="O70" i="4"/>
  <c r="O60" i="4"/>
  <c r="O81" i="4"/>
  <c r="K81" i="4" s="1"/>
  <c r="O20" i="4"/>
  <c r="O148" i="4"/>
  <c r="K148" i="4" s="1"/>
  <c r="O102" i="4"/>
  <c r="K102" i="4" s="1"/>
  <c r="O99" i="4"/>
  <c r="K99" i="4" s="1"/>
  <c r="O51" i="4"/>
  <c r="K51" i="4" s="1"/>
  <c r="O65" i="4"/>
  <c r="O108" i="4"/>
  <c r="K108" i="4" s="1"/>
  <c r="O133" i="4"/>
  <c r="K133" i="4" s="1"/>
  <c r="O19" i="4"/>
  <c r="K19" i="4" s="1"/>
  <c r="AT67" i="4"/>
  <c r="AL147" i="4"/>
  <c r="P147" i="4" s="1"/>
  <c r="G132" i="4"/>
  <c r="J57" i="4"/>
  <c r="H57" i="4" s="1"/>
  <c r="O39" i="4"/>
  <c r="K39" i="4" s="1"/>
  <c r="O10" i="4"/>
  <c r="J143" i="4"/>
  <c r="H143" i="4" s="1"/>
  <c r="O80" i="4"/>
  <c r="K80" i="4" s="1"/>
  <c r="O14" i="4"/>
  <c r="K14" i="4" s="1"/>
  <c r="O147" i="4"/>
  <c r="K147" i="4" s="1"/>
  <c r="O115" i="4"/>
  <c r="K115" i="4" s="1"/>
  <c r="O79" i="4"/>
  <c r="K79" i="4" s="1"/>
  <c r="O112" i="4"/>
  <c r="K112" i="4" s="1"/>
  <c r="O146" i="4"/>
  <c r="K146" i="4" s="1"/>
  <c r="O145" i="4"/>
  <c r="O97" i="4"/>
  <c r="K97" i="4" s="1"/>
  <c r="O100" i="4"/>
  <c r="K100" i="4" s="1"/>
  <c r="O125" i="4"/>
  <c r="K125" i="4" s="1"/>
  <c r="O69" i="4"/>
  <c r="K69" i="4" s="1"/>
  <c r="O33" i="4"/>
  <c r="K33" i="4" s="1"/>
  <c r="O56" i="4"/>
  <c r="K56" i="4" s="1"/>
  <c r="O88" i="4"/>
  <c r="K88" i="4" s="1"/>
  <c r="O121" i="4"/>
  <c r="O26" i="4"/>
  <c r="K26" i="4" s="1"/>
  <c r="O11" i="4"/>
  <c r="O109" i="4"/>
  <c r="K109" i="4" s="1"/>
  <c r="O128" i="4"/>
  <c r="K128" i="4" s="1"/>
  <c r="O84" i="4"/>
  <c r="K84" i="4" s="1"/>
  <c r="O123" i="4"/>
  <c r="K123" i="4" s="1"/>
  <c r="O131" i="4"/>
  <c r="K131" i="4" s="1"/>
  <c r="O106" i="4"/>
  <c r="K106" i="4" s="1"/>
  <c r="O96" i="4"/>
  <c r="K96" i="4" s="1"/>
  <c r="O43" i="4"/>
  <c r="K43" i="4" s="1"/>
  <c r="O119" i="4"/>
  <c r="O2" i="4"/>
  <c r="K2" i="4" s="1"/>
  <c r="O110" i="4"/>
  <c r="K110" i="4" s="1"/>
  <c r="O98" i="4"/>
  <c r="K98" i="4" s="1"/>
  <c r="O36" i="4"/>
  <c r="K36" i="4" s="1"/>
  <c r="O95" i="4"/>
  <c r="K95" i="4" s="1"/>
  <c r="O46" i="4"/>
  <c r="K46" i="4" s="1"/>
  <c r="O83" i="4"/>
  <c r="K83" i="4" s="1"/>
  <c r="O91" i="4"/>
  <c r="O71" i="4"/>
  <c r="O61" i="4"/>
  <c r="K61" i="4" s="1"/>
  <c r="I77" i="4"/>
  <c r="O29" i="4"/>
  <c r="K29" i="4" s="1"/>
  <c r="O72" i="4"/>
  <c r="O85" i="4"/>
  <c r="K85" i="4" s="1"/>
  <c r="O129" i="4"/>
  <c r="K129" i="4" s="1"/>
  <c r="O117" i="4"/>
  <c r="K117" i="4" s="1"/>
  <c r="O55" i="4"/>
  <c r="K55" i="4" s="1"/>
  <c r="O64" i="4"/>
  <c r="K64" i="4" s="1"/>
  <c r="J32" i="4"/>
  <c r="H32" i="4" s="1"/>
  <c r="O150" i="4"/>
  <c r="K150" i="4" s="1"/>
  <c r="O37" i="4"/>
  <c r="O17" i="4"/>
  <c r="I105" i="4"/>
  <c r="AL79" i="4"/>
  <c r="P79" i="4" s="1"/>
  <c r="AL36" i="4"/>
  <c r="P36" i="4" s="1"/>
  <c r="AL39" i="4"/>
  <c r="P39" i="4" s="1"/>
  <c r="AL133" i="4"/>
  <c r="P133" i="4" s="1"/>
  <c r="AL148" i="4"/>
  <c r="P148" i="4" s="1"/>
  <c r="AL70" i="4"/>
  <c r="P70" i="4" s="1"/>
  <c r="AL60" i="4"/>
  <c r="P60" i="4" s="1"/>
  <c r="AL125" i="4"/>
  <c r="P125" i="4" s="1"/>
  <c r="AL10" i="4"/>
  <c r="P10" i="4" s="1"/>
  <c r="AL113" i="4"/>
  <c r="P113" i="4" s="1"/>
  <c r="AL121" i="4"/>
  <c r="P121" i="4" s="1"/>
  <c r="AL99" i="4"/>
  <c r="P99" i="4" s="1"/>
  <c r="AL81" i="4"/>
  <c r="P81" i="4" s="1"/>
  <c r="AL52" i="4"/>
  <c r="P52" i="4" s="1"/>
  <c r="AL33" i="4"/>
  <c r="P33" i="4" s="1"/>
  <c r="AL102" i="4"/>
  <c r="P102" i="4" s="1"/>
  <c r="AU67" i="4"/>
  <c r="AV67" i="4" s="1"/>
  <c r="AL80" i="4"/>
  <c r="P80" i="4" s="1"/>
  <c r="AL65" i="4"/>
  <c r="P65" i="4" s="1"/>
  <c r="AL26" i="4"/>
  <c r="P26" i="4" s="1"/>
  <c r="AL19" i="4"/>
  <c r="P19" i="4" s="1"/>
  <c r="AL123" i="4"/>
  <c r="P123" i="4" s="1"/>
  <c r="AL115" i="4"/>
  <c r="P115" i="4" s="1"/>
  <c r="AL108" i="4"/>
  <c r="P108" i="4" s="1"/>
  <c r="AL146" i="4"/>
  <c r="P146" i="4" s="1"/>
  <c r="AL11" i="4"/>
  <c r="P11" i="4" s="1"/>
  <c r="AL14" i="4"/>
  <c r="P14" i="4" s="1"/>
  <c r="AL145" i="4"/>
  <c r="P145" i="4" s="1"/>
  <c r="AL109" i="4"/>
  <c r="P109" i="4" s="1"/>
  <c r="AL56" i="4"/>
  <c r="P56" i="4" s="1"/>
  <c r="AL84" i="4"/>
  <c r="P84" i="4" s="1"/>
  <c r="AH67" i="4"/>
  <c r="AI67" i="4" s="1"/>
  <c r="AL5" i="4"/>
  <c r="P5" i="4" s="1"/>
  <c r="AL88" i="4"/>
  <c r="P88" i="4" s="1"/>
  <c r="AL20" i="4"/>
  <c r="P20" i="4" s="1"/>
  <c r="AL96" i="4"/>
  <c r="P96" i="4" s="1"/>
  <c r="AL128" i="4"/>
  <c r="P128" i="4" s="1"/>
  <c r="AL51" i="4"/>
  <c r="AL97" i="4"/>
  <c r="P97" i="4" s="1"/>
  <c r="AL112" i="4"/>
  <c r="P112" i="4" s="1"/>
  <c r="AL69" i="4"/>
  <c r="P69" i="4" s="1"/>
  <c r="AL100" i="4"/>
  <c r="P100" i="4" s="1"/>
  <c r="G155" i="4"/>
  <c r="P31" i="4"/>
  <c r="P7" i="4"/>
  <c r="J7" i="4" s="1"/>
  <c r="H7" i="4" s="1"/>
  <c r="G66" i="4"/>
  <c r="J77" i="4"/>
  <c r="H77" i="4" s="1"/>
  <c r="L57" i="4"/>
  <c r="P94" i="4"/>
  <c r="L94" i="4" s="1"/>
  <c r="I94" i="4" s="1"/>
  <c r="P136" i="4"/>
  <c r="L136" i="4" s="1"/>
  <c r="I136" i="4" s="1"/>
  <c r="P29" i="4"/>
  <c r="L29" i="4" s="1"/>
  <c r="J12" i="4"/>
  <c r="P59" i="4"/>
  <c r="J59" i="4" s="1"/>
  <c r="H59" i="4" s="1"/>
  <c r="P75" i="4"/>
  <c r="L75" i="4" s="1"/>
  <c r="I75" i="4" s="1"/>
  <c r="P119" i="4"/>
  <c r="P92" i="4"/>
  <c r="L92" i="4" s="1"/>
  <c r="I92" i="4" s="1"/>
  <c r="P53" i="4"/>
  <c r="L53" i="4" s="1"/>
  <c r="I53" i="4" s="1"/>
  <c r="P55" i="4"/>
  <c r="L55" i="4" s="1"/>
  <c r="P61" i="4"/>
  <c r="P129" i="4"/>
  <c r="L129" i="4" s="1"/>
  <c r="P142" i="4"/>
  <c r="L142" i="4" s="1"/>
  <c r="I142" i="4" s="1"/>
  <c r="P28" i="4"/>
  <c r="L28" i="4" s="1"/>
  <c r="I28" i="4" s="1"/>
  <c r="P35" i="4"/>
  <c r="J35" i="4" s="1"/>
  <c r="H35" i="4" s="1"/>
  <c r="L32" i="4"/>
  <c r="I32" i="4" s="1"/>
  <c r="J144" i="4"/>
  <c r="J105" i="4"/>
  <c r="H105" i="4" s="1"/>
  <c r="P91" i="4"/>
  <c r="P43" i="4"/>
  <c r="P85" i="4"/>
  <c r="L85" i="4" s="1"/>
  <c r="L143" i="4"/>
  <c r="I143" i="4" s="1"/>
  <c r="P110" i="4"/>
  <c r="P111" i="4"/>
  <c r="L111" i="4" s="1"/>
  <c r="I111" i="4" s="1"/>
  <c r="P74" i="4"/>
  <c r="L74" i="4" s="1"/>
  <c r="I74" i="4" s="1"/>
  <c r="P64" i="4"/>
  <c r="P71" i="4"/>
  <c r="L71" i="4" s="1"/>
  <c r="P17" i="4"/>
  <c r="P98" i="4"/>
  <c r="P95" i="4"/>
  <c r="P37" i="4"/>
  <c r="P107" i="4"/>
  <c r="J107" i="4" s="1"/>
  <c r="H107" i="4" s="1"/>
  <c r="P131" i="4"/>
  <c r="L131" i="4" s="1"/>
  <c r="P58" i="4"/>
  <c r="L58" i="4" s="1"/>
  <c r="I58" i="4" s="1"/>
  <c r="E96" i="4"/>
  <c r="P2" i="4"/>
  <c r="L2" i="4" s="1"/>
  <c r="P46" i="4"/>
  <c r="P150" i="4"/>
  <c r="P72" i="4"/>
  <c r="P117" i="4"/>
  <c r="L117" i="4" s="1"/>
  <c r="P83" i="4"/>
  <c r="L83" i="4" s="1"/>
  <c r="P106" i="4"/>
  <c r="L76" i="4"/>
  <c r="I76" i="4" s="1"/>
  <c r="J76" i="4"/>
  <c r="H76" i="4" s="1"/>
  <c r="L137" i="4"/>
  <c r="I137" i="4" s="1"/>
  <c r="J137" i="4"/>
  <c r="H137" i="4" s="1"/>
  <c r="L140" i="4"/>
  <c r="I140" i="4" s="1"/>
  <c r="J140" i="4"/>
  <c r="H140" i="4" s="1"/>
  <c r="L104" i="4"/>
  <c r="I104" i="4" s="1"/>
  <c r="J104" i="4"/>
  <c r="H104" i="4" s="1"/>
  <c r="L30" i="4"/>
  <c r="I30" i="4" s="1"/>
  <c r="J30" i="4"/>
  <c r="H30" i="4" s="1"/>
  <c r="L9" i="4"/>
  <c r="I9" i="4" s="1"/>
  <c r="J9" i="4"/>
  <c r="H9" i="4" s="1"/>
  <c r="L120" i="4"/>
  <c r="I120" i="4" s="1"/>
  <c r="J120" i="4"/>
  <c r="H120" i="4" s="1"/>
  <c r="L73" i="4"/>
  <c r="I73" i="4" s="1"/>
  <c r="J73" i="4"/>
  <c r="H73" i="4" s="1"/>
  <c r="L27" i="4"/>
  <c r="I27" i="4" s="1"/>
  <c r="J27" i="4"/>
  <c r="J34" i="4"/>
  <c r="H34" i="4" s="1"/>
  <c r="L34" i="4"/>
  <c r="I34" i="4" s="1"/>
  <c r="J86" i="4"/>
  <c r="H86" i="4" s="1"/>
  <c r="L86" i="4"/>
  <c r="I86" i="4" s="1"/>
  <c r="L122" i="4"/>
  <c r="I122" i="4" s="1"/>
  <c r="J122" i="4"/>
  <c r="H122" i="4" s="1"/>
  <c r="L6" i="4"/>
  <c r="I6" i="4" s="1"/>
  <c r="J6" i="4"/>
  <c r="H6" i="4" s="1"/>
  <c r="L139" i="4"/>
  <c r="I139" i="4" s="1"/>
  <c r="J139" i="4"/>
  <c r="H139" i="4" s="1"/>
  <c r="L116" i="4"/>
  <c r="I116" i="4" s="1"/>
  <c r="J116" i="4"/>
  <c r="H116" i="4" s="1"/>
  <c r="L54" i="4"/>
  <c r="I54" i="4" s="1"/>
  <c r="J54" i="4"/>
  <c r="H54" i="4" s="1"/>
  <c r="L23" i="4"/>
  <c r="I23" i="4" s="1"/>
  <c r="J23" i="4"/>
  <c r="H23" i="4" s="1"/>
  <c r="L50" i="4"/>
  <c r="I50" i="4" s="1"/>
  <c r="J50" i="4"/>
  <c r="H50" i="4" s="1"/>
  <c r="L40" i="4"/>
  <c r="I40" i="4" s="1"/>
  <c r="J40" i="4"/>
  <c r="H40" i="4" s="1"/>
  <c r="L151" i="4"/>
  <c r="I151" i="4" s="1"/>
  <c r="J151" i="4"/>
  <c r="H151" i="4" s="1"/>
  <c r="L114" i="4"/>
  <c r="I114" i="4" s="1"/>
  <c r="J114" i="4"/>
  <c r="H114" i="4" s="1"/>
  <c r="J93" i="4"/>
  <c r="H93" i="4" s="1"/>
  <c r="L93" i="4"/>
  <c r="I93" i="4" s="1"/>
  <c r="L118" i="4"/>
  <c r="I118" i="4" s="1"/>
  <c r="J118" i="4"/>
  <c r="H118" i="4" s="1"/>
  <c r="J135" i="4"/>
  <c r="H135" i="4" s="1"/>
  <c r="L135" i="4"/>
  <c r="I135" i="4" s="1"/>
  <c r="L63" i="4"/>
  <c r="I63" i="4" s="1"/>
  <c r="J63" i="4"/>
  <c r="H63" i="4" s="1"/>
  <c r="L78" i="4"/>
  <c r="I78" i="4" s="1"/>
  <c r="J78" i="4"/>
  <c r="H78" i="4" s="1"/>
  <c r="L101" i="4"/>
  <c r="I101" i="4" s="1"/>
  <c r="J101" i="4"/>
  <c r="H101" i="4" s="1"/>
  <c r="L22" i="4"/>
  <c r="I22" i="4" s="1"/>
  <c r="J22" i="4"/>
  <c r="H22" i="4" s="1"/>
  <c r="J21" i="4"/>
  <c r="H21" i="4" s="1"/>
  <c r="L21" i="4"/>
  <c r="I21" i="4" s="1"/>
  <c r="L16" i="4"/>
  <c r="I16" i="4" s="1"/>
  <c r="J16" i="4"/>
  <c r="H16" i="4" s="1"/>
  <c r="L141" i="4"/>
  <c r="I141" i="4" s="1"/>
  <c r="J141" i="4"/>
  <c r="H141" i="4" s="1"/>
  <c r="L130" i="4"/>
  <c r="I130" i="4" s="1"/>
  <c r="J130" i="4"/>
  <c r="H130" i="4" s="1"/>
  <c r="L38" i="4"/>
  <c r="I38" i="4" s="1"/>
  <c r="J38" i="4"/>
  <c r="H38" i="4" s="1"/>
  <c r="L153" i="4"/>
  <c r="I153" i="4" s="1"/>
  <c r="J153" i="4"/>
  <c r="H153" i="4" s="1"/>
  <c r="L89" i="4"/>
  <c r="I89" i="4" s="1"/>
  <c r="J89" i="4"/>
  <c r="H89" i="4" s="1"/>
  <c r="L126" i="4"/>
  <c r="I126" i="4" s="1"/>
  <c r="J126" i="4"/>
  <c r="H126" i="4" s="1"/>
  <c r="L25" i="4"/>
  <c r="I25" i="4" s="1"/>
  <c r="J25" i="4"/>
  <c r="H25" i="4" s="1"/>
  <c r="L87" i="4"/>
  <c r="I87" i="4" s="1"/>
  <c r="J87" i="4"/>
  <c r="H87" i="4" s="1"/>
  <c r="J124" i="4"/>
  <c r="H124" i="4" s="1"/>
  <c r="L124" i="4"/>
  <c r="I124" i="4" s="1"/>
  <c r="L154" i="4"/>
  <c r="J154" i="4"/>
  <c r="H154" i="4" s="1"/>
  <c r="L49" i="4"/>
  <c r="I49" i="4" s="1"/>
  <c r="J49" i="4"/>
  <c r="H49" i="4" s="1"/>
  <c r="L90" i="4"/>
  <c r="I90" i="4" s="1"/>
  <c r="J90" i="4"/>
  <c r="H90" i="4" s="1"/>
  <c r="L4" i="4"/>
  <c r="I4" i="4" s="1"/>
  <c r="J4" i="4"/>
  <c r="H4" i="4" s="1"/>
  <c r="L18" i="4"/>
  <c r="I18" i="4" s="1"/>
  <c r="J18" i="4"/>
  <c r="H18" i="4" s="1"/>
  <c r="L127" i="4"/>
  <c r="J127" i="4"/>
  <c r="L41" i="4"/>
  <c r="I41" i="4" s="1"/>
  <c r="J41" i="4"/>
  <c r="H41" i="4" s="1"/>
  <c r="L24" i="4"/>
  <c r="I24" i="4" s="1"/>
  <c r="J24" i="4"/>
  <c r="L138" i="4"/>
  <c r="I138" i="4" s="1"/>
  <c r="J138" i="4"/>
  <c r="H138" i="4" s="1"/>
  <c r="L13" i="4"/>
  <c r="I13" i="4" s="1"/>
  <c r="J13" i="4"/>
  <c r="H13" i="4" s="1"/>
  <c r="L68" i="4"/>
  <c r="I68" i="4" s="1"/>
  <c r="J68" i="4"/>
  <c r="H68" i="4" s="1"/>
  <c r="L103" i="4"/>
  <c r="I103" i="4" s="1"/>
  <c r="J103" i="4"/>
  <c r="H103" i="4" s="1"/>
  <c r="L15" i="4"/>
  <c r="I15" i="4" s="1"/>
  <c r="J15" i="4"/>
  <c r="H15" i="4" s="1"/>
  <c r="L82" i="4"/>
  <c r="I82" i="4" s="1"/>
  <c r="J82" i="4"/>
  <c r="H82" i="4" s="1"/>
  <c r="L149" i="4"/>
  <c r="I149" i="4" s="1"/>
  <c r="J149" i="4"/>
  <c r="H149" i="4" s="1"/>
  <c r="L3" i="4"/>
  <c r="I3" i="4" s="1"/>
  <c r="J3" i="4"/>
  <c r="H3" i="4" s="1"/>
  <c r="L44" i="4"/>
  <c r="I44" i="4" s="1"/>
  <c r="J44" i="4"/>
  <c r="H44" i="4" s="1"/>
  <c r="L48" i="4"/>
  <c r="I48" i="4" s="1"/>
  <c r="J48" i="4"/>
  <c r="H48" i="4" s="1"/>
  <c r="L47" i="4"/>
  <c r="J47" i="4"/>
  <c r="L42" i="4"/>
  <c r="I42" i="4" s="1"/>
  <c r="J42" i="4"/>
  <c r="H42" i="4" s="1"/>
  <c r="L152" i="4"/>
  <c r="I152" i="4" s="1"/>
  <c r="J152" i="4"/>
  <c r="H152" i="4" s="1"/>
  <c r="L8" i="4"/>
  <c r="I8" i="4" s="1"/>
  <c r="J8" i="4"/>
  <c r="H8" i="4" s="1"/>
  <c r="L45" i="4"/>
  <c r="I45" i="4" s="1"/>
  <c r="J45" i="4"/>
  <c r="H45" i="4" s="1"/>
  <c r="L62" i="4"/>
  <c r="I62" i="4" s="1"/>
  <c r="J62" i="4"/>
  <c r="H62" i="4" s="1"/>
  <c r="E67" i="4"/>
  <c r="E51" i="4"/>
  <c r="G134" i="4"/>
  <c r="Q8" i="10" l="1"/>
  <c r="R8" i="10"/>
  <c r="S8" i="10"/>
  <c r="T8" i="10"/>
  <c r="R10" i="10"/>
  <c r="T10" i="10"/>
  <c r="S10" i="10"/>
  <c r="Q10" i="10"/>
  <c r="S14" i="8"/>
  <c r="P14" i="8" s="1"/>
  <c r="J14" i="8" s="1"/>
  <c r="R8" i="8"/>
  <c r="Q8" i="8" s="1"/>
  <c r="K8" i="8" s="1"/>
  <c r="L91" i="4"/>
  <c r="R13" i="8"/>
  <c r="Q13" i="8" s="1"/>
  <c r="K13" i="8" s="1"/>
  <c r="R17" i="8"/>
  <c r="Q17" i="8" s="1"/>
  <c r="K17" i="8" s="1"/>
  <c r="K91" i="4"/>
  <c r="S13" i="8"/>
  <c r="P13" i="8" s="1"/>
  <c r="K10" i="4"/>
  <c r="S17" i="8"/>
  <c r="P17" i="8" s="1"/>
  <c r="R10" i="8"/>
  <c r="Q10" i="8" s="1"/>
  <c r="K10" i="8" s="1"/>
  <c r="R18" i="8"/>
  <c r="Q18" i="8" s="1"/>
  <c r="K18" i="8" s="1"/>
  <c r="K20" i="4"/>
  <c r="S19" i="8"/>
  <c r="P19" i="8" s="1"/>
  <c r="K145" i="4"/>
  <c r="S12" i="8"/>
  <c r="P12" i="8" s="1"/>
  <c r="R15" i="8"/>
  <c r="Q15" i="8" s="1"/>
  <c r="K15" i="8" s="1"/>
  <c r="K60" i="4"/>
  <c r="S18" i="8"/>
  <c r="P18" i="8" s="1"/>
  <c r="R12" i="8"/>
  <c r="Q12" i="8" s="1"/>
  <c r="K12" i="8" s="1"/>
  <c r="K52" i="4"/>
  <c r="K72" i="4"/>
  <c r="S15" i="8"/>
  <c r="P15" i="8" s="1"/>
  <c r="K121" i="4"/>
  <c r="S9" i="8"/>
  <c r="P9" i="8" s="1"/>
  <c r="R19" i="8"/>
  <c r="Q19" i="8" s="1"/>
  <c r="K19" i="8" s="1"/>
  <c r="K65" i="4"/>
  <c r="S10" i="8"/>
  <c r="P10" i="8" s="1"/>
  <c r="R9" i="8"/>
  <c r="Q9" i="8" s="1"/>
  <c r="K9" i="8" s="1"/>
  <c r="K17" i="4"/>
  <c r="S8" i="8"/>
  <c r="P8" i="8" s="1"/>
  <c r="J31" i="4"/>
  <c r="H31" i="4" s="1"/>
  <c r="R14" i="8"/>
  <c r="Q14" i="8" s="1"/>
  <c r="K14" i="8" s="1"/>
  <c r="I154" i="4"/>
  <c r="I47" i="4"/>
  <c r="I144" i="4"/>
  <c r="I57" i="4"/>
  <c r="I12" i="4"/>
  <c r="X6" i="10"/>
  <c r="V6" i="10" s="1"/>
  <c r="X7" i="10"/>
  <c r="V7" i="10" s="1"/>
  <c r="X11" i="10"/>
  <c r="V11" i="10" s="1"/>
  <c r="I127" i="4"/>
  <c r="X2" i="10"/>
  <c r="V2" i="10" s="1"/>
  <c r="X12" i="10"/>
  <c r="V12" i="10" s="1"/>
  <c r="X9" i="10"/>
  <c r="V9" i="10" s="1"/>
  <c r="X4" i="10"/>
  <c r="V4" i="10" s="1"/>
  <c r="W6" i="10"/>
  <c r="U6" i="10" s="1"/>
  <c r="K11" i="4"/>
  <c r="W12" i="10"/>
  <c r="U12" i="10" s="1"/>
  <c r="K70" i="4"/>
  <c r="W11" i="10"/>
  <c r="U11" i="10" s="1"/>
  <c r="W9" i="10"/>
  <c r="U9" i="10" s="1"/>
  <c r="L119" i="4"/>
  <c r="X5" i="10"/>
  <c r="V5" i="10" s="1"/>
  <c r="K119" i="4"/>
  <c r="W5" i="10"/>
  <c r="U5" i="10" s="1"/>
  <c r="W13" i="10"/>
  <c r="U13" i="10" s="1"/>
  <c r="W7" i="10"/>
  <c r="U7" i="10" s="1"/>
  <c r="K37" i="4"/>
  <c r="W4" i="10"/>
  <c r="U4" i="10" s="1"/>
  <c r="K71" i="4"/>
  <c r="I71" i="4" s="1"/>
  <c r="W2" i="10"/>
  <c r="U2" i="10" s="1"/>
  <c r="X13" i="10"/>
  <c r="V13" i="10" s="1"/>
  <c r="H127" i="4"/>
  <c r="H27" i="4"/>
  <c r="H144" i="4"/>
  <c r="H24" i="4"/>
  <c r="H12" i="4"/>
  <c r="H47" i="4"/>
  <c r="G57" i="4"/>
  <c r="J150" i="4"/>
  <c r="J37" i="4"/>
  <c r="H37" i="4" s="1"/>
  <c r="G143" i="4"/>
  <c r="J17" i="4"/>
  <c r="H17" i="4" s="1"/>
  <c r="J98" i="4"/>
  <c r="H98" i="4" s="1"/>
  <c r="J72" i="4"/>
  <c r="H72" i="4" s="1"/>
  <c r="J110" i="4"/>
  <c r="H110" i="4" s="1"/>
  <c r="J145" i="4"/>
  <c r="H145" i="4" s="1"/>
  <c r="J95" i="4"/>
  <c r="H95" i="4" s="1"/>
  <c r="G32" i="4"/>
  <c r="O67" i="4"/>
  <c r="W10" i="10" s="1"/>
  <c r="U10" i="10" s="1"/>
  <c r="J106" i="4"/>
  <c r="I129" i="4"/>
  <c r="J79" i="4"/>
  <c r="H79" i="4" s="1"/>
  <c r="I83" i="4"/>
  <c r="I29" i="4"/>
  <c r="J64" i="4"/>
  <c r="H64" i="4" s="1"/>
  <c r="I117" i="4"/>
  <c r="J46" i="4"/>
  <c r="H46" i="4" s="1"/>
  <c r="I2" i="4"/>
  <c r="J61" i="4"/>
  <c r="H61" i="4" s="1"/>
  <c r="I55" i="4"/>
  <c r="I131" i="4"/>
  <c r="I85" i="4"/>
  <c r="J43" i="4"/>
  <c r="H43" i="4" s="1"/>
  <c r="J88" i="4"/>
  <c r="H88" i="4" s="1"/>
  <c r="AL67" i="4"/>
  <c r="P67" i="4" s="1"/>
  <c r="G144" i="4"/>
  <c r="G12" i="4"/>
  <c r="G137" i="4"/>
  <c r="G104" i="4"/>
  <c r="G77" i="4"/>
  <c r="G140" i="4"/>
  <c r="G76" i="4"/>
  <c r="G105" i="4"/>
  <c r="J119" i="4"/>
  <c r="H119" i="4" s="1"/>
  <c r="J75" i="4"/>
  <c r="H75" i="4" s="1"/>
  <c r="J94" i="4"/>
  <c r="H94" i="4" s="1"/>
  <c r="L31" i="4"/>
  <c r="I31" i="4" s="1"/>
  <c r="L7" i="4"/>
  <c r="I7" i="4" s="1"/>
  <c r="J29" i="4"/>
  <c r="H29" i="4" s="1"/>
  <c r="J136" i="4"/>
  <c r="H136" i="4" s="1"/>
  <c r="L43" i="4"/>
  <c r="I43" i="4" s="1"/>
  <c r="J55" i="4"/>
  <c r="H55" i="4" s="1"/>
  <c r="L59" i="4"/>
  <c r="I59" i="4" s="1"/>
  <c r="L61" i="4"/>
  <c r="I61" i="4" s="1"/>
  <c r="J142" i="4"/>
  <c r="H142" i="4" s="1"/>
  <c r="J111" i="4"/>
  <c r="H111" i="4" s="1"/>
  <c r="J53" i="4"/>
  <c r="H53" i="4" s="1"/>
  <c r="J92" i="4"/>
  <c r="H92" i="4" s="1"/>
  <c r="L150" i="4"/>
  <c r="I150" i="4" s="1"/>
  <c r="J28" i="4"/>
  <c r="H28" i="4" s="1"/>
  <c r="L64" i="4"/>
  <c r="I64" i="4" s="1"/>
  <c r="J129" i="4"/>
  <c r="H129" i="4" s="1"/>
  <c r="L110" i="4"/>
  <c r="I110" i="4" s="1"/>
  <c r="L35" i="4"/>
  <c r="I35" i="4" s="1"/>
  <c r="L46" i="4"/>
  <c r="I46" i="4" s="1"/>
  <c r="J71" i="4"/>
  <c r="H71" i="4" s="1"/>
  <c r="J91" i="4"/>
  <c r="H91" i="4" s="1"/>
  <c r="L37" i="4"/>
  <c r="J85" i="4"/>
  <c r="H85" i="4" s="1"/>
  <c r="J74" i="4"/>
  <c r="H74" i="4" s="1"/>
  <c r="P51" i="4"/>
  <c r="J51" i="4" s="1"/>
  <c r="H51" i="4" s="1"/>
  <c r="L145" i="4"/>
  <c r="L72" i="4"/>
  <c r="J58" i="4"/>
  <c r="H58" i="4" s="1"/>
  <c r="J81" i="4"/>
  <c r="H81" i="4" s="1"/>
  <c r="L81" i="4"/>
  <c r="I81" i="4" s="1"/>
  <c r="L107" i="4"/>
  <c r="I107" i="4" s="1"/>
  <c r="J83" i="4"/>
  <c r="H83" i="4" s="1"/>
  <c r="L98" i="4"/>
  <c r="I98" i="4" s="1"/>
  <c r="L17" i="4"/>
  <c r="L106" i="4"/>
  <c r="I106" i="4" s="1"/>
  <c r="L95" i="4"/>
  <c r="I95" i="4" s="1"/>
  <c r="J2" i="4"/>
  <c r="H2" i="4" s="1"/>
  <c r="J117" i="4"/>
  <c r="H117" i="4" s="1"/>
  <c r="J131" i="4"/>
  <c r="H131" i="4" s="1"/>
  <c r="L80" i="4"/>
  <c r="I80" i="4" s="1"/>
  <c r="J80" i="4"/>
  <c r="L79" i="4"/>
  <c r="I79" i="4" s="1"/>
  <c r="L88" i="4"/>
  <c r="I88" i="4" s="1"/>
  <c r="L5" i="4"/>
  <c r="I5" i="4" s="1"/>
  <c r="J5" i="4"/>
  <c r="H5" i="4" s="1"/>
  <c r="L121" i="4"/>
  <c r="J121" i="4"/>
  <c r="L97" i="4"/>
  <c r="I97" i="4" s="1"/>
  <c r="J97" i="4"/>
  <c r="H97" i="4" s="1"/>
  <c r="L100" i="4"/>
  <c r="I100" i="4" s="1"/>
  <c r="J100" i="4"/>
  <c r="H100" i="4" s="1"/>
  <c r="L26" i="4"/>
  <c r="I26" i="4" s="1"/>
  <c r="J26" i="4"/>
  <c r="H26" i="4" s="1"/>
  <c r="L96" i="4"/>
  <c r="I96" i="4" s="1"/>
  <c r="J96" i="4"/>
  <c r="J115" i="4"/>
  <c r="H115" i="4" s="1"/>
  <c r="L115" i="4"/>
  <c r="I115" i="4" s="1"/>
  <c r="L112" i="4"/>
  <c r="I112" i="4" s="1"/>
  <c r="J112" i="4"/>
  <c r="H112" i="4" s="1"/>
  <c r="L109" i="4"/>
  <c r="I109" i="4" s="1"/>
  <c r="J109" i="4"/>
  <c r="H109" i="4" s="1"/>
  <c r="L14" i="4"/>
  <c r="I14" i="4" s="1"/>
  <c r="J14" i="4"/>
  <c r="H14" i="4" s="1"/>
  <c r="L147" i="4"/>
  <c r="I147" i="4" s="1"/>
  <c r="J147" i="4"/>
  <c r="H147" i="4" s="1"/>
  <c r="L99" i="4"/>
  <c r="I99" i="4" s="1"/>
  <c r="J99" i="4"/>
  <c r="H99" i="4" s="1"/>
  <c r="L148" i="4"/>
  <c r="I148" i="4" s="1"/>
  <c r="J148" i="4"/>
  <c r="H148" i="4" s="1"/>
  <c r="J123" i="4"/>
  <c r="H123" i="4" s="1"/>
  <c r="L123" i="4"/>
  <c r="I123" i="4" s="1"/>
  <c r="L11" i="4"/>
  <c r="J11" i="4"/>
  <c r="L69" i="4"/>
  <c r="I69" i="4" s="1"/>
  <c r="J69" i="4"/>
  <c r="H69" i="4" s="1"/>
  <c r="L10" i="4"/>
  <c r="J10" i="4"/>
  <c r="H10" i="4" s="1"/>
  <c r="L133" i="4"/>
  <c r="I133" i="4" s="1"/>
  <c r="J133" i="4"/>
  <c r="H133" i="4" s="1"/>
  <c r="L19" i="4"/>
  <c r="I19" i="4" s="1"/>
  <c r="J19" i="4"/>
  <c r="H19" i="4" s="1"/>
  <c r="J39" i="4"/>
  <c r="H39" i="4" s="1"/>
  <c r="L39" i="4"/>
  <c r="I39" i="4" s="1"/>
  <c r="L20" i="4"/>
  <c r="J20" i="4"/>
  <c r="H20" i="4" s="1"/>
  <c r="L108" i="4"/>
  <c r="I108" i="4" s="1"/>
  <c r="J108" i="4"/>
  <c r="H108" i="4" s="1"/>
  <c r="L70" i="4"/>
  <c r="J70" i="4"/>
  <c r="H70" i="4" s="1"/>
  <c r="J36" i="4"/>
  <c r="H36" i="4" s="1"/>
  <c r="L36" i="4"/>
  <c r="I36" i="4" s="1"/>
  <c r="J102" i="4"/>
  <c r="H102" i="4" s="1"/>
  <c r="L102" i="4"/>
  <c r="I102" i="4" s="1"/>
  <c r="J52" i="4"/>
  <c r="H52" i="4" s="1"/>
  <c r="L52" i="4"/>
  <c r="L65" i="4"/>
  <c r="J65" i="4"/>
  <c r="H65" i="4" s="1"/>
  <c r="L33" i="4"/>
  <c r="I33" i="4" s="1"/>
  <c r="J33" i="4"/>
  <c r="H33" i="4" s="1"/>
  <c r="L56" i="4"/>
  <c r="I56" i="4" s="1"/>
  <c r="J56" i="4"/>
  <c r="H56" i="4" s="1"/>
  <c r="L84" i="4"/>
  <c r="I84" i="4" s="1"/>
  <c r="J84" i="4"/>
  <c r="H84" i="4" s="1"/>
  <c r="L146" i="4"/>
  <c r="I146" i="4" s="1"/>
  <c r="J146" i="4"/>
  <c r="H146" i="4" s="1"/>
  <c r="J125" i="4"/>
  <c r="H125" i="4" s="1"/>
  <c r="L125" i="4"/>
  <c r="I125" i="4" s="1"/>
  <c r="L60" i="4"/>
  <c r="J60" i="4"/>
  <c r="H60" i="4" s="1"/>
  <c r="L128" i="4"/>
  <c r="I128" i="4" s="1"/>
  <c r="J128" i="4"/>
  <c r="H128" i="4" s="1"/>
  <c r="J113" i="4"/>
  <c r="H113" i="4" s="1"/>
  <c r="L113" i="4"/>
  <c r="I113" i="4" s="1"/>
  <c r="I91" i="4" l="1"/>
  <c r="S16" i="8"/>
  <c r="P16" i="8" s="1"/>
  <c r="J16" i="8" s="1"/>
  <c r="I10" i="4"/>
  <c r="I145" i="4"/>
  <c r="I60" i="4"/>
  <c r="X10" i="10"/>
  <c r="R16" i="8"/>
  <c r="Q16" i="8" s="1"/>
  <c r="K16" i="8" s="1"/>
  <c r="I17" i="4"/>
  <c r="I52" i="4"/>
  <c r="I65" i="4"/>
  <c r="R11" i="8"/>
  <c r="Q11" i="8" s="1"/>
  <c r="K11" i="8" s="1"/>
  <c r="I20" i="4"/>
  <c r="I121" i="4"/>
  <c r="I72" i="4"/>
  <c r="K67" i="4"/>
  <c r="S11" i="8"/>
  <c r="P11" i="8" s="1"/>
  <c r="H9" i="8"/>
  <c r="G9" i="8" s="1"/>
  <c r="J9" i="8"/>
  <c r="I9" i="8" s="1"/>
  <c r="H19" i="8"/>
  <c r="G19" i="8" s="1"/>
  <c r="J19" i="8"/>
  <c r="I19" i="8" s="1"/>
  <c r="H15" i="8"/>
  <c r="G15" i="8" s="1"/>
  <c r="J15" i="8"/>
  <c r="I15" i="8" s="1"/>
  <c r="I14" i="8"/>
  <c r="H14" i="8"/>
  <c r="G14" i="8" s="1"/>
  <c r="J17" i="8"/>
  <c r="I17" i="8" s="1"/>
  <c r="H17" i="8"/>
  <c r="G17" i="8" s="1"/>
  <c r="J8" i="8"/>
  <c r="I8" i="8" s="1"/>
  <c r="H8" i="8"/>
  <c r="G8" i="8" s="1"/>
  <c r="J13" i="8"/>
  <c r="I13" i="8" s="1"/>
  <c r="H13" i="8"/>
  <c r="G13" i="8" s="1"/>
  <c r="J18" i="8"/>
  <c r="I18" i="8" s="1"/>
  <c r="H18" i="8"/>
  <c r="G18" i="8" s="1"/>
  <c r="H10" i="8"/>
  <c r="G10" i="8" s="1"/>
  <c r="J10" i="8"/>
  <c r="I10" i="8" s="1"/>
  <c r="H12" i="8"/>
  <c r="G12" i="8" s="1"/>
  <c r="J12" i="8"/>
  <c r="I12" i="8" s="1"/>
  <c r="X8" i="10"/>
  <c r="V8" i="10" s="1"/>
  <c r="W8" i="10"/>
  <c r="U8" i="10" s="1"/>
  <c r="I70" i="4"/>
  <c r="G7" i="10"/>
  <c r="G6" i="10"/>
  <c r="G11" i="10"/>
  <c r="I119" i="4"/>
  <c r="G2" i="10"/>
  <c r="G13" i="10"/>
  <c r="X3" i="10"/>
  <c r="V3" i="10" s="1"/>
  <c r="G9" i="10"/>
  <c r="G4" i="10"/>
  <c r="G12" i="10"/>
  <c r="G5" i="10"/>
  <c r="I11" i="4"/>
  <c r="I37" i="4"/>
  <c r="W3" i="10"/>
  <c r="U3" i="10" s="1"/>
  <c r="H96" i="4"/>
  <c r="F2" i="10"/>
  <c r="E2" i="10" s="1"/>
  <c r="F13" i="10"/>
  <c r="E13" i="10" s="1"/>
  <c r="F11" i="10"/>
  <c r="E11" i="10" s="1"/>
  <c r="F9" i="10"/>
  <c r="E9" i="10" s="1"/>
  <c r="H11" i="4"/>
  <c r="F12" i="10"/>
  <c r="E12" i="10" s="1"/>
  <c r="H121" i="4"/>
  <c r="F5" i="10"/>
  <c r="E5" i="10" s="1"/>
  <c r="H80" i="4"/>
  <c r="F7" i="10"/>
  <c r="E7" i="10" s="1"/>
  <c r="F6" i="10"/>
  <c r="E6" i="10" s="1"/>
  <c r="H150" i="4"/>
  <c r="F4" i="10"/>
  <c r="E4" i="10" s="1"/>
  <c r="H106" i="4"/>
  <c r="G17" i="4"/>
  <c r="G145" i="4"/>
  <c r="G98" i="4"/>
  <c r="G110" i="4"/>
  <c r="G72" i="4"/>
  <c r="G64" i="4"/>
  <c r="G95" i="4"/>
  <c r="G88" i="4"/>
  <c r="G43" i="4"/>
  <c r="G56" i="4"/>
  <c r="G128" i="4"/>
  <c r="G33" i="4"/>
  <c r="G108" i="4"/>
  <c r="G69" i="4"/>
  <c r="G14" i="4"/>
  <c r="G100" i="4"/>
  <c r="G131" i="4"/>
  <c r="G29" i="4"/>
  <c r="G147" i="4"/>
  <c r="G129" i="4"/>
  <c r="G51" i="4"/>
  <c r="G11" i="4"/>
  <c r="G112" i="4"/>
  <c r="G121" i="4"/>
  <c r="G85" i="4"/>
  <c r="G70" i="4"/>
  <c r="G26" i="4"/>
  <c r="G20" i="4"/>
  <c r="G97" i="4"/>
  <c r="G125" i="4"/>
  <c r="G52" i="4"/>
  <c r="G39" i="4"/>
  <c r="G123" i="4"/>
  <c r="G111" i="4"/>
  <c r="G146" i="4"/>
  <c r="G19" i="4"/>
  <c r="G148" i="4"/>
  <c r="G5" i="4"/>
  <c r="G10" i="4"/>
  <c r="G81" i="4"/>
  <c r="G60" i="4"/>
  <c r="G109" i="4"/>
  <c r="G102" i="4"/>
  <c r="G115" i="4"/>
  <c r="G83" i="4"/>
  <c r="G71" i="4"/>
  <c r="G80" i="4"/>
  <c r="G65" i="4"/>
  <c r="G2" i="4"/>
  <c r="G133" i="4"/>
  <c r="G99" i="4"/>
  <c r="G96" i="4"/>
  <c r="G113" i="4"/>
  <c r="G117" i="4"/>
  <c r="G84" i="4"/>
  <c r="G36" i="4"/>
  <c r="G55" i="4"/>
  <c r="L51" i="4"/>
  <c r="I51" i="4" s="1"/>
  <c r="L67" i="4"/>
  <c r="J67" i="4"/>
  <c r="H67" i="4" s="1"/>
  <c r="G119" i="4"/>
  <c r="G47" i="4"/>
  <c r="G126" i="4"/>
  <c r="G15" i="4"/>
  <c r="G62" i="4"/>
  <c r="G130" i="4"/>
  <c r="G50" i="4"/>
  <c r="G38" i="4"/>
  <c r="G58" i="4"/>
  <c r="G6" i="4"/>
  <c r="G37" i="4"/>
  <c r="G46" i="4"/>
  <c r="G54" i="4"/>
  <c r="G27" i="4"/>
  <c r="G16" i="4"/>
  <c r="G9" i="4"/>
  <c r="G59" i="4"/>
  <c r="G93" i="4"/>
  <c r="G90" i="4"/>
  <c r="G28" i="4"/>
  <c r="G94" i="4"/>
  <c r="G87" i="4"/>
  <c r="G141" i="4"/>
  <c r="G34" i="4"/>
  <c r="G42" i="4"/>
  <c r="G136" i="4"/>
  <c r="G73" i="4"/>
  <c r="G153" i="4"/>
  <c r="G92" i="4"/>
  <c r="G40" i="4"/>
  <c r="G142" i="4"/>
  <c r="G86" i="4"/>
  <c r="G63" i="4"/>
  <c r="G61" i="4"/>
  <c r="G150" i="4"/>
  <c r="G91" i="4"/>
  <c r="G79" i="4"/>
  <c r="G106" i="4"/>
  <c r="V10" i="10" l="1"/>
  <c r="G10" i="10" s="1"/>
  <c r="F10" i="10"/>
  <c r="E10" i="10" s="1"/>
  <c r="H16" i="8"/>
  <c r="G16" i="8" s="1"/>
  <c r="I16" i="8"/>
  <c r="I67" i="4"/>
  <c r="H11" i="8"/>
  <c r="G11" i="8" s="1"/>
  <c r="J11" i="8"/>
  <c r="I11" i="8" s="1"/>
  <c r="G8" i="10"/>
  <c r="F8" i="10"/>
  <c r="E8" i="10" s="1"/>
  <c r="G3" i="10"/>
  <c r="F3" i="10"/>
  <c r="E3" i="10" s="1"/>
  <c r="G67" i="4"/>
  <c r="G139" i="4"/>
  <c r="G151" i="4"/>
  <c r="G138" i="4"/>
  <c r="G44" i="4"/>
  <c r="G25" i="4"/>
  <c r="G103" i="4"/>
  <c r="G101" i="4"/>
  <c r="G3" i="4"/>
  <c r="G41" i="4"/>
  <c r="G8" i="4"/>
  <c r="G78" i="4"/>
  <c r="G21" i="4"/>
  <c r="G74" i="4"/>
  <c r="G7" i="4"/>
  <c r="G124" i="4"/>
  <c r="G75" i="4"/>
  <c r="G127" i="4"/>
  <c r="G135" i="4"/>
  <c r="G152" i="4"/>
  <c r="G35" i="4"/>
  <c r="G13" i="4"/>
  <c r="G31" i="4"/>
  <c r="G154" i="4"/>
  <c r="G107" i="4"/>
  <c r="G22" i="4"/>
  <c r="G18" i="4"/>
  <c r="G24" i="4"/>
  <c r="G53" i="4"/>
  <c r="G116" i="4"/>
  <c r="G114" i="4"/>
  <c r="G45" i="4"/>
  <c r="G118" i="4"/>
  <c r="G120" i="4"/>
  <c r="G149" i="4"/>
  <c r="G89" i="4"/>
  <c r="G82" i="4"/>
  <c r="G30" i="4"/>
  <c r="G49" i="4"/>
  <c r="G48" i="4"/>
  <c r="G68" i="4"/>
  <c r="G4" i="4"/>
  <c r="G122" i="4"/>
  <c r="G2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tc={FE1B2A5C-C4FA-5D4D-A10A-7C77421F8463}</author>
    <author>tc={2A59E46F-457E-194A-9F0C-EDB59F64DE66}</author>
    <author>tc={534B1D8A-5A7A-B840-A43F-7BBC39CA0147}</author>
    <author>tc={E5A6DE10-E41E-A645-9DA1-70177D73CD06}</author>
    <author>tc={360F18B5-2B94-2A41-9B05-739339A5D341}</author>
    <author>tc={60391815-DD70-8240-941C-9C2E8DF58647}</author>
    <author>tc={38A52EC0-FB13-C241-8B8D-282902CC6BF5}</author>
    <author>tc={B1FFD1DA-3307-4C47-BCC9-5589A3802FA5}</author>
    <author>tc={628F3C27-1043-F44B-9607-F29099C5D824}</author>
    <author>tc={0BF3AC82-86ED-064E-ACEB-E4602E7E8756}</author>
    <author>tc={E66CB1D0-97C4-E948-A5E5-389874587D2C}</author>
    <author>tc={40AB2175-8D3A-2547-BE72-1261CBA92B0D}</author>
    <author>tc={D274B41F-4AB2-8244-97A1-271DF17C8528}</author>
    <author>tc={F4429B40-6948-CF48-AF58-FCFBA8D900F7}</author>
    <author>tc={BA7EF417-93BF-1C44-89AC-5CFA037B5F63}</author>
    <author>tc={88CAB008-F5C9-B34E-A078-51196227B767}</author>
    <author>tc={1C52D010-3175-DF47-86F8-3C1A4ABFFEF0}</author>
    <author>tc={E5B7BCB4-3856-424B-B7FF-3DBD416DA04F}</author>
    <author>tc={4FB6DDDD-E7B6-8D41-ADB2-3036800752D8}</author>
    <author>tc={10A9C82C-8A1A-6D48-9E75-64BB199EA345}</author>
    <author>tc={AAB23FA5-034F-D94F-BACB-54E3B4C576A1}</author>
    <author>tc={8B63D0D1-C504-914E-BFD9-B07994CE1D3A}</author>
    <author>tc={3C532697-3A7C-8849-BF6E-4186F0FD0F4C}</author>
    <author>tc={58DB5E8B-B920-8A48-9B16-677BDF7F506D}</author>
    <author>tc={ACA4ED75-C4E7-694F-B026-A2469E9796A3}</author>
    <author>tc={41444C48-817C-FE42-89F5-AFA0159E8F9C}</author>
    <author>tc={EC7088F2-A34D-154B-AA3F-421CE2BE4165}</author>
    <author>tc={AAD9ED14-6FEF-D44C-A561-D8DC28CCA1A3}</author>
    <author>tc={AF629ECC-27D0-4C4F-A855-46087EFB5046}</author>
    <author>tc={C6E40FCB-4D1E-C94E-9A94-1CF2FC71B56A}</author>
    <author>tc={E1F816D6-44DD-CE4E-B2EE-903B52F1F7FD}</author>
    <author>tc={0F1E08B6-F3A9-6F4B-83CF-6FDC09DBD059}</author>
    <author>tc={DC4C7090-F396-2E4A-B0B6-6FA874E4A118}</author>
  </authors>
  <commentList>
    <comment ref="H38" authorId="0" shapeId="0" xr:uid="{FE1B2A5C-C4FA-5D4D-A10A-7C77421F8463}">
      <text>
        <t>[Threaded comment]
Your version of Excel allows you to read this threaded comment; however, any edits to it will get removed if the file is opened in a newer version of Excel. Learn more: https://go.microsoft.com/fwlink/?linkid=870924
Comment:
    Change to operational</t>
      </text>
    </comment>
    <comment ref="A121" authorId="1" shapeId="0" xr:uid="{2A59E46F-457E-194A-9F0C-EDB59F64DE66}">
      <text>
        <t>[Threaded comment]
Your version of Excel allows you to read this threaded comment; however, any edits to it will get removed if the file is opened in a newer version of Excel. Learn more: https://go.microsoft.com/fwlink/?linkid=870924
Comment:
    Good article for RA within PhD</t>
      </text>
    </comment>
    <comment ref="A167" authorId="2" shapeId="0" xr:uid="{534B1D8A-5A7A-B840-A43F-7BBC39CA0147}">
      <text>
        <t>[Threaded comment]
Your version of Excel allows you to read this threaded comment; however, any edits to it will get removed if the file is opened in a newer version of Excel. Learn more: https://go.microsoft.com/fwlink/?linkid=870924
Comment:
    ALREADY COMPLETED</t>
      </text>
    </comment>
    <comment ref="A250" authorId="3" shapeId="0" xr:uid="{E5A6DE10-E41E-A645-9DA1-70177D73CD06}">
      <text>
        <t>[Threaded comment]
Your version of Excel allows you to read this threaded comment; however, any edits to it will get removed if the file is opened in a newer version of Excel. Learn more: https://go.microsoft.com/fwlink/?linkid=870924
Comment:
    USES TEXT MINING</t>
      </text>
    </comment>
    <comment ref="A257" authorId="4" shapeId="0" xr:uid="{360F18B5-2B94-2A41-9B05-739339A5D341}">
      <text>
        <t>[Threaded comment]
Your version of Excel allows you to read this threaded comment; however, any edits to it will get removed if the file is opened in a newer version of Excel. Learn more: https://go.microsoft.com/fwlink/?linkid=870924
Comment:
    Uses cause consequence and text mining</t>
      </text>
    </comment>
    <comment ref="F307" authorId="5" shapeId="0" xr:uid="{60391815-DD70-8240-941C-9C2E8DF58647}">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08" authorId="6" shapeId="0" xr:uid="{38A52EC0-FB13-C241-8B8D-282902CC6BF5}">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09" authorId="7" shapeId="0" xr:uid="{B1FFD1DA-3307-4C47-BCC9-5589A3802FA5}">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10" authorId="8" shapeId="0" xr:uid="{628F3C27-1043-F44B-9607-F29099C5D824}">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11" authorId="9" shapeId="0" xr:uid="{0BF3AC82-86ED-064E-ACEB-E4602E7E8756}">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12" authorId="10" shapeId="0" xr:uid="{E66CB1D0-97C4-E948-A5E5-389874587D2C}">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13" authorId="11" shapeId="0" xr:uid="{40AB2175-8D3A-2547-BE72-1261CBA92B0D}">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14" authorId="12" shapeId="0" xr:uid="{D274B41F-4AB2-8244-97A1-271DF17C8528}">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15" authorId="13" shapeId="0" xr:uid="{F4429B40-6948-CF48-AF58-FCFBA8D900F7}">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16" authorId="14" shapeId="0" xr:uid="{BA7EF417-93BF-1C44-89AC-5CFA037B5F63}">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17" authorId="15" shapeId="0" xr:uid="{88CAB008-F5C9-B34E-A078-51196227B767}">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18" authorId="16" shapeId="0" xr:uid="{1C52D010-3175-DF47-86F8-3C1A4ABFFEF0}">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19" authorId="17" shapeId="0" xr:uid="{E5B7BCB4-3856-424B-B7FF-3DBD416DA04F}">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20" authorId="18" shapeId="0" xr:uid="{4FB6DDDD-E7B6-8D41-ADB2-3036800752D8}">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21" authorId="19" shapeId="0" xr:uid="{10A9C82C-8A1A-6D48-9E75-64BB199EA345}">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22" authorId="20" shapeId="0" xr:uid="{AAB23FA5-034F-D94F-BACB-54E3B4C576A1}">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23" authorId="21" shapeId="0" xr:uid="{8B63D0D1-C504-914E-BFD9-B07994CE1D3A}">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24" authorId="22" shapeId="0" xr:uid="{3C532697-3A7C-8849-BF6E-4186F0FD0F4C}">
      <text>
        <t>[Threaded comment]
Your version of Excel allows you to read this threaded comment; however, any edits to it will get removed if the file is opened in a newer version of Excel. Learn more: https://go.microsoft.com/fwlink/?linkid=870924
Comment:
    READ OVERR LOTS.. good info on frequency</t>
      </text>
    </comment>
    <comment ref="F334" authorId="23" shapeId="0" xr:uid="{58DB5E8B-B920-8A48-9B16-677BDF7F506D}">
      <text>
        <t>[Threaded comment]
Your version of Excel allows you to read this threaded comment; however, any edits to it will get removed if the file is opened in a newer version of Excel. Learn more: https://go.microsoft.com/fwlink/?linkid=870924
Comment:
    Prioritization of risks</t>
      </text>
    </comment>
    <comment ref="F335" authorId="24" shapeId="0" xr:uid="{ACA4ED75-C4E7-694F-B026-A2469E9796A3}">
      <text>
        <t>[Threaded comment]
Your version of Excel allows you to read this threaded comment; however, any edits to it will get removed if the file is opened in a newer version of Excel. Learn more: https://go.microsoft.com/fwlink/?linkid=870924
Comment:
    Prioritization of risks</t>
      </text>
    </comment>
    <comment ref="F336" authorId="25" shapeId="0" xr:uid="{41444C48-817C-FE42-89F5-AFA0159E8F9C}">
      <text>
        <t>[Threaded comment]
Your version of Excel allows you to read this threaded comment; however, any edits to it will get removed if the file is opened in a newer version of Excel. Learn more: https://go.microsoft.com/fwlink/?linkid=870924
Comment:
    Prioritization of risks</t>
      </text>
    </comment>
    <comment ref="F337" authorId="26" shapeId="0" xr:uid="{EC7088F2-A34D-154B-AA3F-421CE2BE4165}">
      <text>
        <t>[Threaded comment]
Your version of Excel allows you to read this threaded comment; however, any edits to it will get removed if the file is opened in a newer version of Excel. Learn more: https://go.microsoft.com/fwlink/?linkid=870924
Comment:
    Prioritization of risks</t>
      </text>
    </comment>
    <comment ref="F338" authorId="27" shapeId="0" xr:uid="{AAD9ED14-6FEF-D44C-A561-D8DC28CCA1A3}">
      <text>
        <t>[Threaded comment]
Your version of Excel allows you to read this threaded comment; however, any edits to it will get removed if the file is opened in a newer version of Excel. Learn more: https://go.microsoft.com/fwlink/?linkid=870924
Comment:
    Prioritization of risks</t>
      </text>
    </comment>
    <comment ref="F339" authorId="28" shapeId="0" xr:uid="{AF629ECC-27D0-4C4F-A855-46087EFB5046}">
      <text>
        <t>[Threaded comment]
Your version of Excel allows you to read this threaded comment; however, any edits to it will get removed if the file is opened in a newer version of Excel. Learn more: https://go.microsoft.com/fwlink/?linkid=870924
Comment:
    Prioritization of risks</t>
      </text>
    </comment>
    <comment ref="F340" authorId="29" shapeId="0" xr:uid="{C6E40FCB-4D1E-C94E-9A94-1CF2FC71B56A}">
      <text>
        <t>[Threaded comment]
Your version of Excel allows you to read this threaded comment; however, any edits to it will get removed if the file is opened in a newer version of Excel. Learn more: https://go.microsoft.com/fwlink/?linkid=870924
Comment:
    Prioritization of risks</t>
      </text>
    </comment>
    <comment ref="F341" authorId="30" shapeId="0" xr:uid="{E1F816D6-44DD-CE4E-B2EE-903B52F1F7FD}">
      <text>
        <t>[Threaded comment]
Your version of Excel allows you to read this threaded comment; however, any edits to it will get removed if the file is opened in a newer version of Excel. Learn more: https://go.microsoft.com/fwlink/?linkid=870924
Comment:
    Prioritization of risks</t>
      </text>
    </comment>
    <comment ref="F342" authorId="31" shapeId="0" xr:uid="{0F1E08B6-F3A9-6F4B-83CF-6FDC09DBD059}">
      <text>
        <t>[Threaded comment]
Your version of Excel allows you to read this threaded comment; however, any edits to it will get removed if the file is opened in a newer version of Excel. Learn more: https://go.microsoft.com/fwlink/?linkid=870924
Comment:
    Prioritization of risks</t>
      </text>
    </comment>
    <comment ref="A688" authorId="32" shapeId="0" xr:uid="{DC4C7090-F396-2E4A-B0B6-6FA874E4A118}">
      <text>
        <t>[Threaded comment]
Your version of Excel allows you to read this threaded comment; however, any edits to it will get removed if the file is opened in a newer version of Excel. Learn more: https://go.microsoft.com/fwlink/?linkid=870924
Comment:
    Use for definitions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tc={CC99E112-726B-CC45-9713-FD5876234991}</author>
  </authors>
  <commentList>
    <comment ref="AJ1" authorId="0" shapeId="0" xr:uid="{CC99E112-726B-CC45-9713-FD5876234991}">
      <text>
        <t>[Threaded comment]
Your version of Excel allows you to read this threaded comment; however, any edits to it will get removed if the file is opened in a newer version of Excel. Learn more: https://go.microsoft.com/fwlink/?linkid=870924
Comment:
    Lower the DD score, higher DD ratings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tc={D7B725F5-111F-A74C-BAD2-2A54AC776125}</author>
  </authors>
  <commentList>
    <comment ref="B115" authorId="0" shapeId="0" xr:uid="{D7B725F5-111F-A74C-BAD2-2A54AC776125}">
      <text>
        <t>[Threaded comment]
Your version of Excel allows you to read this threaded comment; however, any edits to it will get removed if the file is opened in a newer version of Excel. Learn more: https://go.microsoft.com/fwlink/?linkid=870924
Comment:
    Change to operational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<sst xmlns="http://schemas.openxmlformats.org/spreadsheetml/2006/main" count="18795" uniqueCount="2753">
  <si>
    <t>article_code</t>
  </si>
  <si>
    <t>source</t>
  </si>
  <si>
    <t>first_author</t>
  </si>
  <si>
    <t>DOI</t>
  </si>
  <si>
    <t>cause_direct_indirect</t>
  </si>
  <si>
    <t>conseq_direct_indirect</t>
  </si>
  <si>
    <t>controls</t>
  </si>
  <si>
    <t>risk_id</t>
  </si>
  <si>
    <t>R001</t>
  </si>
  <si>
    <t>Sheet Name</t>
  </si>
  <si>
    <t>Coloumn Name</t>
  </si>
  <si>
    <t>FMECA_data</t>
  </si>
  <si>
    <t>cause_consequence_rating</t>
  </si>
  <si>
    <t>Value Description</t>
  </si>
  <si>
    <t>Breakdown of each sheet coloumn and values</t>
  </si>
  <si>
    <t>How to navigate this document:</t>
  </si>
  <si>
    <t>ReadMe Document - FMECA Analysis</t>
  </si>
  <si>
    <t>VERY HIGH</t>
  </si>
  <si>
    <t>HIGH</t>
  </si>
  <si>
    <t>MODERATE</t>
  </si>
  <si>
    <t>UNDETECTABLE</t>
  </si>
  <si>
    <t>DATA DEFFICIENT</t>
  </si>
  <si>
    <t>Description</t>
  </si>
  <si>
    <t>Score</t>
  </si>
  <si>
    <t>ALMOST CERTAIN</t>
  </si>
  <si>
    <t>REMOTE</t>
  </si>
  <si>
    <t>Note - Alphabetical characters that are capitalized will indicate cohesion (50% or more draw similar conclusions) between data sources, whereas alphabetical characters with a lowercase will indicate descrepencies between the data sources.</t>
  </si>
  <si>
    <t>HazardRisk_name</t>
  </si>
  <si>
    <t>HazardRisk_id</t>
  </si>
  <si>
    <t>HazardRisk_desc</t>
  </si>
  <si>
    <t>data_PrelimTotals</t>
  </si>
  <si>
    <t>category</t>
  </si>
  <si>
    <t>HazardRisk</t>
  </si>
  <si>
    <t>A-1001</t>
  </si>
  <si>
    <t>R002</t>
  </si>
  <si>
    <t>R003</t>
  </si>
  <si>
    <t>Extra space for possible data</t>
  </si>
  <si>
    <t>query</t>
  </si>
  <si>
    <t>journal publication DOI</t>
  </si>
  <si>
    <t>Name of the first author on the publication</t>
  </si>
  <si>
    <t>Query search terms used to find publication</t>
  </si>
  <si>
    <t>Defining each hazard/risk via broad category (i.e. Economic, Environmental, Social, …)</t>
  </si>
  <si>
    <t>Unique identifier to find when searching data files</t>
  </si>
  <si>
    <t xml:space="preserve">Where did the data come from (Part A or Part B) </t>
  </si>
  <si>
    <t>A-1002</t>
  </si>
  <si>
    <t>A-1003</t>
  </si>
  <si>
    <t>A-1004</t>
  </si>
  <si>
    <t>A-1005</t>
  </si>
  <si>
    <t>A-1006</t>
  </si>
  <si>
    <t>A-1007</t>
  </si>
  <si>
    <t>A-1008</t>
  </si>
  <si>
    <t>A-1009</t>
  </si>
  <si>
    <t>A-1010</t>
  </si>
  <si>
    <t>A-1011</t>
  </si>
  <si>
    <t>A-1012</t>
  </si>
  <si>
    <t>A-1013</t>
  </si>
  <si>
    <t>A-1014</t>
  </si>
  <si>
    <t>A-1015</t>
  </si>
  <si>
    <t>A-1016</t>
  </si>
  <si>
    <t>A-1017</t>
  </si>
  <si>
    <t>A-1018</t>
  </si>
  <si>
    <t>article_title</t>
  </si>
  <si>
    <t>Title of academic publication</t>
  </si>
  <si>
    <t>Part A: Natural Language Processing</t>
  </si>
  <si>
    <t>A legal regime for the Arctic?: Interplay with the Law of the Sea Convention</t>
  </si>
  <si>
    <t>doi.org/10.1016/j.marpol.2006.10.002</t>
  </si>
  <si>
    <t>Olav Schram Stokke</t>
  </si>
  <si>
    <t>arctic council</t>
  </si>
  <si>
    <t>YEAR-ROUND SHIPPING IN THE CANADIAN ARCTIC: ICE CONDITIONS AND REGULATORY REQUIREMENTS</t>
  </si>
  <si>
    <t>Proactive environmental planning for emerging shipping routes in Arctic waters</t>
  </si>
  <si>
    <t xml:space="preserve">https://doi-org.proxy.bib.uottawa.ca/10.1007/BF03195115
https://doi-org.proxy.bib.uottawa.ca/10.1007/BF03195115
https://doi-org.proxy.bib.uottawa.ca/10.1007/BF03195115
</t>
  </si>
  <si>
    <t>Ivana Kubat</t>
  </si>
  <si>
    <t>Julian Roberts</t>
  </si>
  <si>
    <t>arctic shipping</t>
  </si>
  <si>
    <t>doi.org/10.1057/palgrave.mel.9100185</t>
  </si>
  <si>
    <t>Feasibility of a Sea Route through the Canadian Arctic</t>
  </si>
  <si>
    <t>Saran Somanathan</t>
  </si>
  <si>
    <t>doi.org/10.1017/S0032247407007127</t>
  </si>
  <si>
    <t>Arctic shipping guidelines: towards a legal regime for navigation safety and environmental protection?</t>
  </si>
  <si>
    <t>Øystein Jensen</t>
  </si>
  <si>
    <t>doi.org/10.1080/08920750802398735</t>
  </si>
  <si>
    <t>The Arctic Shipping and Environmental Management Agreement: A Regime for Marine Pollution</t>
  </si>
  <si>
    <t>DOI: 10.1163/157180809X421699</t>
  </si>
  <si>
    <t>The Growth of International Shipping in the Arctic: Is a Regulatory Review Timely?</t>
  </si>
  <si>
    <t>Diana Pietri</t>
  </si>
  <si>
    <t>Aldo Chircop</t>
  </si>
  <si>
    <t>doi.org/10.1111/j.1468-2346.2009.00858.x</t>
  </si>
  <si>
    <t>The geopolitics of Arctic melt</t>
  </si>
  <si>
    <t>Charles Ebinger</t>
  </si>
  <si>
    <t>https://doi.org/10.1016/j.marpol.2009.10.009</t>
  </si>
  <si>
    <t>The implications of Arctic sea ice decline on shipping</t>
  </si>
  <si>
    <t>doi.org/10.5194/acp-10-9689-2010</t>
  </si>
  <si>
    <t>Arctic shipping emissions inventories and future scenarios</t>
  </si>
  <si>
    <t>doi:10.5194/acp-11-5305-2011</t>
  </si>
  <si>
    <t>Future emissions from shipping and petroleum activities in the Arctic</t>
  </si>
  <si>
    <t>Joshua Ho</t>
  </si>
  <si>
    <t>J. J. Corbett</t>
  </si>
  <si>
    <t>G. P. Peters</t>
  </si>
  <si>
    <t>https://doi.org/10.1080/1088937X.2012.666768</t>
  </si>
  <si>
    <t>Policies and practicalities of shipping in arctic waters: Inuit perspectives from Cape Dorset, Nunavut</t>
  </si>
  <si>
    <t>Karen E. Kelley</t>
  </si>
  <si>
    <t>doi.org/10.1073/pnas.121421211</t>
  </si>
  <si>
    <t>New Trans-Arctic shipping routes navigable by midcentury</t>
  </si>
  <si>
    <t>doi:10.1002/grl.50876</t>
  </si>
  <si>
    <t>doi.org/10.1007/978-3-642-38595-7_6</t>
  </si>
  <si>
    <t>Status and Reform of International Arctic Shipping Law</t>
  </si>
  <si>
    <t>Laurence Smith</t>
  </si>
  <si>
    <t>Jo Browse</t>
  </si>
  <si>
    <t>Erik J. Molenaar</t>
  </si>
  <si>
    <t>doi.org/10.1038/nclimate2244</t>
  </si>
  <si>
    <t>Arctic shipping and marine invaders</t>
  </si>
  <si>
    <t>A. Whitman Miller</t>
  </si>
  <si>
    <t>doi.org/10.1115/OMAE2014-23112</t>
  </si>
  <si>
    <t>Scenario Based Risk Management for Arctic Shipping and Operations</t>
  </si>
  <si>
    <t>doi:10.1017/S0032247414000552</t>
  </si>
  <si>
    <t>Arctic shipping insurance: towards a harmonisation of practices and costs?</t>
  </si>
  <si>
    <t>Sören Ehlers</t>
  </si>
  <si>
    <t>Aurélie Sarrabezoles</t>
  </si>
  <si>
    <t>A-1019</t>
  </si>
  <si>
    <t>A-1020</t>
  </si>
  <si>
    <t>A-1021</t>
  </si>
  <si>
    <t>A-1022</t>
  </si>
  <si>
    <t>doi.org/10.1002/2015EF000317</t>
  </si>
  <si>
    <t>Influence of climate model variability on projected Arctic shipping futures</t>
  </si>
  <si>
    <t>doi.org/10.1080/18366503.2015.1093695</t>
  </si>
  <si>
    <t>The emergence of Arctic shipping: issues, threats, costs, and risk-mitigating strategies of the Polar Code</t>
  </si>
  <si>
    <t>doi.org/10.1017/S0032247413000958</t>
  </si>
  <si>
    <t>Simulations of shipping along Arctic routes: comparison, analysis and economic perspectives</t>
  </si>
  <si>
    <t>Scott R. Stephenson</t>
  </si>
  <si>
    <t>Samrat Ghosh</t>
  </si>
  <si>
    <t>Frédéric Lasserre</t>
  </si>
  <si>
    <t>DOI: http://dx.doi.org/10.25607/OBP-1733</t>
  </si>
  <si>
    <t>Prevalence of heavy fuel oil and black carbon in Arctic shipping, 2015 to 2025.</t>
  </si>
  <si>
    <t>Bryan Comer</t>
  </si>
  <si>
    <t>doi.org/10.1016/j.marpolbul.2017.09.027</t>
  </si>
  <si>
    <t>Potential impacts of shipping noise on marine mammals in the western Canadian Arctic</t>
  </si>
  <si>
    <t>doi:10.12716/1001.12.01.12</t>
  </si>
  <si>
    <t>Arctic Shipping and Risks: Emergency Categories and Response Capacities</t>
  </si>
  <si>
    <t>A-1024</t>
  </si>
  <si>
    <t>A-1025</t>
  </si>
  <si>
    <t>A-1026</t>
  </si>
  <si>
    <t>A-1027</t>
  </si>
  <si>
    <t>A-1028</t>
  </si>
  <si>
    <t>A-1029</t>
  </si>
  <si>
    <t>A-1030</t>
  </si>
  <si>
    <t>A-1031</t>
  </si>
  <si>
    <t>A-1032</t>
  </si>
  <si>
    <t>A-1033</t>
  </si>
  <si>
    <t>A-1034</t>
  </si>
  <si>
    <t>A-1035</t>
  </si>
  <si>
    <t>A-1036</t>
  </si>
  <si>
    <t>A-1037</t>
  </si>
  <si>
    <t>A-1038</t>
  </si>
  <si>
    <t>A-1039</t>
  </si>
  <si>
    <t>A-1040</t>
  </si>
  <si>
    <t>A-1041</t>
  </si>
  <si>
    <t>A-1042</t>
  </si>
  <si>
    <t>A-1043</t>
  </si>
  <si>
    <t>A-1044</t>
  </si>
  <si>
    <t>A-1045</t>
  </si>
  <si>
    <t>A-1046</t>
  </si>
  <si>
    <t>A-1047</t>
  </si>
  <si>
    <t>A-1048</t>
  </si>
  <si>
    <t>A-1049</t>
  </si>
  <si>
    <t>A-1050</t>
  </si>
  <si>
    <t>A-1051</t>
  </si>
  <si>
    <t>A-1052</t>
  </si>
  <si>
    <t>A-1053</t>
  </si>
  <si>
    <t>A-1054</t>
  </si>
  <si>
    <t>A-1055</t>
  </si>
  <si>
    <t>A-1056</t>
  </si>
  <si>
    <t>A-1057</t>
  </si>
  <si>
    <t>A-1058</t>
  </si>
  <si>
    <t>A-1059</t>
  </si>
  <si>
    <t>A-1060</t>
  </si>
  <si>
    <t>A-1061</t>
  </si>
  <si>
    <t>A-1062</t>
  </si>
  <si>
    <t>A-1063</t>
  </si>
  <si>
    <t>A-1064</t>
  </si>
  <si>
    <t>William D. Halliday</t>
  </si>
  <si>
    <t>Nataliya Marchenko</t>
  </si>
  <si>
    <t>doi.org/10.14430/arctic4698</t>
  </si>
  <si>
    <t>Temporal and Spatial Patterns of Ship Traffic in the Canadian Arctic from 1990 to 2015</t>
  </si>
  <si>
    <t>doi.org/10.1016/j.jclepro.2019.118261</t>
  </si>
  <si>
    <t>Reducing black carbon emissions from Arctic shipping: Solutions and policy implications</t>
  </si>
  <si>
    <t>doi.org/10.1080/23311886.2019.1609189</t>
  </si>
  <si>
    <t>Community perspectives on the environmental impacts of Arctic shipping: Case studies from Russia, Norway and Canada</t>
  </si>
  <si>
    <t>doi.org/10.1080/00908320.2019.1617932</t>
  </si>
  <si>
    <t>Between the Polar Code and Article 234: The Balance in Canada’s Arctic Shipping Safety and Pollution Prevention Regulations</t>
  </si>
  <si>
    <t>doi.org/10.1080/20464177.2019.1672419</t>
  </si>
  <si>
    <t>A risk-based approach for determining the future potential of commercial shipping in the Arctic</t>
  </si>
  <si>
    <t>doi.org/10.3390/app10082937</t>
  </si>
  <si>
    <t>A Framework for Integrating Life-Safety and Environmental Consequences into Conventional Arctic Shipping Risk Models</t>
  </si>
  <si>
    <t>doi.org/10.1016/B978-0-12-819134-7.00010-1</t>
  </si>
  <si>
    <t>Chapter 9 - Navigational risk factor analysis of Arctic shipping in ice-covered waters</t>
  </si>
  <si>
    <t>doi.org/10.1016/B978-0-12-819134-7.00011-3</t>
  </si>
  <si>
    <t>Chapter 10 - Assessing the risk of potential oil spills in the Arctic due to shipping</t>
  </si>
  <si>
    <t>doi.org/10.1016/B978-0-12-819134-7.00012-5</t>
  </si>
  <si>
    <t>Chapter 11 - Future Arctic shipping, black carbon emissions, and climate change</t>
  </si>
  <si>
    <t>Jackie Dawson</t>
  </si>
  <si>
    <t>Qiang Zhang</t>
  </si>
  <si>
    <t>Julia Olsen</t>
  </si>
  <si>
    <t>Kristin Bartenstein</t>
  </si>
  <si>
    <t>Mads Christensen</t>
  </si>
  <si>
    <t>Thomas Browne</t>
  </si>
  <si>
    <t>Mingyang Zhang</t>
  </si>
  <si>
    <t>Mawuli Afenyo</t>
  </si>
  <si>
    <t>Steven Messner</t>
  </si>
  <si>
    <t>doi.org/10.1016/j.ssci.2021.105254</t>
  </si>
  <si>
    <t>Arctic shipping risk management: A bibliometric analysis and a systematic review of risk influencing factors of navigational accidents</t>
  </si>
  <si>
    <t>doi.org/10.1016/j.ocecoaman.2021.105531</t>
  </si>
  <si>
    <t>CO2 emission projection for Arctic shipping: A system dynamics approach</t>
  </si>
  <si>
    <t>doi.org/10.1080/03088839.2021.1990427</t>
  </si>
  <si>
    <t>Implications of Arctic shipping emissions for marine environment</t>
  </si>
  <si>
    <t>doi.org/10.1111/risa.13773</t>
  </si>
  <si>
    <t>A Multiperiod Model for Assessing the Socioeconomic Impacts of Oil Spills during Arctic Shipping</t>
  </si>
  <si>
    <t>doi.org/10.1007/s12517-021-07782-0</t>
  </si>
  <si>
    <t>Management of environmental streaming data to optimize Arctic shipping routes</t>
  </si>
  <si>
    <t>doi.org/10.1016/j.ress.2022.108706</t>
  </si>
  <si>
    <t>A framework for quantitative analysis of the causation of grounding accidents in arctic shipping</t>
  </si>
  <si>
    <t>Shanshan Fu</t>
  </si>
  <si>
    <t>Danyue Jing</t>
  </si>
  <si>
    <t>Qiong Chen</t>
  </si>
  <si>
    <t>Zhihua Zhang</t>
  </si>
  <si>
    <t>doi.org/10.1016/j.marpol.2021.104839</t>
  </si>
  <si>
    <t>A method for evaluating operational implications of regulatory constraints on Arctic shipping</t>
  </si>
  <si>
    <t>doi.org/10.1080/03088839.2022.2061059</t>
  </si>
  <si>
    <t>Developing a resilience index for safer and more resilient arctic shipping</t>
  </si>
  <si>
    <t>Roozbeh Panahi</t>
  </si>
  <si>
    <t>doi.org/10.1016/j.marpol.2023.105647</t>
  </si>
  <si>
    <t>Socio-economic impacts of shipping along the Northwest Passage: The cost to locals</t>
  </si>
  <si>
    <t>doi.org/10.1016/j.oceaneng.2020.107205</t>
  </si>
  <si>
    <t>Dynamic risk assessment of natural environment based on Dynamic Bayesian Network for key nodes of the arctic Northwest Passage</t>
  </si>
  <si>
    <t>doi.org/10.1016/j.tra.2014.05.005</t>
  </si>
  <si>
    <t>Case studies of shipping along Arctic routes. Analysis and profitability perspectives for the container sector</t>
  </si>
  <si>
    <t>Shengda Zhu</t>
  </si>
  <si>
    <t>Heng Qian</t>
  </si>
  <si>
    <t>northwest passage</t>
  </si>
  <si>
    <t>https://nrc-publications.canada.ca/eng/view/object/?id=e25a3403-c93b-4c34-bee5-0a63df709e52</t>
  </si>
  <si>
    <t>Spatial match analysis of multiple factors in the geopolitical environment of the Arctic Passage.</t>
  </si>
  <si>
    <t>Impact of CO2 emission taxation and fuel types on Arctic shipping attractiveness</t>
  </si>
  <si>
    <t>doi.org/10.1371/journal.pone.0270262</t>
  </si>
  <si>
    <t>doi.org/10.1016/j.trd.2022.103491</t>
  </si>
  <si>
    <t>Chunjuan Wang</t>
  </si>
  <si>
    <t>Ali Cheaitou</t>
  </si>
  <si>
    <t>arctic passage</t>
  </si>
  <si>
    <t>Economic savings linked to future Arctic shipping trade are at odds with climate change mitigation</t>
  </si>
  <si>
    <t>Haakan Lindstad</t>
  </si>
  <si>
    <t>doi.org/10.1016/j.tranpol.2015.09.002</t>
  </si>
  <si>
    <t>arctic icebreaker</t>
  </si>
  <si>
    <t>The adhesive behavior of the polyethylene component in the "GP-ice" for studying the ice propulsion of the promising Arctic icebreakers</t>
  </si>
  <si>
    <t>Factors of technological development of the Northern Sea Route</t>
  </si>
  <si>
    <t>Valeri Zuev</t>
  </si>
  <si>
    <t>Iu Guzov</t>
  </si>
  <si>
    <t>doi.org/10.1088/1755-1315/678/1/012024</t>
  </si>
  <si>
    <t>doi.org/10.1088/1755-1315/678/1/012021</t>
  </si>
  <si>
    <t>Beaufort Sea energy production and environmental protection</t>
  </si>
  <si>
    <t>Ice thickness in the Northwest Passage</t>
  </si>
  <si>
    <t>Hydrocarbon biodegradation by Arctic sea-ice and sub-ice microbial communities during microcosm experiments, Northwest Passage (Nunavut, Canada)</t>
  </si>
  <si>
    <t>The Northwest Passage: A simulation</t>
  </si>
  <si>
    <t>Multi-Year Sea Ice Conditions in the Northwest Passage: 1968–2020</t>
  </si>
  <si>
    <t>Vulnerability of Arctic marine mammals to vessel traffic in the increasingly ice-free Northwest Passage and Northern Sea Route</t>
  </si>
  <si>
    <t>Development of a search and rescue framework for maritime freight shipping in the Arctic</t>
  </si>
  <si>
    <t>Richard A.W. Hoos</t>
  </si>
  <si>
    <t>Christian Haas</t>
  </si>
  <si>
    <t>Marie-Eve Garneau</t>
  </si>
  <si>
    <t>Stephen Howell</t>
  </si>
  <si>
    <t>Donna Hausser</t>
  </si>
  <si>
    <t>Lukas Benz</t>
  </si>
  <si>
    <t>https://doi-org.proxy.bib.uottawa.ca/10.1080/07055900.2022.2136061</t>
  </si>
  <si>
    <t>https://doi-org.proxy.bib.uottawa.ca/10.1073/pnas.1803543115</t>
  </si>
  <si>
    <t>doi.org/10.1016/0165-232X(83)90077-0</t>
  </si>
  <si>
    <t>doi.org.proxy.bib.uottawa.ca/10.1093/femsec/fiw130</t>
  </si>
  <si>
    <t>doi.org/10.1016/j.tra.2008.08.001</t>
  </si>
  <si>
    <t>doi.org/10.1016/j.tra.2021.07.006</t>
  </si>
  <si>
    <t>An Economic Analysis of Container Shipping Through Canadian Northwest Passage</t>
  </si>
  <si>
    <t>The Northwest Passage in the Arctic: A Brief Assessment of the Relevant Marine Transportation System and Current Availability of Search and Rescue Services</t>
  </si>
  <si>
    <t>Dongqin Lu</t>
  </si>
  <si>
    <t>Rebecca Sheehan</t>
  </si>
  <si>
    <t>Risk Assessment of Ship Navigation in the Northwest Passage: Historical and Projection</t>
  </si>
  <si>
    <t>Variation of sea ice and perspectives of the Northwest Passage in the Arctic Ocean</t>
  </si>
  <si>
    <t>Chuya Wang</t>
  </si>
  <si>
    <t>Jin-Lei Chen</t>
  </si>
  <si>
    <t>A-1065</t>
  </si>
  <si>
    <t>A-1066</t>
  </si>
  <si>
    <t>A-1067</t>
  </si>
  <si>
    <t>A-1068</t>
  </si>
  <si>
    <t>A-1069</t>
  </si>
  <si>
    <t>Changes in shipping navigability in the Canadian Arctic between 1972 and 2016</t>
  </si>
  <si>
    <t>Modelling GPS Positioning Performance in Northwest Passage during Extreme Space Weather Conditions</t>
  </si>
  <si>
    <t>Luke Copland</t>
  </si>
  <si>
    <t>Darko Špoljar</t>
  </si>
  <si>
    <t>Analysis of Changing Levels of Ice Strengthening (Ice Class) among Vessels Operating in the Canadian Arctic over the Past 30 Years.</t>
  </si>
  <si>
    <t>The Polar Code and Canada’s regulations on Arctic navigation: shipping companies’ perceptions of the new legal environment</t>
  </si>
  <si>
    <t>Pauline Pic</t>
  </si>
  <si>
    <t>The opening of the Transpolar Sea Route: Logistical, geopolitical, environmental, and socioeconomic impacts</t>
  </si>
  <si>
    <t>Mia Bennett</t>
  </si>
  <si>
    <t>Arctic Ice Ocean Prediction System: evaluating sea-ice forecasts during Xuelong's first trans-Arctic Passage in summer 2017</t>
  </si>
  <si>
    <t>Longjiang Mu</t>
  </si>
  <si>
    <t>Projected changes in sea ice and the navigability of the Arctic Passages under global warming of 2 ℃ and 3 ℃</t>
  </si>
  <si>
    <t>Environmental and Economic Analysis on Sailing from Taiwan through Arctic Passages</t>
  </si>
  <si>
    <t>Jinlei Chen</t>
  </si>
  <si>
    <t>Po-Hung Chen</t>
  </si>
  <si>
    <t>Part B: Keywords Search</t>
  </si>
  <si>
    <t>A-1070</t>
  </si>
  <si>
    <t>A-1071</t>
  </si>
  <si>
    <t>A-1072</t>
  </si>
  <si>
    <t>A-1073</t>
  </si>
  <si>
    <t>A-1074</t>
  </si>
  <si>
    <t>A-1075</t>
  </si>
  <si>
    <t>A-1076</t>
  </si>
  <si>
    <t>A-1077</t>
  </si>
  <si>
    <t>A-1078</t>
  </si>
  <si>
    <t>A-1079</t>
  </si>
  <si>
    <t>A-1080</t>
  </si>
  <si>
    <t>A-1081</t>
  </si>
  <si>
    <t>A-1082</t>
  </si>
  <si>
    <t>A-1083</t>
  </si>
  <si>
    <t>A-1084</t>
  </si>
  <si>
    <t>A-1085</t>
  </si>
  <si>
    <t>A-1086</t>
  </si>
  <si>
    <t>A-1087</t>
  </si>
  <si>
    <t>A-1088</t>
  </si>
  <si>
    <t>A-1089</t>
  </si>
  <si>
    <t>A-1090</t>
  </si>
  <si>
    <t>A-1091</t>
  </si>
  <si>
    <t>A-1092</t>
  </si>
  <si>
    <t>A-1093</t>
  </si>
  <si>
    <t>A-1094</t>
  </si>
  <si>
    <t>A-1095</t>
  </si>
  <si>
    <t>A-1096</t>
  </si>
  <si>
    <t>A-1097</t>
  </si>
  <si>
    <t>A-1098</t>
  </si>
  <si>
    <t>A-1099</t>
  </si>
  <si>
    <t>A-1100</t>
  </si>
  <si>
    <t>doi.org/10.1016/j.enavi.2014.12.001</t>
  </si>
  <si>
    <t>doi.org/10.3390/logistics5020023</t>
  </si>
  <si>
    <t>doi.org/10.3390/su14095591</t>
  </si>
  <si>
    <t>doi.org/10.1016/j.accre.2021.02.002</t>
  </si>
  <si>
    <t>doi.org/10.1139/facets-2020-0096</t>
  </si>
  <si>
    <t>doi.org/10.12716/1001.15.01.16</t>
  </si>
  <si>
    <t>doi.org/10.14430/arctic75553</t>
  </si>
  <si>
    <t>doi.org/10.1080/2154896X.2021.1889838</t>
  </si>
  <si>
    <t>doi.org/10.1016/j.marpol.2020.104178</t>
  </si>
  <si>
    <t>doi.org/10.1017/jog.2019.55</t>
  </si>
  <si>
    <t>doi.org/10.1016/j.ancene.2022.100349</t>
  </si>
  <si>
    <t>doi.org/10.3390/w14132099</t>
  </si>
  <si>
    <t>Increased maritime traffic in the Arctic: Implications for governance of Arctic sea routes</t>
  </si>
  <si>
    <t>doi.org/10.1016/j.marpol.2021.104566</t>
  </si>
  <si>
    <t>Brandon M. Boylan</t>
  </si>
  <si>
    <t>arctic, routes</t>
  </si>
  <si>
    <t>Hydrocarbon biodegradation potential of microbial communities from high Arctic beaches in Canada's Northwest Passage</t>
  </si>
  <si>
    <t>oil, northwest passage</t>
  </si>
  <si>
    <t>Madison Ellis</t>
  </si>
  <si>
    <t>doi.org/10.1016/j.marpolbul.2021.113288</t>
  </si>
  <si>
    <t>MECHANISMS FOR REDUCING TECHNOLOGICAL RISKS OF OIL AND GAS COMPANIES TO IMPROVE ENVIRONMENTAL SAFETY IN THE ARCTIC REGION</t>
  </si>
  <si>
    <t>risk, oil, environmental</t>
  </si>
  <si>
    <t>doi.org/10.37614/2220-802X.1.2021.71.001</t>
  </si>
  <si>
    <t>Aleksander Ilinskiy</t>
  </si>
  <si>
    <t>risk</t>
  </si>
  <si>
    <t>risk, ship</t>
  </si>
  <si>
    <t>routes, ship</t>
  </si>
  <si>
    <t>Generation and Analysis of Gridded Visibility Data in the Arctic</t>
  </si>
  <si>
    <t>doi.org/10.3390/atmos10060314</t>
  </si>
  <si>
    <t>Yulong Shan</t>
  </si>
  <si>
    <t>doi.org/10.1002/2015gl065704</t>
  </si>
  <si>
    <t>doi.org/10.1016/j.biocon.2022.109820</t>
  </si>
  <si>
    <t>traffic, marine</t>
  </si>
  <si>
    <t xml:space="preserve">Overlap between bowhead whales (Balaena mysticetus) and vessel traffic in the North American Arctic and implications for conservation and management </t>
  </si>
  <si>
    <t>A Global Review of Vessel Collisions With Marine Animals</t>
  </si>
  <si>
    <t>doi.org/10.3389/fmars.2020.00292</t>
  </si>
  <si>
    <t>Renée P. Schoeman</t>
  </si>
  <si>
    <t>marine</t>
  </si>
  <si>
    <t>Technological and environmental challenges of Arctic shipping—a case study of a fictional voyage in the Arctic</t>
  </si>
  <si>
    <t>doi.org/10.3402/polar.v35.27977</t>
  </si>
  <si>
    <t>Lars-Henrik Larsen</t>
  </si>
  <si>
    <t>environmental, shipping</t>
  </si>
  <si>
    <t>Vessel risks to marine wildlife in the Tallurutiup Imanga National Marine Conservation Area and the eastern entrance to the Northwest Passage</t>
  </si>
  <si>
    <t>doi.org/10.1016/j.envsci.2021.10.026</t>
  </si>
  <si>
    <t>risk, marine, northwest passage</t>
  </si>
  <si>
    <t>doi.org/10.1007/BF03195146</t>
  </si>
  <si>
    <t>Lawson W. Brigham</t>
  </si>
  <si>
    <t>Arctic Shipping Scenarios and Coastal State Challenges</t>
  </si>
  <si>
    <t>Conceptualizing Cold Disasters Disaster Risk Governance at the Arctic Edge</t>
  </si>
  <si>
    <t>doi.org/10.1016/j.ijdrr.2017.12.011</t>
  </si>
  <si>
    <t>Kristian Cedervall Launta</t>
  </si>
  <si>
    <t>doi.org/10.1111/ddi.12722</t>
  </si>
  <si>
    <t>Indirect effects of sea ice loss on summer-fall habitat and behaviour for sympatric populations of an Arctic marine predator</t>
  </si>
  <si>
    <t>Donna D. W. Hauser</t>
  </si>
  <si>
    <t>sea, ice, marine</t>
  </si>
  <si>
    <t>An ecotoxicological risk model for the microplastics in arctic waters</t>
  </si>
  <si>
    <t>doi.org/10.1016/j.envpol.2022.120417</t>
  </si>
  <si>
    <t>Mohammad Sadiq Saeed</t>
  </si>
  <si>
    <t>risk, waters</t>
  </si>
  <si>
    <t>doi.org/10.1016/j.ssci.2014.12.010</t>
  </si>
  <si>
    <t>Serdar Kum</t>
  </si>
  <si>
    <t>A root cause analysis for Arctic Marine accidents from 1993 to 2011</t>
  </si>
  <si>
    <t>doi.org/10.3390/resources6030025</t>
  </si>
  <si>
    <t>Strategic Development Challenges in Marine Tourism in Nunavut</t>
  </si>
  <si>
    <t>Margaret E. Johnston</t>
  </si>
  <si>
    <t>doi.org/10.1525/bio.2012.62.3.10</t>
  </si>
  <si>
    <t>A New Framework for Assessing the Effects of Anthropogenic Sound on Marine Mammals in a Rapidly Changing Arctic</t>
  </si>
  <si>
    <t>Sue E. Moore</t>
  </si>
  <si>
    <t>marine, risk</t>
  </si>
  <si>
    <t>doi.org/10.1002/jgrd.50613</t>
  </si>
  <si>
    <t>Arctic surface temperature change to emissions of black carbon within Arctic or midlatitudes</t>
  </si>
  <si>
    <t>Maria Sand</t>
  </si>
  <si>
    <t>arctic shipping, risk</t>
  </si>
  <si>
    <t>Assessment of causal mechanism of ship bunkering oil pollution</t>
  </si>
  <si>
    <t>doi.org/10.1016/j.ocecoaman.2021.105939</t>
  </si>
  <si>
    <t>Bunyamin Kamal</t>
  </si>
  <si>
    <t>ship, oil</t>
  </si>
  <si>
    <t>doi.org/10.1371/journal.pone.0211815</t>
  </si>
  <si>
    <t>Ecological risk assessment of predicted marine invasions in the Canadian Arctic</t>
  </si>
  <si>
    <t>Jesica Goldsmit</t>
  </si>
  <si>
    <t>risk, marine, canadian</t>
  </si>
  <si>
    <t>doi.org/10.1016/j.oceaneng.2018.04.024</t>
  </si>
  <si>
    <t>Marine transportation risk assessment using Bayesian Network: Application to Arctic waters</t>
  </si>
  <si>
    <t>Al-Amin Baksh</t>
  </si>
  <si>
    <t>doi.org/10.1080/1088937x.2012.705352</t>
  </si>
  <si>
    <t>Local-level responses to sea ice change and cruise tourism in Arctic Canada's Northwest Passage</t>
  </si>
  <si>
    <t>sea, ice, canada, northwest passage</t>
  </si>
  <si>
    <t>E. J. Stewart</t>
  </si>
  <si>
    <t>doi.org/10.3727/154427315x14181438892883</t>
  </si>
  <si>
    <t>Albina Pashkevich</t>
  </si>
  <si>
    <t>Governance of Expedition Cruise Ship Tourism in the Arctic: A Comparison of the Canadian and Russian Arctic</t>
  </si>
  <si>
    <t>ship, canadian, russia</t>
  </si>
  <si>
    <t>doi.org/10.1016/j.oceaneng.2022.112162</t>
  </si>
  <si>
    <t>Societal risk acceptance criteria of the global general cargo ships</t>
  </si>
  <si>
    <t>risk, ships</t>
  </si>
  <si>
    <t>Jinhui Wang</t>
  </si>
  <si>
    <t>doi.org/10.1016/j.tra.2020.10.017</t>
  </si>
  <si>
    <t>An integrated risk assessment model for safe Arctic navigation</t>
  </si>
  <si>
    <t>Chi Zhang</t>
  </si>
  <si>
    <t>risk, navigation</t>
  </si>
  <si>
    <t>https://arcticyearbook.com/images/yearbook/2021/Scholarly-Papers/6_AY2021_Luijk_Dawson.pdf</t>
  </si>
  <si>
    <t>At the front lines of increased shipping and climate change: Inuit perspectives on Canadian Arctic sovereignty and security</t>
  </si>
  <si>
    <t>shipping, climate, canadian</t>
  </si>
  <si>
    <t>Nicolien van Lujik</t>
  </si>
  <si>
    <t>doi.org/10.48084/etasr.836</t>
  </si>
  <si>
    <t>Risk Assessment in the Maritime Industry</t>
  </si>
  <si>
    <t>risk, arctic shipping</t>
  </si>
  <si>
    <t>M. Mousavi</t>
  </si>
  <si>
    <t>Operational risk assessment model for marine vessels</t>
  </si>
  <si>
    <t>doi.org/10.1016/j.ress.2019.01.002</t>
  </si>
  <si>
    <t>Abdul Aziz</t>
  </si>
  <si>
    <t>Sea Ice</t>
  </si>
  <si>
    <t>Multi-year sea ice</t>
  </si>
  <si>
    <t>First-year sea ice</t>
  </si>
  <si>
    <t>indirect impact</t>
  </si>
  <si>
    <t>risk_counts</t>
  </si>
  <si>
    <t>risk_count</t>
  </si>
  <si>
    <t>number of articles that mention the hazard/risk</t>
  </si>
  <si>
    <t>rh_likelihood</t>
  </si>
  <si>
    <t>rh_severity</t>
  </si>
  <si>
    <t>rh_severity_mean</t>
  </si>
  <si>
    <t>rh_likelihood_mean</t>
  </si>
  <si>
    <t>Sum of all severity scores for each hazard/risk identified</t>
  </si>
  <si>
    <t>Sum of all likelihood scores for each hazard/risk identified</t>
  </si>
  <si>
    <t>Average severity scores caluclated for each hazard/risk identified</t>
  </si>
  <si>
    <t>Average likelihood scores calculated  for each hazard/risk identified</t>
  </si>
  <si>
    <t>HazardsRisks_synthesized</t>
  </si>
  <si>
    <t>Economic</t>
  </si>
  <si>
    <t>Variable insurance costs</t>
  </si>
  <si>
    <t>Fluctuation in shipping cost</t>
  </si>
  <si>
    <t>Price of bunker fuel oil, Power demand in ice, Power demand in open water, Engine efficiency, Sea ice presence</t>
  </si>
  <si>
    <t>direct impact</t>
  </si>
  <si>
    <t>Lower and/or negative profit margins</t>
  </si>
  <si>
    <t>Ice Classification of Ship</t>
  </si>
  <si>
    <t>Price of bunker fuel oil, Trip planning, Engine efficiency, Crew quantity and experience</t>
  </si>
  <si>
    <t>both</t>
  </si>
  <si>
    <t>HazRisk_category</t>
  </si>
  <si>
    <t>Category</t>
  </si>
  <si>
    <t>Political</t>
  </si>
  <si>
    <t>Vessel traffic congestion</t>
  </si>
  <si>
    <t>Operational</t>
  </si>
  <si>
    <t>Enforceability and accountability limitations regarding laws/regulations</t>
  </si>
  <si>
    <t>HazardRisk_Name</t>
  </si>
  <si>
    <t>Hazard</t>
  </si>
  <si>
    <t>Risk</t>
  </si>
  <si>
    <t>Sea ice (generalized)</t>
  </si>
  <si>
    <t>Navigational</t>
  </si>
  <si>
    <t>Environmental</t>
  </si>
  <si>
    <t>High wind speeds</t>
  </si>
  <si>
    <t>Operating in shallow waters</t>
  </si>
  <si>
    <t>Low visibility</t>
  </si>
  <si>
    <t>doi.org/10.3390/su14095592</t>
  </si>
  <si>
    <t>doi.org/10.3390/su14095593</t>
  </si>
  <si>
    <t>doi.org/10.3390/su14095594</t>
  </si>
  <si>
    <t>doi.org/10.3390/su14095595</t>
  </si>
  <si>
    <t>Operator miscommunication</t>
  </si>
  <si>
    <t>Human negligence</t>
  </si>
  <si>
    <t>Lack of operator situational awareness</t>
  </si>
  <si>
    <t>Decision failure</t>
  </si>
  <si>
    <t>Human</t>
  </si>
  <si>
    <t>Engine failure</t>
  </si>
  <si>
    <t>Ship speeding</t>
  </si>
  <si>
    <t>Heavy snow, sleet, or rainfall</t>
  </si>
  <si>
    <t>Impact from other vessels</t>
  </si>
  <si>
    <t>R004</t>
  </si>
  <si>
    <t>R005</t>
  </si>
  <si>
    <t>R006</t>
  </si>
  <si>
    <t>R007</t>
  </si>
  <si>
    <t>R008</t>
  </si>
  <si>
    <t>R009</t>
  </si>
  <si>
    <t>R010</t>
  </si>
  <si>
    <t>R011</t>
  </si>
  <si>
    <t>R012</t>
  </si>
  <si>
    <t>R013</t>
  </si>
  <si>
    <t>R014</t>
  </si>
  <si>
    <t>R015</t>
  </si>
  <si>
    <t>R016</t>
  </si>
  <si>
    <t>R017</t>
  </si>
  <si>
    <t>R018</t>
  </si>
  <si>
    <t>R019</t>
  </si>
  <si>
    <t>R020</t>
  </si>
  <si>
    <t>R021</t>
  </si>
  <si>
    <t>R022</t>
  </si>
  <si>
    <t>R023</t>
  </si>
  <si>
    <t>R024</t>
  </si>
  <si>
    <t>R025</t>
  </si>
  <si>
    <t>R026</t>
  </si>
  <si>
    <t>HazardRisk_Category</t>
  </si>
  <si>
    <t>RiskRating</t>
  </si>
  <si>
    <t>RiskScore</t>
  </si>
  <si>
    <t>Low air temperature</t>
  </si>
  <si>
    <t>severity_finalscore</t>
  </si>
  <si>
    <t>likelihood_score_total</t>
  </si>
  <si>
    <t>severity_score_total</t>
  </si>
  <si>
    <t>severity_score_AVG</t>
  </si>
  <si>
    <t>likelihood_score_AVG</t>
  </si>
  <si>
    <t>likelihood_finalscore2</t>
  </si>
  <si>
    <t>Unsafe re-fueling operations</t>
  </si>
  <si>
    <t>Excessive ice accumulation on vessels</t>
  </si>
  <si>
    <t>R027</t>
  </si>
  <si>
    <t>HazardRisk_ID</t>
  </si>
  <si>
    <t>Ununified technical standards</t>
  </si>
  <si>
    <t>Insufficient training and/or expertise</t>
  </si>
  <si>
    <t>R028</t>
  </si>
  <si>
    <t>Vessel-Source Pollution in Sensitive Marine Regions</t>
  </si>
  <si>
    <t>Insufficient Arctic shipping jurisdiction</t>
  </si>
  <si>
    <t>Pollutants</t>
  </si>
  <si>
    <t>R029</t>
  </si>
  <si>
    <t>R030</t>
  </si>
  <si>
    <t>R031</t>
  </si>
  <si>
    <t>Impact of future Arctic shipping on high-latitude black carbon deposition</t>
  </si>
  <si>
    <t>Black carbon land deposition</t>
  </si>
  <si>
    <t>Black carbon air emissions</t>
  </si>
  <si>
    <t>R032</t>
  </si>
  <si>
    <t>R033</t>
  </si>
  <si>
    <t>R034</t>
  </si>
  <si>
    <t>R035</t>
  </si>
  <si>
    <t>Indigenous</t>
  </si>
  <si>
    <t>Travelling through marine protected areas</t>
  </si>
  <si>
    <t>Underwater noise pollution</t>
  </si>
  <si>
    <t>Tourism</t>
  </si>
  <si>
    <t>Sinking vessel</t>
  </si>
  <si>
    <t>R036</t>
  </si>
  <si>
    <t>R037</t>
  </si>
  <si>
    <t>R038</t>
  </si>
  <si>
    <t>Social</t>
  </si>
  <si>
    <t>R039</t>
  </si>
  <si>
    <t>Degradation of indigenous cultural and natural resources</t>
  </si>
  <si>
    <t>Sea ice melt</t>
  </si>
  <si>
    <t>Sovereignty claims and disputes</t>
  </si>
  <si>
    <t>R040</t>
  </si>
  <si>
    <t>R041</t>
  </si>
  <si>
    <t>Species population migration/change</t>
  </si>
  <si>
    <t>Methane emissions</t>
  </si>
  <si>
    <t>Lacking shipping infrastructure and services</t>
  </si>
  <si>
    <t>R042</t>
  </si>
  <si>
    <t>R043</t>
  </si>
  <si>
    <t>Reduced search and rescure capacity</t>
  </si>
  <si>
    <t>Reduced ecosystem recovery time</t>
  </si>
  <si>
    <t>R044</t>
  </si>
  <si>
    <t>R045</t>
  </si>
  <si>
    <t>R046</t>
  </si>
  <si>
    <t>Lack of insurance information disclosure</t>
  </si>
  <si>
    <t>R047</t>
  </si>
  <si>
    <t>R048</t>
  </si>
  <si>
    <t>R049</t>
  </si>
  <si>
    <t>R050</t>
  </si>
  <si>
    <t>Iceburg collision</t>
  </si>
  <si>
    <t>doi.org/10.3390/app10082938</t>
  </si>
  <si>
    <t>doi.org/10.3390/app10082939</t>
  </si>
  <si>
    <t>doi.org/10.3390/app10082940</t>
  </si>
  <si>
    <t>Vessel grounding</t>
  </si>
  <si>
    <t>Ship stuck in ice</t>
  </si>
  <si>
    <t>Lack of Risk Analysis</t>
  </si>
  <si>
    <t>Lacking Navigation tools</t>
  </si>
  <si>
    <t>Human error</t>
  </si>
  <si>
    <t>Inadequate vessel maintenance</t>
  </si>
  <si>
    <t>Oil spill clean-up costs</t>
  </si>
  <si>
    <t>Bunkering operations</t>
  </si>
  <si>
    <t>Crew fatigue</t>
  </si>
  <si>
    <t>Crew inexperience</t>
  </si>
  <si>
    <t>Vessel alarm and sensor malfunction</t>
  </si>
  <si>
    <t>Improper buker line-up</t>
  </si>
  <si>
    <t>Inadequate bunkering planning</t>
  </si>
  <si>
    <t>Vessel-barge bunkering communication</t>
  </si>
  <si>
    <t>Sea conditions</t>
  </si>
  <si>
    <t>Bunker connection hose damaged/ruptured</t>
  </si>
  <si>
    <t>Introduction of invasive species</t>
  </si>
  <si>
    <t>R051</t>
  </si>
  <si>
    <t>R052</t>
  </si>
  <si>
    <t>R053</t>
  </si>
  <si>
    <t>R054</t>
  </si>
  <si>
    <t>R055</t>
  </si>
  <si>
    <t>R056</t>
  </si>
  <si>
    <t>R057</t>
  </si>
  <si>
    <t>R058</t>
  </si>
  <si>
    <t>R059</t>
  </si>
  <si>
    <t>R060</t>
  </si>
  <si>
    <t>R061</t>
  </si>
  <si>
    <t>R062</t>
  </si>
  <si>
    <t>R063</t>
  </si>
  <si>
    <t>R064</t>
  </si>
  <si>
    <t>R065</t>
  </si>
  <si>
    <t>R066</t>
  </si>
  <si>
    <t>R067</t>
  </si>
  <si>
    <t>Unfamilliar route planning</t>
  </si>
  <si>
    <t>Rapid tourism growth</t>
  </si>
  <si>
    <t>Complex regulations</t>
  </si>
  <si>
    <t>Dependance on climate modelling</t>
  </si>
  <si>
    <t>Legal dispute over northwest passage staus</t>
  </si>
  <si>
    <t>Expolitation of natural reserves</t>
  </si>
  <si>
    <t>Marine mammal displacement due to noise</t>
  </si>
  <si>
    <t>Oil spill (HFO)</t>
  </si>
  <si>
    <t>Lack of clean up infrastructure response</t>
  </si>
  <si>
    <t>Lack of clear policy and/or regulations</t>
  </si>
  <si>
    <t>HFO carriage and transport</t>
  </si>
  <si>
    <t>Vessel-animal collision</t>
  </si>
  <si>
    <t>Acoustic propogation effects</t>
  </si>
  <si>
    <t>Fire onboard</t>
  </si>
  <si>
    <t>Violence or violent acts</t>
  </si>
  <si>
    <t>Traffic intensification</t>
  </si>
  <si>
    <t>Air emissions (generalized)</t>
  </si>
  <si>
    <t>Navigational obstacles</t>
  </si>
  <si>
    <t>Absence of layover sites</t>
  </si>
  <si>
    <t>Territorial claims</t>
  </si>
  <si>
    <t>BC Climate Forcing</t>
  </si>
  <si>
    <t>Limited Application of BC Abatement Technologies</t>
  </si>
  <si>
    <t>Financial burden to small-scale operators/communities</t>
  </si>
  <si>
    <t>Tourist overcrowding</t>
  </si>
  <si>
    <t>Animal disturbance</t>
  </si>
  <si>
    <t>Innaproporeate tourist behavior</t>
  </si>
  <si>
    <t>Animal displacement</t>
  </si>
  <si>
    <t>Community resident safety</t>
  </si>
  <si>
    <t>Iceburg presence</t>
  </si>
  <si>
    <t>Priacy</t>
  </si>
  <si>
    <t>R068</t>
  </si>
  <si>
    <t>R069</t>
  </si>
  <si>
    <t>R070</t>
  </si>
  <si>
    <t>R071</t>
  </si>
  <si>
    <t>R072</t>
  </si>
  <si>
    <t>R073</t>
  </si>
  <si>
    <t>R074</t>
  </si>
  <si>
    <t>R075</t>
  </si>
  <si>
    <t>R076</t>
  </si>
  <si>
    <t>R077</t>
  </si>
  <si>
    <t>R078</t>
  </si>
  <si>
    <t>R079</t>
  </si>
  <si>
    <t>R080</t>
  </si>
  <si>
    <t>R081</t>
  </si>
  <si>
    <t>R082</t>
  </si>
  <si>
    <t>R083</t>
  </si>
  <si>
    <t>R084</t>
  </si>
  <si>
    <t>Lack of data</t>
  </si>
  <si>
    <t>Oil spill harms to marine life</t>
  </si>
  <si>
    <t>Oil spills on ice</t>
  </si>
  <si>
    <t>Declining local air quality</t>
  </si>
  <si>
    <t>Climate flucuation</t>
  </si>
  <si>
    <t>Cargo volume intensification</t>
  </si>
  <si>
    <t>Sea ice consentration</t>
  </si>
  <si>
    <t>Inadeqaute tools for socioeconomic imapct assessment</t>
  </si>
  <si>
    <t>Ice thickness</t>
  </si>
  <si>
    <t>Wind intensity</t>
  </si>
  <si>
    <t>Socioeconomic impacts on indigenous peoples</t>
  </si>
  <si>
    <t>Cultural and Archeological threat</t>
  </si>
  <si>
    <t>Lack of support for indigenous communities</t>
  </si>
  <si>
    <t>No toll requirements</t>
  </si>
  <si>
    <t>Fuel consumption</t>
  </si>
  <si>
    <t>Pysical disturbance to wildlife</t>
  </si>
  <si>
    <t>Chemical pollution due to Sills</t>
  </si>
  <si>
    <t>Severe weather</t>
  </si>
  <si>
    <t>Mechanical failure</t>
  </si>
  <si>
    <t>Reduction in resources to locals</t>
  </si>
  <si>
    <t>Accessibility to local communities</t>
  </si>
  <si>
    <t>Load capacity</t>
  </si>
  <si>
    <t>Trading implications/competitions</t>
  </si>
  <si>
    <t>Geo-millitary factors</t>
  </si>
  <si>
    <t>Climate impacts</t>
  </si>
  <si>
    <t>Lacking technological advances</t>
  </si>
  <si>
    <t>Extreme winter conditions</t>
  </si>
  <si>
    <t>Vessel equipment and safety</t>
  </si>
  <si>
    <t>Field-Model descrepencies</t>
  </si>
  <si>
    <t>Frequent callibration of model parameters</t>
  </si>
  <si>
    <t>Assessment</t>
  </si>
  <si>
    <t>Lacking modelling</t>
  </si>
  <si>
    <t>Lost sense of wildness, isolation, and exclusiveness</t>
  </si>
  <si>
    <t>Local Community</t>
  </si>
  <si>
    <t>Variable profit margins</t>
  </si>
  <si>
    <t>Technological</t>
  </si>
  <si>
    <t>Vessel accident (generalized)</t>
  </si>
  <si>
    <t>Lacking navigation tools</t>
  </si>
  <si>
    <t>Vessel-vessel collision</t>
  </si>
  <si>
    <t>Cultural and archeological threat</t>
  </si>
  <si>
    <t>Geo-cultural differences</t>
  </si>
  <si>
    <t>Lack of risk analysis</t>
  </si>
  <si>
    <t>Field-model descrepencies</t>
  </si>
  <si>
    <t>Above-water noise pollution</t>
  </si>
  <si>
    <t>Competing global interests</t>
  </si>
  <si>
    <t>Row Labels</t>
  </si>
  <si>
    <t>(blank)</t>
  </si>
  <si>
    <t>Grand Total</t>
  </si>
  <si>
    <t>Average of RiskScore</t>
  </si>
  <si>
    <t>Hydrocarbon release</t>
  </si>
  <si>
    <t>Vulnerability of Arctic marine mammals</t>
  </si>
  <si>
    <t>Remoteness</t>
  </si>
  <si>
    <t>Accessibility to NWP</t>
  </si>
  <si>
    <t>Vessel ice classification</t>
  </si>
  <si>
    <t>Technical errors due to Geomagnetic storms</t>
  </si>
  <si>
    <t>implementing tech</t>
  </si>
  <si>
    <t>Reduced vessel ice strengthening</t>
  </si>
  <si>
    <t>Pollutant harms to marine life</t>
  </si>
  <si>
    <t>Lack of monitoring capabilities</t>
  </si>
  <si>
    <t>National heritage degration</t>
  </si>
  <si>
    <t>Vessel capsizing</t>
  </si>
  <si>
    <t>Lack of Inuit agency</t>
  </si>
  <si>
    <t>evidence_score</t>
  </si>
  <si>
    <t>agreement_score</t>
  </si>
  <si>
    <t>evidencetype_score</t>
  </si>
  <si>
    <t>evidence_weight</t>
  </si>
  <si>
    <t>data_quantity</t>
  </si>
  <si>
    <t>evidenceamount_score</t>
  </si>
  <si>
    <t>evidencequality_score</t>
  </si>
  <si>
    <t>evidenceconsistency_score</t>
  </si>
  <si>
    <t>Notes:</t>
  </si>
  <si>
    <t>agreementPCT_score</t>
  </si>
  <si>
    <t>agreementPCT_weight</t>
  </si>
  <si>
    <t>agreementquantity_score2</t>
  </si>
  <si>
    <t>agreementquantity_weight</t>
  </si>
  <si>
    <t>vh_count</t>
  </si>
  <si>
    <t>vh_pct</t>
  </si>
  <si>
    <t>h_count</t>
  </si>
  <si>
    <t>h_pct</t>
  </si>
  <si>
    <t>m_count</t>
  </si>
  <si>
    <t>m_pct</t>
  </si>
  <si>
    <t>VH</t>
  </si>
  <si>
    <t>H</t>
  </si>
  <si>
    <t>M</t>
  </si>
  <si>
    <t>U</t>
  </si>
  <si>
    <t>ds_icon</t>
  </si>
  <si>
    <t>THEO</t>
  </si>
  <si>
    <t>OBS</t>
  </si>
  <si>
    <t>HYB</t>
  </si>
  <si>
    <t>MOD</t>
  </si>
  <si>
    <t>all_evtype</t>
  </si>
  <si>
    <t>theoretical</t>
  </si>
  <si>
    <t>observational</t>
  </si>
  <si>
    <t>hybrid</t>
  </si>
  <si>
    <t>modelling</t>
  </si>
  <si>
    <t>region</t>
  </si>
  <si>
    <t>public</t>
  </si>
  <si>
    <t>datatype</t>
  </si>
  <si>
    <t>StudyType</t>
  </si>
  <si>
    <t>Specific region the information was collected</t>
  </si>
  <si>
    <t>Hybrid</t>
  </si>
  <si>
    <t>Global</t>
  </si>
  <si>
    <t>SME Interviews</t>
  </si>
  <si>
    <t>Observational</t>
  </si>
  <si>
    <t>Canadian Arctic</t>
  </si>
  <si>
    <t>Transport Canada Ballast
Reporting Database, FedNav Ballast Reporting Forms, and Casas-Monroy et al. [92].</t>
  </si>
  <si>
    <t>Northwest Passage</t>
  </si>
  <si>
    <t>Canadian Ice Service Digital Archive (CISDA), Local community interviews</t>
  </si>
  <si>
    <t>research project data from the “Cruise Tourism in Arctic Canada” (CTAC), SME Interviews, Canadian Coast Guard’s NORDREG Shipping data</t>
  </si>
  <si>
    <t>Global Integrated Shipping Information System (GISIS) database, Marine Casualties and Incidents (MCI)</t>
  </si>
  <si>
    <t>Theoretical</t>
  </si>
  <si>
    <t>-</t>
  </si>
  <si>
    <t>Inuit community member interviews</t>
  </si>
  <si>
    <t>Arctic</t>
  </si>
  <si>
    <t>"Yong Sheng" voyage log data, AIS data, ice forecast data, literature, and subjective expert opinion.</t>
  </si>
  <si>
    <t>Canship Ugland Ltd. dynamic databases (failures, maintenence)</t>
  </si>
  <si>
    <t>Spatial data via satellites; MODerate-resolution Imaging Spectro-radiometer (MODIS) instruments on NASA EOS Terra and Aqua satellites.</t>
  </si>
  <si>
    <t>Marine Accident Investigation Branch (MAIB), Shanghai Maritime Safety Administration of PRC (SMSA) https://www.sh.msa.gov.cn/sgdc/index.jhtml, Transportation Safety Board of Canada (TSB) https://tsb.gc.ca/eng/incidents-occurrence/index.html, Australian Transport Safety Bureau (ATSB) https://www.atsb.gov.au/publications/safety-investigation-reports/, Transport Accident Investigation Commission (TAIC) https://www.taic.org.nz/inquiries, National Transport Safety Board (NTSB) https://www.ntsb.gov/investigations/AccidentReports/Pages/Reports.aspx, The Accident Investigation Board Norway (AIBN) https://infogalactic.com/, Danish Maritime Accident Investigation Board (DMAIB) https://dmaib.com/ https://www.imo.org/, MSIU (Marine Safety Investigation Report) https://www.mot.gov.sg/about-mot/transport-safety-investigation-bureau/msib/investigation-report/</t>
  </si>
  <si>
    <t>Modelling</t>
  </si>
  <si>
    <t>CIS Ice Chatrts, POLARIS and AIS Shipping Data, World Meterological Organization (WMO) ice thickness values</t>
  </si>
  <si>
    <t>Ship operator survey data</t>
  </si>
  <si>
    <t>Data taken from cited literature</t>
  </si>
  <si>
    <t>European Centre for Medium-Range Weather Forecasts (ECMWF), ocean visibility data from the stations (released by the National Climate Data Centre of the United States), Spatil AIS data as well, pan-arctic ice
ocean modeling and assistance system (PIOMAS), Sea ice density is extracted from
the ERA high-precision monthly average reanalysis dataset,</t>
  </si>
  <si>
    <t>the Rule of Law Index from the Worldwide Governance Indicators (WGI), The geocultural level of a country is measured by the employment ratio; the proportion of primary, intermediate, and advanced education; and the Human Development Index (HDI). This data is provided by the World Bank and the United Nations Development Programme.</t>
  </si>
  <si>
    <t>availability</t>
  </si>
  <si>
    <t>study_region</t>
  </si>
  <si>
    <t>No</t>
  </si>
  <si>
    <t>Previous research findings, Panama Canal Authority</t>
  </si>
  <si>
    <t>Northwest Passage, Panama Canal</t>
  </si>
  <si>
    <t>Type of study examined</t>
  </si>
  <si>
    <t>Is the data publicly available</t>
  </si>
  <si>
    <t>Title of the dataset used for the study</t>
  </si>
  <si>
    <t>Name of the hazard/risk</t>
  </si>
  <si>
    <t>Description of the hazard/risk</t>
  </si>
  <si>
    <t>Name of cause of the hazard/risk</t>
  </si>
  <si>
    <t>Name of consequence of the hazard/risk</t>
  </si>
  <si>
    <t>Does the hazard/risk's consequence create an indirect or direct impact</t>
  </si>
  <si>
    <t>Does the hazard/risk's cause create an indirect or direct impact</t>
  </si>
  <si>
    <t>List of control(s) noted within the study</t>
  </si>
  <si>
    <t>Hazard/Risk identification number</t>
  </si>
  <si>
    <t>HazardRisk_Description</t>
  </si>
  <si>
    <t>HPS_et</t>
  </si>
  <si>
    <t>Descrepencies between theoretical probablitiies of shipping risk versus field observations cause tensions in decision making and risk perioritisation.</t>
  </si>
  <si>
    <t>Limited risk assessments and analyses have been completed within the Northwest passage due to previous environmental conditions, therefore, lacking historical risk assessments being completed.</t>
  </si>
  <si>
    <t>As there are many unknowns regarding maritime shipping in Arctic envornments, frequent calibration of model parameters may be required to increase prediction accuracy.</t>
  </si>
  <si>
    <t>The costs of purchasing heavy feul oil (HFO) for vessel operations is a critical factor in determining the cost-benefit of shipping in th Arctic.</t>
  </si>
  <si>
    <t>Due to limited shipping precedent in the Arctic, Insurance companies have limited insurance rates when voyaging through this region. These coverage costs are also dependent on the amounts of accidents that occur.</t>
  </si>
  <si>
    <t>Noise is a significant external threat to both human and animal health. This also impacts local fishing activities.</t>
  </si>
  <si>
    <t>There are limited fixed layover ports throughout the Canadian Northwest Passage (NWP), causing extreme levels of isolation in the event of an accident and/or emergency.</t>
  </si>
  <si>
    <t>Administering services and other resources to local communities is difficult with limited ports and port infrastructure available.</t>
  </si>
  <si>
    <t>Open water vessels are unable to travel within the Northwest Passage (NWP) due to the increased presence of sea ice.</t>
  </si>
  <si>
    <t>Vessels typically emit pollutants in the form of various greenhouse gases (GHGs) through combustion. This process aggrevates warming in the region and influences sea ice presence.</t>
  </si>
  <si>
    <t>Acoustic propogation varies based on the bathymetry, though, is caused by consistent vessel movement. This limits marine-mammal acoustic habitats in a similar way fog or smoke obscures visuals for terrestial species.</t>
  </si>
  <si>
    <t>Failure to exersise a degree of care expected of a vessel operator or crew member to protect and prevent accidents from occuring.</t>
  </si>
  <si>
    <t>Due to anthropogenic activity such as maritime vessel operations, habitait destruction  and noise pollution cause animals to relocate an unknown environment where the hazards are less severe, frequent, or non exisitant.</t>
  </si>
  <si>
    <t>Animals can incur injures in the form of sharp or blunt force impacts from moving vessels. Disturbances can also  present negative impacts to a species habitait.</t>
  </si>
  <si>
    <t>Black Carbon (BC) emissions warm the environment by absorbing sunlight, causing an increase in air temperatures. This process also reduced the albedo when BC particles land on sea ice and snow.</t>
  </si>
  <si>
    <t xml:space="preserve">Black carbon (BC) land deposition causes a reduced albedo during sonw and ice deposits, perpetuating regional warming and melting of sea ice. </t>
  </si>
  <si>
    <t>Connection hose during bunkering operations cause spillage of heavy fuel oil overboard. Processes such as bunker baregs drifting apart, weather conditions, and age of the connection hose are the result of this. Depending on the amount of crew engaged in the bunkering operation, this can lead to significant pollution into the natural environment if left unattended.</t>
  </si>
  <si>
    <t>Bunkering is the process of re-fueling vessels while at sea. Fuels consist of the transfer of heavy fuel oil from one vessel to another.</t>
  </si>
  <si>
    <t>The quantity and/or density of cargo aboard a ship may cause difficulties regarding fuel consumption as well as navigational difficulties during extreme weather, as a result, causing cargo to spill into open water.</t>
  </si>
  <si>
    <t>hazard</t>
  </si>
  <si>
    <t>The potential for adverse consequences for human or ecological systems, recognising the diversity of values and objectives associated with such systems. In the context of climate change, risks can arise from potential impacts of climate change as well as human responses to climate change. Relevant adverse consequences include those on lives, livelihoods, health and well-being, economic, social and cultural assets and investments, infrastructure, services (including ecosystem services), ecosystems and species.</t>
  </si>
  <si>
    <t>The potential occurrence of a natural or human-induced physical event or trend that may cause loss of life, injury, or other health impacts, as well as damage and loss to property, infrastructure, livelihoods, service provision, ecosystems and environmental resources.</t>
  </si>
  <si>
    <t>The consequences of realised risks on natural and human systems, where risks result from the interactions of climate-related hazards (including extreme weather/climate events), exposure, and vulnerability. Impacts generally refer to effects on lives, livelihoods, health and well-being, ecosystems and species, economic, social and cultural assets, services (including ecosystem services), and infrastructure. Impacts may be referred to as consequences or outcomes, and can be adverse or beneficial.</t>
  </si>
  <si>
    <t>Definition</t>
  </si>
  <si>
    <t>Term</t>
  </si>
  <si>
    <t>Source</t>
  </si>
  <si>
    <t>vulnerability</t>
  </si>
  <si>
    <t>impact</t>
  </si>
  <si>
    <t>The presence of people; livelihoods; species or ecosystems; environmental functions, services, and resources; infrastructure; or economic, social, or cultural assets in places and settings that could be adversely affected.</t>
  </si>
  <si>
    <t>exposure</t>
  </si>
  <si>
    <t>The propensity or predisposition to be adversely affected. Vulnerability encompasses a variety of concepts and elements, including sensitivity or susceptibility to harm and lack of capacity to cope and adapt.</t>
  </si>
  <si>
    <t>IPCC, AR6</t>
  </si>
  <si>
    <t>Notes: https://apps.ipcc.ch/glossary/</t>
  </si>
  <si>
    <t>LIST OF KEY DEFINITIONS</t>
  </si>
  <si>
    <t>Black Carbon (BC) air emissions are a short-lived and are created through vessel combustion, allowing the vessel to power the vessels engine.</t>
  </si>
  <si>
    <t>Chemical pollution due to spills</t>
  </si>
  <si>
    <t>Chemicals are sent overboard as a result of an oil spill and/or collision, causing a dynamic relationship between oil and sediment.</t>
  </si>
  <si>
    <t>Due to the rapid changing cliamte, the weather has become difficult to predict, causing a flucuation in climate prediction models.</t>
  </si>
  <si>
    <t>The uncertainty and variablity of climate change within processes such as sea ice decline, ecological systems, and weather patterns increase the navacability during travel.</t>
  </si>
  <si>
    <t>There is a lacking streamlined approach regarding permitting and regulatory requirements when operating in Arctic waters. This process increases confusion among operators regarding when laws are of relevance and required.</t>
  </si>
  <si>
    <t>The absence of site-level guidelines regarding maritime operations causes significant damage to local communities through their sense of place and connectedness to the region.</t>
  </si>
  <si>
    <t>Reduced mental and/or physical performance of crew member(s) due to sleep loss, exteneded periods of wakefulness, or increased workload impede on facilitating safe working conditions.</t>
  </si>
  <si>
    <t>Vessels are manned with insufficiently trained and experienced employees, being forced to operate in harsh conditions whist being focused for long periods of time.</t>
  </si>
  <si>
    <t>Wind intensity has the ability to negativily impact the vessels ability to stay afloat during operations as well as influences the sea conditions during navigation.</t>
  </si>
  <si>
    <t>The transportation of hazardous resources is a significant threat where an unexpected spill will cause significant environmental damage while also causing operational and financial stress.</t>
  </si>
  <si>
    <t>Harsh winter conditions of the Arctic (extreme air temperature lows, hurricanes, polar vortexes) increase difficulty of navigation within the Northwest Passage (NWP).</t>
  </si>
  <si>
    <t>The failure of a vessels engine's electrical, fuel delivery, emissions control, or any other mechanical parts or systems that aid in the engine being able to function normally.</t>
  </si>
  <si>
    <t>Exsessive ice accumulation is the total amount of ice built up on a vessel's exterior surface, creating vulnerabilities of external vessel parts, systems, and features that aid the vessel functioning normally.</t>
  </si>
  <si>
    <t>Process of extracting natural resources such as oil, natural gas, and other resources during passage through the region.</t>
  </si>
  <si>
    <t>Local communities are dependant on small pool of resources (renewable and non-renewabkle) and strict regulations impose exponential increase ion the cost of vessels to operate in Arctic waters.</t>
  </si>
  <si>
    <t>Ignition of flammable materials, human negligence, or a malfunction in a vessels operating system on board will create opputunities for fires to occur.</t>
  </si>
  <si>
    <t>Compliance and enforcement capabilities with laws and regulations according to international, national, and territorial regulations and standards in place.</t>
  </si>
  <si>
    <t>Vessel capsizing or keeling occurs when a ship becomes rolled over on its side or furher by strong waves, strong winds, and/or vessel instability.</t>
  </si>
  <si>
    <t>A malfunction in a vessels alarm restricts the crew members ability to identify malfunctions in risks such as unsafe CO2 levels, machine failure, engine difficulties, verbal orders, and/or navigation alarms.</t>
  </si>
  <si>
    <t>An oil spill is the uncontrolled release of heavy fuel oil in a liquid state being deposited into the natural environment.</t>
  </si>
  <si>
    <t>Multi-year sea ice is thicker than first-year sea ice, being a minimum of 2 meters in thickness.</t>
  </si>
  <si>
    <t>Harsh environmental conditions such as strong winds, heavy snow, and extreme low temperatures become difficult for navigation.</t>
  </si>
  <si>
    <t>There is no current consensus on whether Arctic vessel trip profitability is impacted in a positive or negative manner.</t>
  </si>
  <si>
    <t>The volume of maritime sea traffic throughout the Northwest Passage (NWP) has significantly increased since the beginning of the 21st century. This increase in volume has increased navigational risks due to narrow passages, vessel-vessel collisions, and other vessel accidents.</t>
  </si>
  <si>
    <t>A vessel-animal collision is defined as an impact directly or indirect collision into a species. These collisions have the possibility of being lethal to some species, cause significant impacts to both the natural environment as well as human harm.</t>
  </si>
  <si>
    <t>Misscommunication throught the bunkering process can perpetuate and fufill conditions that allow for other risks to occur such as oill or chemical spills.</t>
  </si>
  <si>
    <t>Vessel operations and incidents that cause a discharge of substances into the natural environment creates environmental stress to flora and fauna, specifically in national wildlife areas and migratory bird santuaries.</t>
  </si>
  <si>
    <t>Vessel-on-vessel collisions pose a threat to humans and the natural environment. Collisions can cause multiple causalties to occur to both crews whereas the natural environment can see pollutants and vessel parts become exposed to the natural environment.</t>
  </si>
  <si>
    <t>Violence can stem from sovergntry or treaty conflists that are currently ongoing. The possibility of violence can also be from competing international interests and geopolitical conflicts around the globe, increasing risks of piracy during voyages.</t>
  </si>
  <si>
    <t>Increases in vessel traffic causes vulnerability of marine species due to increased underwater noise pollition being a persistant factor along with increased possibilities of collisions occuring.</t>
  </si>
  <si>
    <t>A vessel ice classification can significantly impact the navicability of a vessels travel through Arctic waters, especially during winter months. Higher ice classifications allow for vessels to withstand harsh environmental conditions over a longer period of time due to increased ice strengthening technologies.</t>
  </si>
  <si>
    <t>Due to the rapid climate changing in the Arctic, this creates an increased reliance on using climate modelling to inform navigations.</t>
  </si>
  <si>
    <t>Operating vessels in shallow waters allow the oppurtunities of unintentional grounding to occur. This also increases the ability to collide with marine species where it may be difficult for the species or vessel to avoid colliding.</t>
  </si>
  <si>
    <t>Miscommunication between other operators is a contant challenge within the maritime industry. Many crews speak different languages and as a result, have the ability to relay unintentional wrong or miscronstruded messaging to other operators.</t>
  </si>
  <si>
    <t>The lack of unification regarding international vessel operating standards within polar waters create descrepancies among various countries travelling through the region. This increases oppurtunities for companies to 'race to the bottom' approach by increasing a cost effectiveness, though, undermining factors like environmental health and safety.</t>
  </si>
  <si>
    <t>Vessel accidents can range from near misses to accidental collisions with land, icebergs, or other vessels. This process can posess human and ecological damage.</t>
  </si>
  <si>
    <t>The type and quantity of safety equipment on board can perpetuate additional stress during operations. If the vessel is carrying harmful chemicals or other pollutants, these resources have the ability to reduce or increase the risk of pollutants being spilt as a result of capsizing or vessel collision.</t>
  </si>
  <si>
    <t>Imadequate decision making made by human operators can increase the probability of other risks happening during operations.</t>
  </si>
  <si>
    <t>Thedevelopment of port infrastructure or an increase of services may change the landscape of cultural and archeological spaces that are spceifically used by indigenous peoples.</t>
  </si>
  <si>
    <t>Due to heavy fuel oil emitting toxic chemicals such as black carbon through standard operations, this exposes local communities to increased pollutant consentrations. Crews are alos exposed to additional consentrations of particulate matter throughout operations.</t>
  </si>
  <si>
    <t>The consentration of sea ice present causeing operators with lower ice classificaitons to be of increased risk of iceberg collisions and ships sinking.</t>
  </si>
  <si>
    <t>Sea conditions such as wave height, ocean temperature, and ocean salinity are crucial in determining safe operationg conditions. During the beginning and ending of shipping seasons, vessels vulnerable due to the unpredictable change in ice conditions within open waters.</t>
  </si>
  <si>
    <t>The difference in cultural opinions on issues regarding maritime shipping operations within the Arctic can differ from territorial a, national, and international views. This has the potential in causing an influence in the geo-politics.</t>
  </si>
  <si>
    <t xml:space="preserve">Military operations influence the strategic defense and operations within the arctic, creating areas of vulnerability and others with too much millitary presence. </t>
  </si>
  <si>
    <t>Vessels traveeling through the Northwest Passage (NWP) encournter significant fluctuations in overall shipping costs due to variable oil prices, power demand, engine efficency, and sea ice presence.</t>
  </si>
  <si>
    <t>First-year sea ice is formed during the winter season and thicker than 30 centimeters (11.8 in), though has not survived the summer melt season in open waters creating difficulties for low ice class vessels when travelling through Arctic waters.</t>
  </si>
  <si>
    <t>Variations of sea ice thickness throughout the Northwest Passage can be seen as a significant threat due to the uncertainty and inconsistency of sea ice thickness, increasing difficulties in regards to naviagtion.</t>
  </si>
  <si>
    <t>The uncertainty in the amount of fuel required to power the vessel through the entire voyage is heavily dependant on the presence of sea ice and other environmental conditions. Harsher conditions will require more fuel to be consumed, thus higher cost in trip price.</t>
  </si>
  <si>
    <t>A vessel collides directly or indirectly during voyage. This increasing probability of the ship sinking, the uncontrolled release of chemicals and goods, and possibly loss of life.</t>
  </si>
  <si>
    <t>A vessel collides directly or indirectly with another vessel during voyage increases with the rise in shipping within Arctic waters. Sea and weather conditions influence this greatly where it can increaseprobability of larger issues such as multiple fatalities, vessels sinking, and/or exposions occuring.</t>
  </si>
  <si>
    <t xml:space="preserve">Errors when improperly lining up fuel can lead to fuel contamination, spills, uncontrolled release into the natural environment, and engine damage. </t>
  </si>
  <si>
    <t>The inability to accurately depict the most accurate tools for assessing socio-economic impact can create conditions that lead to mis-guided decision making and negative impacts on the community level.</t>
  </si>
  <si>
    <t>Poorly planning of bunkering operations often result in physical damages to occur such as uncontrolled substance release, spillsm, and other cascading accidents. This can pose risk of also becoming a violation of regulations and impacting the reputation of the vessels company.</t>
  </si>
  <si>
    <t>Outdated charts and navigational tools allow vessel operators to travel trough waters where they are unknown of the present-day conditions. This descrepancy may cause accidents, grounding, and evironmental damage to occur.</t>
  </si>
  <si>
    <t>Neglecting maintence standards in place during voyagesmay result in an uncontrolled rease of substances or accidents due to mechanical failures. Neglecting standards exasterbates concerns such as vessel reliability and the safety of the crew onboard.</t>
  </si>
  <si>
    <t>Tourist activites may create disruption ot both local residents and the natural environment, creating potential conflicts with indigenous communities, legal concerns, and local environmental damage.</t>
  </si>
  <si>
    <t>The lacking clear jurisdiction requirements among all Arctic countries and territories lead to an increase in permissability and unregulation of Arctic shipping activities.</t>
  </si>
  <si>
    <t>Insufficient tranining and expertise when navigating in Arctic waters may create navigational issues and decrease emergency resoponse service times.</t>
  </si>
  <si>
    <t>A disruption of local ecosystems can occur with the introduction of invaisive species when excotic species attach or climb about vessel from different aquatic environments, where water discharge and hull fouling exerbates this process.</t>
  </si>
  <si>
    <t>Due to limited case precedent and studies available, there are many indicators that are lacking reliant, consistent, or insufficient data available for assessment.</t>
  </si>
  <si>
    <t>The absence of international, national, and local-level regulatory requirements for maritime ship operations creates a grey window for best preactices and behaviours when shipping in Arctic waters.</t>
  </si>
  <si>
    <t>There are currently inadequate facilities that house sufficient resources for environmental cleanup and spill responses. Lacking infrastructure creates weak containment and mitigation measures if an uncontrolled release of a toxic substance occurs.</t>
  </si>
  <si>
    <t>Limited inscurance disclosre creates weak policies that place ship operators at risk of not being covered due to inadequate coverage of possible Arctic-specific accident scenarios. This increase liabilities on finances and legal requirements due to inconsistent and unclear regulations.</t>
  </si>
  <si>
    <t>Reduced invlovement of indienous peoples withi the decision making process will create sources of conflicts frequenty occur regarding cultural imapct and resource extraction.</t>
  </si>
  <si>
    <t>There is limited monitoring capabilities to detect real-time statistics of environmental conditions, impacting the navagability of travelling within Arctic waters, causing operators to be on increased alert of real-time risks and hazards.</t>
  </si>
  <si>
    <t>Due to ongoing conflicts and legal disputes, indigenous communities have strained relationships causing negative socio-cultrual impacts to be created regarding decision-making.</t>
  </si>
  <si>
    <t>With the remoteness and inpredictability of the Arctic, this creates difficulty in modelling safe and the most efficient routes due to ongoing evnironmental changes and hazards being present.</t>
  </si>
  <si>
    <t>Technological advances in vessel cannot be recplicated in Arctic environments due to the harsh conditions. This creates lower effeciency and reduces safety measure options for Arctic vessels.</t>
  </si>
  <si>
    <t>With competing international interests regarding the NWP inducing geo-political tensions, this indueces possible delays amnd legal obstacles regarding navigation.</t>
  </si>
  <si>
    <t>Due to the limited technology being applicable to be implented in the harsh conditions of the Arctic, this creates higher emissions from vessels and increased difficulty to transition vessels into regulatory complaiance if caught in violation.</t>
  </si>
  <si>
    <t>The load capacity of vessels may cause issues such as overaloding to occur to increase financial gains, though, creates sizable vessel instability which can lead to environmental harm/financial losses.</t>
  </si>
  <si>
    <t>An increased presence of tourists and vessels reduce the sence of uniqueness of the environment, creating negative tourism and envirnmental experiences.</t>
  </si>
  <si>
    <t>Low air temperatures create environmets that exasterbate icy conditions and lowering efficiency by creating ideal conditions for engine failure, icing, and safety concerns for crew onboard.</t>
  </si>
  <si>
    <t>Environmental conditions such as fog and snowy conditions create conditions for low visibility, increasing the risk of accidents such as collisions, groundings, and navigation errors to occur.</t>
  </si>
  <si>
    <t>Underwater noise pollution emitted by vessels cause ecological disruption to marine species that communicate with underwater noise. This could pose threats of non-compliance due to ecological harms through deafing or damaging communication for marine species.</t>
  </si>
  <si>
    <t>Vessels that emit methane during travel perpetuate cliamte change and ecological degration of the Arctic environment.</t>
  </si>
  <si>
    <t>There are reduced safety and response effectiveness through misconnumication between crews. Miscomunication can be due to language barriers, misunderstandings, or lack of coordination between operators, causing collisions or other accidents.</t>
  </si>
  <si>
    <t>The degration of national heritage sites as a result of vessel operations creates tensions between indigenous communities, lacking sense of community, and devalues the indigenous community identity.</t>
  </si>
  <si>
    <t>Increased naviagational obstacles can create increased vessel accidents in the form of collisions, accidnts, and/or groundings causing enefficienies in Arctic travel.</t>
  </si>
  <si>
    <t>The non-exsistent toll requirements for passage creates difficultues for implementing a toll route system due to the numerous routes vessel can take. This may create an impact on overall shipping safety due to limited oppurtunities to ensure complaince with requirements.</t>
  </si>
  <si>
    <t>The economic implications of any Arctic oil spill has a high economic cost due to ongoing monitoring and extended clean up. The remoteness of the environment negatively impacts the ability to deploy numerous to aid in remediation in a timely manner.</t>
  </si>
  <si>
    <t>Oil spills negatively impact marine species through habitat degration, consumption of toxic chemicals, and bioaccumulation of prey species. The oil spills also poses many regualtory and legal regarding compliance.</t>
  </si>
  <si>
    <t>Oil spills on sea ice is a complex issue regarding cleanup and monitoring of ecological systems. Since sea ice constantly move, this increases monitoring difficulties, creating long-term damages to the environment.</t>
  </si>
  <si>
    <t>Piracy can present security conserns to crew and materials aboard the vessel. This may cause vessels to navigating through different various routes to avoid intruders damaging goods and the vessel.</t>
  </si>
  <si>
    <t xml:space="preserve">Any form of physical disturbance to wildlife such as the impact or collisions into vessels can decrease the quality of life for marine mammals. Ecological degration due to physical desturbance of wildlife create challenges with regulatory guidelines regarding migratory birds and species at-risk. </t>
  </si>
  <si>
    <t>Due to the complex nature of the Arctic environment, the environment takes longer to properly recovery time if a vessel collision or accident were to occur. This causes long term and/or irreverable damages to the ecosystem.</t>
  </si>
  <si>
    <t>Due to limited assisting regarding search and rescue capabilities, a reduced vessel fleet rcreates limited emergenciy capabilities, causing delays in response time.</t>
  </si>
  <si>
    <t>The reduced requirements of ice classification creates unsafe environments for vessels of lower ice classification as they are more prone to damages and accidents while navigating the Arctc.</t>
  </si>
  <si>
    <t>HazardRiskName</t>
  </si>
  <si>
    <t>Count of data_score_quantity</t>
  </si>
  <si>
    <t>Limited resources to local communities create strain on development and refinment of infrastructure and services available, causing negative socio-economic impacts to occur.</t>
  </si>
  <si>
    <t>Navigating Arctic waters creates limited access to instrstructure, search and resuce, and other emergency supports. This increases the severity of any accidents occuring due to the longer response time required.</t>
  </si>
  <si>
    <t>Sea ice can create physical damage to vessels and create environmental impacts during navigation throughout the Arctic. Studies have identified that estimating sea ice is deemed inaccurate, only allowing crews to actively detect sea ice in real-time.</t>
  </si>
  <si>
    <t>Climate change and the inpridictability of increased temperatures has caused environments that allow for sea ice to melt.This modifies the environment of Arctic waters, making it impredictable and difficult to navigate Arctic waters.</t>
  </si>
  <si>
    <t>If a vessel were to collide with another vessel, mammal, sea ice, or land, the vessel sinking would be costlu to remediate due to possible releases of toxic substances. A sinking vessel would also have risks of exhibiting numerous casialties of crew members or marine mammal species.</t>
  </si>
  <si>
    <t xml:space="preserve">Ongoing legal and land claim tensions between indigenous communities and local governments fabricate negative impacts on the socio-economic statuses of indigenous peoples and communities. </t>
  </si>
  <si>
    <t>Ongoing competing international interests from federal governments and geopolitical tensions induce uncertainty regarding sovereignty claims and disputes throughout the northwest passage. This tends to exhibit constant changes and complexities within regulations and best practices.</t>
  </si>
  <si>
    <t>Increased vessel shipping within the North Passage creates shifts in ecological migration and possible impacts on subsequent fisheries and ecosystems. this migration and population shift creates difficulties regarding regulations and conservation management plans.</t>
  </si>
  <si>
    <t xml:space="preserve">The increased Reliance on technology through satellite navigation creates disruptions in communication and navigational technology. This poses risks to search and rescue resource personnel and the safety of crew members. </t>
  </si>
  <si>
    <t xml:space="preserve">The increased demand for tourism creates temporary overcrowding in indigenous communities throughout the Arctic due to small community sizes. This causes strain on the community infrastructure to provide adequate resources to the community in the long term. </t>
  </si>
  <si>
    <t xml:space="preserve">Due to increased demands and  "Last Chance tourism", this creates negative adverse impacts on Arctic wildlife and surrounding indigenous heritage. Increased tourism stimulates resource use, increasing their ecological footprints within northern communities. </t>
  </si>
  <si>
    <t>Geopolitical tensions due to external matters can impact shipping corridors and routes significantly. The tensions can foster issues with navigation as well as illegal behaviors from nations that are not in agreement with one another.</t>
  </si>
  <si>
    <t>Intensification of vessels within the Arctic poses increased risks of accidents occurring, such as collisions, vessel sinking, and uncontrolled releases of toxic substances into the natural environment. Increased vessel traffic creates a substantial navigational challenge, impacting crew safety and the environment.</t>
  </si>
  <si>
    <t xml:space="preserve">Vessels traveling through Marine Protected Areas (MPAs) run the risks of environmental disturbance of protected species and their corresponding habitats. Without obtaining legal documentation, entering these areas also poses risks of illegality of regulations and standards. </t>
  </si>
  <si>
    <t>Underwater noise caused by vessels' propellers disrupt marine mammals that use underwater noise to communicate with one another. This harms marine life and causes disruption and impossible relocation of marine mammal species whilst also becoming a regulatory issue.</t>
  </si>
  <si>
    <t xml:space="preserve">Due to the lack of crew experience with arctic vessel root planning, this poses risks of navigational errors as well as accidents occurring during the voyage. this post is first to crew safety and disruption to the environment. </t>
  </si>
  <si>
    <t xml:space="preserve">Unsafe poses risks of human-centered accidents from occurring. incidents such as oil spills, human error, negligence, and environmental harm all pose risks to safety and Regulatory concerns. </t>
  </si>
  <si>
    <t xml:space="preserve">RR Rating
RR Rating
</t>
  </si>
  <si>
    <t>Extreme assessment errors, data gaps, and/or uncertainties</t>
  </si>
  <si>
    <t>Irreversible damages, significant loss of culture and/or heritage creating unlivable conditions</t>
  </si>
  <si>
    <t>Significant economic impacts / costs (valued over $250,000 CAD)</t>
  </si>
  <si>
    <t>Catastrophic environmental damage to an entire ecosystem and/or species population, required remediation and indefinite monitoring.</t>
  </si>
  <si>
    <t>Catastrophic threat to operations, creating conditions that will impact the vessel ability to complete a successful trip.</t>
  </si>
  <si>
    <t>Large assessment errors, data gaps, and/or uncertainties</t>
  </si>
  <si>
    <t>Irreversible damages, significant loss of culture and/or heritage, livable conditions still present.</t>
  </si>
  <si>
    <t>Long-term economic impacts / costs (valued up to $250,000 CAD)</t>
  </si>
  <si>
    <t>Significant environmental damage that requires long-term remediation and monitoring.</t>
  </si>
  <si>
    <t>High threat posing long term impacts the entire trip causing increased difficulties or significant navigational delays.</t>
  </si>
  <si>
    <t>Moderate assessment errors, data gaps, and/or uncertainties</t>
  </si>
  <si>
    <t>Long-term damages to culture and heritage. Mitigation and conservation plans in place to reduce and revert harms.</t>
  </si>
  <si>
    <t>Short-term economic impacts / uncertainty (valued up to $25,000)</t>
  </si>
  <si>
    <t>Large environmental damage that requires short-term remediation and monitoring, above ecological thresholds to recover naturally.</t>
  </si>
  <si>
    <t>Moderate threat posing short term impacts during sections of the trip causing increased difficulties or moderate delays.</t>
  </si>
  <si>
    <t>Small assessment errors, data gaps, and/or uncertainties</t>
  </si>
  <si>
    <t>Short-term damages to culture and heritage. Mitigation plans in place to reduce and revert harms.</t>
  </si>
  <si>
    <t>Negligable economic impacts / uncertainty (valued up to $1,000)</t>
  </si>
  <si>
    <t>No or minor environmental damage, below ecological thresholds to recover naturally. </t>
  </si>
  <si>
    <t>Negligible threat to operations causing an individual or small, short-term impact to normal operations.</t>
  </si>
  <si>
    <t>Unknown assessment errors, confidence, or data gaps</t>
  </si>
  <si>
    <t>Unknown damages to community heritage and culture.</t>
  </si>
  <si>
    <t>Unknown risks of economic impacts</t>
  </si>
  <si>
    <t>Unknown ecological damages to flora and fauna.</t>
  </si>
  <si>
    <t>Unknown operational and/or navigational threat.</t>
  </si>
  <si>
    <t>Polarizing or complex international interests/legislation among jurisdictions and/or completely unenforceable regulations.</t>
  </si>
  <si>
    <t>1,000L uncontrolled release/spill or covering a protected area or critical habitat</t>
  </si>
  <si>
    <t>Multiple fatailities</t>
  </si>
  <si>
    <t>Complete sea ice presence, with majority multi-year and first-year sea ice present.</t>
  </si>
  <si>
    <t>Entire device/system failure or errors</t>
  </si>
  <si>
    <t>Different or complex international interests/legislation among jurisdictions with challenging regulations regarding enforcability.</t>
  </si>
  <si>
    <t>999-250L uncontrolled release/spill, any controlled release of substances</t>
  </si>
  <si>
    <t>Single fatalities</t>
  </si>
  <si>
    <t>High sea ice presence, with multi-year and first-year sea ice present.</t>
  </si>
  <si>
    <t>Large-scale temporary outage/error; Moderate error or failure impacting entire duration of voyage.</t>
  </si>
  <si>
    <t>Similar international inerests/legislation among jurisdictions and/or sufficient enforcement capabilities with little limitations.</t>
  </si>
  <si>
    <t>250L-50L uncontrolled release/spill</t>
  </si>
  <si>
    <t>Near miss and/or emergency services required</t>
  </si>
  <si>
    <t>Moderate sea ice presence, first-year sea ice present.</t>
  </si>
  <si>
    <t>Moderate errors or technology failure during sections of voyage.</t>
  </si>
  <si>
    <t>International inerests/legislation among jurisdictions are cohesive  and/or high enforcement capabilities.</t>
  </si>
  <si>
    <t>&lt;50L uncontrolled release/spill</t>
  </si>
  <si>
    <t>Single or multiple injuries </t>
  </si>
  <si>
    <t>Low or no sea ice presence, first-year sea ice present.</t>
  </si>
  <si>
    <t>Minor/short-term system error/glitch</t>
  </si>
  <si>
    <t>Unknown political interests, legislation, and enforcement capacity.</t>
  </si>
  <si>
    <t>Unknown release/spill quantity</t>
  </si>
  <si>
    <t>Unknown safety concerns</t>
  </si>
  <si>
    <t>Unknown sea ice presence</t>
  </si>
  <si>
    <t>Unknown technological error/malfunction</t>
  </si>
  <si>
    <t>Political/Regulatory</t>
  </si>
  <si>
    <t>Safety</t>
  </si>
  <si>
    <t>Community</t>
  </si>
  <si>
    <t>Operational/Navigational</t>
  </si>
  <si>
    <t>Value</t>
  </si>
  <si>
    <t>Probability Rating</t>
  </si>
  <si>
    <t>Consequence Rating</t>
  </si>
  <si>
    <t>LIKELY</t>
  </si>
  <si>
    <t>BETTER THAN EVEN</t>
  </si>
  <si>
    <t>UNLIKELY</t>
  </si>
  <si>
    <r>
      <rPr>
        <b/>
        <i/>
        <sz val="12"/>
        <color theme="1"/>
        <rFont val="Times New Roman"/>
        <family val="1"/>
      </rPr>
      <t xml:space="preserve">Table 2. </t>
    </r>
    <r>
      <rPr>
        <i/>
        <sz val="12"/>
        <color theme="1"/>
        <rFont val="Times New Roman"/>
        <family val="1"/>
      </rPr>
      <t>Cumulative hazard/risk matrix score</t>
    </r>
  </si>
  <si>
    <r>
      <rPr>
        <b/>
        <i/>
        <sz val="12"/>
        <color theme="1"/>
        <rFont val="Times New Roman"/>
        <family val="1"/>
      </rPr>
      <t>Table 3.</t>
    </r>
    <r>
      <rPr>
        <i/>
        <sz val="12"/>
        <color theme="1"/>
        <rFont val="Times New Roman"/>
        <family val="1"/>
      </rPr>
      <t xml:space="preserve"> Consequence Rating Score Descriptions</t>
    </r>
  </si>
  <si>
    <r>
      <rPr>
        <b/>
        <i/>
        <sz val="12"/>
        <color theme="1"/>
        <rFont val="Times New Roman"/>
        <family val="1"/>
      </rPr>
      <t xml:space="preserve">Table 4. </t>
    </r>
    <r>
      <rPr>
        <i/>
        <sz val="12"/>
        <color theme="1"/>
        <rFont val="Times New Roman"/>
        <family val="1"/>
      </rPr>
      <t>Probability Rating Score Descriptions</t>
    </r>
  </si>
  <si>
    <t>Data Confidence Rating</t>
  </si>
  <si>
    <t>Interval</t>
  </si>
  <si>
    <t>80% - 100%</t>
  </si>
  <si>
    <t>60% - 79%</t>
  </si>
  <si>
    <t>40% - 59%</t>
  </si>
  <si>
    <t>Data must be used cautiously in situations where weighting options are available.</t>
  </si>
  <si>
    <t>LOW</t>
  </si>
  <si>
    <t>20% - 39%</t>
  </si>
  <si>
    <t>More data is required before use in risk assessment.</t>
  </si>
  <si>
    <t>VERY LOW</t>
  </si>
  <si>
    <t>0% - 19%</t>
  </si>
  <si>
    <t>Little to no data is available, and more data before assessment use.</t>
  </si>
  <si>
    <r>
      <rPr>
        <b/>
        <i/>
        <sz val="12"/>
        <color theme="1"/>
        <rFont val="Times New Roman"/>
        <family val="1"/>
      </rPr>
      <t xml:space="preserve">Table 7. </t>
    </r>
    <r>
      <rPr>
        <i/>
        <sz val="12"/>
        <color theme="1"/>
        <rFont val="Times New Roman"/>
        <family val="1"/>
      </rPr>
      <t>Data Quality Score Descriptions</t>
    </r>
  </si>
  <si>
    <t>Data Quality Score (DQ)</t>
  </si>
  <si>
    <t>This score used the Level of Agreement and Evidence Scores to determine overall data quality as expressed in a percentage value between 0-100%.</t>
  </si>
  <si>
    <t>Level of Agreement (LoA)</t>
  </si>
  <si>
    <t>The level of the agreement determines whether different studies quantify each risk the same while also considering the quantity of articles examining the risk.</t>
  </si>
  <si>
    <t>Evidence Score (ES)</t>
  </si>
  <si>
    <t>The evidence score combines four equally weighted indicators: evidence type, amount, consistency, and quality.</t>
  </si>
  <si>
    <t>Risk Agreement (RA)</t>
  </si>
  <si>
    <t>The risk agreement score is calculated by determining all sources' maximum risk rating proportional score.</t>
  </si>
  <si>
    <t>To ensure the level of agreement is satisfied, any risk observed in five or more occurrences satisfied the requirement.</t>
  </si>
  <si>
    <t>Evidence Type (T)</t>
  </si>
  <si>
    <t>Evidence type refers to the quantity of methods used to examine each hazard or risk in the form of theoretical, observational, or hybrid studies. Diversifying the types of evidence collected from studies reduces uncertainties surrounding theoretical versus operational hazards/risks.</t>
  </si>
  <si>
    <t>Evidence Amount (A)</t>
  </si>
  <si>
    <t>The total quantity of data sources collected on a given hazard or risk as expressed in a percentile score.</t>
  </si>
  <si>
    <t>Evidence Consistency (C)</t>
  </si>
  <si>
    <t>The metric observes the consistency of each hazard or risk individual risk score and compares it to other data collected.</t>
  </si>
  <si>
    <t>This metric evaluates the standard at which the data source was upheld to before publishing.</t>
  </si>
  <si>
    <t>Calculation</t>
  </si>
  <si>
    <t>Level of Agreement and Evidence Scores will be multiplied by 5 to create the highest possible score of 10. Once multiplied, the sum of both scores is divided by 10 to receive a percentage score.</t>
  </si>
  <si>
    <t>The level of agreement is the product of the risk and quantity scores. The risk agreement score is multiplied by a value of one-third (⅓), and the quantity score is multiplied by two-thirds (⅔) to create a product value between 0 - 1. </t>
  </si>
  <si>
    <t>The level of agreement is the product of the evidence type, amount, consistency, and quality scores. Each indicator is weighted and multiplied by 0.25. Finally, all scores are summed to create a final value between 0 - 1.</t>
  </si>
  <si>
    <t>Each risk counts the quantity of risk rating scores based on the following categories; ‘ver high’, ‘high’, ‘moderate’, negligible’, and ‘data deficient’. The proportion for each risk category is calculated, and the highest percentage value is taken for this score.</t>
  </si>
  <si>
    <t>A true/false function is determined if the number of risks observed among all sources meets or exceeds five per hazard/risk.</t>
  </si>
  <si>
    <t>Count of unique evidence-type values per hazard/risk. The quotient is determined by the count of evidence types used divided by the total evidence type (highest possible score) to receive a value between 0-1.</t>
  </si>
  <si>
    <t>The indicator score is calculated using the percentile of the quantity of evidence collected. (i.e. 100% is equal to the most collected sources)</t>
  </si>
  <si>
    <t>Counts the different risk index values used for the individual categories used, and divides the </t>
  </si>
  <si>
    <t>All scores received the highest possible score due to academic articles going through a peer-review process.</t>
  </si>
  <si>
    <r>
      <rPr>
        <b/>
        <i/>
        <sz val="12"/>
        <color theme="1"/>
        <rFont val="Times New Roman"/>
        <family val="1"/>
      </rPr>
      <t>Table 6.</t>
    </r>
    <r>
      <rPr>
        <i/>
        <sz val="12"/>
        <color theme="1"/>
        <rFont val="Times New Roman"/>
        <family val="1"/>
      </rPr>
      <t xml:space="preserve"> Data Quality Equation Descriptions &amp; Calculations</t>
    </r>
  </si>
  <si>
    <t>Data confidence is acceptable with a maximum degree of certainty.</t>
  </si>
  <si>
    <t>Data confidence is acceptable for use with certainty.</t>
  </si>
  <si>
    <t>An object-oriented Bayesian network model for the quantitative risk assessment of navigational accidents in ice-covered Arctic waters</t>
  </si>
  <si>
    <t>A1101</t>
  </si>
  <si>
    <t>Flucuating fuel prices</t>
  </si>
  <si>
    <t>Environmental remediation and/or clean-up costs</t>
  </si>
  <si>
    <t>Inadequate assessment tools</t>
  </si>
  <si>
    <t>Inadequate shipping infrastructure and services</t>
  </si>
  <si>
    <t>Limited search and rescue capacity</t>
  </si>
  <si>
    <t>Reduced local resources</t>
  </si>
  <si>
    <t>Tourism (generalized)</t>
  </si>
  <si>
    <t>MEDIUM</t>
  </si>
  <si>
    <t>CATASTROPIC</t>
  </si>
  <si>
    <t>Occurs once every month</t>
  </si>
  <si>
    <t>Occurs once a year</t>
  </si>
  <si>
    <t>https://www.sciencedirect.com/science/article/pii/S0951832023003733#bib0039</t>
  </si>
  <si>
    <t>http://dx.doi.org/10.1016/j.oceaneng.2017.02.002</t>
  </si>
  <si>
    <t>Conrow (2003)</t>
  </si>
  <si>
    <t>data defficienies</t>
  </si>
  <si>
    <t>list articles that state this term</t>
  </si>
  <si>
    <t>CATASTROPHIC</t>
  </si>
  <si>
    <t>CONSEQUENCE</t>
  </si>
  <si>
    <t>PROBABILITY</t>
  </si>
  <si>
    <t>9-0</t>
  </si>
  <si>
    <t>50-36</t>
  </si>
  <si>
    <t>35-25</t>
  </si>
  <si>
    <t>24-10</t>
  </si>
  <si>
    <t>Data Quality</t>
  </si>
  <si>
    <t>Indicator Name</t>
  </si>
  <si>
    <t>Agreement Quantity (AQ)</t>
  </si>
  <si>
    <t>Type (T)</t>
  </si>
  <si>
    <t>Amount (A)</t>
  </si>
  <si>
    <t>Quality (Q)</t>
  </si>
  <si>
    <t>Consistency (C)</t>
  </si>
  <si>
    <r>
      <rPr>
        <b/>
        <i/>
        <sz val="12"/>
        <color theme="1"/>
        <rFont val="Times New Roman"/>
        <family val="1"/>
      </rPr>
      <t>Figure x.</t>
    </r>
    <r>
      <rPr>
        <i/>
        <sz val="12"/>
        <color theme="1"/>
        <rFont val="Times New Roman"/>
        <family val="1"/>
      </rPr>
      <t xml:space="preserve"> Risk Matrix calculating the level of risk as adopted from the Consequence/probability matrix from ISO and IPCC guidleines.</t>
    </r>
  </si>
  <si>
    <t>Weight</t>
  </si>
  <si>
    <r>
      <rPr>
        <b/>
        <i/>
        <sz val="12"/>
        <color theme="1"/>
        <rFont val="Times New Roman"/>
        <family val="1"/>
      </rPr>
      <t>Table x.</t>
    </r>
    <r>
      <rPr>
        <i/>
        <sz val="12"/>
        <color theme="1"/>
        <rFont val="Times New Roman"/>
        <family val="1"/>
      </rPr>
      <t xml:space="preserve"> Visual Representation of Data Quality Scores adopted from IPCC guidance documents.</t>
    </r>
  </si>
  <si>
    <r>
      <rPr>
        <b/>
        <i/>
        <sz val="12"/>
        <color theme="1"/>
        <rFont val="Times New Roman"/>
        <family val="1"/>
      </rPr>
      <t xml:space="preserve">Table 1. </t>
    </r>
    <r>
      <rPr>
        <i/>
        <sz val="12"/>
        <color theme="1"/>
        <rFont val="Times New Roman"/>
        <family val="1"/>
      </rPr>
      <t>Consequence Rating Definitions via Sector</t>
    </r>
  </si>
  <si>
    <t>Criteria</t>
  </si>
  <si>
    <t>Undetectable risk; Tolerable risk that requires use of management and potential control measures to maintain ALARP standards, no risk priority status and should be accepted.</t>
  </si>
  <si>
    <t>Moderate risk; Risks are manageable and/or tolerable and potentially require specific management and control measures to achieve ALARP standards, probable risk priority status.</t>
  </si>
  <si>
    <t>High risk; secondary priority risks and shall require specific management, control measures, and monitoring to achieve ALARP standards. Caution expressed after measures implemented.</t>
  </si>
  <si>
    <t>Highest risk; listed as a priority risk and shall require increased management, control measures, and monitoring to achieve potential ALARP standards. Caution expressed after measures implemented.</t>
  </si>
  <si>
    <t>below natural ecosystem and climate thresholds, negligible or no impacts saught.</t>
  </si>
  <si>
    <t>Vessel frequency</t>
  </si>
  <si>
    <t>100%-85% occurance probability</t>
  </si>
  <si>
    <t>85%-65% occurance probability</t>
  </si>
  <si>
    <t>65%-55% occurance probability</t>
  </si>
  <si>
    <t>55%-35% occurance probability</t>
  </si>
  <si>
    <t>&lt;35% occurance probability</t>
  </si>
  <si>
    <t>Occurs once every voyage</t>
  </si>
  <si>
    <t>Occurs once every 5 years</t>
  </si>
  <si>
    <t>Occurs once a ship lifetime (~20 years)</t>
  </si>
  <si>
    <t>cause_list</t>
  </si>
  <si>
    <t>consequence_list</t>
  </si>
  <si>
    <t>data_deficient</t>
  </si>
  <si>
    <t>control_cat</t>
  </si>
  <si>
    <t>control_name</t>
  </si>
  <si>
    <t>control_operational</t>
  </si>
  <si>
    <t>probability_value</t>
  </si>
  <si>
    <t>consequence_value</t>
  </si>
  <si>
    <t>RR</t>
  </si>
  <si>
    <t>probability_ex</t>
  </si>
  <si>
    <t>consequence_ex</t>
  </si>
  <si>
    <t>Classifying between a hazard or risk</t>
  </si>
  <si>
    <t>probability score as per table quantifying probability score (table x)</t>
  </si>
  <si>
    <t>probability score explanation (typically quote from article)</t>
  </si>
  <si>
    <t>consequence score as per table quantifying consequence score (table x)</t>
  </si>
  <si>
    <t>consequence score explanation (typically quote from article)</t>
  </si>
  <si>
    <t>Risk Rating based on consequence/probability matrix and table x outlining risk rating</t>
  </si>
  <si>
    <t>product score from probability and consequence (HPS = 50)</t>
  </si>
  <si>
    <t>Determining whether the study stated the metric collected is data deficient</t>
  </si>
  <si>
    <t>consequence_direct_indirect</t>
  </si>
  <si>
    <t>controls_cat</t>
  </si>
  <si>
    <t>Generalized category of controls</t>
  </si>
  <si>
    <t>Determining whether the study stated the controls noted are operational - Y/N/U</t>
  </si>
  <si>
    <t>data_defficient_count</t>
  </si>
  <si>
    <t>Yes</t>
  </si>
  <si>
    <t>data_deficient_count</t>
  </si>
  <si>
    <t>l_count</t>
  </si>
  <si>
    <t>l_pct</t>
  </si>
  <si>
    <t>DataQuality_Rating</t>
  </si>
  <si>
    <t>DataQuality_Score</t>
  </si>
  <si>
    <t>dq_icon</t>
  </si>
  <si>
    <t>Count of theoretical studies from each individual risk in 'FMECA_data'</t>
  </si>
  <si>
    <t>Count of observational studies from each individual risk in 'FMECA_data'</t>
  </si>
  <si>
    <t>Count of hybrid studies from each individual risk in 'FMECA_data'</t>
  </si>
  <si>
    <t>Count of modelling studies from each individual risk in 'FMECA_data'</t>
  </si>
  <si>
    <t>Count of  studies that determined hazard/risk was data defficient from each individual risk in 'FMECA_data'</t>
  </si>
  <si>
    <t>Combined data quality rating for hazard/risk overall</t>
  </si>
  <si>
    <t>Combined data quality score for hazard/risk overall</t>
  </si>
  <si>
    <t>Icon visualizing data quality for each hazard/risks overall data quality score</t>
  </si>
  <si>
    <t>L</t>
  </si>
  <si>
    <t>ev_data_defficent_score</t>
  </si>
  <si>
    <t>ev_data_deficient_score</t>
  </si>
  <si>
    <t>ev_data_availability_score</t>
  </si>
  <si>
    <t>data_availability_count</t>
  </si>
  <si>
    <t>Count of  studies that have data available for use from each individual risk in 'FMECA_data'</t>
  </si>
  <si>
    <t>Policy</t>
  </si>
  <si>
    <t>Indeed, an EEZ is not a national space since the coastal state does not have full sovereignty, only certain sovereign rights and jurisdiction. This important concept reflects the balance that had to be struck between coastal states that argued that multilateral resource  management had failed to conserve living resources, and those major states—including the USA, the Soviet Union, and the UK—that were set on retaining the freedom of navigation for commercial and naval vessels</t>
  </si>
  <si>
    <t>Unclear direction from conservation agencies</t>
  </si>
  <si>
    <t>Uncontrolled vessel traffic, increased underwater noise, increased water pollution, habitat destruction, and exploitation of coastal seas within EEZ.</t>
  </si>
  <si>
    <t>UN Law of the Sea Convention (LOSC)</t>
  </si>
  <si>
    <t>“Also many other pollutants have been produced and discharged well outside the Arctic. Strong south–north air flows, rivers and ocean currents transport a range of hazardous compounds into and within the Arctic. Particular worries concern persistent organic pollutants (POPs), including organochlorine pesticides used in agriculture, industrial chemicals such as polychlorinated biphenyls (PCB), and various combustion products.”</t>
  </si>
  <si>
    <t>Fuel consumption, HFO use
Ship speed</t>
  </si>
  <si>
    <t>Environmental degradation
Bioaccumulation (People and Animals), Climate warming</t>
  </si>
  <si>
    <t>Training</t>
  </si>
  <si>
    <t>Unknown</t>
  </si>
  <si>
    <t>Cleaner production to reduce energy use and emissions</t>
  </si>
  <si>
    <t>Bioaccumulation - flora/fauna</t>
  </si>
  <si>
    <t>Bioaccumulation - human</t>
  </si>
  <si>
    <t>“The effects of POPs and heavy metals on humans are more dramatic in the Arctic than those documented at lower latitudes because such substances bio-accumulate in the fatty tissue and blood of some species, including marine mammals and sea birds, which are important in the diet of Arctic indigenous residents. The Inuit of Canada and Greenland have among the highest exposures to PCB and mercury measured on the planet.”</t>
  </si>
  <si>
    <t>Air emissions, uncontrolled release of toxic substances</t>
  </si>
  <si>
    <t>Deteriorate ecosystem health, extirpation of keystone species</t>
  </si>
  <si>
    <t>Deteriorate ecosystem health, decline in human health, decline in local northern populations</t>
  </si>
  <si>
    <t>“The effects of POPs and heavy metals on humans are more dramatic in the Arctic than those documented at lower latitudes because such substances bio-accumulate in the fatty tissue and blood of some species, including marine mammals and sea birds, which are important in the diet of Arctic indigenous residents. The Inuit of Canada and Greenland have among the highest exposures to PCB and mercury measured on the planet. The Inuit of Canada and Greenland have among the highest exposures to PCB and mercury measured on the planet. Foetuses and infants relying on breast milk are particularly vulnerable [12].”</t>
  </si>
  <si>
    <t>Increased vessel traffic</t>
  </si>
  <si>
    <t>Increased bioaccumulation (Human and Animals), Decrease in northern community population
Increased uncontrolled releases of toxic substances</t>
  </si>
  <si>
    <t>“The effects of POPs and heavy metals on humans are more dramatic in the Arctic than those documented at lower latitudes because such substances bio-accumulate in the fatty tissue and blood of some species, including marine mammals and sea birds, which are important in the diet of Arctic indigenous residents.”</t>
  </si>
  <si>
    <t>“The authority of the coastal states, as confirmed in the LOSC, to regulate the exploitation of shelf resources means that there is little to constrain regional states from agreeing on more stringent environmental standards for hydrocarbon exploration and production than those laid down globally, should they wish to do so. As pointed out by Offerdal [20], however, the strategic significance of oil and gas resources has led to reluctance among Arctic petroleum states to place binding regulation of such matters on the Arctic agenda.”</t>
  </si>
  <si>
    <t>International interests, economic gain</t>
  </si>
  <si>
    <t>Decline in resources for indigenous communities, underwater noise pollution, uncontrolled release of toxic substances</t>
  </si>
  <si>
    <t>Introduce legislation that creates strict guidelines and/or bans expolititive resource extraction.</t>
  </si>
  <si>
    <t>Policy, Training</t>
  </si>
  <si>
    <t>Trainings on cleaner production and emission reduction, Arctic Council creating stronger laws regarding HFO use</t>
  </si>
  <si>
    <t>Risk of oil spills, increase ecological damage, increased use of HFOs, climate warming</t>
  </si>
  <si>
    <t>Economic gain</t>
  </si>
  <si>
    <t>“Until recently, the main focus of the working group on Emergency Prevention, Preparedness and Response was on petroleum activities, with the Circumpolar Map of Resources at Risk from Oil Spills in the Arctic [19] as an important output. Now the scope has been expanded to include nuclear installations and other facilities that use or store hazardous material, and natural disasters.”</t>
  </si>
  <si>
    <t>Standards, Policy</t>
  </si>
  <si>
    <t>Extreme cold temperatures, no vessel traffic</t>
  </si>
  <si>
    <t>Increased navigational difficulty</t>
  </si>
  <si>
    <t>Increased navigational difficulty, Increase melt time for sea ice</t>
  </si>
  <si>
    <t>Ice Classification from Canadian Arctic Classification (CAC), Transport Canada regulates Arctic shipping using the Arctic Shipping Pollution Prevention Regulations (ASPPR).</t>
  </si>
  <si>
    <t>"Kubat and Timco (2003) analyzed damage to vessels operating in the Canadian Arctic and found that in 73% of damage events analyzed, damage occurred in ice regimes where multi-year ice was present."</t>
  </si>
  <si>
    <t>“Polar Class 7 (PC7) classifies a vessel for summer/autumn operation in thin first-year ice which may include old ice inclusions; Polar Class 1 (PC1) classifies a vessel for year-round operation in all Polar waters.”</t>
  </si>
  <si>
    <t>“The data also showed that damage is more severe in ice regimes that contain multi-year ice.”</t>
  </si>
  <si>
    <t>If a vessel becomes stuck in ice, this creates significant threats to the crew and environment. This would result in high-costing actions where search and rescue teams would retrieve crew members and aid in uncontrolled substance clean up.</t>
  </si>
  <si>
    <t>“The variability of ice conditions encountered in each season influences the required number of ships. Severe ice conditions could restrict and slow the transit. If a ship is beset in ice, the assistance of an icebreaker may be required. Also deliveries could be reduced if a ship is damaged and has to be repaired.”</t>
  </si>
  <si>
    <t>Zone/Date System (ZDS) and by the Arctic Ice Regime Shipping System (AIRSS)</t>
  </si>
  <si>
    <t>Increased navigational time, increased risk of vessel sinking, injury/loss of life, vessel damage</t>
  </si>
  <si>
    <t>Increased sea ice presence, route planning failure, multi-year sea ice</t>
  </si>
  <si>
    <t>Inaccurate climate modeling, real-time changes in climate, increased extreme weather</t>
  </si>
  <si>
    <t>climate change</t>
  </si>
  <si>
    <t>“Another factor to be considered is a potential climate change. A number of studies have reported a decrease of ice extent and indicated that there is an apparent trend in first-year (FY) ice melt in the Canadian Arctic Archipelago (Wilson et al. 2004, Howel and Yackel 2004, Melling 2002, Falkingham et al. 2001, Comiso 2002, Flato and Boer, 2001). An increase in length of the shipping season is therefore expected. However, melting of first year ice in Canadian Arctic Archipelago will allow more multi-year ice to reach the Northwest Passage and the Beaufort Sea pack ice to shift south.”</t>
  </si>
  <si>
    <t>Total articles count</t>
  </si>
  <si>
    <t>Accidental discharge of a substance</t>
  </si>
  <si>
    <t>evidence_mean_RR</t>
  </si>
  <si>
    <t>evidence_SD_RR</t>
  </si>
  <si>
    <t>Average risk rating score for each hazard/risk</t>
  </si>
  <si>
    <t>RR_score_avg</t>
  </si>
  <si>
    <t>rr_score_avg</t>
  </si>
  <si>
    <t>vidence_SD_RR</t>
  </si>
  <si>
    <t>Evidence Quality (Q)</t>
  </si>
  <si>
    <t>data availability</t>
  </si>
  <si>
    <t>Risk Rating Tables</t>
  </si>
  <si>
    <t>Count of 'very high' risk ratings for each hazard/risk</t>
  </si>
  <si>
    <t>Count of 'high' risk ratings for each hazard/risk</t>
  </si>
  <si>
    <t>Proportion of risk ratings classified as 'very high' for each individual hazard/risk</t>
  </si>
  <si>
    <t>Proportion of risk ratings classified as 'low' for each individual hazard/risk</t>
  </si>
  <si>
    <t>Count of 'low' risk ratings for each hazard/risk</t>
  </si>
  <si>
    <t>Proportion of risk ratings classified as 'moderate' for each individual hazard/risk</t>
  </si>
  <si>
    <t>Count of 'moderate' risk ratings for each hazard/risk</t>
  </si>
  <si>
    <t>Proportion of risk ratings classified as 'high' for each individual hazard/risk</t>
  </si>
  <si>
    <t>Standards</t>
  </si>
  <si>
    <t>Operational discharges</t>
  </si>
  <si>
    <t>During operations, vessels pollute and discharge various substances from automatic and intentional discharges of oil and other substances, such as grey water/sewage, into open waters without any filtration.</t>
  </si>
  <si>
    <t>“The extent to which such sources of pollution represent an environmental threat will depend on the degree of compliance with the relevant international conventions. As such, non-compliance with established international standards represents a significant ongoing problem.”</t>
  </si>
  <si>
    <t>International standards and enforcement targets for monitoring compliance with regulations</t>
  </si>
  <si>
    <t>Automatic discharges, negligence</t>
  </si>
  <si>
    <t>Environmental damage, water/air pollution</t>
  </si>
  <si>
    <t>“These so-called ‘operational discharges’ include certain automatic releases as well as intentional discharges incidental to normal operations. Such discharges include oil and other harmful substances, ballast water and associated invasive aquatic organisms, antifouling substances, garbage and sewage”</t>
  </si>
  <si>
    <t>“The most common sources of ship-sourced pollution derive from the normal operation of a ship (Organisation for Economic Cooperation and Development (OECD) 2003).”</t>
  </si>
  <si>
    <t>Automatic discharging practices, too much waste accumulated on vessels, uncontrolled release of substance</t>
  </si>
  <si>
    <t>Water pollution, introduction of invasive aquatic organisms, physical harm to marine mammal species</t>
  </si>
  <si>
    <t>“Although operational discharges of oil represent by far the most significant input of oil from ships, public perception demands that accidental discharges of oil and other harmful substances receive the greatest scrutiny. Numerous high profile maritime casualties in recent years have demonstrated the potential significant impacts such in cidents may have on both the environment and economy of coastal States (Roberts and others 2005).”</t>
  </si>
  <si>
    <t>Automatic discharge, machinery failure, mechanical failure, human error</t>
  </si>
  <si>
    <t>Loss of life, negative economic impacts, destruction of marine habitats and coastal environments</t>
  </si>
  <si>
    <t>“Given the unique circumstances of shipping in Arctic waters, an interesting challenge may be to consider a range of additional new measures which recognise the unique and fragile nature of the Arctic environment. Such measures could conceivable include restrictions on certain types of cargo or vessel; construction, design, equipments and manning standards specific to Arctic waters; requirements for compulsory pilotage; and enhanced domestic response arrangements for dealing with oil spill, salvage and search and rescue scenarios.”</t>
  </si>
  <si>
    <t xml:space="preserve">Mixed operational standards, limited enforcement capabilities
</t>
  </si>
  <si>
    <t>Competing political interests, globalization of markets, Unfamiliarity to the region, no previous global technical standards regarding Arctic shipping</t>
  </si>
  <si>
    <t>“However, in order to be effective, such measures would have to be broadly accepted and endorsed by the international community, and certainly would need acceptance from all Arctic coastal States. Recent state practice with the designation of measures to protect other sensitive marine areas from the impacts of shipping have illustrated that there are clearly limits as to how far the international community is currently prepared to go in adopting measures, for the purpose of environmental protection, where (i) there exists no generally accepted international rules and standards in international law for the adoption of such measures, and (ii) where such measures may violate the principle of freedom of navigation (Roberts 2006).”</t>
  </si>
  <si>
    <t>No previous legislation regarding Arctic shipping</t>
  </si>
  <si>
    <t>International conflicts of implementing measures, lack of enforcement within Arctic waters, varying standards among vessels</t>
  </si>
  <si>
    <t>Introduce legislation that creates guidelines for navigation in Arctic waters.</t>
  </si>
  <si>
    <t>Fluctuating fuel prices</t>
  </si>
  <si>
    <t>“Two types of insurance were estimated for each ship type: Hull and Machinery (H&amp;M) and Protection and Indemnity (P&amp;I). A range of values for the Panama Canal ship were based on industry estimates (Nagarajan, 2007, personal communication). The estimate of insurance premiums for the Arctic route is judgmental since no commercial premiums for year-round trans-Arctic shipping are now quoted. We assume a 50% increase over Panamax rates, but due to the high degree of uncertainty, we explore the impact of a wide range of values for this increase, up to 100%”</t>
  </si>
  <si>
    <t>“The results show that the Northwest Passage route offers a saving of almost 10% relative to the Panama Canal for freight from St John’s. The longer distance through the Northwest Passage from New York and the corresponding shorter distance through the Panama Canal means that the Canal route is favoured from New York. The difference is significant, although perhaps not compelling given the higher risk and uncertainty for the Northwest Passage.”</t>
  </si>
  <si>
    <t>“The results show that the Northwest Passage route offers a saving of almost 10% relative to the Panama Canal for freight from St John’s. The longer distance through the Northwest Passage from New York and the corresponding shorter distance through the Panama Canal means that the Canal route is favoured from New York. The difference is significant, although perhaps not compelling given the higher risk and uncertainty for the Northwest Passage. If, however, ice continues to be thin, the Arctic Passage economics will improve over time.”</t>
  </si>
  <si>
    <t>“For operating and maintenance costs, a number of variables were identified for which values were not certain; Table 2 lists these and the range of values used in the study.”
“The estimate of insurance premium for the Arctic route is judgmental, since no commercial premiums for year round trans-Arctic shipping are now quoted.”</t>
  </si>
  <si>
    <t>Lacking case precedent</t>
  </si>
  <si>
    <t>Research</t>
  </si>
  <si>
    <t>Create baseline data regarding inquiry</t>
  </si>
  <si>
    <t>Increased uncertainty, changes in hypotheses</t>
  </si>
  <si>
    <t>Lack of insurance requirement, increase in vessel accidents</t>
  </si>
  <si>
    <t>Lower awareness of insurance information, Limited ability to quantify insurable needs</t>
  </si>
  <si>
    <t>“Two types of insurance were estimated for each ship type: Hull and Machinery (H&amp;M) and Protection and Indemnity (P&amp;I). A range of values for the Panama Canal ship were based on industry estimates (Nagarajan, 2007, personal communication). The estimate of insurance premium for the Arctic route is judgmental, since no commercial premiums for year round trans-Arctic shipping are now quoted. We assume a 50% increase over Panamax rates, but due to the high degree of uncertainty we explore the impact of a wide range of values for this increase, up to 100%.”</t>
  </si>
  <si>
    <t>“The current guidelines do have certain substantial shortcomings. There exists no recognised internationally approved training course for ice navigators or qualification scheme for individuals who are to operate vessels in icecovered waters. However a number of training schemes do exist.”</t>
  </si>
  <si>
    <t>Cold climate conditions, lack of onboarding available</t>
  </si>
  <si>
    <t>Ice navigation and other training scheme to prepare crew for voyaging through Arctic</t>
  </si>
  <si>
    <t>Operation difficulties, increased risk of accidents occurring, machinery failures, increased navigational time</t>
  </si>
  <si>
    <t>“The guidelines also fail to provide sufficient regulations concerning icing. This is a typical phenomenon in the Arctic Ocean, when cold temperatures result in spray blown off the sea freezing immediately on contact with a vessel. If the ice is not regularly removed, it will build up on the ship’s structure and may cause the vessel destabilise or capsize.”</t>
  </si>
  <si>
    <t xml:space="preserve">Cold temperatures. Ice-spray icing, crew negligence, lack of proper training, miscommunication between crew members
</t>
  </si>
  <si>
    <t>Ship instability, ship capsizing, injury/death</t>
  </si>
  <si>
    <t>De-icing practices/requirements, Ice acceleration removal equipment, Crew training</t>
  </si>
  <si>
    <t>Standards, Equipment, Training</t>
  </si>
  <si>
    <t>“for fire safety it is specified that re-fuelling of ships should be carried out taking into account the special conditions imposed by low temperatures, and that fire-extinguishing systems should be designed or located so that they are not made inaccessible by ice or snow accumulation (paragraphs 10.1 and 10.3).”</t>
  </si>
  <si>
    <t>“Sea-ice concentrations of 1/10 coverage or greater which pose a structural risk to ships are also an unconditional requirement in the definition of ‘ice-covered waters’. Determining the exact level of ice coverage is always difficult, but the guidelines provide for no objective method in this respect. Nor is there any time criterion, in contrast to Article 234 of the LOS Convention, which stipulates that icemust be present ‘most of the year’ (UNCLOS 1982: Article 234).”</t>
  </si>
  <si>
    <t>POLAR Code, SOLAS Convention, CAC 4 Ice classification requirement, Article 234</t>
  </si>
  <si>
    <t>Trip planning, the unpredictability of sea ice, difficulty determining sea ice  thickness, lack of crew training</t>
  </si>
  <si>
    <t>Navigational difficulties, voyage delays, vessel accidents</t>
  </si>
  <si>
    <t>Extreme low temperatures/climate, lack of training regarding refueling in Arctic waters, negligence</t>
  </si>
  <si>
    <t>Specialized equipment, Handling procedures during extreme weather</t>
  </si>
  <si>
    <t>Safety equipment malfunction, oil spill, uncontrolled release of toxic substances, crew injury, loss of crew life</t>
  </si>
  <si>
    <t>“The IACS unified requirements do not at any point directly conflict with the IMO guidelines and should thus be considered as complementary in technical matters with regard to important aspects not specifically dealt with in the guidelines, such as hull and machinery. There are, however, formal differences of which to be aware. IMO member governments are subject to the guidelines, while the IACS unified requirements apply solely to the members of the association. In this context it must be noted that more than 90% of the world’s cargo carrying tonnage is covered by the classification design and construction rules and standards set by the ten-member societies and one associate of IACS.”</t>
  </si>
  <si>
    <t>Implementation of technical requirements among all countries</t>
  </si>
  <si>
    <t>Contrasting political views at the national level</t>
  </si>
  <si>
    <t>Conflicting standards and regulations,  lack of awareness of standards between operators, limited enforcement capabilities</t>
  </si>
  <si>
    <t>Laws, Regulations</t>
  </si>
  <si>
    <t xml:space="preserve"> “Although these nations have collectively pledged themselves toward protective action regarding marine pollution in this region, they have several conflicting interests (Table 1).”</t>
  </si>
  <si>
    <t>Non-Arctic and Arctic countries are found in competition among the rights and control of Arctic waters. The differences of opinion among nations also perpetuate risks in society.</t>
  </si>
  <si>
    <t>Newly adopted Arctic Council member state-level policies/legislation, economic gain, sovereignty</t>
  </si>
  <si>
    <t>Sanctions/tariffs, creation of inter/national policies, increased shipping, land and resource disputes</t>
  </si>
  <si>
    <t>“Increased pollution levels will have several implications for northern communities, such as industrial development of coasts and ocean-based production facilities, damage to existing infrastructure, increased pressure on water resources, and degradation of indigenous cultural and natural resources (ACIA, 2004).”</t>
  </si>
  <si>
    <t>“An increased access to and transport of hydrocarbons will be possible once more vessel traffic is allowed to travel through northern waters. This is particularly appealing for vessels because it drastically reduces the distance traveled around the globe, thus significantly decreasing fuel costs. However, there is a high probability of increased pollution due to tanker traffic and production of fossil fuels; oil spills are of primary concern in this region.”</t>
  </si>
  <si>
    <t>New legislation that strengthens regulatory requirements for Arctic shipping</t>
  </si>
  <si>
    <t>Damage to infrastructure, degradation of indigenous, cultural, and natural resources, decreased air quality, accelerated climate change</t>
  </si>
  <si>
    <t>Increased vessel traffic, increased economic demand for shipping</t>
  </si>
  <si>
    <t>“The most significant direct effect of ASEMA will be the creation of a legally binding document. It is likely that there will be both positive and negative indirect effects of the regime, although most will be positive. These may include the following: enhanced regional cooperation, monitoring, and enforcement; increased scientific  knowledge and research; increased learning at the community, regional, and global levels; widespread sharing of knowledge, and increased weather information and weather prediction capabilities. Epistemic networks via AMAP will be encouraged, and a clearing-house mechanism will be established through the Arctic Council. There may also be increased economic benefits for nation-states that choose to utilize the Arctic shipping lanes. Negative indirect effects may include problems of “vertical disintegration of policy” (Hanf &amp; Underdal, 1999). Currently there is a complete lack of capability for monitoring and enforcement that will require significant development; therefore, large-scale investment by major players is necessary. There is hope that this can be overcome by the fact that all nations on the Arctic Council are developed and have the economic and technological capacity to mitigate this potential negative effect.”</t>
  </si>
  <si>
    <t>Newly adopted Arctic Council member state-level policies/legislation lacking regional cooperation and communication</t>
  </si>
  <si>
    <t>Remoteness, lack of regional/national cooperation and communication, unable to recognize community level implications, increase in non-compliance</t>
  </si>
  <si>
    <t>Policy, International relations</t>
  </si>
  <si>
    <t>MARPOL 73/78, Articles 234 (Ice Covered Areas) and 220 (Coastal State Enforcement) of the LOSC give the Arctic Council sufficient authority to enforce such measures in a new regime effectively., Arctic Council Membership &amp; Working Groups</t>
  </si>
  <si>
    <t>Due to the limited infrastructure available, search and rescue vessels will have increased wait times in the event of an emergency, causing reduced availability for vessels in distress.</t>
  </si>
  <si>
    <t>“ASEMA should call for the development of an icebreaker fleet to assist navigation by Arctic nations. At least two large icebreakers should be devoted to maintaining open shipping lanes and incident response, and a fleet of smaller icebreakers should serve as escorts for transiting vessels over 200 meters. The icebreaking fleet should be fully equipped for rescue towing and oil spill response. Currently, there are few icebreakers available for this purpose.”</t>
  </si>
  <si>
    <t>Increased industrial activities, increased shipping demand</t>
  </si>
  <si>
    <t>Lack of search and rescue response, limited icebreaker towing capacity, increase spill costs</t>
  </si>
  <si>
    <t>With a limited quantity of ecological resources such as power, vegetation, and water available for use, tourism and maritime shipping pose threats of stripping communities of these resources due to increased temporary demand if the industry continues to grow.</t>
  </si>
  <si>
    <t>“Increased levels of pollution will have several implications for northern communities, such as industrial development of coasts and ocean-based production facilities, damage of existing infrastructure, increased pressure on water resources, and degradation of indigenous cultural and natural resources”</t>
  </si>
  <si>
    <t>“However, there is a high probability of increased pollution due to tanker traffic and production of fossil fuels; oil spills are of primary concern in this region (Miles, 2007). Increased levels of pollution will have several implications for northern communities, such as industrial development of coasts and ocean based production facilities, damage of existing infrastructure, increased pressure on water resources, and degradation of indigenous cultural and natural resources (ACIA, 2004).”</t>
  </si>
  <si>
    <t>Increased demand, international competing interests</t>
  </si>
  <si>
    <t>Increased probability of vessel pollution, oncreased ecological damage, increased demand for industrial development, threats of destroying indigenous culture/heritage.</t>
  </si>
  <si>
    <t>Increased industrial activities, shipping, and pollution</t>
  </si>
  <si>
    <t>Loss of indigenous culture, loss of natural resources, deteriorates local community quality of life, ecological damage, increased cost of living</t>
  </si>
  <si>
    <t>A1102</t>
  </si>
  <si>
    <t>risk, ice</t>
  </si>
  <si>
    <t>doi.org/10.1016/j.ssci.2018.07.002</t>
  </si>
  <si>
    <t>Use of HFACS and fault tree model for collision risk factors analysis of icebreaker assistance in ice-covered waters</t>
  </si>
  <si>
    <t>Collision accident reports</t>
  </si>
  <si>
    <t>Acts that are taken through individual judgement that are genuine or accidental to achieve a desired positive outcome, though fail and caused error by a human. This may occur during any point within the vessel operation and cause a vesel accident, injury, or fatalities to occur.</t>
  </si>
  <si>
    <t>References</t>
  </si>
  <si>
    <t>Officers of the operating company executes an action due to a lack of understanding or misjudgement. This increases chances for vessel insecurity by causing accidents such as groundings and collisions to occur, harming anyone or anything involved.</t>
  </si>
  <si>
    <t>unknown</t>
  </si>
  <si>
    <t>Vessel maneuver failure</t>
  </si>
  <si>
    <t>“Figures; Legislation gaps Differences in international and national ice ship navigation regulations and policies affect icebreaker assistance operations, which may lead to poor management or unsafe acts of operators. For example, Russia (Sailing Directions of Russia), Finland (Finnish Transport Agency), Canada (Transport Canada) and China (Guidance on Arctic Navigation in the Northeast Route) have respective Arctic navigation rules, where navigation regulations are different ”</t>
  </si>
  <si>
    <t>Noted in figures</t>
  </si>
  <si>
    <t>Failure to maneuver the vessel safely, causing an unsafe situation to occur during icebreaker assistance.</t>
  </si>
  <si>
    <t>Navigational aids failure or error</t>
  </si>
  <si>
    <t>Improper route selection</t>
  </si>
  <si>
    <t>Lack of emergency planning</t>
  </si>
  <si>
    <t>Deviation from suggested route</t>
  </si>
  <si>
    <t>Lack of icebreaking capability</t>
  </si>
  <si>
    <t>Unmaintained safety distance</t>
  </si>
  <si>
    <t>Unability to maintain a distance between the icebreaker and the assisted ship is shorter than the set standards as per Sailing Directions, causes an unsafe situation to occur.</t>
  </si>
  <si>
    <t>Mechanical failure of communicational or navigational aids such as GPS and or mapping softwares have limitations such that they are unable to detect real-time threats and navigational challenges vessels may encounter.</t>
  </si>
  <si>
    <t>Mechanical failure due related to the control of the course (i.e. steering), anti-collision (i.e. features suc as ECDIS, ARPA), communicational aids, or other vessel features that aid in successfully powering the vessel.</t>
  </si>
  <si>
    <t>Poor communication between vessels</t>
  </si>
  <si>
    <t>Lack of training regarding emergency situations between ship operators in the event of an emergency occurring.</t>
  </si>
  <si>
    <t>Not being in the planned route or being located in a waterway that has a significant consentration of sea ice creates unsafe vessel conditions.</t>
  </si>
  <si>
    <t>The safety speed is exeeded or at the maxiumum speed when the hull and machine acnnot be damagedby ice or another form of collision when navigationg. This can also occur if a vessel were to be traveling too fast that the assisted ship cannot stop in a short distance.</t>
  </si>
  <si>
    <t>The presence of sea ice is continuously a threat to Arctic shipping because most of the iceberg is subsurface, creating difficulty in detection and size.</t>
  </si>
  <si>
    <t>Presently, there are limited options for traveling through the Northwest Passage (NWP), which reduces the efficiency and safety of vessels. This limits vessel access to communities throughout the Arctic Archipelago.</t>
  </si>
  <si>
    <t>The icebreaker lacks the power to move forward due to the limited ability to break through the ice, creating a sudden brake in the current environment, this will create delays and blockages within the navigational pathway.</t>
  </si>
  <si>
    <t>doi.org/10.1016/j.ress.2023.109459</t>
  </si>
  <si>
    <t>risk, navigation, ice, Arctic</t>
  </si>
  <si>
    <t>Table 13</t>
  </si>
  <si>
    <t>Maritime accident database, academic literature</t>
  </si>
  <si>
    <t>Grounding or 'running aground' is defined as a vessel's impact on the seabed or waterway side. Grounding can be intentional and unintentional, where crews may ground a ship for maintenance or to land crew due to an accident.</t>
  </si>
  <si>
    <t>“Vessel-barge communication: Vessel-barge communication is usually carried out face to face or with hand signs. In this regard, some used hand signs must be accepted by the vessels' crew before the bunkering operation, such as start pumping, stop pumping, increase or decrease the rate, etc. There must be on-duty crew on the decks of both ships for communication. This personnel leaving the deck means a complete loss of communication. Also, an emergency stop button must be provided by fuel barge to the deck of the bunkered vessel.”</t>
  </si>
  <si>
    <t>Figure 3</t>
  </si>
  <si>
    <t>broken tank level sensor, connection hose parting, poor vessel-barge communication, broken high-level alarms, damaged connection hose, existence of overreliance, and bad flange connection</t>
  </si>
  <si>
    <t>oil spill</t>
  </si>
  <si>
    <t>Pollution prevention policies</t>
  </si>
  <si>
    <t>“Connection hose ruptured: The rupture of the bunkering hose during the operation can cause pollution.”</t>
  </si>
  <si>
    <t>"Although bunkering procedures and checklists usually include all the essential points and many bunkering operations are executed without problem, very occasionally, some things might go wrong. A loss of confinement due to a tank overflow, leakage from a pipeline or a failure in transfer hose might result in oil spilling overboard and contaminating the marine environment (Nichol, 2018). It is specified that spills into the marine environment concerning bunkering operations persist to happen with worrying regularity"</t>
  </si>
  <si>
    <t>“Knowledge of the crew participating in the bunkering operation may be insufficient. Besides, ownerhip management may follow minimum safe manning and this, in turn, might lead to a lack of workforce. Further, a crew member may be attended to the vessel recently or bunkering operation could be the first operation of the crew who has no experience before.”</t>
  </si>
  <si>
    <t>Lack of training, insufficient experience</t>
  </si>
  <si>
    <t>Human error, oil spill to occur</t>
  </si>
  <si>
    <t xml:space="preserve">“High-level alarms: Damaged or not functioning of high-level alarms in fuel storage tanks might cause faulty monitoring. Tank level sensor: Tank-level sensors that send value to the monitors, in which crew oversee the tanks remotely in the ship’s office or the engine control room, may not work properly during bunkering transfer. Also, these sensors not reflecting the instant amount correctly in accordance with the variable trim or heeling of the ship may cause erroneous monitoring.”
</t>
  </si>
  <si>
    <t>“Before bunkering, the bunkering line may be prepared incorrectly for the planned fuel transfer. Transfer can be started for a filled tank by mistake due to operating of the wrong valve or closed valve can be missed on the line that might lead to overflow on the deck”</t>
  </si>
  <si>
    <t>“Onboard communication within the crew of the bunkered vessel can be done by telephone, radio, or face to face. Especially the communication with the crew on the bunker station can be affected by the weather, the noise of the port operation or cable problems, and misunderstandings in the communication may cause problems. ”</t>
  </si>
  <si>
    <t>“Crew, who participates in bunkering operation, may be exhausted due to pre-operation workload or long-term channel transition maneuvers. For this reason, problems stemming from the fatigue of crew such as falling asleep, lack of attention etc. during bunkering operation might cause errors. ”</t>
  </si>
  <si>
    <t>“The tank may be fitted in the double bottom, sides of the vessel, or in topsides of the vessel, and this positioning may have a negative effect on bunkering. In the case that especially if the tank capacity is low and the pumping capacity of the barge is very high, then this may cause difficulties during the transfer. However, on some bulk carriers, the fuel storage tanks are fitted in topside tanks under the main deck. The base and the up side of these tanks are built in inclined shape Fig. 2. Causal factors of the oil pollution stemming from bunkering under the FBN method. because of the topside tank and the deck chamber structure. This also leads to difficulties during bunkering when the ship is in ballast condition”</t>
  </si>
  <si>
    <t>“Not to make a bunkering plan before the transfer or to make an inaccurate plan can lead to great faults. A bunkering plan must be prepared before the operation and every amount to be bunkered to the tanks must be calculated meticulously. Furthermore, sounding values can be miscalculated before the transfer, or sounding values during the transfer can be confused between the tanks mistakenly. ”</t>
  </si>
  <si>
    <t>“Sea Condition: Naturally, bunkering operation should not be performed under heavy weather conditions; however, in practice due to fuel price advantage, an operation may sometimes need to be carried out under rough sea conditions when the ship is in an anchorage area of cheap fuel location. There are also other factors that might force vessels to this situation such as”</t>
  </si>
  <si>
    <t>“It is very difficult to clean the bunker fuel spilled into the sea as heavy fuel, called persistent oil, is largely used for bunkers composed of heavier hydrocarbon fractions and they do not dissipate hastily via evaporation (North P&amp;I, 2018; Kamal and Çilo˘glu, 2020). It is a laborious process that requires organization, logistics, time, effort, and cleaning costs associated with this process can reach large amounts. (TBMM, 2012). It should be noticed that oil spills from vessels should not be associated only with oil or oil products transported as cargo.”</t>
  </si>
  <si>
    <t>“Vessels, which are one of the highest contributors to shipping pollution, can carry a substantial amount of fuel depending on the size of their tanks and spilling this fuel into sea can pose a serious threat to the marine ecosystem”</t>
  </si>
  <si>
    <t>“It should be noticed that oil spills from vessels should not be associated only with oil or oil products transported as cargo. Every kind of vessel may be involved in an oil spill incident due to bunker oil that is stored in bunker tanks (Ansell et al., 2001). Furthermore, it is pointed out that the majority of the oil pollution claims are not caused by oil transported as cargo, rather pollution emanating from releasing of bunker fuel are more common”</t>
  </si>
  <si>
    <t>Poor communication</t>
  </si>
  <si>
    <t>“Three types of uncertainty exist: stochastic, imperfect knowledge, and human error. In this study, the greatest uncertainty affecting the assessment is imperfect knowledge, namely, lack of knowledge. The quality and quantity of data available to assess establishment process and magnitude of consequences needs to be incorporated in uncertainty [101].”</t>
  </si>
  <si>
    <t>No previous research</t>
  </si>
  <si>
    <t>Continue researching and collecting data on subject to establish baseline data</t>
  </si>
  <si>
    <t>High levels of uncertainty, limited consensus</t>
  </si>
  <si>
    <t>“To date, most introductions have occurred in warmer, temperate regions, where there is greater shipping activity [24]. However, the Arctic is increasingly at risk of introductions due to global warming, resource exploitation, increased project developments, and the associated increased shipping activity [25–28]. Indeed, Arctic shipping traffic has increased over the last few years [29] and is expected to raise the risk of NIS introductions to Arctic waters [30–32]. This trend is expected to continue with new shipping routes predicted to open across the Arctic (e.g., the Northwest Passage linking the Atlantic and Pacific oceans through the Canadian Arctic) by mid-century”</t>
  </si>
  <si>
    <t>Increase introduction of invasive species, food chain disruption, extinction of species</t>
  </si>
  <si>
    <t>“The species included in this study (common periwinkle Littorina littorea; soft-shell clam Mya arenaria; and red king crab Paralithodes camtschaticus) are known to be  invasive elsewhere, not present in the Canadian Arctic but present in ports that are connected to Canadian Arctic ports, and have predicted habitat suitability under present environmental conditions [32]. In addition to certain regions of the Canadian Arctic already being suitable for these three species, the predicted extent of suitable habitat will increase due to climate change [32]. The three case species are benthic invertebrates with different invasion histories and survival strategies, but all have a larval phase that is long enough so that they may be transported by ballast water”</t>
  </si>
  <si>
    <t>Continue researching and collecting data on species  to establish baseline data</t>
  </si>
  <si>
    <t>Increased economic demand, climate change</t>
  </si>
  <si>
    <t>This step heavily relies on historical data and subject-matter experts (SMEs) judgments from the potential sources, such as databases, tests, experiments, simulations, networks and analytical model</t>
  </si>
  <si>
    <t>“The impact of sea wave height, wind speed and pack ice effect are highly seasonal, affecting both navigation and ship transit. This effect can differ in summer or winter. In winter, icebreakers prepare the narrow channels in Arctic transit which helps the ship to navigate and hence icebreakers impact on ship collision frequency”</t>
  </si>
  <si>
    <t>High wind speeds, severe weather, climate change</t>
  </si>
  <si>
    <t>Impacts ship transit, navigational challenges, vessel collisions</t>
  </si>
  <si>
    <t>“The extreme temperature, pack ice, and multi-year sea ice effect and severe climate changes are some of the drawbacks of this region (Kassens, 1994; Melling, 2002; OCIMF, 2014; Thelma, 2010; USA, 1988; Zakrzewski, 1986). These areas are entirely covered with ice during winter and partly covered in summer. According to Johannessen et al. (1997), the presence of multi-year ice on the NSR creates a dangerous environment for marine operations, which subsequently necessitates a more comprehensive method and study to investigate navigational risk and challenges in the harsh and cold environments through the NSR”</t>
  </si>
  <si>
    <t>“The presence of sea ice, extremely low temperatures and drifting icebergs has made this region mostly inaccessible for marine transportation and poses threats to mariners and the current ship technologies”</t>
  </si>
  <si>
    <t>Extreme low temperatures, climate change. Multi-year sea ice</t>
  </si>
  <si>
    <t>Create inaccessible shipping routes, increase navigation time, increase vessel collisions</t>
  </si>
  <si>
    <t>“The average wind speed above the sea surface water is 5 m/s, and storms occur in the sea, three to four times a month. Also, fog is frequent in this region, and the humidity varies between 95 and 98%”</t>
  </si>
  <si>
    <t>“As the size and number of ships have increased significantly over time (Toffoli et al., 2005), the possibility of shipping accidents in this region is expected to grow (Balto, 2014; Borgerson, 2008). Previous studies confirm that increasing traffic of oil tankers in the Barents Sea will result in a significant number of accidents if further maritime safety measures are not attained”</t>
  </si>
  <si>
    <t>“In reality, it is possible to have an ice-ship or ship-ship collision which may lead to a ship sinking. Ship grounding on the ice may lead to damage to the ship's hull and result in a capsizing accident. However, in the proposed model latter impact of collision or grounding is not considered, with only the causes behind the collision, foundering and grounding and the individual accident probabilities considered.”</t>
  </si>
  <si>
    <t>“As the traffic on the NSR may increase in future decades, another marine vessel's fault can be considered in ship-to-ship collision scenarios.”</t>
  </si>
  <si>
    <t>Operator failure, increased vessel congestion</t>
  </si>
  <si>
    <t>Economic sanctions, ecological monitoring (and costs), economic clean-up costs, environmental contamination, water pollution, pollution impacting wildlife</t>
  </si>
  <si>
    <t>“Different consequences can take place regarding a ship collision. If it is an oil tanker, the breach in the vessel's hull can propagate a massive spill of hydrocarbons into the sea with the impact being significant damage to the marine environment, economic losses as well as a costly recovering process”</t>
  </si>
  <si>
    <t>Vessel-vessel collision, vessel iceberg collision, vessel capsizing, vessel grounding</t>
  </si>
  <si>
    <t>Ecological damage, economic loss, tarnished reputation, economic sanctions/violations</t>
  </si>
  <si>
    <t>“The intermediate nodes are affected by associated primary causes. For instance, the intermediate node “Visibility issues” can be affected by the node “Human factor failure”, “Radar failure”, and “Environmental obstacles”.”</t>
  </si>
  <si>
    <t>Increase reliance on crew lookouts, reliance on technology for spotting obstacles, increased chance of accidents, lower speeds, increased travel time</t>
  </si>
  <si>
    <t>Weather pattern, time of day, climate change</t>
  </si>
  <si>
    <t>“Various factors that can affect the ship's navigation, as well as human performance in emergency situations such as wave height, wind speed, sea current, surrounding temperature, harsh weather effect, and different level of ice along the NSR route, are taken into consideration. However, there are some variations between the values of the environmental factors being identified.”</t>
  </si>
  <si>
    <t>Sea conditions, weather patterns, climate change</t>
  </si>
  <si>
    <t>Wave height, shift in sea current, navigational challenges, vessel capsizing</t>
  </si>
  <si>
    <t>“Based on the prior event probabilities assigned by the SMEs, human error effect on the detection failure is recognised as one of the recurrent causal factors for marine ship collision. Previous research suggests that about 80% or more of such accidents involve human error related factors”</t>
  </si>
  <si>
    <t>Negligence, lack of experience, lack of training</t>
  </si>
  <si>
    <t>Vessel accident, vessel grounding, vessel collisions</t>
  </si>
  <si>
    <t>Human error, lack of crew experience, negligence, technology failure</t>
  </si>
  <si>
    <t>Environmental damage, economic loss, loss of fuel, fatalities, injury, other vessel impacts, marine mammal injury/fatalities</t>
  </si>
  <si>
    <t>“However, to differentiate these factors in the developed BN, human error is considered as a single action on failure to detect ice and iceberg using conventional marine radars and thermal imaging cameras while navigating on the NSR. However, considering all the PIFs would make the accident modelling network complex enough to show the general applicability for the Mariners. Instead, integrating too many sub-factors (contributors to the accidents) into the main factor, the human error and the human factor are considered in the proposed model. Vessel's collision with pack ice and non-detected ice is also considered as another significant factor by the experts in developing the model.”</t>
  </si>
  <si>
    <t>“Human factors such as human error and visibility are identified as significant contributors to vessel collisions (Fowler and Sørgård, 2000; Khan et al., 2017; Macrae, 2009; Merrick et al., 2000; Van Dorp et al., 2001; Zhang and Thai, 2016). Additionally, human fatigue, lack of technical knowledge of ship systems, poor communication, faulty policies, practices and standards, are significant human-related issues facing the maritime industry (Dhillon, 2007; Talley, 2002).”</t>
  </si>
  <si>
    <t>Human error, negligence, lack of crew expertise/experience</t>
  </si>
  <si>
    <t>Vessel collisions, vessel accidents</t>
  </si>
  <si>
    <t>“In harsh and cold environments, emergency responses and evacuation procedures are always challenging for rescue vessels and the crews as they may be delayed due to maneuvering through ice-covered waters (Verny and Grigentin, 2009). These factors may also lead to severe consequences on Arctic routes and need to be considered in the consequent analysis of ship accidents.”</t>
  </si>
  <si>
    <t>Remoteness, lack of expertise</t>
  </si>
  <si>
    <t>Delayed response time for search and rescue services, injury/fatalities</t>
  </si>
  <si>
    <t>Environmental conditions, lack of sea floor modeling, inaccurate sea floor monitoring, negligence, lack of crew expertise</t>
  </si>
  <si>
    <t>Vessel accident, vessel damage, loss of fuel, loss of cargo, environmental damage, underwater noise pollution, marine life impact</t>
  </si>
  <si>
    <t>Increased economic demand, political interests</t>
  </si>
  <si>
    <t>Vessel accidents, vessel-vessel collisions, longer voyage times</t>
  </si>
  <si>
    <t>Environmental conditions, harsh environment</t>
  </si>
  <si>
    <t>Ship accident, vessel collision, navigational difficulties</t>
  </si>
  <si>
    <t>“These factors may also lead to severe consequences on Arctic routes and need to be considered in the consequent analysis of ship accidents. Due to the potential consequences caused by the cold and harsh environment, it is vital to identify the future risk of ship collision with regards to the increase in ship traffic in this region”</t>
  </si>
  <si>
    <t>Last-chance tourism has caused many people to visit the Arctic while still in pristine and untouched condition. This causes stress to both the natural environment due to increasing noise pollution and the local impact due to the exploitation of resources.</t>
  </si>
  <si>
    <t>Multi-year sea ice, weather conditions, lack of crew experience</t>
  </si>
  <si>
    <t>Complex navigation, ship stuck in ice, vessel collision, hazardous conditions, unfamiliar environment</t>
  </si>
  <si>
    <t>Inability to dock a ship, remoteness</t>
  </si>
  <si>
    <t>Increased vessel presence, vessel accidents, vessel collisions</t>
  </si>
  <si>
    <t>Water pollution, ecological damage, bioaccumulation, disturbance to marine life, impacting local community water supply</t>
  </si>
  <si>
    <t>“Sea ice within the Archipelago is a mix of seasonal first-year ice and multi-year ice with the latter component often making up more than 50% of its area (Canadian Ice Service 2011). The majority of the multi-year ice is located in the Queen Elizabeth Islands, the Western Parry Channel, and M’Clintock Channel regions”</t>
  </si>
  <si>
    <t>“However, even in low amounts, multi-year ice is a serious hazard to transiting ships and the recovery mechanism will continue to supply the Northwest Passage with multi-year ice from the Arctic Ocean as long as it remains on the north face of the Canadian Arctic Archipelago. As of 2011, the latter region still contained a considerable inventory of multi-year ice (Maslanik et al. 2011).”</t>
  </si>
  <si>
    <t>Cold temperatues</t>
  </si>
  <si>
    <t>Ship navigation, limited navigational routes for passage, increased ice presence, vessel collisions with icebergs</t>
  </si>
  <si>
    <t>Technology</t>
  </si>
  <si>
    <t>Navigational aids, navigational planning</t>
  </si>
  <si>
    <t>“Both these sources act as a recovery mechanism for the Archipelago’s multi-year ice whereby following a light ice year there has been historically a period of recovery (Howell et al. 2008). Under increased warming and/or a longer melt season, first-year ice promotion is reduced but the resulting increased open water areas facilitate increased multi-year ice dynamic import from the Arctic Ocean into the Canadian Arctic Archipelago”</t>
  </si>
  <si>
    <t>“It was clear from residents that there was tangible concern over marine pollution and the devastating implications of a cruise ship encountering problematic ice, grounding, or worse still, a sinking in Arctic waters. In Gjoa Haven, one resident was ‘scared’ about the prospect of cruise ships encountering hazards that might Local-level responses to sea ice change and cruise tourism 155 lead to ‘oil spills, and things like that’ (GH #9)”
“Residents thought cruise ships provided the ‘potential to pollute, and disturb the water’ as well as to engage in less than desirable activities such as ‘ships dumping their grey water’ and ‘toxins being dumped by ships into the water”</t>
  </si>
  <si>
    <t>“It was clear from residents that there was tangible concern over marine pollution and the devastating implications of a cruise ship encountering problematic ice, grounding, or worse still, a sinking in Arctic waters. In Gjoa Haven, one resident was ‘scared’ about the prospect of cruise ships encountering hazards that might Local-level responses to sea ice change and cruise tourism 155 lead to ‘oil spills, and things like that’ (GH #9)”</t>
  </si>
  <si>
    <t>tourism</t>
  </si>
  <si>
    <t>Water pollution, ecological damage, noise pollution, disturbance to marine life, impacting local community, pollution, vessel damage, tourism visiting communities</t>
  </si>
  <si>
    <t>“Northwest Passage will likely be lighter in upcoming years as a result of a warmer Arctic but the Archipelago’s ability to recover multi-year ice makes the complete removal of sea ice within the Northwest Passage physically difficult. This recovery mechanism is the reason why Stephenson et al. (2011) and other predictive studies (e.g. Sou and Flato 2009) found that the Northwest Passage will not be fully accessible by mid-century compared to the other major shipping routes such as the Northern Sea Route, Arctic Bridge, and the Transpolar Route.”</t>
  </si>
  <si>
    <t>Policies prohibiting or limiting entry to limit unsafe options</t>
  </si>
  <si>
    <t>Climate change, global warming</t>
  </si>
  <si>
    <t>Change of local environment, increased tourism, increased vessel traffic, indigenous culture change, local changes in diet, ecological impacts</t>
  </si>
  <si>
    <t>“Figure 3. Spatial distribution of mean August through September total sea ice  concentration (in tenths) within the Northwest Passage for the 1981 2010 climatology and selected light years.”</t>
  </si>
  <si>
    <t>“There is also limited tourism infrastructure available directly in the communities. ‘Small communities have difficulty now in accommodating the needs of cruise tourists when ships visit their communities. Without substantial capital input, the opportunities [associated with increased cruise tourism] will be hard to access’”</t>
  </si>
  <si>
    <t>Sea ice reduction, increased vessel traffic</t>
  </si>
  <si>
    <t>Insufficient local resources, inappropriate tourist behavior, environmental degradation, loss of cultural resources, loss of natural amenities, physical harm to species, capital gain, ‘boom and bust’</t>
  </si>
  <si>
    <t>“Despite infrastructural challenges experienced by cruise ships, smaller vessels including private yachts can easily navigate to the shores of Canadian Arctic communities, and are at liberty to do so under current regulations. For example, in 2009 four yachts reportedly sailed the Passage (Orams 2010). Residents in each of the three communities reported a recent increase in the number of reported sailings of small craft through the Northwest Passage, ‘we get a lot of the small crew like sail boats; we had ten of them last year so I’m expecting some to show up within the next month, unannounced as usual”</t>
  </si>
  <si>
    <t>“There is limited infrastructure available for marine activities across the Canadian Arctic and small Arctic hamlets such as Ulukhaktok, Gjoa Haven, and Pond Inlet have no docking facilities, and harbors are too shallow to support cruise vessels”</t>
  </si>
  <si>
    <t>Overcrowding in communities, reliance on offshore anchoring, tourist disruption, increased risks for personal vessels with little or no ice classification, security concerns</t>
  </si>
  <si>
    <t>Limited SAR resources, remoteness, lacking financial investments</t>
  </si>
  <si>
    <t>delayed response time, community safety, increased risk of catastrophic impacts to the environment, inadequate spill response, loss of life</t>
  </si>
  <si>
    <t>“Guaranteeing the close proximity of the Canadian Coast Guard (CCG) to provide SAR services to stricken cruise ships is clearly impossible in the vast and increasingly busy waterways of the Canadian Arctic. Under normal circumstances the CCG’s response time could be 10 hours or more depending on ice, weather, hydrographical, and other conditions (CCG 2007, 2008). While sixicebreakers are deployed to the Arctic in summer, and while SAR operations take precedence in CCG operations, expecting this small fleet of icebreakers to cover such a vast watermass is unrealistic, as was confirmed in Pond Inlet, ‘. . . we don’t have a lot of resources up here [for search and rescue]’”</t>
  </si>
  <si>
    <t>Specific vessel types disturb community mobility by breaking sea ice when traveling to hunt from island to island. Increased vessel presence can present security risks to vulnerable individuals, such as smuggling operations or human trafficking to and from local communities.</t>
  </si>
  <si>
    <t>“Consequently, increased use and military presence, potential security risks, such as smuggling and human trafficking, presented by the cruise industry are thought to be minimized in the area”</t>
  </si>
  <si>
    <t>Lack of military presence, remoteness</t>
  </si>
  <si>
    <t>Loss of life, loss of indigenous culture, decreased community safety, increased risks of drugs into community</t>
  </si>
  <si>
    <t>“According to AMSA (2009), increased marine traffic in the Russian Arctic is a “reality for scientific exploration and tourism” (p. 121). The future holds increasing exploration voyages, plausible increases in tourism, fishing, and trans-Arctic voyages in summer. As in Canada, voyages to the Russian Arctic in the future will be overwhelmingly destinational driven by natural resource development, marine tourism, and supply/import of materials/goods”</t>
  </si>
  <si>
    <t>Vessel collision, ecological damage, possible traffic</t>
  </si>
  <si>
    <t>Interest in science exploration, interest in tourism</t>
  </si>
  <si>
    <t>“The expedition cruise sector in both regions is largely governed by a set of complex international conventions, laws, and regulations that apply across all types of shipping in the Arctic regions (Dawson et al., 2014). There are four international maritime conventions that form a foundation for multinational maritime governance:”</t>
  </si>
  <si>
    <t>international differences</t>
  </si>
  <si>
    <t>Application of legislation is up to nations, limited international oversight, possible inconsistent set of standards, limited/uneven enforcement</t>
  </si>
  <si>
    <t>1) the International Convention for Safety of Life at Sea (SOLAS), 2) the International Convention for the Prevention of Pollution from Ships (MARPOL), 3) the Convention on Standards of Training of Seafarers (STCW), and 4) the United Nations Convention on the Law of the Sea (UNCLOS).</t>
  </si>
  <si>
    <t>“However, the physical environment of the Russian Arctic also presents challenges particularly due to the shallow waters that generally characterize the length of the coastline from the Norwegian–Russian border in the west (in the Barents Sea) to the Bering Strait. As in the Canadian Arctic, cruise ships and smaller cargo vessels only operate in the summer months with the navigation season extending from July to October.”</t>
  </si>
  <si>
    <t>Vessel grounding, limited navigation options, limited route planning, vessel traffic congestion, overuse of routes</t>
  </si>
  <si>
    <t>Different political interests</t>
  </si>
  <si>
    <t>Lack of implementation of laws, limited enforcement</t>
  </si>
  <si>
    <t>“In comparison to the Canadian case, the question of the environmental impacts of the tourism activity in the Arctic is only in the early stage of assessment”</t>
  </si>
  <si>
    <t>Unknown baseline, new research topic</t>
  </si>
  <si>
    <t>Increase research efforts to establish tourism baseline data to understand the topic and level of impact better.</t>
  </si>
  <si>
    <t>Uncertainty, unknown level of impact</t>
  </si>
  <si>
    <t>“Growth is not without concern, such as the release of oil through accidental or illegal discharge, ship strikes on marine mammals, the introduction of alien species, disruption of migratory patterns of marine mammals, and noise produced from marine shipping activity.”</t>
  </si>
  <si>
    <t>“Each summer season cruise ships visit destinations that were once totally inaccessible to tourists, such as the North Pole, Northwest Passage, and the Northern Sea Route. As a result, cruise ship tourism now represents a significant proportion of the vessel activity reported in the Arctic, and the number of ships is expected to grow”</t>
  </si>
  <si>
    <t>Reduced sea ice, increased accessibility due to open waters, increased deman</t>
  </si>
  <si>
    <t>Ecological damage, depletion of local resources, polluting open waters, physical disturbance to wildlife, underwater noise pollution</t>
  </si>
  <si>
    <t>likelihood_sd</t>
  </si>
  <si>
    <t>severity_sd</t>
  </si>
  <si>
    <t>RR_sd</t>
  </si>
  <si>
    <t>Data Quality - Details</t>
  </si>
  <si>
    <t>LoA - Metric</t>
  </si>
  <si>
    <t>ES - Metric</t>
  </si>
  <si>
    <t>PROBABILITY_SCORE</t>
  </si>
  <si>
    <t>CONSEQUENCE_SCORE</t>
  </si>
  <si>
    <t>LoA_SCORE</t>
  </si>
  <si>
    <t>ES_SCORE</t>
  </si>
  <si>
    <t>Data Quality Rating</t>
  </si>
  <si>
    <t>consequence_average</t>
  </si>
  <si>
    <t>consequence_summed</t>
  </si>
  <si>
    <t>probability_average</t>
  </si>
  <si>
    <t>probability_summed</t>
  </si>
  <si>
    <t>Indicator_12.5pct</t>
  </si>
  <si>
    <t>Indicator_20pct</t>
  </si>
  <si>
    <t>Indicator_30pct</t>
  </si>
  <si>
    <t>data_observations</t>
  </si>
  <si>
    <t>AllObservations_count</t>
  </si>
  <si>
    <t>evidenceamount_pct</t>
  </si>
  <si>
    <t>EA_score</t>
  </si>
  <si>
    <t>ET_score</t>
  </si>
  <si>
    <t>EStype_summed</t>
  </si>
  <si>
    <t>EQ_score</t>
  </si>
  <si>
    <t>LoA_AQ_score</t>
  </si>
  <si>
    <t>doi.org/10.1016/j.ress.2019.01.003</t>
  </si>
  <si>
    <t>Table 7</t>
  </si>
  <si>
    <t>Table 6 (worse case)</t>
  </si>
  <si>
    <t>Inert gas blanketing cargo, gas detectors, fire alarms, fire extinguisher and emergency fire training are the available preventive mechanisms on board the vessel.</t>
  </si>
  <si>
    <t>PPE</t>
  </si>
  <si>
    <t>collision/grounding, propulsion loss and rescue with assistance</t>
  </si>
  <si>
    <t>fuel oil supply, number of fuel pumps, tanks, delivery systems, human errors</t>
  </si>
  <si>
    <t>Any creditble malfunction;</t>
  </si>
  <si>
    <t>increased possiblity to accidents, miscommunication, vessel acidents/collisions</t>
  </si>
  <si>
    <t>Vessel steering, mooring and winch systems, navigation system, and power dependency</t>
  </si>
  <si>
    <t>grounding or collision</t>
  </si>
  <si>
    <t>human error, engine malfunction, pump seal and o-rings leakage, bunker operations, combustion dust loading, fuel / equipment maintenece</t>
  </si>
  <si>
    <t>controlled fire, explosion of chemicals, environmental damage, vessel acidents/collision,</t>
  </si>
  <si>
    <t>Figure 5, 6</t>
  </si>
  <si>
    <t>hull damage</t>
  </si>
  <si>
    <t>ice conditions, ships speed</t>
  </si>
  <si>
    <t>weather conditions, human factors</t>
  </si>
  <si>
    <t>weather patterns</t>
  </si>
  <si>
    <t>ice conditions, ships speed, human factors, crew experience</t>
  </si>
  <si>
    <t>VERY confusing article</t>
  </si>
  <si>
    <t>"We had no idea that they [ships] were there. Or what they [the ships] were doing there but they were parked right inside Deception Bay. And there’s no way for us to police it. Are they pirates of the sea? Are they just passing through and getting a safe shelter out of the wind? We have no idea. The increase in traffic is something to be concerned with and because we don’t know where they are coming from or going to. It seems that all we can do is watch to be quite honest.</t>
  </si>
  <si>
    <t>"Some of them [sail boats], we’re afraid of them because we don’t know where they are coming from. We don’t have any notification about these little sail boats or what not. And most of our Elders always wonder where they came from and what are they doing here?"</t>
  </si>
  <si>
    <t>Lack of inuit agency, decreased sense of safety, increased possibility of piracy</t>
  </si>
  <si>
    <t>Increased ship traffic, lacking regulations that track and inform indigenous communities regarding ship traffic</t>
  </si>
  <si>
    <t>Requirements for reporting ship traffic to local and indigenous communities</t>
  </si>
  <si>
    <t>Lack of inuit agency, decreased sense of safety, increased possibility of piracy, increased forgien traffic</t>
  </si>
  <si>
    <t>"In these remote communities, some knowledge holders experience these unknown ‘visitors’ as an intrusion and describe feeling a ‘lack of control’ over whether and how these activities occur. One knowledge holder in Gjoa Haven explained: They [people in unknown marine vessels] just come as they please and go wherever they please. And the certain areas where they go, you kind of wish they wouldn’t go there; I wish they would ask first. Then they just go there and to always have something like that go around that area, like a ship, if a ship comes around there it’s kind of like, I don’t know how to say it… it’s so… you get so offended even though maybe they don’t mean to. But it’s very hurtful."</t>
  </si>
  <si>
    <t>"Knowledge holders indicated security concerns about international presence in the Canadian Arctic. A knowledge holder in Paulatuk recalled the transit of the SS Manhattan, a US oil tanker that became the first commercial ship to cross the Northwest Passage in 1969. This voyage generated many conversations about the sovereignty of the Northwest Passage as the Canadian Government had not been asked permission prior to the transit (Byers &amp; Lalonde, 2009). You remember the SS Manhattan that came through the Northwest Passage, 35-40 years ago at least. Think about how big the SS Manhattan was, unregulated, unmitigated and it was a tanker…I guess their way around it was that it was international waters. Like I mentioned before, the Canadians have different views from what the Americans think about international waters."</t>
  </si>
  <si>
    <t>Increased ship traffic, lacking regulations that track and inform indigenous communities regarding ship traffic, lacking mitigation measures, different political values and views on Arctic shipping</t>
  </si>
  <si>
    <t>Decreased sense of safety, decreased sense of community, increased possibility of piracy, increased forgien traffic, deterioration in relationships with northern and indigenous communities</t>
  </si>
  <si>
    <t>"Although these issues of increasing foreign interests in the Canadian Arctic can be seen as being aligned with state interests and state sovereignty, it is important to note that knowledge holders in these communities focused on how such international interests were impacting and could impact Inuit communities. Such issues were at times discussed with an implication that Inuit did not have the power to adequately respond to such foreign interests. For example, a knowledge holder from Gjoa Haven shared their perspective about the international interest in resource extraction in the Canadian Arctic:
That’s another field all in itself - oil exploration. That’s something that we’re not going to be able to stop too. Mining. Oil exploration. That’s exactly why the United States is saying this is international water[s]. That’s what they want, right? - the oil. [emphasis added.]"</t>
  </si>
  <si>
    <t>"Another knowledge holder in Gjoa Haven recalled an experience where a yacht travelling from Norway arrived at their community unannounced, with concerns about its impact on the community:
You have to be careful. Some of these guys [passengers of unknown marine vessels] can take away your kids. We’ve had these Berserkers…Norwegian Hells Angel type sailors came through Gjoa Haven and they were looking for alcohol, drugs… they asked young women to come on the boat with them."</t>
  </si>
  <si>
    <t>lacking enforcement presence, decreased response time to community issues</t>
  </si>
  <si>
    <t>community displacement, risk of trafficking, drug trafficking, community drug crisis'</t>
  </si>
  <si>
    <t>Completing international interests, other countries attempting to exploit resources or exploties resources among their lands</t>
  </si>
  <si>
    <t>Scientific discoveries, different governmental priorities</t>
  </si>
  <si>
    <t>Advocacy</t>
  </si>
  <si>
    <t>Advocate for Canadian inuit and state sovreignty</t>
  </si>
  <si>
    <t>"For other knowledge holders, these pressures also included international military actions in the Canadian Arctic. Knowledge holders from four participating communities shared accounts about seeing submarines travelling throughout Inuit Nunangat 30 to 40 years ago. This reflects a widely held belief that Russian and American submarines may have travelled through the Canadian Arctic during the Cold War era (Byers, 2010). See Huebert (2011) for more details about the actions of foreign submarines in the Canadian Arctic. While these instances are shrouded with such secrecy that these accounts have never been confirmed by state governments, what is clear is that Inuit experiences during the Cold War era continue to be reflected in the concerns some of the knowledge holders shared about the Canadian Arctic today, specifically in relation to questioning the intentions and activities of unknown foreign ships. Knowledge holders in Ulukhaktok described an incident where a yacht from Hong Kong docked in their bay – where community members have their fishing nets – without prior permission from the community. One knowledge holder explained:
Arctic Yearbook 2021
van Luijk, Dawson, Carter, Song, Parker, Grey, &amp; Provencher
11
You’re not going to see any of us boating in Hong Kong and going into their bay and then come back. Just stuff like that, they said it probably wouldn’t really affect the fish or the seals or whatever but it’s like, what are they disposing of that we don’t know? They could drop old dead batteries [in the water] for all we know."</t>
  </si>
  <si>
    <t>Previous conflicts  experience (During Cold War)</t>
  </si>
  <si>
    <t>Increased vessel traffic, decreased community safety, possible increase in pollution from vessels</t>
  </si>
  <si>
    <t>"Concerns about a lack of enforcement over activities within Canada’s jurisdiction in Arctic waters aligns with state sovereignty concerns with respect to Arctic security. However, it is important to note the distinction that knowledge holders were less overtly concerned with state sovereignty interests (such as the rule of law and respecting state jurisdictions), and were more concerned about how this lack of enforcement could impact their communities and their way of life. This focus in turn can be seen as impacting Inuit goals of sovereignty. For example, one knowledge holder in Cambridge Bay expressed:
Arctic Yearbook 2021
Inuit perspectives on Canadian Arctic sovereignty and security
12
I think we have to look at future considerations that are in talks right now. Let’s say the Bathurst Inlet port and also the Grays Bay, so these will be under construction very soon but we need to look at the effects that these will be [having] because supply ships and oil, gas, ships will be coming through…I’ve been [in] these hearings many times and there are a lot of questions that they need to answer to the Inuit of Bay Chimo, Bathurst [Inlet] and also Cambridge Bay so we have to look at the proposed projects for the future because they will be carrying oil and gas, supply ships, you know…We need to start looking at these ports so that we have something in place for our people in the future (emphasis added)."</t>
  </si>
  <si>
    <t>Lack of inuit agency, decreased sense of safety, increased possibility of piracy, significant changes in development of indigious community, decrease sense of heritage, resource exploitation, exoloitation of natural resources</t>
  </si>
  <si>
    <t>"This sense of lack of power and a perceived lack of recognition of Inuit sovereignty was shared by a knowledge holder from Salluit, their response to the question about what areas they would like ships to avoid:
Like I say, there is not much we can do. Our voices are too small. It’s not like we can get the media up here with cameras and everything you know. They [ship operators] will say it’s too expensive…native people are treated differently, very much... I got nothing against whites or any color but when it comes to this, it’s like Inuit, Indians we’re put under [down]…we see that, we’re not stupid.
A knowledge holder from Gjoa Haven shared their experiences of not being listened to when recommending where marine vessels should or should not travel:
Even when we raised the concern of don’t go that way [through Peel Sound], the government does not listen to us, that’s one of our most important areas between Resolute and Gjoa Haven for the whales and bears and…We have raised this issue in the past but it has fallen on deaf ears. But at the same time, we do not want them to increase their shipping route for the cost issue and that [cost of community resupply that arrives on sealift vessels]. That’s why we’ve never…we just want to put it on record that it’s a fact that we want heard but probably nothing will happen, but we just want to make them aware of this issue where Peel Sound normally should be out of bounds so to speak. But it’s a cost issue that’s why I guess you would say we tolerate it where actually we don’t have a choice about where the ships go. We say they can’t go by there, but they won’t listen. They’re going to go by there anyways. It’s a short cut"</t>
  </si>
  <si>
    <t>Maltreatment of indigenous peoples, lack of public awareness of severity and frequency of issue</t>
  </si>
  <si>
    <t>deterioration of relationships with inidigoues peoples and northern communities, decreased value of environment, depletion of culturally significant areas</t>
  </si>
  <si>
    <t>Table 1</t>
  </si>
  <si>
    <t>Hull failure</t>
  </si>
  <si>
    <t>human error, thermal reaction, electrical fault, and mechanical failures</t>
  </si>
  <si>
    <t>Transportation of dangerous goods</t>
  </si>
  <si>
    <t>Sea conditions, wind patterns, load capacity</t>
  </si>
  <si>
    <t>loss of life, economic damage, ecological damage</t>
  </si>
  <si>
    <t>Use of meterological information</t>
  </si>
  <si>
    <t>Regulations surrounding Black Carbon Usage and Transport worldwide</t>
  </si>
  <si>
    <t>Prevalence of heavy fuel oil and black carbon in Arctic shipping, 2015 to 2025</t>
  </si>
  <si>
    <t>(1) satellite Automatic Identification System
(AIS) data from exactEarth that provides information about ship location and speed,
and (2) IHS ship registry data (IHS ShipData) that includes information on ship specific
design characteristics such as engine type, fuel type, maximum ship speed, and main
engine power.</t>
  </si>
  <si>
    <t>Table 19</t>
  </si>
  <si>
    <t>Table 22</t>
  </si>
  <si>
    <t>Table 19, 22</t>
  </si>
  <si>
    <t>Table 21-22</t>
  </si>
  <si>
    <t>"In the absence of sea ice, wind is the primary driver of ambient noise in all regions of the world’s oceans (Zhang et al. 2006). The dramatic loss of sea ice over the past decade provides humans with unprecedented access to the Arctic. Projections of an ice-free summer by 2040 (Serreze 2011) have stimulated plans for a wide variety of offshore activities, including shipping, oil and gas development, tourism, commercial fishing, and scientific research."</t>
  </si>
  <si>
    <t>National Oceanic and Atmospheric
Administration (NOAA), the Marine Mammal Commission
(MMC)</t>
  </si>
  <si>
    <t>"Anthropogenic sounds can affect marine mammals in
a number of ways, including (a) disruption of behavior
(e.g., feeding, breeding, resting, migration), (b) masking of
important sounds, (c) temporary or permanent hearing loss,
(d) physiological stress or physical injury, and (e) changes
to the ecosystems that result in a reduction of prey availability.
Southall and colleagues (2007) reviewed the state of
science pertaining to behavioral disruption and hearing loss
and provided provisional exposure criteria for use in preventing
auditory injury."</t>
  </si>
  <si>
    <t>ship speeding, increased ship presence/traffic</t>
  </si>
  <si>
    <t>marine mammal behaviour change (i.e. breeding/feeding patterns), marine mamal hearing loss</t>
  </si>
  <si>
    <t>climate change, increased ship presence</t>
  </si>
  <si>
    <t>increased ship activity (estimated)</t>
  </si>
  <si>
    <t>climate change, global warming</t>
  </si>
  <si>
    <t>increased acoustic propagation</t>
  </si>
  <si>
    <t>"Consequently, attempts to mitigate behavioral
disruption are based on establishing safety zones, the radii
of which are derived solely on the basis of an anticipated
received level from a given source, an approach that is
inconsistent with current scientific understanding of how
noise affects marine mammal behavior (Nowacek et al. 2007,
Southall et al. 2007, Ellison et al. 2011). Although physiological
stress caused by noise exposure has been documented for
fish in laboratory settings, which may have implications for
questions about whether and how noise affects prey availability,
no relevant data on stress are available for marine
mammals. Conversely, masking, defined as the reduction
in the area over which marine mammals can hear and
communicate, has been the focus of several recent studies
(e.g., Clark et al. 2009, Jensen et al. 2009)."</t>
  </si>
  <si>
    <t>"Although they are required by legislation, assessments of
the cumulative effects and impacts of anthropogenic sound
from multiple sources on marine mammals and their habitat
have proven difficult to carry out. Thus, such requirements
have yet to result in practical responses."</t>
  </si>
  <si>
    <t>increased ship presence</t>
  </si>
  <si>
    <t>Determine healthy ecossystem sound frequencies and establish a consensus regarding underwater sound frequency thresholds for the arctic</t>
  </si>
  <si>
    <t>species migration and behaviour change (estimated)</t>
  </si>
  <si>
    <t>"Unlike scattering aerosols that exert a weak (negative)
forcing over snow, BC aerosols absorb solar radiation and
exert a positive forcing over white surfaces, both in the atmosphere
and when deposited on snow. This makes the forcing
and the potential impact of BC particularly high in the Arctic
during spring, when there are large amounts of sunlight available,
most of the surfaces are still covered with snow and sea
ice, and the BC concentrations are at a maximum [Hansen
and Nazarenko, 2004; Flanner et al., 2009]. Arctic BC
originates mostly from source areas outside the Arctic and
is a result of a long-range transport from lower latitudes
[Law and Stohl, 2007]."</t>
  </si>
  <si>
    <t>vessel HFO emissions</t>
  </si>
  <si>
    <t>absorbsion of solar radiation, increase surface temperatures</t>
  </si>
  <si>
    <t>Norwegian Earth System Model (NorESM)</t>
  </si>
  <si>
    <t>"Figure 2 shows the annual zonal mean BC concentrations
for the reference run. While the maxima in BC concentrations
at midlatitudes are near the source areas at the
surface, in the Arctic, the maximum BC concentrations are
found at around 500 hPa. The annual mean concentration of
BC deposited in snow on land for the reference run is shown
in Figure 3."</t>
  </si>
  <si>
    <t>"Figure 6 shows the Arctic mean seasonal cycle for
the direct and indirect RF of atmospheric BC and the
snow/albedo effect for ARCem and MIDem. The direct
RF for ARCem and MIDem peaks in the summer season
when there is maximum insolation while the snow/
albedo effect peaks earlier in the melt season when the
snow cover is still extensive. As expected, the Arctic
annual mean indirect RF is much smaller than the direct
RF: 0.17Wm 2 for ARCem and 0.08Wm 2 for MIDem
[Koch et al., 2011b]. Note that the indirect forcing in
NorESM is calculated for liquid clouds only. While the
direct RF for the MIDem case is slightly larger than
ARCem, the snow/albedo effect for BC in MIDem is
smaller"</t>
  </si>
  <si>
    <t>black carbon land deposition, climate cahnge, longer warm seasons</t>
  </si>
  <si>
    <t>exasterbate climate and regional warming</t>
  </si>
  <si>
    <t>"The changes in the Arctic annual mean atmospheric
energy budget for ARCem and MIDem (from the coupled
multidecadal climate simulations) are shown in Figure 7.
The direct effect of shortwave radiation at TOA due to
increased BC absorption is the main driver for both
ARCem and MIDem. For ARCem, the snow/albedo effect
is also important. The net surface shortwave radiation, which
includes increased absorption at the surface and a reduction
due to dimming, is about half of that at TOA. The net shortwave
flux at the surface increases both due to absorption of
BC at the surface and the lowering of the surface albedo
when a darker surface is exposed after melting of snow and
sea ice. Shindell and Faluvegi [2009] and Sand et al.
[2013] showed that atmospheric BC forcing (with a vertical
profile as in their reference simulations) at midlatitudes had
a warming effect on the Arctic surface"</t>
  </si>
  <si>
    <t>increased ship traffic, increased use of fossil fuels</t>
  </si>
  <si>
    <t>icnreased air and land temperatures, change ecological landscape</t>
  </si>
  <si>
    <t>"Compared to midlatitudes, within-
Arctic BC emissions are low, but the emissions are
expected to grow due to new developments in the Arctic,
the opening of the Northern sea routes to shipping, and
enhanced oil and gas exploration [Corbett et al., 2010;
Peters et al., 2011; Ødemark et al., 2012]."</t>
  </si>
  <si>
    <t>increase in ship traffic</t>
  </si>
  <si>
    <t>increase in expolration and resource exploitation (estimated)</t>
  </si>
  <si>
    <t>Total removed articles</t>
  </si>
  <si>
    <t>Observational articles</t>
  </si>
  <si>
    <t>Academic literature</t>
  </si>
  <si>
    <t>"The Government of Nunavut is now adapting the Pond Inlet code
Resources 2017, 6, 25 8 of 15
of conduct for visitors and has further developed other similar guidance documents including; a
community code of conduct, an operator code of conduct, a visitor code of conduct and “do’s and
don’ts” of guided tours. There are federal level wildlife viewing guidelines and some behaviour
restrictions at NationalWildlife Areas, for example; however, at the territorial level, guidelines that
reflect the local expectations and culture desires are largely absent. Cruise operators tend to reinforce
appropriate behaviour among their clients and several long-term operators voluntarily hire local guides
on all voyages to assist in developing an understanding of culture, though there are no requirements
to do so."</t>
  </si>
  <si>
    <t>Permit data, visitor exit survey, NORDREG Data</t>
  </si>
  <si>
    <t>insufficent rules for visitors</t>
  </si>
  <si>
    <t>environmental damage, desruction of natural resources, declined relationships between community and visitors</t>
  </si>
  <si>
    <t>Implement a Code of conduct for visitors, increased enforcement presence of permits and wildlife areas</t>
  </si>
  <si>
    <t>"Nunavut (and Arctic Canada) is known for its highly complex permitting
process, which is currently curtailing the full potential of cruise tourism development in the region.
Developing a two-way information exchange portal whereby operators can request permits, obtain
interpretative and pertinent information from the region, and where the Government of Nunavut,
its neighbouring jurisdictions, and the Inuit and Inuvialuit agencies can issue permits, provide
updates, and gather industry data is a win-win situation for both operators and regulators/stewards
of the region.
The complexity that exists within the passenger vessel regulatory system is currently limiting
cruise tourism activity and local economic opportunities in Nunavut. Passenger vessel operators are
required to obtain between 20 and 35 permits to operate in Nunavut, including permits required from
federal agencies."</t>
  </si>
  <si>
    <t>increased notion towards non-compliant behaviors</t>
  </si>
  <si>
    <t>companies must ubtain many permits prior to operation, not cohesive with federal jurisdicution, many agencies manage permiting process</t>
  </si>
  <si>
    <t>Streamline process to ensure less permits are required (or one overarching permit can be issued, increased awareness of permits</t>
  </si>
  <si>
    <t>Declining physical health of community</t>
  </si>
  <si>
    <t>"Another large vessel that visited the region in 2012, theWorld, has proven hard to categorize using
regulatory definitions. The World is a luxury condominium ship with 165 units on board valued at
up to $13 million each. The World’s trip to Nunavut included disembarking its 508 passengers in two
Nunavut communities to experience local culture [44].
The Octopus, categorized as a pleasure craft, is a super luxury yacht that can accommodate more
than 50 guests. The vessel features a glass bottom swimming pool, cinema, recording studio, hangar
for two helicopters, a submarine, wood burning fireplace, and full spa and exercise room. Owned
by Microsoft co-founder Paul Allen, it has travelled in the Canadian Arctic on numerous occasions,
often stopping in Pond Inlet, Nunavut to purchase supplies and make donations to the local visitor
centre [45].
Overall, the marine tourism sector in Nunavut has been steadily growing since 2005 and is
expected to continue to increase at least moderately into the future. The numbers of vessels in the
region are much smaller than other popular Arctic cruising areas such as Svalbard, Norway, Iceland
and Alaska. However, the territory of Nunavut in Arctic Canada is unique in its governance (settled
land claim area combined with territorial and federal oversight) and thus warrants focused research
and management attention."</t>
  </si>
  <si>
    <t>increased demand, increased accessibility, last chance tourism trend</t>
  </si>
  <si>
    <t>increased vessel traffic, increased local economic activity, increased accessibility, ecological degregation</t>
  </si>
  <si>
    <t>"Concerns with the regulatory framework were identified in an exploration of cruise tourism policy
needs in protected areas [23]. Stakeholders in the study were concerned about poor communication
and industry fragmentation, and its effects on tourism development and control. The creation of
a central organization to develop guidelines and represent the Arctic cruise industry was desired
by the respondents in the study and, in particular, the International Association of Antarctica Tour
Operators (IAATO) model of self-regulation was viewed as providing a good example that could be
emulated in the Canadian Arctic. These themes were explored further in an analysis of cruise vessel
governance in Arctic Canada [30]. This research highlighted the need for a dedicated authority to
oversee management, to streamline licensing procedures and to develop guidelines and best practices."</t>
  </si>
  <si>
    <t>lack of cohesion between national-territorial regulations, lack of educational awareness, increased exemptions</t>
  </si>
  <si>
    <t>poor communication of laws, industry fragmentation, unregulated tourism development and control</t>
  </si>
  <si>
    <t>Dedicated authority for tourism management, streamlining licencing requirements, and procedures for best preactices</t>
  </si>
  <si>
    <t>"Significant weaknesses include: inappropriate territorial licensing system for cruise vessels and a
complex system of inter-jurisdictional regulation; lack of enforcement capabilities in the region (and
neighbouring regions); lack of tourism data needed for decision-making and industry support; a
complicated permitting system; the lack of a single point of contact in the territory or communities; an
absence of site guidelines for heavily used and/or significant locations; and, limited availability of
codes of conduct for visitor behaviour.
The large number of government departments and agencies with a role to play in management
demands a more coordinated approach than is currently in place and possibly the creation of a single
point of authority in the region. Currently in Canada, each level of government, and the various
departments and agencies within, is focused on its specific area of mandate (e.g., culture, environment,
or transportation.), but not enough attention is given to the importance of integrating management
efforts across scales and across mandated responsibilities"</t>
  </si>
  <si>
    <t>increased possibility for non-compliance, industry fragmentation</t>
  </si>
  <si>
    <t>Lack of enforcement presence, complexity for permiting process, extensive permiting process, remoteness</t>
  </si>
  <si>
    <t>"The absence of reliable and consistent
marine tourism data exacerbates the challenges associated with monitoring industry growth and
fulfilling the territorial obligations to safeguard the region’s natural environment and cultural heritage.
It also makes it difficult to support the industry and to facilitate locally desired economic development
pathways. Currently some effort is made to collect data through regular visitor exit surveys (conducted
in 2006, 2008, 2011, and 2015) and through the permitting process [34,35,54]. However, neither system
yields sufficient or reliable data for decision-making related to cruise and pleasure craft tourism."</t>
  </si>
  <si>
    <t>lack of baseline data, insufficient data collection process</t>
  </si>
  <si>
    <t>challenge monitoring industry growth, fulfillment of territorial obligations, protecting cultural heritage</t>
  </si>
  <si>
    <t>Prioritization of sector specific metrics, exit surveys for passengers</t>
  </si>
  <si>
    <t>"Site guidelines typically include suggestions on how to conduct visits to
locations; they provide pertinent and site-specific navigational details, as well as cultural, historic and
environmental interpretive information and, further, they direct traffic to areas deemed suitable for
visitation and, by default, steer visitors away from more sensitive areas.
Highly visited and/or significant sites across Nunavut should be identified and a series of site
guidelines developed. The guidelines should include both interpretative/educational information as
well as instructions for behavior and use and be integrated with any existing guidelines, for example,
at protected sites. Existing guidelines from Antarctica and Svalbard can be used as a template and
adapted for Nunavut. Although the vast majority of cruise and pleasure craft tourism is occurring in
Nunavut it is recommended that there be consultation with Northwest Territories, Yukon Territory,
Quebec and Newfoundland/Labrador to ensure that site guidelines are consistent across the Canadian
north. It is further recommended that basic vulnerability assessments of each site be conducting
including a benchmarking exercise so that impacts can be monitored over time. This should include
an analysis of flora fauna, natural or cultural heritage, as well as aerial photographs. Monitoring and
subsequent vulnerability assessment exercises should be conducted periodically (5 or 10 year intervals)
in order to track impacts. A booklet of site guidelines should be available electronically through a
variety of sources (e.g., Nunavut Tourism, Government of Nunavut, and AECO websites) with hard
copies available for purchase."</t>
  </si>
  <si>
    <t>Implementation of site  and behaviour guidelines, establishment of site vulnerability assessments.</t>
  </si>
  <si>
    <t>Increased vessel presence, increased tourism demand</t>
  </si>
  <si>
    <t>inability to utilize lands, loss of culture/traditions</t>
  </si>
  <si>
    <t>"Researchers and government departments have described both the
benefits (e.g., economic development, promotion of history and culture, community and
infrastructure development) and the risks (e.g., human safety and security, environmental impacts,
local costs) (see, for example, [15,19,20–24]).
Figure 1. Map of Nunavut in the context of the Canadian Arctic.
(e.g., economic development, promotion of history and culture, community and infrastructure
development) and the risks (e.g., human safety and security, environmental impacts, local costs) (see,
for example, [15,19–24]).
Resources 2017, 6, 25 3 of 15
Thus far, the region has a strong history of safe operations with only a few notable mishaps
that include several ship groundings, requests for search and rescue assistance, and inappropriate
or illegal behaviour of visitors [15,25–31], but the number of incidents is expected to increase as the
numbers of vessels, voyages and passengers increase [32] and with new and/or unprepared entrants
to the region [15,30]."</t>
  </si>
  <si>
    <t>"Thus far, the region has a strong history of safe operations with only a few notable mishaps
that include several ship groundings, requests for search and rescue assistance, and inappropriate
or illegal behaviour of visitors [15,25–31], but the number of incidents is expected to increase as the
numbers of vessels, voyages and passengers increase [32] and with new and/or unprepared entrants
to the region [15,30]."</t>
  </si>
  <si>
    <t>increased vessl traffic</t>
  </si>
  <si>
    <t>ecologocal damage, impacting community pysical and mental well being, economic impacts</t>
  </si>
  <si>
    <t>Figures 10-11, Table 14</t>
  </si>
  <si>
    <t>The main data sources for marine accidents:
Global Integrated Shipping Information System (GISIS).
IMO MSC-MEPC.3/Circ.3, IMO FSI 20/INF.17.
FSI, IMODOCS, IMO Performance Indicators.
International Shipping Facts and Figures – Information.
Resources on Trade, Safety, Security and the Environment.
Lloyd’s Casualty Returns available from Lloyd’s Register Library.
LMIU Casualty Reports, IHS Fairplay World Casualty Statistics.
International Union of Marine Insurers (IUMI).
European Maritime Safety Agency: Annual Maritime Accident</t>
  </si>
  <si>
    <t>minor and material damages, vessel sinking and loss of life</t>
  </si>
  <si>
    <t>human error, technical failure, design inadequacy, weather conditions</t>
  </si>
  <si>
    <t>Insufficient tug assistance</t>
  </si>
  <si>
    <t>Steering gear failure</t>
  </si>
  <si>
    <t xml:space="preserve">poor decision making, lacking bridge procedures, navigational error, </t>
  </si>
  <si>
    <t>"The Arctic region experiences four seasons, of which three are
considered in this study, namely winter, summer, and autumn. Winter
lasts the longest, from December to June, followed by summer from July
to September and the remaining months of October and November are
autumn. So, the prior probabilities of winter, summer, and autumn are
0.58, 0.25 and 0.17 respectively.
The data of ice-thickness are taken from Fram Strait (Werner, 2006)
and the Kongsfjord region (Nahrgang et al., 2010). The only deep-water
connection between the Arctic and Atlantic is Fram Strait, which lies
between Svalbard and Greenland (Thiede et al., 1990). The ice thickness
varies between 0.8 m and 3.5 m throughout the year. Ocean salinity
ranges from 16.7 psμ to 34.6 psμ."</t>
  </si>
  <si>
    <t>Figure 6</t>
  </si>
  <si>
    <t>Figure 7</t>
  </si>
  <si>
    <t>"Lack of reference data – Reference values like Chronic Reference
Dose (RfD), RBSLs, SSTLs value for microplastics are not available.
Also, toxicity data on Arctic species is rare. The lack of data is
generally compensated by using the data of temperate species.
However, the practice is highly questionable owing to the many
environmental, and geophysical distinctions in both the regions and
physiological differences between the species"</t>
  </si>
  <si>
    <t>Available upon request</t>
  </si>
  <si>
    <t>"In particular, because cold disasters
and their consequences differ rather distinctly from warm disasters on at least three dimensions.
First, cold disasters unfold in natural environments where, due to low temperatures and extreme weather,
humans can die much faster when they encounter a disaster, and this sets new standards for the
speed by which emergency relief must be provided."</t>
  </si>
  <si>
    <t>Regulations regarding ship speed</t>
  </si>
  <si>
    <t>low temperatures, extreme weather</t>
  </si>
  <si>
    <t>increased priority for risk management practices</t>
  </si>
  <si>
    <t>"Third, cold disasters commonly involve complex institutional set-ups and sometimes even contested
jurisdictions, for example, in the form of ambiguities regarding the mandates, obligations and limitations
of countries and authorities, and these ambiguities must often be resolved while cold disasters
unfold. Each of the three dimensions might by themselves produce complex challenges for the governance2 of cold disasters, yet, when combined they become truly cumbersome to govern, and difficult
to address by use of traditional conceptualizations and models of disaster governance."</t>
  </si>
  <si>
    <t>"The Nuugaatsiaq tsunami shows how a small geophysical event is extrapolated into a disaster by
the factors inherent in the cold context. The population was extremely vulnerable, due to the cold; help
could not arrive before many hours after the incident, due to the lack of infrastructure; and the assistance
included a multiplicity of actors, including the Royal Danish Navy and the Danish Emergency
Management Agency, due to overlapping jurisdictions.
In the coming years, we are likely to face an increase of such cold disasters. These may be caused
directly by natural phenomena, for example, icebergs, mass movements, earthquakes, volcanoes, landslides
and dangerous wild life, or by changing economic, political and social activities, for example,
commercial shipping, tourism, off- and onshore natural resource exploitation [3, 4, 5]. This proliferating
situation generates new challenges not only for people living in cold contexts, but also for disaster
risk managers and disaster research scholars, whose organizational and conceptual tools are largely
developed on the basis of disasters in significantly different contexts."</t>
  </si>
  <si>
    <t>Community member displacement</t>
  </si>
  <si>
    <t>"This mass movement created a tsunami, which travelled about
30 kilometers into the fjord before it reached the shores of Nuugaatsiaq. Here, the ice-cold water rapidly
flooded the settlement, washed away 11 buildings, and damaged the power station. Despite a
total of 101 people being registered as residents in Nuugaatsiaq, in the immediate aftermath of the tsunami
the police could only account for 78. Three days later, the police concluded that the tsunami had
probably taken the lives of three adults and a child, who had been inside one of the houses that were
washed out to sea. Weeks later, the inhabitants remained evacuated due to the risk of more landslides
and tsunamis.
The Nuugaatsiaq tsunami shows how a small geophysical event is extrapolated into a disaster by
the factors inherent in the cold context. The population was extremely vulnerable, due to the cold; help
could not arrive before many hours after the incident, due to the lack of infrastructure; and the assistance
included a multiplicity of actors, including the Royal Danish Navy and the Danish Emergency
Management Agency, due to overlapping jurisdictions."</t>
  </si>
  <si>
    <t>"In particular, because cold disasters
and their consequences differ rather distinctly from warm disasters on at least three dimensions.
First, cold disasters unfold in natural environments where, due to low temperatures and extreme weather,
humans can die much faster when they encounter a disaster, and this sets new standards for the
speed by which emergency relief must be provided. The Arctic is characterized by extreme and rapidly changing weather that presents significant challenges
to human activities. Most of its landmass is located in the Arctic climate zone, which has an
average temperature of less than 10 degrees Celsius during the hottest month of the year, and winter
temperatures as low as minus 50 degrees Celsius [8]. And even if much sea ice disappears from the
Arctic waters during the summer and the water temperature rises, it does not exceed 3-4 degrees Celsius.
The Arctic constitutes a vast area with considerable variation in weather, for example, in Greenland,
where the inland ice and ocean currents create considerable regional variation in temperature and
humidity, and causes rapidly changing weather with heavy storms and shifting visibility. Due to the
harsh weather conditions in Greenland, domestic flights, are often delayed or cancelled, and thus,
spending an extra day or two in an airport when flying into and out of Greenland is not uncommon.
Similarly, the unforeseeable weather creates troublesome conditions at sea."</t>
  </si>
  <si>
    <t>"A second characteristic of cold contexts is the extraordinary sprawl and sparsely populated spaces.
The Arctic consists of approximately 18 million square kilometers sea and 8 million square kilometers
land. As an illustration the distance from the northern part of Greenland to the southern part exceeds
the distance from Oslo in Norway to Tunis, the capital of Tunisia in North Africa. The enormous di5
stances in the Arctic in turn makes searching for a ship in distress or a downed plane, not to speak of
rescuing people trapped in remote locations, an extremely challenging task both in terms of locating,
accessing and returning safely from the emergency site, with bad weather potentially further complicating
and delaying response efforts. The Arctic has a population of only 4 million people, of which
more than two thirds live in urban areas and the remaining in smaller towns and settlements [9]."</t>
  </si>
  <si>
    <t>harsh weather conditions, lack of resources</t>
  </si>
  <si>
    <t>no exisitance of elaborate physical ad social infrastructure, lack of accessibility ia traditional transportation methods</t>
  </si>
  <si>
    <t>"While these global power struggles might not
directly affect disaster management efforts, they do influence the overall stability of the political climate,
which is necessary when addressing issues of emergency relief and disaster management. For
instance, when making decisions on what to allocate resources for within the Arctic, security might
supersede safety, due to the region’s strategic location [15, 16]"</t>
  </si>
  <si>
    <t>"In an emergency situation, the nearest equipment and assistance (helicopters, medical crew, floating
barriers, etc.) are often located at least some thousand kilometers away. In some situations, it might be
possible to get a helicopter to the scene of an accident, but when the helicopter gets there it is likely to
be out of fuel, with no fuel immediately available, rendering the helicopter unable to sustain its operation.
All Greenlandic territory is covered by one dedicated land-based Search and Rescue (SAR) helicopter4,
stationed in the southwest, and two to four Danish inspection ships and vessels patrolling the
waters around the island - not all of them carrying helicopters. Thus, first responders may need several
days to locate and get to the scene of an accident, and by then it may very well be too late [12]."</t>
  </si>
  <si>
    <t>"Adding to the desolate and rough context outlined above, the Arctic is embedded in a complex institutional
and political landscape perpetually in flux. It is an active battleground for a number of geopolitical
struggles over commercial and military-strategic interests among its constituent nations (the USA, Canada, Finland, Greenland, Denmark, Norway, Iceland, Sweden and Russia) and others, like
China, with an interest in the region"</t>
  </si>
  <si>
    <t>create an instable political climate, emergency relief and disaster management</t>
  </si>
  <si>
    <t>complex cooperation between agencies, unclear or undefined roles andresponsibilities</t>
  </si>
  <si>
    <t>prolonged displacement, unability to recover due to lack of resources avilable</t>
  </si>
  <si>
    <t>"In general, improvisation is a common phenomenon during SAR operations in the Arctic,
and in the harsh Artic nature, the responders’ ability to improvise ingenious solutions to unforeseen
challenges may very well make the difference between success and failure. Consequently, it is important
that organizational governance systems do not create structural conditions or limitations, which
suppress improvisation. The design of exercises as well as the general organization of emergency
preparedness plays a crucial role in training and allowing for, and even incentivizing such improvisation.
One important lesson for emergency planners is accordingly to design exercises to place the responders
in ambiguous situations that calls for improvisation"</t>
  </si>
  <si>
    <t>"Essentially, they must become familiar with the prevailing answer
to the “what’s going on here?” question [43], while the answer, as well as its origins, evolve.
Another issue to be addressed is that due to the rareness of such large scale emergencies in the Arctic,
the reinforcements bring a diversity of experiences from other kinds of emergencies with them to
the upscaling organizations. For instance, they often bring different perceptions of what aspects of the
emergency to focus on, what new information to pay attention to, etc., and this influences the updating
of their understanding of the emergency [44]. In particular, the challenges associated with updating
and maintaining a common situational picture in an emergency are magnified when the physical and
social infrastructures are limited, when several authorities, both national and foreign, are involved, and
when these institutions interact simultaneously. When this happens, a variation in emergency experiences,
occupational routines, etc., enter the scene, and this may cause confusion"</t>
  </si>
  <si>
    <t>"Finally, with its dominance of Greenlandic police officers, and the constant traffic in
and out of the Nuuk police station, of Greenlandic citizens in need of the police’s assistance and services,
the Greenland Police signaled both public authority and social embeddedness in the civilian society.
Inter-organizational cooperation is affected by diversities in organizational cultures, and although
following one’s own habitus may contribute to a sense of control and self-confidence, it may also pre13
vent the inclusion of relevant inputs from others, and thereby, contribute to the “inaction” of others,
and restrict the development of a shared understanding.
For the purpose of addressing the challenges related to updating and coordination of both local understandings
and common situational pictures then emergency responders can take on an inquiring attitude
[45, 46] immediately after joining their respective organizations, as thereby, they can familiarize
themselves with the reasoning, which has resulted in the prevailing understandings and situational pictures.
Introducing an inquiring practice can thus lead to faster intra-organizational integration of incoming
reinforcements, as well as to better inter-organizational coordination during emergencies. Thereby,
it can supplement the coordination, usually taking place at the strategic level of the emergency management
system."</t>
  </si>
  <si>
    <t>"ACIA documented the recent changes in the Arctic sea
in cover – sea ice thinning, extent reduction, and a reduction in the area of multiyear
ice in the central Arctic Ocean. In addition ACIA model simulations for the 21st century
(using Global Climate Models) indicate increasing ice-free areas in all coastal
Arctic seas, suggesting plausible increases in marine access and therefore longer seasons
of navigation."</t>
  </si>
  <si>
    <t>"AMSA is a response by theArctic states to three key issues: the ongoing globalization
of the Arctic through natural resource development; arrival of the global maritime
industry in the Arctic Ocean with the Arctic voyages of large tankers, cruise ships
and bulk carriers; and, the increased marine access that is provided by the continuing
retreat of Arctic sea ice"</t>
  </si>
  <si>
    <t>"The Arctic states will continue to be challenged
by a widespread lack of adequate maritime infrastructure to cope with current
and future levels of Arctic marine operations.To enhance marine safety and environmental
protection, the Arctic states, together with the IMO, must develop an
integrated system of rules and regulations governing Arctic marine transportation"</t>
  </si>
  <si>
    <t>Develop an integrated system for rules and regulations that govern marine transportation, increased cooperation regarding complex issues</t>
  </si>
  <si>
    <t>"The continued retreat of Arctic sea icewill result in improving marine access throughout
theArctic basin.Complimenting this accesswill be newArctic ship designs which
will allow greater access and independent operations (no icebreaker convoys) during
potentially longer seasons of navigation. Such extended marine operations will
require two actions: (A) expanded SAR cooperation – perhaps with an international
Arctic SAR agreement that would pool resources, and (B) expanded regional environmental
response network"</t>
  </si>
  <si>
    <t>"This is a region where the international maritime community has moved into the Arctic Ocean for
resource extraction and marine tourism at a time when there is lack of an integrated
set of maritime rules and regulations, and insufficient infrastructure to support such
a high level of marine activity. Polar Lows is a future of low demand for resources
and unstable governance – a murky and undeveloped future for theArctic.There is
minimal marine traffic in the Arctic Ocean in this scenario and low attention is given
to regulations and standards that remain weak and undeveloped. Polar Preserve is
a future of low demand, but with a stable and developed governance of marine use.
This also is a world where environmental concerns, with geopolitical and economic
interests focused elsewhere, drive a movement toward a systematic preservation of
the Arctic."</t>
  </si>
  <si>
    <t>"In this scenario Arctic oil and gas reserves are disappointing, and there is
strong public concern about climate change and conservation impacts on Arctic
affairs. Arctic Saga is a future of high demand for resources and trade coupled with a
stable governance of marine use. This world leads to a healthy rate of Arctic development
that includes concern for the preservation of Arctic ecosystems and cultures,
and shared economic and political interests of the Arctic states. There is improved
marine infrastructure making marine transportation safer and more efficient, supporting
systematic and safe development of oil, gas, and hard minerals."</t>
  </si>
  <si>
    <t>Marine wildlife datasets, vesel data</t>
  </si>
  <si>
    <t>"Furthermore, natural resource extraction activities will
likely lead to even higher levels of vessel traffic. Baffinland, for example,
has proposed to double their output of iron ore at the Mary River Mine,
which will increase the number of vessels transiting this area, including
the addition of icebreaking during the ice-formation and break-up seasons.
This continued increase in vessel traffic in the TI NMCA will
translate into increased risk for marine wildlife."</t>
  </si>
  <si>
    <t>"The main impacts of vessel traffic on marine wildlife are ship strikes
(especially for bowhead whales; George et al., 2017), physical disturbance
(i.e. flushing of seabirds, icebreaking affecting ice seals), exclusion
from areas, noise (both underwater and in air), light pollution,
chemical pollution including oil spills, and transportation of invasive
species that can have ecological consequences (Arctic Council, 2009).
Ship strikes may represent an immediate, lethal consequence, although
not all ship strikes are lethal (Conn and Silber, 2013), whereas most
other vessel impacts have sub-lethal consequences that may act cumulatively
with other stressors, especially with repeated exposures through
time."</t>
  </si>
  <si>
    <t>"Similarly,
repeated short term disturbance may lead to reduced time foraging, with
implications for health and reproductive success in the long-term.
Repeated disturbance in key areas, such as migration routes, may even
lead to a shift in the location of these routes or displacement from
important foraging areas. Endemic Arctic wildlife are largely naïve to
vessel traffic, and may therefore have more extreme responses"</t>
  </si>
  <si>
    <t>"Tallurutiup Imanga is an important area for marine wildlife, as
demonstrated by the numerous whale and seabird hotspots identified in
this study, and subsequently, a key area for subsistence hunting activities
by Inuit. Disturbance and noise risk from vessels are key concerns
for the conservation of these species, and may make wildlife inaccessible
to hunters by displacing them from traditional hunting areas (see Carter
et al., 2018, 2019). While vessel traffic remains relatively low in much of
TI NMCA, traffic has been increasing rapidly over the past few years, and
has more than doubled between 1990 and 2018"</t>
  </si>
  <si>
    <t>"The total annual kilometers traveled by all vessels types in TI NMCA
in the past 26 years has more than doubled. In 1990 the total kilometres
traveled by vessels was 51,584 km, increasing to 142,111 km in 2018
(Fig. 5). Since 1990, the average vessel traffic has increased with some
variation from year to year, including a drop between the years 2000
and 2004 (Fig. 5).
During the baseline period of 1990–2000 vessel traffic remained
relatively stable, fluctuating between 51,584 km and 81,969 km with an
average of 65,926 km. During phase 1 the total annual distance traveled
in Tallurutiup Imanga started to decrease, with the lowest value in 2004
at 44,416 km; the phase 1 average was 54,205 km. The annual average the baseline period. The distances traveled in phase 2 ranged from
57,582 km to 76,753 km. The final phase 3 had the highest annual
average distance traveled with 105,446 km and ranging from
68,160 km to 157,820 km."</t>
  </si>
  <si>
    <t>"Ships will operate in extreme cold. Many areas are uncharted or the charts
are not up-to-date.13 Th ere are diffi cult choke-points to manoeuvre and some
narrow channels are draught restricted. Along the likely new navigation routes
fog, variable light and other conditions will reduce visibility.14 Th e reality is
that the “. . . challenges faced by navigators while transiting arctic ice regimes”
can be expected to be “beyond the scope of present or even future expectations
of average mariner training and experience.”15"</t>
  </si>
  <si>
    <t>extreme cold temperatures, remoteness</t>
  </si>
  <si>
    <t>Safety Control Zones (Canadian restricted areas)</t>
  </si>
  <si>
    <t>"However, at present no mandatory rules and standards specifi -
cally address the particular challenges of Arctic navigation, and only rules of
general application apply. Voluntary guidelines exist instead (see infra).
Equally, the environmental protection tools can potentially be brought to
bear on the protection of the Arctic environment."</t>
  </si>
  <si>
    <t>Regulations such as; MARPOL, LOSC, SOLAS</t>
  </si>
  <si>
    <t>"‘Icefree’
is misleading, and a better term is ‘open water’ (emphasizing navigable
space), as there is still likely to be ice, albeit in limited amounts, but whose
movement may be unpredictable and could still raise safety concerns.10 More
realistic is the expectation that a ship navigating in the Arctic can encounter a
mixture of open water and diff erent ice regimes. Th e ice trials of the US Coast
Guard ice-breaker ‘Healy’ provide some insights. Sailing in April, the ship
encountered 118 diff erent ice regimes between East Newfoundland and the
Davis Strait alone.11 Ships will need to navigate pursuant to an Ice Regime
System that defi nes the requirements for operating vessels in an environment
where ice conditions can change very signifi cantly within a short period of
time.12"</t>
  </si>
  <si>
    <t>"Important shortcomings must be addressed and remoteness is a major challenge
to overcome. Th e routes through the region do not enjoy the services
normally available to shipping on major trade routes. Although shippingsafety
control zones are designated (e.g., in the Canadian Arctic), the likely
routes are mostly located in remote areas where relatively few navigation aids
occur.16 Navigation areas within the World-Wide Navigational Service in the
Arctic were recently proposed for revision (see infra) and initiatives to
strengthen ice and metereological forecasting already exist." "Ships will operate in extreme cold. Many areas are uncharted or the charts
are not up-to-date.13 Th ere are diffi cult choke-points to manoeuvre and some
narrow channels are draught restricted. Along the likely new navigation routes
fog, variable light and other conditions will reduce visibility.14 Th e reality is
that the “. . . challenges faced by navigators while transiting arctic ice regimes”
can be expected to be “beyond the scope of present or even future expectations
of average mariner training and experience.”15"</t>
  </si>
  <si>
    <t>lack of navigational tool, real-time data availability, settlement patterns</t>
  </si>
  <si>
    <t>less services along route utilized</t>
  </si>
  <si>
    <t>"Arctic Ocean coastal States are apparently prepared to split ranks with other
Arctic States and act outside the framework of the Arctic Council when they
perceive this to be in their interest. Th is should not be surprising because
arguably their interests as coastal States outweigh those of other Arctic and
non-Arctic States. Accordingly, the coastal States set out their vision for the
Arctic when their ministers met in 2008 in Ilullissat (Greenland)—to the
disappointment of other actors. Th ey adopted a Declaration touching on
three key points.39 First, in response to proposals for a new comprehensive
international legal regime for the Arctic Ocean, they stated that such a comprehensive
legal instrument was unnecessary. Second, presumably as an assertion
of their rights as coastal States, they espoused their readiness to undertake
responsible management by using the existing framework for the international
law of the sea. Th ird, and most signifi cantly for shipping governance, they
expressed the common intention to continue working together directly and
through IMO to strengthen existing and develop new safety measures to prevent
and reduce vessel-source pollution."</t>
  </si>
  <si>
    <t>interests of Arctic are outweighted by another issue/consern nationally</t>
  </si>
  <si>
    <t>incohesive response</t>
  </si>
  <si>
    <t>International standards that target an international stanadrd for shipping in Arctic waters</t>
  </si>
  <si>
    <t>"Other safety concerns exist. Certainly mandatory training standards for
Arctic seafaring (including survival skills) are urgently needed. IMO, the
International Labour Organization (ILO) and the World Health Organization
(WHO) do not have polar-specifi c binding instruments for training
crews. Th e Arctic Guidelines briefl y refer to this need. Th ey have thin provisions
for training ice navigators. For example, no prior ice-navigation experience
is required to certify ice navigators"</t>
  </si>
  <si>
    <t>no regulations requireing ice navigation training</t>
  </si>
  <si>
    <t>Increase availability and requirement for ice navigation</t>
  </si>
  <si>
    <t>"In addition to seafaring matters, the Arctic Guidelines fall short of providing
more specifi c requirements for certain classes of vessels operating in the
Arctic. Cruise ships and liquefi ed natural gas carriers are cases in point. Th e
potential problem posed by cruise ships in polar waters was well illustrated by
the casualty of the MV Explorer in the Southern Ocean. Th at ship, an icestrengthened
vessel, had inadequate life-saving equipment on board. Lifeboats
were open-top (the Arctic Guidelines recommend closed lifeboats, but at the
time of writing do not apply to Antarctic waters) and some crew members
evacuated the ship on life rafts. Fortunately, there were ships in the vicinity
able to respond to the distress call within a few hours.
Space constraints do not permit consideration of related matters. For example,
Arctic waters are not included in any of the zones, areas and seasonal
periods in Annex II of the International Convention on Load Lines, 1966, in
which draught limitations are imposed and on a seasonal basis in the interests
of safety.62 Because of their particular characteristics, many other marine
regions have zones and seasonal periods with related requirements. Also, it
remains to be seen if it is safe to transport virtually any cargo in the Arctic and
whether there should be particular requirements for the carriage of certain
cargoes.63"</t>
  </si>
  <si>
    <t>no regulations requireing seasonal periods, no regulation of tourism industry</t>
  </si>
  <si>
    <t>rapid and unexpected tourism 'boom and bust' seasons</t>
  </si>
  <si>
    <t>"Th e exercise of LOSC Article 234 powers has certain constraints. Severe
climatic conditions and ice cover must exist for most of the year, creating
obstructions or hazards to navigation.53 Although there will be signifi cantly
less ice in the summer, for the rest of the year the ice cover will be signifi cant.
Irreversible damage could be caused to the environment by international shipping.
Th is requirement can be interpreted qualitatively. It is not necessarily a
high volume of shipping which will adversely aff ect the marine environment"</t>
  </si>
  <si>
    <t>"Coastal States have the right to adopt and enforce non-discriminatory laws and
regulations for the prevention, reduction and control of marine pollution from
vessels in ice-covered areas within the limits of the exclusive economic zone,
where particularly severe climatic conditions and the presence of ice covering
such areas for most of the year create obstructions or exceptional hazards to navigation,
and pollution of the marine environment could cause major harm to or
irreversible disturbance of the ecological balance. Such laws and regulations shall
have due regard to navigation and the protection and preservation of the marine
environment based on the best available scientifi c evidence.45
Negotiated as a lex specialis, i.e., as an exception to the general rules on
the protection and preservation of the marine environment set out in LOSC
Part XII and conferred as an additional power within the Exclsuive Economic
Zone (EEZ) as set out in LOSC Part V, it was a provision directly negotiated
between relatively few States at the Th ird UN Conference on the Law of
the Sea (UNCLOS III).46 Article 234 enables Arctic coastal States to establish
higher standards for vessel-source pollution than the international norm
established through IMO. Th erefore national regulation pursuant to these
powers applies to international shipping in addition to any applicable IMO
rules and standards.
Canada and the Russian Federation are two Arctic States that have adopted
national rules and standards for international shipping in the Arctic. Canada’s
principal legislation in this regard, namely the Arctic Waters Pollution Prevention
Act, 1970 (AWPPA),47 was adopted not without protest from some States,
but in view of the eventual adoption of the LOS Convention and Canada’s
ratifi cation, the AWPPA is clearly in compliance with Article 234. Since its
adoption, the AWPPA applied to waters north of 60o and only up to 100
nautical miles (nm) from its territorial sea baselines in the Arctic Ocean. Curiously,
it was only in December 2008 that Canada took the step to amend the
AWPPA to encompass its entire EEZ in the defi nition of ‘Arctic waters.’"</t>
  </si>
  <si>
    <t>Policy, International standards</t>
  </si>
  <si>
    <t>LOSC 234, Canada - AWPPA</t>
  </si>
  <si>
    <t>"Most significant for the Arctic is the additional source of
short-lived climate forcing agents (such as BC, CH4, and
O3) from ships in proximal transport distance (within a few
Published by Copernicus Publications on behalf of the European Geosciences Union.
9690 J. J. Corbett et al.: Arctic shipping emissions inventories and future scenarios
hundred kilometers); Arctic impacts from regional shipping
may compare with long-range transport of larger emissions
sources from lower latitude biomass and fossil fuel combustion.
The recent Tromso Declaration of the Arctic Council,
Ministers highlighted this issue by specifically calling out
the important role that shorter-lived forcers play in Arctic
climate change and recognizing that reducing these shorterlived
pollutants can reduce near-term climate change impacts
such as snow, sea ice, and sheet ice melting (Arctic Council,
2009a)."</t>
  </si>
  <si>
    <t>Arctic Marine Shipping Assessment (ASMA) database, Arctic Council national seaasonal- and route specific activity</t>
  </si>
  <si>
    <t>Reduce snow and sea ice cover, sheet ice melting</t>
  </si>
  <si>
    <t>Economic activity</t>
  </si>
  <si>
    <t>increase air emissions regarding shipping</t>
  </si>
  <si>
    <t>"Black carbon, a component of PM produced by
marine vessels through the incomplete oxidation of carbon
in diesel cycles, has a positive climate-forcing effect since it
absorbs sunlight (Flanner et al., 2007; Reddy and Boucher,
2006). This effect is likely greater in the Arctic region and
other snow- and ice-covered regions, because atmospheric
BC layers absorb radiation both from incident sunlight and
sunlight reflected from the surface. Also, when deposited
to the snow or ice surface, BC can reduce surface reflectivity
(i.e., albedo), accelerating the melting process (Flanner et
al., 2007, 2009; Hansen and Nazarenko, 2004; Hansen et al.,
2005)."</t>
  </si>
  <si>
    <t>Increase in BC emissions</t>
  </si>
  <si>
    <t>increased impacts of climate change, increased temperatures, reduce surface reflectivity within the Arctic</t>
  </si>
  <si>
    <t>"Uncertainties are currently driven by confidence
bounds on emissions rates for BC. The total nearterm
warming impact of global BC emissions from global
sources has been estimated to range between 18% and 55%
of global CO2 forcing. This percentage is greater than forcing
from CH4, CFCs, N2O or tropospheric O3 (Ramanathan
and Carmichael, 2008). The total climate forcing impacts
attributable to BC from ships have not been estimated independent
of other PM impacts (IPCC, 2007; Ramanathan and
Carmichael, 2008).
To better understand the potential impact of Arctic ship
emissions on the climate, scientists and modelers require
high-resolution geospatial emissions inventories suitable for
regional-scale evaluation."</t>
  </si>
  <si>
    <t>previous inconsistent publications</t>
  </si>
  <si>
    <t>flucuating results and implementation strategies due to wide range of perspectives on data emissions</t>
  </si>
  <si>
    <t>"Current estimates (for the year 2007) report that international
shipping emits about 1000 Tg CO2/y, with projected
increases attributed to growth in international trade (Buhaug
et al., 2009). Black carbon, a component of PM produced by
marine vessels through the incomplete oxidation of carbon
in diesel cycles, has a positive climate-forcing effect since it
absorbs sunlight (Flanner et al., 2007; Reddy and Boucher,
2006). ... In-Arctic shipping traffic is predicted to increase with increases
in a variety of activities, including resource extraction,
tourism and cargo transportation. Most forecasts of
emissions in the shipping industry are allocated spatially
by assuming homogeneous distribution among vessel types
(Wang et al., 2008). However, the asymmetric growth in activity
among ship types is well understood in terms of economics
and trade, with vessel activity involved in moving
containerized goods and energy products growing faster than
other ship types. To date, only a few regional studies are
considering spatial differences among different vessel types
(Corbett et al., 2007; Dalsoren et al., 2007)."</t>
  </si>
  <si>
    <t>"Black carbon emissions are expected to increase without
control requirements, along with CO2; NOx controls under
IMO legislation will help level emissions growth into the
2020–2030 decade but will be outstripped by growth in shipping
activity. If MFR controls for fine particles such as BC
are implemented, the technologies are expected to capture all
PM with similar efficacy; this leads to expected reductions in
OC with MFR policies.
(a)
a)
(c) (d)
(b)
Fig. 3. Comparison of in-Arctic trends for black carbon, organic
carbon, and SOx emissions under (a) high growth and (b) BAU scenarios.
Also shown are the comparison of black carbon, particulate
matter, CO2 and NOx under (c) high growth and (d) BAU scenarios.
Black carbon emissions from shipping in the Arctic can be
evaluated in terms of in-Arctic ship activity, with and without
potential diversion of global shipping to navigable Arctic
routes for diversion traffic, and with regard to global (non-
Arctic) shipping inventories. Table 13 presents these results
for high-growth scenarios with and without control action
to achieve maximum feasible reductions; Table 14 presents
these results for the BAU scenario. Based on evaluation of
emissions alone, in-Arctic shipping contributes modestly to
total BC from shipping; in 2004, Arctic transport vessels
contributed less than 1% of ship BC emissions, and in 2050
ships may contribute less than 2.5% of global ship BC emissions."</t>
  </si>
  <si>
    <t>Imo Pollution regulations, further standards that limit the usage of BC in Arctic waters</t>
  </si>
  <si>
    <t>global temperature change potential</t>
  </si>
  <si>
    <t>"And againeventhisestimationcouldstillbeconservative.
None ofthemodelshastakenintoaccountthemethanerelease
due toathawingoftheArcticlakes.Scientistshavediscovered
that evenamodestthawoftheperenniallyfrozensoilthatlies
under thelakessurroundingtheArcticaswellasthecapsonthe
dry landaroundthemcouldtriggeraviciouswarmingcycleas
the methanegasreleasedwilltrap25timesmoreofthesun’s
heat thancarbondioxidedoes [6]. Acompletethawwilldischarge
10 timesthecurrentamountofmethanealreadyhelpingtoheat
the planet."</t>
  </si>
  <si>
    <t>thawing of Arctic lakes</t>
  </si>
  <si>
    <t>increase air temperatures, exterbate climate change</t>
  </si>
  <si>
    <t>"During thelast75years,theSovietUnionandRussian
Federation haveoperatedintheNorthernSeaRoute.Maritime
transport hasbeenextensiveandreacheditspeakof6.6million
tonnes in1987,mainlyintheformoftheregionalexportof
natural resourcesandtoalesserextentofcargotothe
communities alongtheSiberiancoast"</t>
  </si>
  <si>
    <t>"Thisoptimismhas
yet tobecomeareality,mainlybecauseofthefactthatthe
Northern SeaRoutehasneverbeenicefree,evenduring
the summermonths,toallowforsignificantmaritimetransporta-
tion betweenEuropeandAsia.Thecurrentvolumeofshipping
appears tobe2.13milliontonnesin2007andthetransportation
of hydrocarbonswithintheBarentsandtheWhiteSeasreached
8.5 milliontonnesin2006 [7]"</t>
  </si>
  <si>
    <t>"However, beforetheNorthernSeaRoutecanreliablybeused
as atransitroutebetweenEuropeandAsia,severalissueswill
need toberesolved.Forexample,forvesselsoperatinginthe
Arctic partoftheworldoceans,itiscrucialfornavigationtohave
access tosynopticenvironmentalobservationsoftheweather,sea
ice andoceanconditionsandtheirforecasts.Suchinformation
will beessentialinbothstrategicandtacticalnavigationsupport
and helptoensuresafeandefficientoperationinice-covered
waters. Inparticularthough,fiveissueswillneedtoberesolved.
Firstly, environmentalmonitoringandforecastingservicespro-
viding meteorological,oceanographicandseaiceinformationto
support shippingallyearroundwillneedtobesignificantly
enhanced."</t>
  </si>
  <si>
    <t>use for frequent transit of nautral resources</t>
  </si>
  <si>
    <t>"Currently,theArcticCouncilprovidestheforumfor
promoting cooperation,coordinationandinteractionamongthe
Arctic States,withtheinvolvementoftheArcticIndigenous
communities. TheArcticCounciladdressesissuesofcommon
concern, inparticularthatofsustainabledevelopmentand
environmental protection.Itisanon-treatyintergovernmental
ministerial levelforumestablishedbytheOttawaDeclarationof
1996 [15]. MembersoftheArcticCouncilincludeCanada,
Denmark, Finland,Iceland,Norway,Russia,Swedenandthe
United States,fiveofwhichhaveArcticOceanbasincoastlines
and threeofwhomhavenocoastlinesintheCentralArcticOcean.
As issuesregardingtheArctic,especiallyshippingissues,may
impact onotherstakeholderswhoarenotmembersoftheArctic
Council, amoreinclusiveapproachmayberequired.Modelsexist
where stakeholdersareincludedindiscussionsforthemanage-
ment ofacriticalwaterwayusedforinternationalnavigation.For
example, theMalaccaStraitsCooperativeMechanismwas
established in2007undertheprinciplesofUNCLOSArticle43
to dealprimarilywiththesafetyandenvironmentalprotection
issues alongtheMalaccaStraits [16]."</t>
  </si>
  <si>
    <t>"However, beforetheNorthernSeaRoutecanreliablybeused
as atransitroutebetweenEuropeandAsia,severalissueswill
need toberesolved.Forexample,forvesselsoperatinginthe
Arctic partoftheworldoceans,itiscrucialfornavigationtohave
access tosynopticenvironmentalobservationsoftheweather,sea
ice andoceanconditionsandtheirforecasts.Suchinformation
will beessentialinbothstrategicandtacticalnavigationsupport
and helptoensuresafeandefficientoperationinice-covered
waters. Inparticularthough,fiveissueswillneedtoberesolved.
Firstly, environmentalmonitoringandforecastingservicespro-
viding meteorological,oceanographicandseaiceinformationto
support shippingallyearroundwillneedtobesignificantly
enhanced. Secondly,searchandrescueaswellasice-breaker
support services,withseasonalandregionalincreasedaccess,will
need tobeprovidedinacomprehensivemanner.Thirdly,
experienced marinerswhoaretrainedforArcticoperationsare
needed tooperatetheships.Fourthly,newshiptechnologyis
required forindependentshipoperationsinicecoveredwaters,
which willremainpresentformostoftheyear.Fifthly,when
traffic getsheavier,itmaybenecessarytoimplementvessel
traffic systems(VTS)alongnarrowstraitsthatmayendupas
choke points,liketheBarentsStraits.Lastly,anintegrated
governance andregulatoryframeworkbasedontheUnited
Nations ConventionontheLawoftheSeaisneeded."</t>
  </si>
  <si>
    <t>Future utilization of the NWP, increase in shipping capacity</t>
  </si>
  <si>
    <t>"As noted above, the indigenous peoples of the Arctic are intimately tied to the
environment. The effects of climate change on the region are a double-edged sword
for these communities who at present lack access to some of the basic amenities
of modernity by virtue of geographic location, geophysical terrain and neglect by
central governments. On the one hand, melting ice will be to their disadvantage in
respect of their traditional way of life, based on hunting and fishing. On the other
hand, an Arctic region that is more accessible to lucrative activities such as the
exploitation of hydrocarbons, fish and minerals will necessarily attract increased
governmental attention, and this could benefit the citizens of the region."</t>
  </si>
  <si>
    <t>Literature</t>
  </si>
  <si>
    <t>Risk Name</t>
  </si>
  <si>
    <t>ID</t>
  </si>
  <si>
    <t>Risk Score</t>
  </si>
  <si>
    <t>Risk Rating</t>
  </si>
  <si>
    <t>Data Quality Index</t>
  </si>
  <si>
    <t>DQ - Details</t>
  </si>
  <si>
    <t>Data Quality (DQ) Score</t>
  </si>
  <si>
    <r>
      <rPr>
        <b/>
        <i/>
        <sz val="12"/>
        <color theme="1"/>
        <rFont val="Times New Roman"/>
        <family val="1"/>
      </rPr>
      <t>Table x.</t>
    </r>
    <r>
      <rPr>
        <i/>
        <sz val="12"/>
        <color theme="1"/>
        <rFont val="Times New Roman"/>
        <family val="1"/>
      </rPr>
      <t xml:space="preserve"> Risk Rating Table for all 'VERY HIGH' and 'HIGH' risks with 'VERY HIGH' or 'HIGH' data quality</t>
    </r>
  </si>
  <si>
    <r>
      <rPr>
        <b/>
        <i/>
        <sz val="12"/>
        <color theme="1"/>
        <rFont val="Times New Roman"/>
        <family val="1"/>
      </rPr>
      <t>Table x.</t>
    </r>
    <r>
      <rPr>
        <i/>
        <sz val="12"/>
        <color theme="1"/>
        <rFont val="Times New Roman"/>
        <family val="1"/>
      </rPr>
      <t xml:space="preserve"> Risk Rating Table for all 'VERY HIGH' and 'HIGH' risks with 'LOW' or 'VERY LOW' data quality</t>
    </r>
  </si>
  <si>
    <r>
      <rPr>
        <b/>
        <i/>
        <sz val="12"/>
        <color theme="1"/>
        <rFont val="Times New Roman"/>
        <family val="1"/>
      </rPr>
      <t>Table x.</t>
    </r>
    <r>
      <rPr>
        <i/>
        <sz val="12"/>
        <color theme="1"/>
        <rFont val="Times New Roman"/>
        <family val="1"/>
      </rPr>
      <t xml:space="preserve"> Risk Rating Table for all 'VERY HIGH' and 'HIGH' hazards with 'VERY HIGH' or 'HIGH' data quality</t>
    </r>
  </si>
  <si>
    <r>
      <rPr>
        <b/>
        <i/>
        <sz val="12"/>
        <color theme="1"/>
        <rFont val="Times New Roman"/>
        <family val="1"/>
      </rPr>
      <t>Table x.</t>
    </r>
    <r>
      <rPr>
        <i/>
        <sz val="12"/>
        <color theme="1"/>
        <rFont val="Times New Roman"/>
        <family val="1"/>
      </rPr>
      <t xml:space="preserve"> Risk Rating Table for all 'VERY HIGH' and 'HIGH' hazards with 'LOW' or 'VERY LOW' data quality</t>
    </r>
  </si>
  <si>
    <t>HAZARD AND RISK DEFINITIONS</t>
  </si>
  <si>
    <t>Unknown_Availability</t>
  </si>
  <si>
    <t>agreement_dist_score</t>
  </si>
  <si>
    <t>different_scores_count</t>
  </si>
  <si>
    <t>"The Arctic is a complex environment. While sea passages may be ‘ice-free’ for a
portion of the year, that term can be misleading. Multi-year ice is receding, but
freely floating, younger, uncharted ice is more dangerous to navigate."</t>
  </si>
  <si>
    <t>navigation difficulties, increase in iceberg presence, increased risk of accidents occuring</t>
  </si>
  <si>
    <t>"In addition to releasing harmful greenhouse gases, the warming of the Arctic
tundra is leading to the proliferation of rapid large plant growth, which—like
black carbon—darkens the landscape and further warms the icecaps.8 Melting
tundra also raises vexing problems about the construction of land-based energy
infrastructure in projects such as the Alaska Natural Gas Transportation System,
which would bring Alaskan and Canadian natural gas to the lower 48 states and
to southern Canada, since the unstable ground may not be able to support the
overland pipeline infrastructure required for the project."</t>
  </si>
  <si>
    <t>increasing temperatures, climate change</t>
  </si>
  <si>
    <t>prolification of plant growth, warming landscape, exasterbating climate change</t>
  </si>
  <si>
    <t>"As ice melts and waters warm, fish are moving ever further northwards. Fish do
not recognize national boundaries, which makes management of fisheries potentially
contentious as stocks cross maritime frontiers. Moreover, as some species of
fish move north, animals such as the walrus which live south of the far polar north
are seeing their traditional sources of protein disappear, and are at grave risk as a
result. Inuit tribes report massive drops in the walrus and seal populations, two
vital commodities for their own livelihoods. The polar bear, already adversely
affected by changes in fish and other marine populations, has access to ever less of
the floating ice that is vital to its habitat.
In August 2009 the Obama administration approved the Arctic Fishery Management
Plan to prevent the expansion of commercial fishing into Arctic waters
exposed by ice melt—an area of approximately 150,000 square nautical miles."</t>
  </si>
  <si>
    <t>US - Arctic Fishery Management Plan</t>
  </si>
  <si>
    <t>increased ship traffic, changing ecological landscape</t>
  </si>
  <si>
    <t>change in ecosystems</t>
  </si>
  <si>
    <t>reduction in available food sources, change/desruction of traditional practices</t>
  </si>
  <si>
    <t>"While these communities have gained limited measures of political power,
they have yet to exploit their economic potential. Oil and mining companies will
increasingly have to consider the interests of the indigenous communities when
evaluating potential projects in the Arctic. The Sami of northern Norway already
have legal rights to certain local resources and are pushing for compensation from
the companies that exploit them.10 The Inuit Circumpolar Council, which represents
the Inuit of Denmark, Canada, the US and Russia, launched its Circumpolar
Inuit Declaration on Arctic Sovereignty on 28 April 2009, stating: ‘It is our
right to freely determine our political status, freely pursue our economic, social,
cultural and linguistic development, and freely dispose of our natural wealth
and resources.’11 Denmark is scaling back its massive subsidies to Greenland’s
Inuit population, in line with the latter’s moves towards greater independence
and potential for wealth generation from the exploitation of hydrocarbons and
minerals.
The Canadian government set up the territory of Nunavut a decade ago,
granting some home-rule powers to the Canadian Inuit. Canadian Prime Minister
Stephen Harper has called for the construction of a new Arctic military training
base in Resolute Bay and the refurbishment of the deep-sea Arctic port at
Nanisivik, a town in Nunavut, in addition to the construction of six to eight new
icebreakers."</t>
  </si>
  <si>
    <t>Arctic Council - Inuit Declaration on Arctic Sovereignty</t>
  </si>
  <si>
    <t>geo-political tensions, strain between political groups, sovereignty dispute</t>
  </si>
  <si>
    <t>continued seperation, war/conflict</t>
  </si>
  <si>
    <t>"However, those people have been abandoned to a region
lacking access to infrastructure, education, medical care and job opportunities.
Alcoholism and suicide rates are high, and many young people end up dropping
out of school.
The presence of these populations in the region extends the national interest of
Arctic states such as Canada, the US, Denmark, Sweden, Norway and Russia far
north, but these communities must be treated as more than ‘flag holders’ at their
countries’ respective northernmost borders."</t>
  </si>
  <si>
    <t>"Technology is a key barrier to Arctic access in other ways. Icebreakers, many
nuclear powered, are necessary for presence and power projection in the region
year-round. The various Arctic nations have widely divergent capabilities. For
example, Russia has 20 icebreakers; Canada has 12, and is working on budgeting
for 8 more; the US has, to all intents and purposes, just one functional icebreaker.
These ships take eight to ten years to build, and cost approximately $1 billion each.
The global economic crisis has, however, put a strain on budgets, and icebreaker
fleets are unlikely to expand rapidly in the short term. Nonetheless, even if the
US started building tomorrow it would long remain far behind other Arctic states
such as Russia and Canada, taking decades and at least $20 billion to catch up."</t>
  </si>
  <si>
    <t>no short term solutions being able to implement</t>
  </si>
  <si>
    <t>harsh environment, accessibility, lack of exsisting infrastructure</t>
  </si>
  <si>
    <t>"Hydrocarbon prices and concerns about energy security are key drivers in accelerating
interest in the Arctic, since high energy prices will generate new technological
developments that are difficult to justify with prices even at current levels.
New technology, especially that which allows drilling in deep water, also potentially
opens vast areas of the Arctic to oil and gas exploration."</t>
  </si>
  <si>
    <t>quantity within oil reserves, geopolitical relationships, tariffs</t>
  </si>
  <si>
    <t>change in energy price, change in cost of transportation</t>
  </si>
  <si>
    <t>"However, those people have been abandoned to a region
lacking access to infrastructure, education, medical care and job opportunities.
Alcoholism and suicide rates are high, and many young people end up dropping
out of school.
The presence of these populations in the region extends the national interest of
Arctic states such as Canada, the US, Denmark, Sweden, Norway and Russia far
north, but these communities must be treated as more than ‘flag holders’ at their
countries’ respective northernmost borders.""""</t>
  </si>
  <si>
    <t>variable environmental conditions, climate</t>
  </si>
  <si>
    <t>change in ice conditions, feasibility of passage, variability of shiping season</t>
  </si>
  <si>
    <t>"The Arctic is geologically complex, largely uncharted, and rife with overlapping
sovereignty claims that will affect all commercial activities involving hydrocarbons
and fisheries and will have a momentous impact on the region’s indigenous population.
States with territorial borders in the Arctic, as generally defined, are the US,
Canada, Russia, Denmark (via Greenland) and Norway (via Svalbard)—together
known as the ‘Arctic Five’. While possessing no direct borders on the Arctic
Ocean, Sweden, Finland and Iceland are also usually considered Arctic states,
though this depends on which definition of ‘Arctic’ one uses. Countries on every
continent have a longstanding interest in the Arctic, as evidenced by the number of
signatories to the Svalbard and Spitsbergen treaties."</t>
  </si>
  <si>
    <t>"This problem will rise dramatically in importance if oil and gas production accelerates.
Oil spills are more difficult to clean up in cold, icy conditions. As oil decomposes
slowly, ice interferes with the process, while technology to handle spills in
these temperatures is lacking. Spills can also cause greying of the icecap, thereby
speeding melting rates."</t>
  </si>
  <si>
    <t>"Given the technological risks of operating in such an environment, and the
huge capital and operating costs involved, it is vital that clear and unambiguous
legal and regulatory frameworks be put in place. A crystal-clear legal and regulatory
regime is a prerequisite not only for energy and mining projects, but also for
the effective management of fisheries, the operation of commercial shipping and
the management of accidents that occur beyond national boundaries, as well as any
other potential activities that may arise.29 US ratification of the convention will
reinforce and protect existing international law regarding the movement of US
military and civilian ships, as well as the rights of innocent passage, transit passage,
archipelagic sea lanes passage and freedom of the high seas.
Critics of UNCLOS cite the lack of transparency of article 76 as one of the
convention’s major flaws. Under article 76, submissions by Arctic states are not
made readily available to all other member states, with the result that states are
unable to challenge assertions—"</t>
  </si>
  <si>
    <t>unregulated industries (i.e., shipping, tourism, fishing)</t>
  </si>
  <si>
    <t>"With increased human activity come a myriad of management and sovereignty
issues. Tourism to the region by cruise ships is on the rise, raising concerns about
the ability of each state in the region to provide search-and-rescue facilities if
a large ship were suddenly to find itself in danger. Many of these ships are not
ice-capable, and even though Arctic ice is melting, year-to-year variation can still
be dramatic, with uncharted broken ice and passages open one year and frozen the
next. Regulation of maritime traffic will also require accident clean-up capacity."</t>
  </si>
  <si>
    <t>"Corbett et al. (2010) and Paxian et al. (2010) are the studies
most relevant for comparison with the results presented in
this paper. Paxian et al. (2010) give a range of 0.73–1.28 Mt
for fuel consumption in the NSR in 2050, which is less than
the estimate of 1.78 Mt presented in this study, but of the
same order of magnitude. However, their study is not limited
to container ships and considers only fuel consumption along
the NSR, whereas this study also includes the parts of the
journey that lie outside NSR. It seems reasonable to expect
that the algorithm employed by Paxian et al. may slightly
underestimate Arctic transit traffic since it is based on future
projections of historical vessel movements, and since it will
only consider vessel movements for eligibility if they travel
directly from Asia to Europe.
The estimated CO2 emissions calculated by Corbett et
al. (2010) appear to be significantly higher than presented
in this study. They give total emissions from all ship traffic
in 2030 and 2050, but they have also estimated the proportion
that container ships represent of the total traffic. Their
estimates of the CO2 emissions from Arctic container traffic
in 2030 are 4.8 and 7.7 Mt CO2 for a “business as usual”
and high growth scenario, respectively, and for 2050 they estimate
12 and 26 Mt CO2. These numbers are higher than
presented in this study by a factor 1.3–2 in 2030 and 2–4.6
in 2050."</t>
  </si>
  <si>
    <t>"Transport of oil and gas by
ships from the Arctic is limited and most of it takes place on
the Eurasian side. Commercial transit traffic, except tourism,
has taken place only along the NSR, which was opened to
foreign ships in 1991 but after 1993 the traffic has been in
steady decline. However, 2009 and 2010 saw renewed interest
from Western companies to transit the NSR, reducing
the journey between Ulsan (Korea) and Rotterdam by 4000
nautical miles (7400 km)."</t>
  </si>
  <si>
    <t>economic demand</t>
  </si>
  <si>
    <t>increased risk of spills</t>
  </si>
  <si>
    <t>global dataset based on voluntary reporting by oil and gas companies (Oil and Gas Producers, 2009)</t>
  </si>
  <si>
    <t>"Recent studies have indicated a large increase in Arctic
shipping (Paxian et al., 2010; Corbett et al., 2010; Khon et
al., 2010; Granier et al., 2006). Granier et al. (2006) took a
scenario from an earlier study (Eyring et al., 2005a) and assumed
either 12.5% or 25% of the emissions were shifted
to the Arctic in 2050 and found that in the summer months
surface ozone concentrations in the Arctic could increase by
a factor of 2–3. Khon et al. (2010) found that models predict
that at the end of this century there will be free passage
of the NSR for 3–6 months of the year and the North West
Passage (NWP) for 2–4 months."</t>
  </si>
  <si>
    <t>ncreased economic demand</t>
  </si>
  <si>
    <t>increase CO2 emissions, increase profit margins, climate change impacts</t>
  </si>
  <si>
    <t>"Exploration and drilling cost are three to five
times higher in the Arctic than in other petroleum provinces
and thus depending on the oil price production may vary
greatly in the Arctic (Wood Mackenzie and Fugro Robertson,
2006). For Arctic regions the time lag from investment decision
to maximum plateau production is generally assumed
to be 50–100% longer than in comparable non-Arctic fields,
due to lack of infrastructure. Capital and operational costs in
new Alaskan fields are assumed to be 50% higher than average
costs of existing fields."Most significant for the Arctic is the additional source of
short-lived climate forcing agents (such as BC, CH4, and
O3) from ships in proximal transport distance (within a few
Published by Copernicus Publications on behalf of the European Geosciences Union.
9690 J. J. Corbett et al.: Arctic shipping emissions inventories and future scenarios
hundred kilometers); Arctic impacts from regional shipping
may compare with long-range transport of larger emissions
sources from lower latitude biomass and fossil fuel combustion.
The recent Tromso Declaration of the Arctic Council,
Ministers highlighted this issue by specifically calling out
the important role that shorter-lived forcers play in Arctic
climate change and recognizing that reducing these shorterlived
pollutants can reduce near-term climate change impacts
such as snow, sea ice, and sheet ice melting (Arctic Council,
2009a). While the potential for future shipping in the Arctic has
been studied, there has been relatively little attention given
to future Arctic oil and gas production. With the expected
increase in global demand for oil and gas, and decreased in
production in certain areas (IEA, 2008), there may be enhanced
pressure to expand oil and gas activities in the Arctic.
Furthermore, it is reported that over one-fifth of the
world’s total undiscovered petroleum resources lies north of
the Arctic Circle (Gautier et al., 2009). While production in
some Arctic oil and gas fields has declined, other discoveries
have been made (AMAP, 2010)."</t>
  </si>
  <si>
    <t>" Increased melting of the Arctic sea-ice may also open new
possibilities for shipping routes and extended use of existing
routes (Paxian et al., 2010; Corbett et al., 2010; Khon
et al., 2010). The seaborne cargo along the Northern Sea
Route (NSR) has previously been very limited (Paxian et
al., 2010; PAME, 2009) and the reported ship emissions low
(Paxian et al., 2010; Corbett and Koehler, 2003; Endresen
et al., 2003; Dalsøren et al., 2009). Recent trends indicate
longer seasons with less sea-ice cover and reduced thickness
(Serreze et al., 2007; Bo´e et al., 2009), implying improved
ship accessibility around the margins of the Arctic
Basin. Climate models project an acceleration of this trend
and opening of new shipping routes and extension of the period
during which shipping is feasible (ACIA, 2005; Bo´e et
al., 2009). One set of projections estimate that the navigation
season (defined as 25% open water and 75% sea-ice cover)
for the NSR may increase from the current 70 days per year,
to 125 days mid-century, and over 160 days in 2100 (ACIA,
2005, Chapter 16)."</t>
  </si>
  <si>
    <t>"The potential increase in Arctic activities and emissions
will not only have an impact on the global climate, but may
also impact on regional temperature trends. Several studies
have shown that the forcing and temperature response can
be dependent on the location of emissions (e.g., Berntsen et
al., 2006; Shindell and Faluvegi, 2009; Hansen et al., 2005),
but the sensitivity of the Arctic to regional emissions is not
well known. Short-lived components are found to be relatively
important for the Arctic and could explain some of
the recent warming compared to the global average (Quinn
et al., 2008; Shindell and Faluvegi, 2009; Hansen et al.,
2005)"</t>
  </si>
  <si>
    <t>increased localized emissions</t>
  </si>
  <si>
    <t>increased air temperature, local warming, increased probability of extreme or harsh weather</t>
  </si>
  <si>
    <t>"Melting glaciers, reductions in extent and thickness
of sea-ice, thawing permafrost and rising sea level are indications
of a recent warming in the region (Serreze et al., 2007).
Observations over the past 50 years show a decline in Arctic
sea-ice extent throughout the year, with the most prominent
retreat in summer (Serreze et al., 2007). Some analysts
have suggested that the Arctic may be ice free in September
as early as 2030 (Wang and Overland, 2009), though others
suggested 2066–2085 (Bo´e et al., 2009). The melting of Arctic
sea-ice will effectively unlock the Arctic Ocean, leaving
it increasingly open to human activity – particularly oil and
gas extraction and shipping."</t>
  </si>
  <si>
    <t>regional warming, thawing of permafrost</t>
  </si>
  <si>
    <t>opening for human activity (oil exploration and shipping), cliamte change</t>
  </si>
  <si>
    <t>"Mechanisms such as
black carbon deposition on snow or ice could also increase
local warming trends through a decrease in the snow and ice
albedo (ACIA, 2005; Hansen and Nazarenko, 2004; Flanner
et al., 2007; Rypdal et al., 2009). To facilitate future climate
impact assessments of activities in the Arctic it is necessary
to produce specific emission inventories for the Arctic region."</t>
  </si>
  <si>
    <t>increase warming trends, decrease in snow and ice albedo</t>
  </si>
  <si>
    <t>"The dramatic decline in Arctic sea ice extent over the
past few decades has led to growth of the existing industry
and renewed interest in trans-Arctic shipping [Corbett
et al., 2010]. Expansion of Arctic shipping could reduce
net global ship emissions by decreasing traffic through the
longer sea routes. However, there is concern that an increase
in anthropogenic activity in the Arctic could contribute
to regional climate forcing [Ødemark et al., 2012; Dalsøren
et al., 2007]."</t>
  </si>
  <si>
    <t>"Emissions from Arctic ships are likely to increase the
mass of black carbon (BC) deposited on sea ice and snow
surfaces. BC deposition has been identified as a particularly
efficient forcing mechanism that can increase surface
temperatures and accelerate snowmelt [Flanner, 2013]."</t>
  </si>
  <si>
    <t>increased interest in arctic shipping, increase shipping season</t>
  </si>
  <si>
    <t>creates climate forcing, decreases albedo</t>
  </si>
  <si>
    <t>Figure 1</t>
  </si>
  <si>
    <t>increase pollution, climate forcing</t>
  </si>
  <si>
    <t>Figure 2</t>
  </si>
  <si>
    <t>"Among many potential environmental
effects, the continued expansion of Arctic
shipping will alter the risk of biological
invasions in coastal ecosystems on both
regional and global scales. Commercial
ships are a dominant mechanism for
the introduction of non-native marine
species6,7"</t>
  </si>
  <si>
    <t>"A diverse range of organisms is
unintentionally transferred in ballast tanks
and on the hulls of ships8–10. A major shift in
trade-routes will alter the current landscape
of marine invasion dynamics, affecting
the transfer, establishment and potential
consequences of invasions.
There are two categories of commercial
Arctic shipping: (1) trans-Arctic voyages,
whereby ships use the Arctic as a
thoroughfare for interocean passage; (2)
destination shipping that moves goods to
and from the Arctic (for example, import
of oil extraction equipment and export
of liquefied natural gas; LNG). Increased
opportunity for invasions of the Arctic are
an important concern, but trans-Arctic
shipping will also change global commerce
patterns significantly, connecting world
ports and their biota in unprecedented
ways."</t>
  </si>
  <si>
    <t>ships travelling trans-arctic or inter-ocean passage</t>
  </si>
  <si>
    <t>possible introduction of invaisive species</t>
  </si>
  <si>
    <t>"The melting of Arctic sea ice is
connecting the North Pacific and North
Atlantic oceans for the first time in several
million years11. Although an ice-free Arctic
provides a new interocean corridor for
natural dispersal of marine biota across
the region, it also represents a new route
for long-distance transport of organisms
by ships."</t>
  </si>
  <si>
    <t>increase in global temperatures</t>
  </si>
  <si>
    <t>decrease in overall ice cover, increase shipping season</t>
  </si>
  <si>
    <t>"Given expanded exploration, extraction,
and exportation of natural resources in the
Arctic — ranging from oil, natural gas, rareearth
metals (used extensively in personal
electronics and rechargeable batteries) and
fish stocks — Arctic shipping is expected to
accelerate in the coming years. The Arctic
is believed to be home to 13% of global
oil supplies and 30% of natural gas; the
majority is to be found in Russian territorial
lands and waters13. Greenland’s rare-earth
metal reserves are thought sufficient to
supply 20–25% of the world’s near-term
demand14. Furthermore, the Arctic is also
a growing tourist destination. All of these
enterprises will depend on more shipping
as well as port and coastal development;
activities that disturb and modify the
natural environment in ways that can
facilitate invasion15."</t>
  </si>
  <si>
    <t>Increase in vessel traffic, economic demand</t>
  </si>
  <si>
    <t>increase in ecological damange, increased threats of introducing new species into ENV</t>
  </si>
  <si>
    <t>Accessibility to resources</t>
  </si>
  <si>
    <t>increased economic growthing, environmental degration, local community disruption</t>
  </si>
  <si>
    <t>"The volume of trans-Arctic shipping
traffic is increasing rapidly. Using NSR
shipping statistics5, we plotted annual
transits for the 2009–2013 shipping seasons
and fitted a growth curve (Fig. 1). In 2013,
71 vessels were reported to have made
transit through the NSR, and at least 481
were issued permits to operate inside the
NSR5. Although the current volume of NSR
traffic is still meagre compared with other
major shipping routes, it is expanding as
quickly, with a projected average annual
increase of 20% per year over the next
25 years. At this rate, an estimated 5,600
trans-Arctic transits per year could occur
by the year 2040 through the NSR alone."</t>
  </si>
  <si>
    <t>increase in sjhipping permits, increased economic demand</t>
  </si>
  <si>
    <t>increased vessel activity, increased demand for NWP route</t>
  </si>
  <si>
    <t>"In addition, given the vast area of the Arctic Ocean
surrounding Canada’s Arctic Archipelago, there is a need to increase the number of
icebreakers and the duration of their operations (i.e. there are no icebreakers
available for assistance from December to May) (DFO 2008; Stewart et al. 2010).
Therefore, it is currently not possible to guarantee that the CCG fleet will be close
enough to respond, and provide search and rescue services to ships in need, as traffic
increases in the Canadian Arctic (Stewart and Dawson 2011). It is reported that
under normal circumstances (i.e. limited ice, good weather, etc.) CCG response time
could be 10 hours or more (Stewart and Dawson 2011)."</t>
  </si>
  <si>
    <t>Policy, Legislation</t>
  </si>
  <si>
    <t>increased vessel traffic</t>
  </si>
  <si>
    <t>seasonal operation of SAR, long response times, inability to resond due to remoteness of a possible request</t>
  </si>
  <si>
    <t>Resources</t>
  </si>
  <si>
    <t>Increase Icebreaker capacity, SAR resources year-round</t>
  </si>
  <si>
    <t>"However, in many of these small communities there is limited capacity to
handle large numbers of visitors, which could mean that enhanced exchanges are not
always positive. As the tourism industry continues to grow in the Arctic, Inuit
organizations and corporations are becoming involved, which helps to ensure more
community involvement and benefits with policies for hiring Inuit as guides and
performers (Fugmann 2009; Stewart et al. 2010). Also of consideration are the
potential strains tourism can place on communities such as demand on existing
infrastructure and services (water, electricity), demand for new and improved
infrastructure (docks), and impacts on local wildlife (AMAP 2011)."</t>
  </si>
  <si>
    <t>"Interestingly, cruise ship visits to Cape Dorset seem to be declining (with only one
visit in 2008 as compared to six in 2006), likely as a result of the increased
accessibility of more northern communities, the NWP, and a shift away from
visiting communities and moving towards visiting wildlife and ‘untouched’ wilderness
(Huntington 2009; Stewart et al. 2010; Stewart and Dawson 2011). Arctic
wildlife sight-seeing is becoming the ‘raison d’eˆ tre of expedition cruising in the
Canadian Arctic’ (Stewart et al. 2010, p. 58). However, it is also predicted that
climatic changes affecting arctic wildlife and scenery ‘may adversely affect the
tourism industry in the long term’ (AMAP 2011, p. 9)."</t>
  </si>
  <si>
    <t>"There are also
concerns regarding the realistic ability to clean up an oil spill in the Arctic and
effectively respond in an emergency situation (especially given the previously
mentioned limitations of the current CCG fleet)."</t>
  </si>
  <si>
    <t>"Similarly, the primary concern over arctic shipping for Cape Dorset community
members (Table 2) and researchers (ACIA 2004; Bilder 1970; Charron 2005;
Pharand 2007) is the potential for oil spills or the dumping of sewage and other
waste into arctic waters. These concerns arise from peoples’ understandings of
potential damage related to spills, as well as hearing of the consequences of spills
that have previously occurred (e.g. the Exxon Valdez spill of 1989)."However, in many of these small communities there is limited capacity to
handle large numbers of visitors, which could mean that enhanced exchanges are not
always positive. As the tourism industry continues to grow in the Arctic, Inuit
organizations and corporations are becoming involved, which helps to ensure more
community involvement and benefits with policies for hiring Inuit as guides and
performers (Fugmann 2009; Stewart et al. 2010). Also of consideration are the
potential strains tourism can place on communities such as demand on existing
infrastructure and services (water, electricity), demand for new and improved
infrastructure (docks), and impacts on local wildlife (AMAP 2011)."</t>
  </si>
  <si>
    <t>increased vessel traffic and waste by vessels</t>
  </si>
  <si>
    <t>ecological degration, local community health cocerns, water quality, possibility of oil spills</t>
  </si>
  <si>
    <t>"Furthermore, these icebreakers are reaching the
end of their operational life and will need to be replaced in the near future (at a great
cost to the Canadian government as outlined in the 2008 budget announcement of
$720 million for vessel upgrades) (DFO 2011; Huebert 2001). The current age of the
fleet makes it more difficult for the CCG to protect the ships and the marine
environment, especially with the changing sea ice conditions and increased traffic,
because their technology is out of date and their age increases the likelihood for
malfunctions (Huebert 2001)"</t>
  </si>
  <si>
    <t>vessel aging</t>
  </si>
  <si>
    <t>diminishing of resources, lack of services availabile, increased risk of accidents</t>
  </si>
  <si>
    <t>Increased economic demand, increased tourist interests, vessels coming to communities unannounced</t>
  </si>
  <si>
    <t>strained relationships, depletion and scarcities of resources, territorial disputes</t>
  </si>
  <si>
    <t>"Nevertheless, if an accident occurred and there were actual damages to the
environment, it would be impossible to fully evaluate the costs associated with the
cleanup of the spill and rectifying any environmental damage (as they have long
lasting effects in the Arctic)."</t>
  </si>
  <si>
    <t>vessel spill</t>
  </si>
  <si>
    <t>unable to determine value of ecological damages, difficult and inability to determine extent of incident</t>
  </si>
  <si>
    <t>Numerous cruise ships visit select communities throughout the Arctic each
shipping season. Within the past six years, cruise ships have begun to visit additional
locations in the Canadian Arctic that were previously inaccessible - likely as a result
of ice conditions (Stewart et al. 2010). Of note, the 2005 cruise season in the
Canadian Arctic had eleven cruise ships, where in 2006 that number doubled to
22 cruises (of which six visited Cape Dorset), and 2007 season saw 23 cruises - which
‘brought approximately 2110 visitors to the Canadian Arctic’ (Stewart et al. 2010,
p. 61).</t>
  </si>
  <si>
    <t>increased interest, economic demand</t>
  </si>
  <si>
    <t>increase in vessel traffic, increase in pollution</t>
  </si>
  <si>
    <t>The monitoring of shipping in the arctic region is limited. The Arctic Council (2009,
p. 5) identifies that there are ‘serious limitations to radio and satellite communications
and few systems to monitor and control the movement of ships in ice-covered
waters’ (alsosee Bates and Alverson 2010; Stewart et al. 2010). For example, there is
no formal tracking or record of the number of ships traveling in the Arctic (i.e. no
tracking of cruise ships) (Stewart et al. 2010). This is a result of limited marine
infrastructure, and the vastness of the arctic environment (Arctic Council 2009).
Within Canada, the operations of the CCG have ‘the greatest responsibility for
monitoring the Arctic region’ (Huebert 2001, p. 92). However, until 2009, the CCG
did not require ships to report their entrance into arctic waters, such reporting
remained voluntary. It was not until 2010 that the Canadian government put in
place the Northern Canada Vessel Traffic Services (NORDREG) to track shipping
in the Canadian Arctic. Under NORDREG all ships over 300 tonnes, engaged in
towing or pushing vessels, and carrying cargo such as pollutants or dangerous goods
are required to report their travel plans prior to entering Canada’s arctic waters
(note: this does not include yachts or small personal boats) (Boileau et al. 2010;
Transport Canada 2010). This represents the first time it has been made mandatory
for such vessels to report while operating in the Canadian Arctic (Stewart and
Dawson 2011).</t>
  </si>
  <si>
    <t>possibility of spills, illegal transport through Canadian waters</t>
  </si>
  <si>
    <t>limited infrastructure to monitor, limited staffing for monitoring</t>
  </si>
  <si>
    <t>Even with the precautionary measures outlined in various policies - including the
establishment of officers/inspectors and mandatory insurance coverage - shipping in
the Arctic has the potential tocause harm tothe arctic environment, wildlife, and
people. Sea ice, whether as a solid sheet of ice, broken up and free-floating, or in the
form of icebergs, poses significant threats to vessels (ACIA 2004; Pharand 2007). In
relation to shipping accidents or negligence, the primary concern is the release of
pollutants/contaminants into arctic waters (Arctic Council 2009; AWPPA 1985).</t>
  </si>
  <si>
    <t>ICESat data</t>
  </si>
  <si>
    <t>"We reiterate that these
results reflect conditions for peak late-summer (September) shipping
season only, and are driven solely by projected reductions in
sea ice thickness and concentration. Although sea ice currently
represents the single greatest obstacle to trans-Arctic shipping,
numerous additional factors, including dearth of services and infrastructure,
high insurance and escort fees, unknown competitive
response of the Suez and Panama Canals, poor charts, and other
socioeconomic considerations, remain significant impediments to
maritime activity in the region (15–17)."</t>
  </si>
  <si>
    <t>"This analysis presents simulations of changing technical feasibility
of trans-Arctic ship navigation as influenced by climate-induced
changes in sea ice concentration and thickness. Its core findings
of rising optimal OW navigability along the NSR, newly optimal
PC6 navigability through the central Arctic Ocean and NWP, and
newly optimal OW navigability through the NWP are evident in
both climate-forcing scenarios examined (RCP 4.5 and RCP 8.5,
corresponding to +4.5 and +8.5 W/m2 increases in radiative
forcing, respectively), and because current climate models often
lag behind real-world satellite observations of shrinking Arctic sea
ice cover, they may well be conservative."</t>
  </si>
  <si>
    <t>"The potential increase in Arctic activities and emissions
will not only have an impact on the global climate, but may
also impact on regional temperature trends. Several studies
have shown that the forcing and temperature response can
be dependent on the</t>
  </si>
  <si>
    <t>"Such factors permitting, our findings have important implications
for trade, environmental risk, and evolving strategic and
governance policies in the Arctic. The prospect of common OW
ships (which comprise the vast majority of the global fleet) entering
the Arctic Ocean in late summer, and even its remote central basin
by moderately ice-strengthened vessels (as are used today in the
Baltic), heightens the urgency for a mandatory International
Maritime Organization (IMO) regulatory framework to ensure
adequate environmental protections, vessel safety standards, and
search-and-rescue capability for this unique and challenging polar
ecosystem (18). The new “Supra-Polar” routes identified here can
deviate outside of the standard 200-nm Exclusive Economic Zone
(EEZ) of the Russian Federation, thus enhancing the potential
appeal of the international high seas and Norwegian, Greenlandic,
Canadian, and US (assuming eventual US ratification of the
United Nations Convention on the Law of the Sea) EEZs (Fig. 2,
dashed lines) for transit relative to the NSR"</t>
  </si>
  <si>
    <t>"Third, the Northwest Passage (NWP), arguably the most historically
famed of potential shipping routes through the Arctic, has
the lowest navigation potential both historically and at present but
opens substantially by 2040–2059. Under no simulations do ice
conditions in the NWP attract transits to/from Europe for either
vessel class (Fig. 2, all lines). However, for transits to/from
eastern North America, the NWP is more efficacious than any
other route 100% of the time for PC6 vessels (for either climateforcing
scenario), and is often more efficacious than the NSR for
OW vessels by midcentury."</t>
  </si>
  <si>
    <t>increase in temperature</t>
  </si>
  <si>
    <t>poor charting, competition with other global canals and passages, high escort/interest fees</t>
  </si>
  <si>
    <t>increased economic demand, increased shipping season</t>
  </si>
  <si>
    <t>trade impacts, environmental compliance and risk assessment regulation impacts, strategic/political objectives</t>
  </si>
  <si>
    <t>increased economic demand, increased accessibility of passage, increased ship season</t>
  </si>
  <si>
    <t>"Potential spills of heavy fuel oil (HFO) and emissions of black carbon (BC) are of
particular concern for the Arctic. As described in Comer, Olmer, and Mao (2016),
HFO poses a substantial threat to the Arctic environment, not only because HFO is
extremely difficult to clean up once spilled, but also because burning HFO emits BC,
a potent pollutant that accelerates climate change. The Arctic Council (AC) has called
HFO “the most significant threat from ships to the Arctic environment” (Arctic Council,
2009). Thus, understanding how much HFO is consumed and carried by ships in the
Arctic, along with how much BC is emitted by these ships, is critical to understanding
the current and future risks of Arctic shipping."</t>
  </si>
  <si>
    <t>oil spill, vessel discharge</t>
  </si>
  <si>
    <t>ecological damages, economic loss, local water quality, decreased community health</t>
  </si>
  <si>
    <t>"A diverse range of organisms is
unintentionally transferred in ballast tanks
and on the hulls of ships8–10. A major shift in
trade-routes will alter the current landscape
of marine invasion dynamics, affecting
the transfer, establishment and potential
co</t>
  </si>
  <si>
    <t>creation of an oil slick, economic loss, ecological damages,</t>
  </si>
  <si>
    <t>"The AC is an intergovernmental forum for Arctic governments and peoples. The AC’s
PAME working group has been assessing the use and carriage of HFO in the Arctic
following the landmark Arctic Marine Shipping Assessment 2009 Report that concluded
that “the most significant threat from ships to the Arctic marine environment is the
release of oil through accidental or illegal discharge” (Arctic Council, 2009)."</t>
  </si>
  <si>
    <t>AIS data, publications and accident report data</t>
  </si>
  <si>
    <t>accident reports, scientific literature</t>
  </si>
  <si>
    <t>scientific literature</t>
  </si>
  <si>
    <t>While the current volume of Arctic marine shipping is still very modest, recent
years have seen steady—and sometimes significant—increases in many types of
shipping, including transits through the Northwest Passage and the Northern Sea
Route, destinational traffic associated with offshore resource activity, and Arctic
sea-borne tourism.</t>
  </si>
  <si>
    <t>increased economic demand, booming tourism within region, resource extraction andtransport</t>
  </si>
  <si>
    <t xml:space="preserve">resource extraction, transportaion of dangerous goods, </t>
  </si>
  <si>
    <t>As regards transits, various records and first-evers have recently
occurred; for instance: back-to-back crossings of both the Northwest Passage and
the Northern Sea Route in a single summer by yachts; the transit of the Northwest
Passage by The World in the summer of 2012; and—in relation to the Northern
Sea Route—tankers carrying oil, gas condensate, and liquid natural gas (LNG);</t>
  </si>
  <si>
    <t>offshore resource activity</t>
  </si>
  <si>
    <t>Due to the accelerated melting of Arctic sea ice, the Central Arctic Ocean
Route may soon be an option as well (Humpert and Raspotnik 2012). The most
suitable course of this latter route may vary from year to year and lead to various
combinations of the Central Arctic Ocean Route on the one hand and the
Northwest Passage and Northern Sea Route on the other hand. Some of the routes
of which the Northern Sea Route consists already pass through the high seas area
of the Central Arctic Ocean. It is finally important to note that all trans-Arctic
marine shipping must pass through the Bering Strait.</t>
  </si>
  <si>
    <t>Increased temperature, increase in vessel activity</t>
  </si>
  <si>
    <t>increase accessibility for ships to pass through the passage, increase shipping yaer</t>
  </si>
  <si>
    <t>Shipping practices and incidents leading to accidental discharges of polluting
substances (cargo or fuel) or physical impact on components of the marine ecosystem
(e.g., on the benthos and larger marine mammals);</t>
  </si>
  <si>
    <t>Operational discharges (cargo residues, fuel residues (sludge), (incineration of)
garbage and sewage), and emissions</t>
  </si>
  <si>
    <t>increase emissions, impacting marine mammals</t>
  </si>
  <si>
    <t>cargo residues, fuel residues, inceneration of garbage and sewage</t>
  </si>
  <si>
    <t>Other navigation impacts (noise pollution and other forms of impacts on, or
interference with, marine species potentially causing, for instance, disruption
of behaviour, abandonment, or trampling of the young by fleeing animals or
displacement from normal habitat).</t>
  </si>
  <si>
    <t>species behaviour change, abandonment, or trampling of the young fleeing animals</t>
  </si>
  <si>
    <t>vessel accident, vessel collision, vessel speed</t>
  </si>
  <si>
    <t>The interests of the international community—e.g., sustainable utilization, protection,
and preservation of the marine environment, and conservation of marine
biodiversity—normally overlap with those of flag, coastal, and port states, but are
usually broader and more general. The interests of some states, however, clearly
undermine those of other states and the international community, for instance,
by not ensuring that their ships comply with international minimum standards
or by allowing foreign vessels in their ports to be non-compliant with international
minimum standards</t>
  </si>
  <si>
    <t>International standards to protect values of all states</t>
  </si>
  <si>
    <t>increase in interest within Arctic</t>
  </si>
  <si>
    <t>conservation of the area, exploitation of natural resources, increased vessel activity</t>
  </si>
  <si>
    <t>Despite their bilateral Agreement on Arctic Cooperation (1988), the dispute
between Canada and the US on the legal status of the Northwest Passage and the
applicable regime of navigation remains unresolved. The broad saving-clause
included in its Sect. 6.4 indicates that the agreement should above all be regarded
as an ‘agreement-to-disagree’. The 2010 debates within IMO on Canada’s mandatory
Northern Canada Vessel Traffic Services (NORDREG) Regulations
(SOR/2010-127)—which focus predominantly on Article 234 of the LOS
Convention, however—are further proof that their disputes remain unresolved (see
‘Unilateral coastal state prescription’ below).
The position of the Russian Federation vis-à-vis the Northern Sea Route seems
largely similar to that of Canada and consists of combined positions on actual
usage, internal waters included within straight baselines pursuant to historic title,
and transit passage being trumped by Article 234 (Brubaker 1999; Brubaker
2001).</t>
  </si>
  <si>
    <t>competing national interests, different views on area</t>
  </si>
  <si>
    <t>conflict, increased tariffs, increased vessel activity, environmental conservation, political conflicts</t>
  </si>
  <si>
    <t>The above-mentioned restriction on coastal state jurisdiction applies only in relation
to pollution of the marine environment, as defined in Article 1(1)(4) of the
LOS Convention. Once coastal state jurisdiction is not exercised for that purpose
but, for instance, for the conservation of marine living resources instead, the general
rule on coastal state jurisdiction over vessel-source pollution does not apply
either. As regards anchoring, this view is supported by the practice of the US
and—more recently—the Netherlands on regulating anchoring beyond the territorial
sea without seeking IMO approval and apparently without any objection by
other states. As regards ballast water discharges, the above view is supported by
the fact that, instead of an Annex to MARPOL 73/78, IMO decided to deal with
ballast water management in a stand-alone treaty, namely the BWM Convention
(2004). Moreover, the BWM Convention allows states individually or in concert
to regulate more stringently above the minimum ballast water exchange level laid
down in the Convention (BWM Convention 2004, arts. 2(3) and 13(3) and Section
C of the Annex).
More stringent standards can also be adopted for special areas pursuant to
Article 211(6) of the LOS Convention. But as this requires at any rate IMO
approval, it gives coastal states no unilateral prescriptive authority. The PSSA
Guidelines (IMO 2005) developed by IMO also implement Article 211(6) and
are clearly inspired by, and consistent with, that provision (IMO 2005, para.
7.5.2.3(iii)).</t>
  </si>
  <si>
    <t>competing interests, environmental damages</t>
  </si>
  <si>
    <t>International standards to increase requirements regarding the Laws of the Sea regulation from the IMO</t>
  </si>
  <si>
    <t>marime mammal negative impacts, species range, behaviours, mating, and overall health</t>
  </si>
  <si>
    <t>A third exception is laid down in Article 234 of the LOS Convention. It is entitled
‘Ice-covered areas’ and provides:
Coastal States have the right to adopt and enforce non-discriminatory laws and regulations
for the prevention, reduction and control of marine pollution from vessels in ice-covered
areas within the limits of the exclusive economic zone, where particularly severe climatic
conditions and the presence of ice covering such areas for most of the year create obstructions
or exceptional hazards to navigation, and pollution of the marine environment could
cause major harm to or irreversible disturbance of the ecological balance. Such laws and
regulations shall have due regard to navigation and the protection and preservation of the
marine environment based on the best available scientific evidence.
Article 234 was included in the LOS Convention as a result of in particular
the efforts of Canada, which sought to ensure that its Arctic Waters Pollution
Prevention Act (AWPPA 1970) and underlying regulations and orders would no
longer be regarded as inconsistent with international law. The negotiations on
Article 234 were predominantly conducted by Canada, the Soviet Union, and the
US and were closely connected to what eventually became Article 211(6) on special
areas (McRae 1987; Huebert 2001; Bartenstein 2011).</t>
  </si>
  <si>
    <t>increase demand for Arctic shipping, increased vessel activity</t>
  </si>
  <si>
    <t>Article 234 LOS Convention</t>
  </si>
  <si>
    <t>increased pollution</t>
  </si>
  <si>
    <t>the search and rescue
(SAR) capability is low. Also the fairways are not marked very
extensively and especially the soundings taken for charting are
relatively scarce – this brings additional hazards especially if an
easier route through ice must be found. These Arctic hazards
are compounded by the fact that rate of recovery of the Arctic
nature is slow. The reduced SAR capability combined with the
harsh climate also makes the human consequences more
serious.</t>
  </si>
  <si>
    <t>The increased activity in the Arctic involves hazards such
as harsh environment, especially the ice cover and cold
temperature, remoteness and lack of infrastructure, and lack of
information about bathymetry. Ice cover is also highly variable
in the Arctic. Variable and dynamic ice cover causes other
hazards as well. Ships can get stuck in compressive
(converging) ice cover and sustain extensive damage and drift
aground with the ice motion.</t>
  </si>
  <si>
    <t>harsh environment, previous year ice cover, cold temperature</t>
  </si>
  <si>
    <t>Implement risk assessment model</t>
  </si>
  <si>
    <t>grounding, vessel accident, vessel damage, ecosystem dame</t>
  </si>
  <si>
    <t>However, current
regulations and assessment methods do not predict the
associated risk level reliably. Consequently, ships transiting on
ice-covered waters are not consistently designed according to
physical measures, i.e. accurate limit states under ice loading,
but according to economic and empirical design measures.
Similarly, offshore installations should be designed according
to the accurate limit states; however, the actual ice load is
widely unknown.</t>
  </si>
  <si>
    <t>lack of building guides for Arctic-based ships</t>
  </si>
  <si>
    <t>icncreased accidents, increased probability of catastropic events occuring</t>
  </si>
  <si>
    <t>increased likelihood of catastrophic risk or hazard occurring</t>
  </si>
  <si>
    <t>lack of data available</t>
  </si>
  <si>
    <t>Slow ecosystem recovery</t>
  </si>
  <si>
    <t>increased vessel activity, lack of infrastructure</t>
  </si>
  <si>
    <t>increased vessel activity, lacking crew experience</t>
  </si>
  <si>
    <t>As a result,
the provision of insurance for Arctic shipping tends to
be on a case-by-case basis and expensive, with seasonal
additional premiums. The availability and cost of marine
insurance is a major constraint on Arctic marine
shipping (Arctic Council 2009); the risk assessments of
classification societies (non-governmental organisations
that establish and maintain technical standards for the
construction and operation of ships and offshore structures)
like the American Bureau of Shipping (ABS), Det
Norske Veritas (DNV) or Lloyd’s Register (LR)) and the
marine insurance industry are likely to be a crucial factor
for the economic viability of all Arctic marine shipping
(Molenaar 2008).</t>
  </si>
  <si>
    <t>The intention was
clear from the very beginning: rudimentary regulation
for Arctic shipping was to be harmonised at the international
level, and made mandatory for the sake of
environmental protection (Brigham 2007; Jensen 2007,
2008). The negotiations, however, proved more difficult
than expected. They produced the IMO Guidelines for ships operating in Arctic ice-covered waters (IMO 2002)
and then the IMO Guidelines for ships operating in
polar waters (IMO 2009), non-compulsory documents
that should give way to a mandatory polar code that is
still being negotiated despite regular announcements it
will soon be agreed (Choquet 2010).</t>
  </si>
  <si>
    <t>lack of international cohesion</t>
  </si>
  <si>
    <t>increased non-compliance, unknowns regarding compliance</t>
  </si>
  <si>
    <t>However, for commercial reasons, insurance firms do
not publicly disclose their policies and tariffs, neither for
general nor for Arctic shipping insurance. If it reckons
insurance costs are an important factor in setting the
cost structure of Arctic shipping (European Union 2010),
https://doi.org/10.1017/S0032247414000552 Published online by Cambridge University Press
ARCTIC SHIPPING INSURANCE 395
the literature thus reflects uncertainty about insurance
premium levels, authors estimating they could be zero
(Laulajainen (2009) and other that they could be double
the regular insurance costs (Magnus Eger and Mejlænder-
Larsen 2013), or even more: ‘the dangers posed by ice
will also result in extremely high insurance premiums.</t>
  </si>
  <si>
    <t>high risk for incidients, limiting exposure to risky behaviour</t>
  </si>
  <si>
    <t>corporation competition, company reputation</t>
  </si>
  <si>
    <t>A set of factors became apparent when insurers talked
about the process of assessing risks: remoteness and
the cost associated with salvage in case of accident;
lack of infrastructure for repair or mooring; difficult
communications; very rough potential weather and sea
conditions; sea ice; poor charting . . .</t>
  </si>
  <si>
    <t>remoteness</t>
  </si>
  <si>
    <t>difficult communicating, rough weather, rough sea conditions, poor charting</t>
  </si>
  <si>
    <t>A set of factors became apparent when insurers talked
about the process of assessing risks: remoteness and
the cost associated with salvage in case of accident;
lack of infrastructure for repair or mooring; difficult
communications; very rough potential weather and sea
conditions; sea ice; poor charting . . . Thus, emerged the
mandatory presence of a competent crew; of proper icestrengthening
and equipment to navigate, like de-icing
fixtures to counter icing spray; of a good preparedness;
of the will to communicate regularly with monitoring
authorities (Haahjem 2012), a movement that again paralleled
the efforts by classification societies to define sets
of equipment and rules for ships that would make Arctic
shipping more secure (Hasholt 2011; Miura 2013).</t>
  </si>
  <si>
    <t>Sea Ice General Circulation Models
(GCM) from the World Climate Research Programme Coupled Model Intercomparison Project (CMIP5)
archive</t>
  </si>
  <si>
    <t>Figure 4, 5</t>
  </si>
  <si>
    <t>New Arctic Council observer states China, Korea, and Japan are supporting development of the
NSR through shipbuilding and scientific research in an effort to secure alternative sources and supply lines
of energy [Bennett, 2014]. For Arctic and non-Arctic states alike, a warming Arctic represents both a growth
opportunity and an operational challenge.</t>
  </si>
  <si>
    <t>observer conutries operations in Arcti waters</t>
  </si>
  <si>
    <t>increased research in area economic interests</t>
  </si>
  <si>
    <t>To support these activities, forecasts and projections must account for uncertainties in the rate and spatial
pattern of ice loss. These uncertainties stem from our incomplete understanding of the climate system, as
well as numerous other uncertainties in emissions scenarios tied to different trajectories of economic and
technological development [Tebaldi and Knutti, 2007].</t>
  </si>
  <si>
    <t>"To support these activities, forecasts and projections must account for uncertainties in the rate and spatial
pattern of ice loss. These uncertainties stem from our incomplete understanding of the climate system, as
well as numerous other uncertainties in emissions scenarios tied to different trajectories of economic and
technological development [Tebaldi and Knutti, 2007]."</t>
  </si>
  <si>
    <t>impact the effectiveness of other sectors ability to adapt to region</t>
  </si>
  <si>
    <t>lack of knowledge, lack of data</t>
  </si>
  <si>
    <t>While the observed overall trends in sea ice extent
(−13% per decade over the satellite record relative to the 1981–2010 September average) and thickness
(65% reduction from 1975 to 2012) are strongly negative [Perovich et al., 2014; Lindsay and Schweiger, 2015],
prediction efforts are complicated by high interannual and spatial variability [Goosse et al., 2009; Stroeve
et al., 2012b; Stroeve et al., 2014], particularly when combined with so-called “sudden ice loss” events as
observed during the record-low year of 2012 [Holland et al., 2006; Goosse et al., 2009; Parkinson and Comiso,
2013].When initialized with observed ice concentration parameters, climate models have been shown to be
a promising tool for seasonal ice prediction [Massonnet et al., 2015]. However, climate models highlighted in
the IPCC AR5 have generally underpredicted the observed steep rate of ice loss [Stroeve et al., 2012a; Rogers
et al., 2015], and also exhibit strong individual differences in their timing and geography [Massonnet et al.,
2012; Liu et al., 2013; Overland andWang, 2013; Semenov et al., 2015]. Decisions based on model output are
likewise subject to the weaknesses and biases of the chosen model or multi-model ensemble.</t>
  </si>
  <si>
    <t>increase in open water mobths, increased accessibility through NWP</t>
  </si>
  <si>
    <t>climate change, increased temperatures</t>
  </si>
  <si>
    <t>Summary reports for policymakers [IPCC, 2014] have tended to focus on overall ice decline derived from
averaged outputs from many models (so-called “ensemble averaging”) rather than specific sea ice decline
scenarios targeting operational and long-term planning needs. Ensemble averages generally compare better
with observations than single-model output, as combining models causes errors in individual models
to at least partly cancel, resulting in more skillful projections [Tebaldi and Knutti, 2007</t>
  </si>
  <si>
    <t>emsemble averaging</t>
  </si>
  <si>
    <t>Despite a clear trend
toward greater marine accessibility in the Arctic [Khon et al., 2010; Stephenson et al., 2013], the economic
viability of Arctic routes is constrained not only by significant ice variability and shallow bathymetry
[Stephenson et al., 2014], but also by numerous economic (commodity prices, shipping schedules, port
infrastructure, insurance premiums), and regulatory (icebreaker fees, ice-class vessel requirements, national,
and international governance regimes) considerations [AMSA, 2009; Somanathan et al., 2009; Verny and
Grigentin, 2009; Liu and Kronbak, 2010; Lasserre and Pelletier, 2011; Schøyen and Bråthen, 2011; Stephenson,
2012; Brigham, 2013; Smith and Stephenson, 2013; Farré et al., 2014; Lasserre, 2014; Pizzolato et al., 2014;
Sarrabezoles et al., 2014]. The relative importance of these factors and the degree to which they represent
impediments to shipping is a subject of active academic and political debate, with some leading figures
projecting optimism</t>
  </si>
  <si>
    <t>complex regulations, inconsistent regulations, lacking port infrastructure, insurance cost variatinos, pricing of shipping</t>
  </si>
  <si>
    <t>political interests, economic demand</t>
  </si>
  <si>
    <t>C</t>
  </si>
  <si>
    <t>Ice accretion through sea spray coming into contact with the vessel’s deck, deck fittings, and
superstructure when the air temperature is sub-zero can dangerously reduce stability due to the
accumulated mass of ice above the vessel freeboard deck, and present other dangers such as
radar failure, aerial insulator failure, mast navigational instrument failure, malfunctioning deck
machinery, blocked tank and cargo hold vents, reduced visibility through bridge windows, and
physical dangers to the crew attempting to remove the accumulated ice (Green4Sea, 30 September
2014).</t>
  </si>
  <si>
    <t>Weather and environmental conditions in the Arctic are extremely hazardous for vessels navigating
through the region, with the presence of ice perhaps presenting the greatest risk of all.</t>
  </si>
  <si>
    <t>reduce ship stability, risks of capsizing, radar failure, navigational aids failure, mailfunctions on on deck machinery</t>
  </si>
  <si>
    <t>Extreme low temperatures/climate</t>
  </si>
  <si>
    <t>decrease accessibility, increase navigational risks, increased risk of vessel accident</t>
  </si>
  <si>
    <t>Climate, low temperatures</t>
  </si>
  <si>
    <t>The
accelerating rate of shipping has raised international concerns over vessel safety and protection
of the marine environment, resulting in the IMO adopting the Polar Code which provides standards
for vessel construction and environmental regulations for vessels operating in polar
waters, and is expected to come into force in January 2017 (INCE &amp; CO, 17 November
2014). Navigation in the Arctic brings unique hazards such as atmospheric refractions resulting
in mirages; low ice-covered land formations; lack of navigational aids or markers; no designated
traffic segregation scheme; months of complete darkness; erratic compass readings due to
anomalies in the earth’s magnetic field; and less reliable navigation and satellite communications
due to ionosphere interference (WWF 2014a, 5).</t>
  </si>
  <si>
    <t>increased accessibility of NWP, increased air temperautres, economic demand</t>
  </si>
  <si>
    <t>decreased vessel safety, unregulated movement within area, compelte darkness, lacking navigational aids</t>
  </si>
  <si>
    <t>Strengthening IMO polar guidelines</t>
  </si>
  <si>
    <t>In addition to this, broadband satellite communications
are extremely slow or non-existent, leading to unreliable weather and ice reporting information
to assist in safe navigation (Canadian Sailings, 15 November 2014).</t>
  </si>
  <si>
    <t>slow or non-exisitent satillite communication networks</t>
  </si>
  <si>
    <t>unreliable data, increased risks of accidents</t>
  </si>
  <si>
    <t>Floating ice is extremely hazardous and takes many forms. Land-based and glacial in
origin, icebergs and ice islands are extremely hard and may cause catastrophic damage through
collision. Smaller pieces of icebergs, known as bergy bits and growlers, are even more hazardous
especially in the presence of pack ice and in large swell or storm conditions, as they are difficult to
Australian Journal of Maritime and Ocean Affairs 173
detect visually and by radar, and are hard enough to breach a vessel’s hull (Oil Companies International
Marine Forum (OCIMF) 2014, 15).</t>
  </si>
  <si>
    <t>glacial alblation, glacier calving into water bodies, warming temperatures</t>
  </si>
  <si>
    <t>vessel damages, vessel accidents, vessel sinking</t>
  </si>
  <si>
    <t>The thickness and hardness of sea ice greatly affect navigational performance, with multi-year
ice being harder than first year ice. Hull friction becomes a factor through the amount of snow
cover on the ice, while ice deformation and accumulation due to wind and ocean currents can
be a significant navigational obstacle even for ice breakers (OCIMF 2014, 15). Ice pressure, a significant
aspect of ice deformation, is particularly hazardous due to the vessel’s reduced ability to
manoeuvre and clear ice ridges and break ice. The vessel’s propeller, rudder, and hull may become
beset in the ice under significant forces which may be sufficient to cause a hull breach (OCIMF
2014, 15).</t>
  </si>
  <si>
    <t>navigational performance, hull/rudder damage, vessel stuck in ice, vessel sinking</t>
  </si>
  <si>
    <t>snow accumulation, temperatures</t>
  </si>
  <si>
    <t>Apart from ice and severe sub-zero temperatures, other serious navigation hazards exist
through the lack of seabed hydrography surveys. Less than 10% of the Arctic Ocean is charted
to international standards. The hazards of this are clearly illustrated with the cruise ship
‘Clipper Adventure’ grounding on an uncharted rock shelf off Kugluktuk, and the fuel tanker
‘Nanny’ grounding off Gjoa Haven in 2010 (WWF 2014, 5). There are significant draft and
beam restrictions, particularly along the NSR where commercial vessels must pass through
narrow and shallow straits such as the Yugorskiy Shar Strait situated at the southern entrance
from the Barents Sea to the Kara Sea, which is 21 nautical miles long and 12–30 metres deep,
and along the Dimitry Laptev Strait which is less than 10 metres dee</t>
  </si>
  <si>
    <t>Seabed mapping standards</t>
  </si>
  <si>
    <t>Operating in seabeds that are not cleared under current tregulations, vessel acidents</t>
  </si>
  <si>
    <t>Additional hazards may be introduced if vessel crews are not appropriately
prepared and trained for the hazards that navigation in extreme sub-zero temperatures
brings. Personnel must be outfitted with proper thermal protective clothing and provided with
ice removal equipment that allows regular ice accretion removal from deck superstructure</t>
  </si>
  <si>
    <t>frostbite, hypothermia</t>
  </si>
  <si>
    <t>improperguidlines or training on cold weather and regulations</t>
  </si>
  <si>
    <t>Considerable risks are also presented should a vessel suffer ice or heavy weather damage,
grounding, or machinery failure, through the extreme remoteness of the region; lack of significant
ports; lack of infrastructure including medical assistance; lack of icebreakers and support helicopters;
vast distances between salvage or repair facilities; and inadequacy of salvage and repair
facilities to cope with such a disaster (Smith School of Enterprise and the Environment 2011,
11; Brink, 16 April 2015</t>
  </si>
  <si>
    <t>extreme remoteness</t>
  </si>
  <si>
    <t>lack of icebreakers and support helicopters;
vast distances between salvage or repair facilities; and inadequacy of salvage and repair
facilities</t>
  </si>
  <si>
    <t>An increase in trans-Arctic commercial shipping will attribute to large vessels carrying millions of
tons of heavy fuel. With an estimated 40 million tons of oil and gas forecast to be shipped
annually through the region by 2020, oil pollution is one of the most challenging threats faced
by the Arctic maritime region (Huffington Post, 12 December 2012). Support required for oil
spill clean-up activities is starkly limited, and in conjunction with extreme weather; sea ice; equipment
icing; prolonged darkness; a fragile ecosystem; and mechanical oil spill recovery rates of
only 1–5% possible in icy waters, a significant oil spill would be an environmental catastrophe
(Knol and Arbo 2014, 171–176). With the development of the Polar Code, the IMO seeks to
manage shipping-related oil pollution risks through amendments to MARPOL Annex I, which
introduces mandatory environmental regulations designed to prevent oil pollution, and vessel
safety through rules defining ship structure, stability, machinery and operational safety,
174 S. Ghosh and C. Rubly
navigation, fire safety, life-saving appliances, communications, manning and training, and voyage
planning criteria (INCE &amp; CO, 17 November 2014).</t>
  </si>
  <si>
    <t>MARPOL Annex I</t>
  </si>
  <si>
    <t>Transportation of dangerous goods, vessel accident</t>
  </si>
  <si>
    <t>Recognising the benefits of an oil spill response with coordination and cooperation of member
states, the Arctic Council has adopted the ‘Agreement of Cooperation on Marine Oil Pollution
Preparedness and Response in the Arctic’, which permits rapid sharing of communication and
resources across borders in the response to an oil spill, collaborative clean-up efforts, and
public after action reviews (Scientific America, 30 May 2013). Oil spill response groups in conjunction
with scientific research indicate the current best practice cleanup methods are mechanical
recovery, in situ burning, remote sensing, and the application of dispersants, with the choice of
method depending upon the distance from land, depth of water, environmental sensitivity,
weather conditions, ice drift, and ice coverage (DNV GL 2014, 1</t>
  </si>
  <si>
    <t>lack of resources in Arctic</t>
  </si>
  <si>
    <t>catastrophic environmental damages, lack of infrastrucutre and resources, catastrophic enonmic losses</t>
  </si>
  <si>
    <t>AoCoMOPPRitA</t>
  </si>
  <si>
    <t>Technological advances and managerial regulations may lessen the harmful consequences
of an oil spill. However, the region’s remoteness, lack of infrastructure, and extreme weather conditions
continue to be major challenges to be overcome in responding to a significant Arctic oil
spill (Muir 2008, 39).</t>
  </si>
  <si>
    <t>lack of infrastructure, extreme weather</t>
  </si>
  <si>
    <t>spatial location</t>
  </si>
  <si>
    <t>Commercial shipping causes billions of tons of ballast water to be transferred around the globe
annually, resulting in significant ecological and economic damage through the transfer of
marine aquatic species such as bacteria, eggs, cysts, small invertebrates, microbes, and larvae
in ships ballast water, which often multiply into pest proportions in the new environment,
become invasive, and displace native species (IMO 2015b), causing an ecological misbalance.
Past research (Mineur et al. 2007, 1300) suggests that introduction of non-indigenous marine
species in the marine environment is a major contributor to vessel biofouling. Biofouling
causes layers of microbes to form a biofilm on the external hull of the vessel to which bacteria,
algae, and barnacles attach themselves creating large growths. Such large growths in commercial
vessels can transport large amounts of marine organisms (Winner 2013, 9).
IMO has prepared and provided Guidelines for the control and management of ships’ biofouling
to minimise the transfer of invasive aquatic species to assist Member States who wish to identify
measures to minimise species invasion (IMO 2015d).</t>
  </si>
  <si>
    <t>food chain disruption, exirpation of endangered species</t>
  </si>
  <si>
    <t>increased ship traffic</t>
  </si>
  <si>
    <t>Guidelines for the control and management of ships’ biofouling
to minimise the transfer of invasive aquatic species</t>
  </si>
  <si>
    <t>Technical advances in sound reduction of propellor,regulation on propellor noise</t>
  </si>
  <si>
    <t>Design and Policy</t>
  </si>
  <si>
    <t>The Arctic region’s ambient noise environment is much more complex than other marine environments.
With many Arctic marine areas having extremely limited exposure to underwater noise
pollution from commercial shipping, marine mammals which are extremely sensitive to underwater
noise are at risk of displacement from their natural environment or feeding grounds, and
subject to interference with their ability to communicate, detect prey and predators, and navigate,
and may cause hearing loss and even death (IMO 2010). For example, beluga whales have been
reported to demonstrate avoidance behaviour 35–50 kilometres from an icebreaker which is detrimental
to mothers and calves (IMO 2010; Transport and Environment, 29 November 2014).
Despite the Polar Code requiring commercial vessels to keep clear of marine mammals, icebreakers
generate significant noise when breaking through ice, and are often louder than most
large commercial vessels in open waters due to their large propulsion machinery.
Noise from ships’ propellers, machinery, and hull can largely be reduced through design or
operational solutions, such as correct matching of propeller to hull form to reduce propeller inefficiencies;
hull and propeller attachments to increase flow efficiencies; hull bubble curtains which
lubricate the hull and also act to insulate machinery noise; operational speed reduction; increased
propeller maintenance to repair damaged blades, and resilient mounting of main and auxiliary
machinery; however, many commercial vessel engine sizes make this physically and commercially
impossible (WWF 2014b).</t>
  </si>
  <si>
    <t>Increased vessel presence, vessel speeding</t>
  </si>
  <si>
    <t>behavioral change, species migration</t>
  </si>
  <si>
    <t>Carbon emissions have a significant effect on Arctic climate warming. Although carbon dioxide
remains in the atmosphere for hundreds of years, and black carbon remains in the atmosphere for
days or weeks, the latter is a more potent climate forcer than carbon dioxide (UNEP 2013, 5). This
was supported in a study by the International Geosphere-Biosphere Programme (Global IGBP
Change, 15 January 2013), which concluded black carbon as the second most significant
climate-warming agent after carbon dioxide with an estimated warming effect of 1.1 Watts per
square metre. The study also attributed that the rapid warming of northern hemispherical high latitudes
to this key atmospheric pollutant.</t>
  </si>
  <si>
    <t>increased vessel activity</t>
  </si>
  <si>
    <t>increased air emissions, decreased local air quality, BC climate forcing, land/water pollution</t>
  </si>
  <si>
    <t>underwater noise pollution, increased vessel activity</t>
  </si>
  <si>
    <t>Throughout text</t>
  </si>
  <si>
    <t>weak and confusing previous standards</t>
  </si>
  <si>
    <t>continued confusion regarding Arctic shipping standards, increased risk of accidents occuring</t>
  </si>
  <si>
    <t>For instance, fuel costs are the largest single cost
factor according to all simulations. Probably for simplification
reasons, the fuel consumption rate, in 14 models,
is considered the same for Arctic and southern routes,
whereas 7 models underline that rates are different, either
because a limited speed entails a lower consumption rate,
or because progressing across ice calls for more power
and thus consumes more. These two parameters (type
of fuel used and consumption rate) are very important,
as fuel costs are the largest single operational cost,
among direct costs (thus excluding general management
costs but including operational and depreciation costs),
they range from 36.7% (Verny and Grigentin 2009) to
54.2% (Schøyen and Bråthen 2011), 54.3% (Chernova
and Volkov 2010), 56% (Dvorak 2009) and 61% (Srinath
2010).</t>
  </si>
  <si>
    <t>Publications</t>
  </si>
  <si>
    <t>variable costs for HFO</t>
  </si>
  <si>
    <t>minimal or no profit from shipping in region</t>
  </si>
  <si>
    <t>Insurance premiums are also the object of a wide
range of estimates. Three models rely on no insurance
premiums. One mentions a cargo insurance premium of
50% over standard tariffs. Three models suggest global
insurance costs may be between 75% and more than
100% higher than regular fees. For P&amp;I, insurance that
covers third party liabilities encountered in the commercial
operation of vessels, premiums vary from 16.7%,
25% (two), 43% 50% (three) and 100%; for H&amp;M,
(insurance protection for damage done to the ship itself or
the equipment which forms part of it) premiums display a
range between 25% (two), 50% (three) and 100% (three'</t>
  </si>
  <si>
    <t>The general conclusion that seems to emerge from
these models is that direct costs are lower for transit
shipping using Arctic routes. However, as hinted to by a
few authors, the models are by definition simplifications
of the reality and do not take into account all variables,
and sometimes oversimplify them. They rest on simplifications
of the cost structure (structural limitation) and, for
most, on the choice to focus on cost issues. For instance,
they never consider general cost issues like the twice
yearly redesign of schedules a seasonal use of Arctic
routes implies for container shipping; they rarely consider
marketing issues like the load factor, and never the
risk-aversion that characterises liner shipping regarding
the risk of delays because of unpredictable drifting ice,
especially at the beginning and the end of potential Arctic
shipping seasons, as repeated delays would entail significant
financial penalties (cost dimension) and damaged
credibility (marketing dimension)</t>
  </si>
  <si>
    <t>The difference between these models
is striking, as authors modeling a summer transit do not
present us with an average speed much higher than for
year-round traffic, whereas it is difficult to envisage rapid
transits across Arctic passages in the winter time given
the prevalence of thick one-year ice, if not multiannual.
As for summer navigation, it is debatable that commercial
ships can achieve average speeds greater than 15 kts, not
merely because of drifting ice, but also because of increasingly
prevalent fog and, for the NWP, the increasing
density of icebergs in Baffin Bay and lack of accuracy of
charts within the Canadian archipelago (Lasserre 2010a,
2010c).</t>
  </si>
  <si>
    <t>vessel accidents, navigational error, vessel collision</t>
  </si>
  <si>
    <t>environmental conditions; fog, icebergs</t>
  </si>
  <si>
    <t>2011). So as
to reflect this market reality, which none of the models
considered tries to depict, and the fact that container
traffic is much more sustained from Asia than to Asia
(UNCTAD 2012: 23–24; Damas 2012), I set the load
factor at 85% (Asia to Europe) and 75% (Europe to Asia)
for the Suez route, and 70% and 50% for the Arctic
route.
From this benchmark scenario, based on official NSR
fees, it is apparent that:
Indeed the ship plying arctic waters can make more
rotations, but not necessarily a lot more TEUs given
the lower load factor,
Fuel consumption is much reduced per leg along the
NSR. The total fuel cost may look similar, but this
is because the ship plying the NSR route can make
more rotations than the ship going through Suez and
Malacca.
NSR tariffs make the NSR option largely unprofitable,
as already mentioned by several firms (Lasserre and
Pelletier 2011) and confirmed by Hagen as already
quoted (Table 5, 6).
Of course, this scenario is largely fictional as it
appears that the NSR Administration is keen on offering
attractive tariffs if the shipping company pledges to use
the route on a regular basis, which is consistent with liner
service. I therefore adapted the scenario to a situation
where, as exposed above, NSR tariffs are much lower.
In this sub-scenario (Tables 7, 8), it appears that,
despite a much discounted NSR tariff, the service to
Shanghai is not competitive against a classical liner
service through Suez; however,</t>
  </si>
  <si>
    <t>economic limits to profits per vessel, profitability</t>
  </si>
  <si>
    <t>Especially for shipping caused GHG emissions, they would aggravate the
warming in the Arctic region, warming aggravates the melting of Arctic
sea ice. This might form a reinforcement feedback that a continuous
melting Arctic would attract more ships with a better navigability that
might generate more shipping-caused GHG emissions. This reinforcement
feedback system would harm the Arctic regional ecosystem
severely. A clear GHG emission projection might be helpful for future
Arctic environmental management and Arctic shipping governance. A
bunch of research has explored the environmental assessment of NSR,
which is mainly focused on shipping-caused CO2 emissions or other
relevant GHG emissions (Theocharis et al., 2018). But the past research
on environmental (emission) assessment is mainly from the perspective
of a single voyage for one or several selected sample vessels (e.g. Ding
et al., 2020). A systematic projection of GHG emissions within the whole
Arctic region considering future voyages of different kinds of ships and
ice condition in Arctic is needed.</t>
  </si>
  <si>
    <t>sea ice melt, increased temperatures</t>
  </si>
  <si>
    <t>Moreover, some researchers have investigated the impacts of environmental
and alternative energy policies on Arctic shipping and further
exploring the emission reduction potentials of different policy mix.
Corbett et al. (2010) found that the small black carbon (BC) particles
generated by vessel’s engine would severely affect the ice, snow and
cloud in Arctic. Furuichi and Otsuka (2013) claimed that reduced distance
would emit less emissions per trip via NSR, while some argued that
the negative effects of GHG and atmospheric pollutant emissions in the
Arctic would outweigh the advantage of shorter distance, even if cleaner
fuels are used (Lindstad et al., 2015). Østreng (2015) found that Arctic
shipping activities would harm the regional ecosystem. Researchers
from Danish Centre of Environment and Energy (2018) predicted the
CO2 emissions from Arctic shipping activities under different fuel type
choices, and found that cleaner fuel types (e.g. LNG) could help reduce
CO2 emissions significantly than conventional fuel types (e.g. HFO). Zhu
et al. (2018a, b) incorporated the GHG emission in the economic model,
quantified the cost of global warming (CGW) and test how the environmental
coast affects NSR’s economic viability</t>
  </si>
  <si>
    <t>sea ice melt, increased temperatures, BC climate forcing</t>
  </si>
  <si>
    <t>increased vessel traffic, vessel emissions</t>
  </si>
  <si>
    <t>When other conditions
remain the same, vessels need extra power to sail through ice-covered
water, so icy Arctic condition costs additional fuel consumption
compared to conventional shipping in blue water. More fuel leads to
more emission, while more CO2 emission would strengthen the warming
effects in Arctic region, which would accelerate the sea-ice melting and
would help to improve the navigability in the long run. Loop 8 is similar
to Loop 7, but it shows another way that ice concentration can affect the
total emission. Besides affecting the operational power directly, ice
concentration can also influence the operational power by affecting the
vessel’s speed, and finally affect the total emission</t>
  </si>
  <si>
    <t>temperatures, vessel presence in area, vessel traffic</t>
  </si>
  <si>
    <t>vessel accidents, increased warming, increased emissions</t>
  </si>
  <si>
    <t>vessel data is from https://www.fleetmon.com. Assumptions are made based on data from University of Bremen http
://www.iup.uni-bremen.de/iuppage/psa/2001/amsrop.html.</t>
  </si>
  <si>
    <t>The effect of fuel structure change has been discussed in the previous
section. Apart from the fuel structure, ship’s average speed is another
important parameter which affects overall CO2 emission. As the operational
power of the main engine follows the so-called cubic law of design
speed and operational speed, the impact of ship speed on emission is
significant. We set 4 different speed modes, and annual emissions are
selected to reflect the sensitivity. The total 12 scenarios are classified
into 3 segments, each segment with 4 scenarios. The emission results of
the 3 segments are shown in Fig. 7a, b and 7c, each represents the
neutral speed mode, aggressive speed mode and conservative speed
mode respectively.
Although the operational power of the main engine follows the cubic
law of ratio of design speed and operational speed, the annual CO2
emission follows a nearly quadratic law based on the experimental data.</t>
  </si>
  <si>
    <t>change in emissions, decrease travel time</t>
  </si>
  <si>
    <t>Especially for LNG, it has shown prominent performance in emission reduction than other fuels, such as MDO. But emission reduction in Arctic needs joint efforts from the parties of IMO, related governments, shipping industry, energy sector, etc. From the perspective of regulative administrations, we suggest that aggressive regulations on fuel usage should be issued to stimulate the shift the fuel usage of HFO to LNG to achieve better emission reduction effects. Besides, as demonstrated by the results, slow steaming would also be an effective way of emission reduction, so it is suggested that the governments would issue slow steaming regulations to reduce emissio </t>
  </si>
  <si>
    <t>3 databases: the AIS, the static Arctic database and the model databases.
These comprise the data on marine traffic obtained from the China Classification Society (CCS), the
Korean Register of Shipping (KR), the Nippon Kaiji Kyokai (NKK), the Russian Register of Shipping
(RS), and BLM-Shipping.</t>
  </si>
  <si>
    <t>They are not the largest vessels of the type but emitted the highest
volume of pollutants, as they are more active in the region than the other types of ships. Due to the
large coverage of ice and snow, in the case of a tanker’s oil spill, it is extremely difficult to
accommodate the pollutants and therefore the oil spill can generate serious damages to the Arctic
environment. Further restrictions are necessary for tankers to entre the region, which should be
based both on the existing policies and potential effects of new policies specifically designated to
protect the Arctic environment.</t>
  </si>
  <si>
    <t>It is essential to improve the shipping conditions in the Arctic region so that ships may sail at a
higher speed or decrease demand for power, which then reduces energy consumption and
emissions from Arctic shipping.</t>
  </si>
  <si>
    <t>Figure 4</t>
  </si>
  <si>
    <t>Climate change has resulted in a significant rise in temperature and a
continuous reduction in the level of ice coverage in the Arctic region, which has brought economic
opportunities to the Arctic as indicated by more and more Arctic shipping routes to unfold in the past
decades. These Arctic routes greatly reduce operational costs due to the decreased fuel consumption as
well as shortened journey time spent in transit (Faury and Cariou 2016; He et al. 2020; Lin and Chang
2018).</t>
  </si>
  <si>
    <t>shortened NWP journey, increased accessibility, increased air emissions, evssel traffic</t>
  </si>
  <si>
    <t>We used bathymetry data obtained from the International
Bathymetric Chart of the Arctic Ocean (3rd edition) with
500 m resolution (Jakobsson et al., 2012), and an averaged sound speed
profile based on conductivity, temperature, and depth (CTD) data collected
on ArcticNet Cruise 1103 (available in the Polar Data Catalogue:
www.polardata.ca).</t>
  </si>
  <si>
    <t>Policy, Literature</t>
  </si>
  <si>
    <t>Noise pollution is pervasive throughout marine environments
(Merchant et al., 2014). Anthropogenic noise sources include resource
exploration (e.g., seismic surveys) and extraction activities (e.g., drilling),
construction and demolition (e.g., pile driving), military activities
(e.g. sonar), and transportation (e.g., shipping). Shipping is the most
widespread and continuous noise source of all of these sources
(McDonald et al., 2006). It has been estimated that increased global
shipping has led to an increase in ocean ambient noise levels off the
coast of California by 2.5 to 3 dB re 1 μPa per decade from the 1960s to
the 2000s (Andrew et al., 2002; McDonald et al., 2006) or even as high
as 0.5 dB re 1 μPa per year (Ross, 2005). Changes in ambient noise
levels like this can potentially affect all marine life, especially animals
that rely on sound for predator/prey/conspecific detection, communication,
or navigation. If animals evolved under specific ambient noise
conditions, then changes to these conditions could alter the effectiveness
of their auditory response or propagation of their vocalizations. A
more direct effect of shipping is the impact of individual vessels on
marine mammals. Individual vessels can have source levels close to
200 dB re 1 μPa at 1 m (Erbe and Farmer, 2000; Simard et al., 2016;
Veirs et al., 2016). Levels this high can cause behavioural disturbance
and mask other important acoustic signals (Erbe and Farmer, 2000),
and can also increase stress levels (Rolland et al., 2012). If individual
vessels are even louder or if multiple loud vessels are in the same area,
vessel noise could cause temporary or permanent threshold shifts (TTS
and PTS, respectively) or even injury (Southall et al., 2007).</t>
  </si>
  <si>
    <t>behavioral change, species migration, hearing loss, animal distress</t>
  </si>
  <si>
    <t>behavioral change, change in species migration, hearing loss, animal distress</t>
  </si>
  <si>
    <t xml:space="preserve">increased chance for impact, increased stress level in marine mannals, hearing loss, species behavior change </t>
  </si>
  <si>
    <t>exaserbation of underwater noise, marine mammal hearing loss, animal distress</t>
  </si>
  <si>
    <t>Increased vessel traffic, increased economic demand for shipping, shallow waters (ocean layout)</t>
  </si>
  <si>
    <t>Requirements for limiting underwater noise</t>
  </si>
  <si>
    <t>Sea ice is present throughout much of
the Arctic Ocean for most of the year and shipping is restricted mainly
to the open ice season, typically between August and October. The
combination of sea ice and reduced shipping makes the Arctic a particularly
quiet environment. Ice typically dampens the effect of other
noise-making factors, such as increased wind speed (Insley et al., 2017;
Kinda et al., 2013; Roth et al., 2012).</t>
  </si>
  <si>
    <t>temperatures, previous ice extent</t>
  </si>
  <si>
    <t>dampens acoustic propocation, reduces noise from winds, creates inaccessable conditions for vessels to travel through</t>
  </si>
  <si>
    <t>Increased temperatures, climate change</t>
  </si>
  <si>
    <t>incerase vessel traffic, increase in shipping noises</t>
  </si>
  <si>
    <t>Since vessels can only access
Arctic waters for a short period each year, they currently have relatively
little impact on the year-round acoustic environment. Moreover, most
shipping through the Arctic is currently limited to providing services to
local communities rather than as a route for long-distance transportation,
although the Northern Sea Route along the coast of Russia is
http://dx.doi.org/10.1016/j.marpolbul.2017.09.027
Received 19 January 2017; Received in revised form 30 August 2017; Accepted 11 September 2017
☆ Funding: Our project was funded by The W. Garfield Weston Foundation, the Network of Centres of Excellence MEOPAR (OC2-RC-UV), and the World Wildlife Foundation.
⁎ Corresponding author at: Wildlife Conservation Society Canada, 169 Titanium Way, Whitehorse, Yukon Territory Y1A 0E9, Canada.
E-mail address: sinsley@wcs.org (S.J. Insley).
Marine Pollution Bulletin 123 (2017) 73–82
Available online 15 September 2017
0025-326X/ © 2017 Elsevier Ltd. All rights reserved.
T
already used for some long distance transport (Zhang et al., 2016).
However, the rapid decrease in sea ice caused by climate change is
expected to make many shipping routes through the Arctic viable by
2050 (Stephenson et al., 2011), and shipping has been increasing in the
Arctic in recent history (Pizzolato et al., 2016). Although viability of the
Northwest Passage through the Canadian Arctic is estimated to take
longer than other shipping routes (Stephenson et al., 2011), Canadian
policy makers are still planning for increased shipping traffic by proposing
shipping corridors through the Canadian Arctic (Dawson et al.,
2016).</t>
  </si>
  <si>
    <t>The Department of Fisheries and Oceans Canada
created a management plan for the Bering-Chukchi-Beaufort population
of bowhead whales in Canada (Fisheries and Oceans Canada, 2014),
which lists underwater noise as the greatest threat to this population.
The management plan suggests that if shipping does increase in the
Beaufort Sea, that lower speed limits for vessels could be enforced in
known congregation areas, or shipping routes could be developed that
avoid important areas for bowheads. The current shipping corridor does
not avoid important areas for bowhead whales and does not include
recommendations for speed limits.</t>
  </si>
  <si>
    <t>increase underwater noise, increase chance for marine mammal disurbance</t>
  </si>
  <si>
    <t>The Canadian Beaufort Sea and Amundsen Gulf also have two
marine protected areas (MPAs), the Tarium Niryutait Marine Protected
Area (TNMPA), located in the Mackenzie River Delta near the communities
of Aklavik, Inuvik, and Tuktoyaktuk, and the Anguniaqvia
Niqiqyuam Marine Protected Area (ANMPA), located at Darnley Bay
near the community of Paulatuk. The TNMPA is specifically focussed on
preserving important feeding/congregating habitat for beluga whales,
whereas the ANMPA is focused on preserving habitat for a more diverse
species assemblage including Arctic char, cod, beluga whales, ringed
and bearded seals, polar bears, and a variety of sea birds. The TNMPA
management plan (Fisheries and Oceans Canada, 2013) recognizes the
impacts of noise on belugas, and suggests that commercial vessels
follow the Canadian Coast Guard buoys that demarcate the community
supply routes. Vessels are still allowed to travel through the TNMPA;
however, suggestions are provided for reducing noise. The ANMPA was
officially designated in November 2016 and does not currently have a
management plan</t>
  </si>
  <si>
    <t>increase in illegal activity, increase underwater noise, increase chance for marine mammal disurbance</t>
  </si>
  <si>
    <t>no mamangement plan for region in place</t>
  </si>
  <si>
    <t>Given that no legislation or management plan in the Canadian
Beaufort Sea or Amundsen Gulf effectively addresses the acoustic impacts
of shipping, this study provides useful basic information for policy
makers about the acoustic impacts of shipping on marine mammals in
this region. Two other studies have modelled the effects of ship noise on
marine mammals in the Beaufort Sea: Erbe and Farmer (2000) modelled
the zones of impact for beluga whales around icebreakers while icebreaking,
and Ellison et al. (2016) modelled the acoustic impact of
multiple simultaneous industrial activities, including vessel noise, on
bowhead whales. Both of these studies focused on very specific aspects
of shipping.</t>
  </si>
  <si>
    <t>no policy or management plan in place regarding some national wildlife areas in Arctic</t>
  </si>
  <si>
    <t>increase non-compliance, inability to effectively enforce laws andregs</t>
  </si>
  <si>
    <t>Figures 4, 5, Noise pollution is pervasive throughout marine environments
(Merchant et al., 2014). Anthropogenic noise sources include resource
exploration (e.g., seismic surveys) and extraction activities (e.g., drilling),
construction and demolition (e.g., pile driving), military activities
(e.g. sonar), and transportation (e.g., shipping). Shipping is the most
widespread and continuous noise source of all of these sources
(McDonald et al., 2006). It has been estimated that increased global
shipping has led to an increase in ocean ambient noise levels off the
coast of California by 2.5 to 3 dB re 1 μPa per decade from the 1960s to
the 2000s (Andrew et al., 2002; McDonald et al., 2006) or even as high
as 0.5 dB re 1 μPa per year (Ross, 2005). Changes in ambient noise
levels like this can potentially affect all marine life, especially animals
that rely on sound for predator/prey/conspecific detection, communication,
or navigation. If animals evolved under specific ambient noise
conditions, then changes to these conditions could alter the effectiveness
of their auditory response or propagation of their vocalizations. A
more direct effect of shipping is the impact of individual vessels on
marine mammals. Individual vessels can have source levels close to
200 dB re 1 μPa at 1 m (Erbe and Farmer, 2000; Simard et al., 2016;
Veirs et al., 2016). Levels this high can cause behavioural disturbance
and mask other important acoustic signals (Erbe and Farmer, 2000),
and can also increase stress levels (Rolland et al., 2012). If individual
vessels are even louder or if multiple loud vessels are in the same area,
vessel noise could cause temporary or permanent threshold shifts (TTS
and PTS, respectively) or even injury (Southall et al., 2007).</t>
  </si>
  <si>
    <t>Efforts to reduce probability are imminent in the new
regulations for ice‐infested waters, especially the
Polar code. It is important that the operative
standards following the Polar code such as navigation
planning and polar water operation manuals are at a
high enough safety level to reduce the probability of
incidents, especially related to cruise vessels, Also, the
risk assessments point to the need for emergency
response plans, resource allocation and an
organization of the preparedness system in an
optimal way. This may also include strengthened
cooperation across borders. In this study, we have,
however, highlighted a significant risk in areas not
covered by the Polar code. Thus, the Polar code
should be developed further and linked to the specific
challenges of all Arctic sea regions.</t>
  </si>
  <si>
    <t>inability to enforce effectively, completing golbal interests, not all countries agree to enforce law</t>
  </si>
  <si>
    <t>unclear policy, interpreted various ways</t>
  </si>
  <si>
    <t>Further development of POLAR Code</t>
  </si>
  <si>
    <t>incidents of violent behavior towards persons and
physical installations, from environmentalists
stopping activity to terror and piracy</t>
  </si>
  <si>
    <t>Damage due to collision
includes both collision with other vessels/sea
installations and sea ice</t>
  </si>
  <si>
    <t>increase possibility of vessel source pollution, increase in acts of violence</t>
  </si>
  <si>
    <t>increase in evessel source pollution</t>
  </si>
  <si>
    <t>Until now, we have not experienced severe violent
acts in the maritime Arctic. That is why all violence
events are estimated as low risk due to a limited
probability.
In general, regions with intensive traffic (coastal
Norway, Western Russia) may see a higher
probability. However, at least in the Norwegian
coastal waters there is more rescue resources and a
higher level of preparedness, which makes it easier to
find other vessels to help near‐by ships in distress.
The cconsequences for the environment are, however,
more severe closer to land, where pollution recovery
is both difficult and time‐consuming.
The estimates as to pollution may increase due to
more traffic with dangerous goods from Russian oil
and gas fields.</t>
  </si>
  <si>
    <t>Pizzolato et al. (2016) specifically examined the correlation between changing sea ice conditions and shipping activity in these regions, finding a limited but increasing connection between these two factors over time. This finding supports the view that climate change is only one of a range of important factors influencing Arctic marine traffic trends. It could be argued these trends are equally (if not more) influenced by globalization, commodity prices, tourism demand, demographics, and societal trends.</t>
  </si>
  <si>
    <t>NORDREG dataset</t>
  </si>
  <si>
    <t>increase in air temperatures, climate change</t>
  </si>
  <si>
    <t>increase in vessel traffic, increased duration of ship season</t>
  </si>
  <si>
    <t>It has been reported that over the past decade ship traffic in Arctic Canada has increased by more than 75% (Pizzolato et al., 2014, 2016; Dawson et al., 2017; see also Lasserre and Têtu, 2015; Eguíluz et al., 2016; Johnston et al., 2017). Much speculation has attributed observed increases in marine traffic to climate change, including a reduction in sea ice extent that has enlarged open water areas and increased season length by an average of five days per decade (Stroeve et al., 2014; see also Stephenson et al., 2011, 2013; Smith and Stephenson, 2013; Stephenson and Smith, 2015). The lengthening of the Canadian Arctic shipping seasons has occurred predominantly in the spring and fall seasons (Pizzolato et al., 2014) and within the central Arctic and Canadian Arctic Archipelago and the Northwest Passage</t>
  </si>
  <si>
    <t>increased accessibility within NWP, increased traffic and risks of accidents, increased pollution</t>
  </si>
  <si>
    <t>increased open water days</t>
  </si>
  <si>
    <t>Marine tourism (both pleasure craft and passenger ships) has rapidly become popular over the past decade, and it is speculated that because of the allure of the Northwest Passage and the growing interest in “last chance” tourism, the demand will continue (Dawson et al., 2007, 2014, 2016, 2017; Lasserre and Pelletier, 2011; Hodgson et al., 2013; Lasserre and Têtu, 2015; Johnston et al., 2017).</t>
  </si>
  <si>
    <t>increased interest</t>
  </si>
  <si>
    <t>marketing being 'last chance' tourism, increased ship activity</t>
  </si>
  <si>
    <t>With some of the largest untapped natural resource reserves in the world located in the Arctic, increased marine activity due to oil and gas exploration and extraction is also a possibility—especially considering current policy decisions to expand offshore exploration and exploitation in the United States areas of the Beaufort Sea (Guy, 2006; Prowse et al., 2009; Pizzolato et al., 2014; CBC, 2017). Small-scale commercial fishing operations within the Canadian Arctic are also expanding with the ongoing investment in small craft harbours and small boat infrastructure (Hodgson et al., 2013; Pizzolato et al., 2016).</t>
  </si>
  <si>
    <t>Expanding provisions to arctic resources to create controls ver resources and expoloration throughout the region</t>
  </si>
  <si>
    <t>increased pollution, increased shipping activity, degration of ecological lands</t>
  </si>
  <si>
    <t>increased accessibility of NWP</t>
  </si>
  <si>
    <t>There are marked variations in spatial distribution by vessel type. The most concentrated vessel type is fishing vessels, which are currently restricted almost entirely to southeastern Baffin Island (Fig. 5). This pattern likely reflects the commercial fisheries present in locations such as Iqaluit and Pangnirtung, combined with the fact that most fishing vessels are not ice-strengthened, which restricts their activities to waters with the lowest sea ice concentrations. Fishing activity was higher during the baseline period, with a distribution similar to the present one, compared to Phases 1 and 2, when fishing activity was low and highly concentrated along the southeast coast of
FIG. 4. (A) Annual kilometres traveled by all vessel types (Baseline: 1990 – 2000); (B) Phase 1 (2001 – 05 mean) deviations from baseline; (C) Phase 2 (2006 – 10 mean) deviations from baseline; and (D) Phase 3 (2011 – 15 mean) deviations from baseline.
22 • J. DAWSON et al.
Baffin Bay. Fishing is now taking place farther north than ever before and expanding into Lancaster Sound and as far west as Resolute and Little Cornwallis Island. Fishing vessel traffic has also been notably more intense in recent years in the eastern part of Hudson Strait and the southern area of Baffin Island.
Bulk carriers are also limited spatially, and are found primarily along the Arctic Bridge route to Churchill and to the mines along the southern edge of Hudson Strait (e.g., Deception Bay). There have only been two transits of the Northwest Passage (southern route) by a bulk carrier, which occurred in 2013 (Nordic Orion) and in 2014 (MV Nunavik). Considering their supportive role in moving cargo, tugs and barges are also limited to more southerly areas, particularly around Hudson Strait and James Bay, as well as the region around the head of the Mackenzie River.</t>
  </si>
  <si>
    <t>For a shipping company, a number of economic,
external policy, and internal company barriers (e.g., the absence of
layover sites, Russia's territorial claim, and the limited financial
capacities of companies) exist in conducting commercial voyages
via the NSR (Lee and Kim, 2015). Nevertheless, a number of commercial
ships have already utilized the NSR during summer.
Bekkers et al. (2016) predicted that the share of world shipping
trade that is rerouted through the NSR will be 4.7% by 2030.</t>
  </si>
  <si>
    <t>AMSA Database, Comprehensive Ocean Atomsphere Data Set, AIS Data, SNV ship database, HIS Fairplay World Rster of Ships,</t>
  </si>
  <si>
    <t>Although the EEDI does not result in guaranteed energy efficiency
improvements in real-world operations, ensuring the full
implementation of the IMO's EEDI regulations remains important,
and this process can continuously facilitate vessel design improvements
and provide BC reductions at a certain anticipated
level. Meanwhile, it is imperative to demonstrate the potential
feasibility of the EEDI's application to fishing vessels, the largest
fleet in the Arctic.
Both technical and operational abatement solutions to shipping
BC emissions have pros and cons. From the perspective of BC
emission reductions, a combination of technical and operational
solutions shows more mitigation capabilities than either technical
or operational solutions alone. Lack (2017) reported that the combination
of DPF technology and the switch from HFO to distillate
fuels could result in the best abatement performance, with BC reductions
of  99%. Corbett et al. (2010b) also showed that the
combined control strategy (i.e., slide valves and WiFE) has significant
cost-effectiveness in terms of the average cost per ton of
reducing BC</t>
  </si>
  <si>
    <t>increase in pollution, inconsistent international approach to large scale problem solving</t>
  </si>
  <si>
    <t>Hybrid of operational and technical implementation of mitigation strategies</t>
  </si>
  <si>
    <t>With regard to Arctic shipping, the Arctic
states can consider the development of relevant incentive regimes
for vessels sailing in Arctic waters. In view of the relatively poor
agreement in the literature on the BC reduction potential of technical
solutions and the unique environment of the Arctic, more
studies are needed to test and confirm the robustness of BC emission
reductions of abatement technologies in the Arctic.
At the current stage, from the view of the potential costs and
average robust BC reduction performance (i.e., 33% reduction), a
switch from HFO to distillate fuels should be encouraged to be
adopted by shipowners. Cleaner fuels not only can result in BC
emission reductions in most cases but also in significant reductions
in other pollutants such as sulphur oxides. Regarding the proposed
ban on HFO use and carriage for use as fuel by vessels in Arctic
waters, the ban mainly aims at preventing the increasing risk of an
HFO spill because Arctic shipping is projected to continue to rise.</t>
  </si>
  <si>
    <t>Among these modes,
trans-Arctic transport has gained the greatest interest from the
international shipping industry because shipping shortcuts
through the Arctic ron reduce the sailing distances between the
world's main trading regions (i.e., East Asia and Western Europe)
with the potential for energy cost savings and a reduction in
transportation time. Specifically, there are three Arctic shipping
shortcuts: the Northern Sea Route (NSR), the Northwest Passage
(NWP), and the potential Transpolar Sea Route (TSR) in the future
(Wan et al., 2018b). Compared with the NSR, the NWP faces additional
navigational obstacles, such as thick ice conditions and
adverse weather conditions (Haas and Howell, 2015).</t>
  </si>
  <si>
    <t>increase risk for accidents, increased risk of collisions or grounding</t>
  </si>
  <si>
    <t>ice conditions, severe weather conditinos</t>
  </si>
  <si>
    <t>The Arctic Marine Shipping Assessment (AMSA) report
conducted by the Arctic Council (2009) developed the world's first
shipping activity-based estimate of air emissions from ships in the
Arctic using empirical shipping data reported by its member states.
The report showed that approximately 1,180 metric tons of BC were
emitted from ships in the Arctic region in 2004, representing a
relatively small part of the estimated 71e160 kilotons released from
the entire global fleet annually. A recent study by ICCT (2017b)
estimated that global shipping BC emissions ranged from 53 to
80 kilotons in 2015, with a best trimmed estimate of approximately
67 kilotons, and further reported that approximately 1% of global
shipping BC emissions were released from ships at 60 N latitude
and above, and 11% of shipping BC emissions were emitted within
the Arctic front (40 N latitude and above). Due to different definitions
of the Arctic region, shipping data resources, BC emission
factors, and business scenarios, the estimated BC emissions vary in
the main existing studies (Table 1). Nevertheless, a widespread
consensus claims that even a small amount of BC can still disproportionately
affect Arctic ice melt and warming and that shipping
BC emissions can continuously rise due to increased Arctic shipping
activities.</t>
  </si>
  <si>
    <t>increased ship traffic and activity</t>
  </si>
  <si>
    <t>Sea ice melt and climate warming</t>
  </si>
  <si>
    <t>Although Wan et al. (2018b) indicated that shipping emissions can
decrease by nearly 27% per loop by adopting the NSR compared
with the traditional southern sea route (i.e., the Suez Canal route),
BC was not included in their emission analysis.
Thus, given the considerable impact of BC climate forcing and
the expected increase of Arctic shipping traffic, potential technical
and operational solutions to BC emission reductions from Arctic
shipping need to be revisited.</t>
  </si>
  <si>
    <t>use of HFO, vessel activity</t>
  </si>
  <si>
    <t>increased BC pollution</t>
  </si>
  <si>
    <t>Revisiting of BC standards and possible ban</t>
  </si>
  <si>
    <t>Powering a vessel by LNG seems to be a theoretically
applicable technology with sound cost-effectiveness to mitigate BC
emissions. However, in practice, the high methane emissions
(Verbeek et al., 2011), the fluctuating LNG price and supply cost
(Chen et al., 2018), and the sacrifice of on board cargo storage space
(Wan et al., 2018a) are challenges for LNG-powered vessels. In the
Arctic, the lack of an LNG bunkering infrastructure network and the
relatively limited practical operational range of present LNGpowered
vessels are also barriers to applicability (Litehauz et al.,
2012).</t>
  </si>
  <si>
    <t>Ship Energy Efficiency Management
Plan (SEEMP) implementation</t>
  </si>
  <si>
    <t>As one
of the most critical local sources of BC emissions in the Arctic area,
Arctic shipping has elicited increasing interest not only from the
academic domain but also from the international shipping regulator
(i.e., the International Maritime Organization, IMO). The subcommittee
on Pollution Prevention and Response (PPR) of the
IMO's Marine Environment Protection Committee (MEPC) was
given the task in 2011 to determine the definition, measurement,
and control measures of marine BC emissions. Recently, at MEPC's
73rd session in October 2018, the IMO agreed that a ban should be
developed by PPR on HFO for consumption and carriage by ships as
marine fuel in Arctic waters based on an appropriate impact
assessment (MEPC, 2018). Such a potential ban will undoubtedly
facilitate the reduction of BC emissions from Arctic shipping</t>
  </si>
  <si>
    <t>Another example is the assistance
of an optimal weather routing system during navigation, which can
also theoretically reduce fuel consumption and proportionally cut
shipping air emissions; however, the actual fuel consumption
during operation may not decrease because of wave resistance and
the additional route length (Di Natale and Carotenuto, 2015).
Except for necessary equipment such as navigational aids, operational
solutions usually require a skilled crew to respond correctly
and quickly to a rapidly changing and often complex operational
environment (Wan et al., 2018a). In the Arctic, safe navigation is
largely dependent on the experience and skills of the crew due to
the lack of adequate hydrographic data and accurate navigational
charts (Arctic Council, 2009), harsh weather conditions, intermittent
fog and free-floating ice (Buixad e Farr e et al., 2014). However,
at present, skilled and experienced labor is severely lacking for
Arctic shipping (Sakhuja, 2014).</t>
  </si>
  <si>
    <t>increased time at sea, icnreased risk for accidents</t>
  </si>
  <si>
    <t>harsh environmental conditions, icebergs, ice conditions, percentage of properly trained crew members</t>
  </si>
  <si>
    <t>Focus group interviews, scientific literature, documents and popular media</t>
  </si>
  <si>
    <t>Regarding ongoing impacts, the interviewees explained that marine vessels disturb fish and
marine mammals (e.g. spawning, feeding, and migratory routes) and animals move away. One of
the interviewees expressed this fear in the following way:
…even if we put our foot in the water they [the marine species] go! … And that’s a very small
impact. But with big cruise ships that can be a big impact to the wildlife out in the waters!
And it can scatter them! (CB1).</t>
  </si>
  <si>
    <t>marine mammal displacement</t>
  </si>
  <si>
    <t>increase in tourism in area, vessel traffic</t>
  </si>
  <si>
    <t>In addition to wildlife disturbances, the interviewees feared the pollution in the marine environment,
describing the marine vessels as a contributor to garbage, sewage, contaminants, oil and
lubricants in the ocean. Community members underlined that shipping traffic causes those substances
to accumulate in the Arctic water system (oceans, rivers and lakes) which negatively
affects marine and terrestrial wildlife and people (CB8).
… [vessels] discharging some fluids into the water…Grey water and things like that is diluted in
the water of course, but you get any kind of oils or chemicals that go in the water, that’s going
to go straight into the food chain that we eat. The fish, the seals, the bears. So, thinking ahead
we have to try and prevent something like that happening in our waters (CB2).</t>
  </si>
  <si>
    <t>consumption of pollutants and operational discharge</t>
  </si>
  <si>
    <t>consumption of pollutants and operational discharge, species health problems, change in food web structure, exirpation of species</t>
  </si>
  <si>
    <t>operational discharges</t>
  </si>
  <si>
    <t>exsessive waste accumulated on vessel, inability to successfully ship was to shore</t>
  </si>
  <si>
    <t>pollutants released into natural environment, decreased aquatic health, bioaccumualtion (begins process), dumping into wildlife/protected areas</t>
  </si>
  <si>
    <t>With all the shipping anyone of them could run aground, anyone of them could have a fire,
anything can happen so you know better to be prepared and save what little we can instead
of losing our livelihood and I think that’s a good example of food that we love to eat and we
can’t anymore because of modern things going on within our region (CB2).</t>
  </si>
  <si>
    <t>bioaccumulation, reduction of resources due to increased shipping</t>
  </si>
  <si>
    <t>The necessity of having clean waters to secure the quality of the country food was described in the
following way:
I grew up with country food [traditional wild foods] …And it’s very important for me to see
that the ocean and the land be kept clean from any contamination … that regulations be put
in place for outsiders using our traditional land and our water sources (CB1).</t>
  </si>
  <si>
    <t>Certain types of ship traffic also disturb the sea ice that serves as a platform for local mobility by
people. Sea ice damage, according to one interviewee posed safety risks and limited mobility:
…hunters use these ice bridges to access routes to the mainland. In the fall a couple years
ago [CB3] and I were on the mainland after freezing up and no sooner had we come back
and the Coast Guard [icebreaker] went through where we had driven our snowmobiles. So, to
us that’s a big concern. Had we been on that ice coming home after that boat had gone
through, we wouldn’t be here as we speak. (CB2).</t>
  </si>
  <si>
    <t>In addition to safety concerns, several interviewees underlined that ships disturb the caribou
migration. Caribou are an important food source for community members, and one that is
currently threatened due to a decrease in the caribou population:
When ships go through in the early fall, they break up the ice and that could also make the
caribou go through that. Because the caribou do migrate to and from the island to the
mainland in fall time and spring time. You might already know that the caribou is declining
and that could even make it worse with the ships going through in early fall; and caribou go
through the ice! And that’s another concern (CB1).</t>
  </si>
  <si>
    <t>This idea that local coastal communities will be disproportionally impacted by the potential
environmental damage from ships was evident in local resident perspectives:
Olsen et al., Cogent Social Sciences (2019), 5: 1609189
https://doi.org/10.1080/23311886.2019.1609189
Page 14 of 20
My feelings towards [cruise ships] is I feel I’m not with them or for them. It just benefits
whoever owns these cruise ships…The thing that I’m concerned about is that they go
through our passage and there’s a risk every time they come through because they’re so big
that somethings going to happen; maybe not now, maybe not tomorrow but eventually. And
when that does happen it’s going to have a huge impact on us (CB2).
This impact, according to the interviewees, is dramatic for the area since: “it’s our home; it’s our life…
It’s all we have” (CB5). At the same time, residents consider Cambridge Bay’s location as important to
emergency and incident preparedness activities, critical in limiting the negative impacts frompossible
accidents in the NWP: “…our livelihood depends on the water! Fish and seals. It would be nice to have
one of those fuel responses here in Northwest Passage in the Kitikmeot” (CB1).</t>
  </si>
  <si>
    <t>reduced mobility to food sources, sea ice melt</t>
  </si>
  <si>
    <t>sea ice melt, increased ship activity</t>
  </si>
  <si>
    <t>reduced mobility, increase ship season</t>
  </si>
  <si>
    <t>decreased natural resources available for hunting, decreased sense of place and remoteness</t>
  </si>
  <si>
    <t>thinner sea ice seasons, limitations regarding sea ice travel for hunting during winter</t>
  </si>
  <si>
    <t>According to the majority of interviewees, even though the navigation season lasts eightnine
months, the main impacts and pressure on the natural environment happens during the
summer navigation season. During this time, hundreds of vessels, transporting thousands of
tourists, pilgrims, seasonal workers and other community visitors arrive in the archipelago.
One of the interviewees expressed concern, describing this situation the following way:
If the population of the village is slightly less than 1000…then during summer it might be up
to 2500 people at the same time, including tourists and seasonal workers. This is a great
burden for both infrastructure and nature (S17).</t>
  </si>
  <si>
    <t>decreased resources, increased ecological damage, community degration</t>
  </si>
  <si>
    <t>increased tourism industry, tourism intensification during ship season</t>
  </si>
  <si>
    <t>Canada - AWPPA</t>
  </si>
  <si>
    <t>Legislation</t>
  </si>
  <si>
    <t>As for sewage, a two-pronged approach has been adopted in the ASSPPR to account
for the difference between polar navigation occurring within and outside the Canadian
Arctic waters. Canadian vessels of a gross tonnage of 400 or more or Canadian vessels
certified to carry more than 15 persons are prohibited from discharging sewage in polar
waters outside the Canadian Arctic, unless the deposit is made, depending on the type
of treatment used, at a distance from the ice.83 Within the Canadian Arctic, implementing
the Polar Code led to a tightened regime for both Canadian and foreign vessels.
The exception previously allowing any ship to discharge untreated sewage has been
eliminated.84 Only small vessels of 15 gross tonnage or less with not more than 15
persons aboard continue to benefit from the right to discharge sewage in Canadian Arctic
waters.85 In contrast, Canadian and foreign vessels of a gross tonnage of 400 or more or
vessels certified to carry more than 15 persons are only allowed to discharge sewage in
Canadian Arctic waters if the deposit meets the same conditions related to treatment and
distance to the ice applying to the deposit in other polar waters.86 This prohibition, when
imposed on foreign vessels, is based on Canada’s role as a coastal state.
With respect to the prevention of pollution by garbage, operational requirements
related notably to the record book and management plan were included in the
ASSPPR.87 Regarding food waste discharge, the ASSPPR proceeds in the same twopronged
way as for the deposit of sewage. Accordingly, Canadian vessels are prohibited
from discharging food waste in polar waters outside Canadian Arctic waters, unless
the discharge meets the conditions related to treatment, distance to ice, and absence of
contamination with other types of garbage.88 In Canadian Arctic waters, both Canadian
and foreign vessels may discharge food waste only if they respect these the same
conditions.89 In all other cases, discharge is prohibited by virtue of the AWPPA.90 The
prohibition applying to foreign vessels is, again, based on Canada’s role as a coastal
state. Finally, Canadian vessels are prohibited from discharging cargo residues in polar
waters other than Canadian Arctic waters, unless certain conditions are met.91</t>
  </si>
  <si>
    <t>exsessive waste accumulated on vessel, inability to successfully transport waste to shore</t>
  </si>
  <si>
    <t>What emerges from this overview is that Canada’s engagement in multilateral initiatives
and activities has been significant over the years. Canada sees the Arctic as it is,
that is, an area that forms a significant part of Canada but that is also embedded in a
region and as such connected to the rest of the world. In other words, it is an area
where intersecting national and international interests permeate the various jurisdictional
layers and call for a combination of unilateral and multilateral action. The relationship
between the multilateral Polar Code and unilateral Canadian regulation
illustrates well the complexities of good lawmaking for the Arctic. The challenge for
Canada in particular has not only been to find the right balance, but also to remain
consistent over time to ensure the effectiveness of its policy choices.</t>
  </si>
  <si>
    <t>difference in national opinions regarding arctic</t>
  </si>
  <si>
    <t>inconsistent policies developed, possible conflict/land dispute claims</t>
  </si>
  <si>
    <t>increased non-compliance, unknowns regardi compliance, difficulty with enforcement</t>
  </si>
  <si>
    <t>differences between legislation, legislative exemptions</t>
  </si>
  <si>
    <t>A second, less radical, position would be the contention that unilateral and multilateral
actions are meant to play complementary roles. As long as a specific issue is not
addressed by the international community, the coastal state retains its power to act unilaterally,
but it has to defer to multilateral standards once they are established and to
the extent that they regulate the issue. The rationale behind this argument would be
that multilateral action is preferable regarding the shipping industry that relies on uniform
requirements, but that unilateral action for the sake of the environment is acceptable,
as long as no multilateral agreement exists on a specific issue. “Due regard for
navigation” would therefore mean accepting the will of the international community to
the extent it is expressed in the rules and standards established. According to both the
radical and the less radical position, the precedence of the Polar Code over Article 234
jurisdiction is not based on the Polar Code (the specific wording in the SOLAS and
MARPOL Conventions) per se, but on the specific systemic meaning attributed to
Article 234.
While both arguments set out in the preceding can be made relying on the general
spirit of the LOSC, they do not account for the strong environmental intention
of Article 234, have no direct support in the text, and ignore the role Article 234
plays in Part XII. As already mentioned, compared to the general navigational
regimes of the LOSC, the balance between navigational and environmental interests
under Article 234 tilts toward the latter.168 Furthermore, nothing in Article 234 hints
at a jurisdiction that is conditional or dependent on the nonexistence of multilateral
initiatives. While general minimum standards agreed upon under the auspices of the
IMO and intended for flag states limit coastal state action in the context of the general
rules of sections 5 and 6 of LOSC Part XII,169 this is not the case under section
8, solely formed by Article 234.170
The inclusion of the conflict clause</t>
  </si>
  <si>
    <t xml:space="preserve">National Laboratory peer node of
the Earth System Grid Federation (available at https://
esgf-node.llnl.gov/search/esgf-llnl/), Climate and Forecast
(CF) Metadata Conventions (http://cfconventions.org/)., Copernicus Marine Environment Monitoring
Service (CMEMS) under the identifier WIND_
GLO_WIND_L4_REP_OBSERVATIONS_012_003
in NetCDF format (http://marine.copernicus.eu), global bathymetry
dataset, downloaded from openDEM (http://www.
opendem.info/), International Maritime Organization (http://www.
imo.org) (InternationalMaritimeOrganization (IMO)
2018), National Geospatial-Intelligence Agency (National
Geospatial Intelligence Agency), ameasure of climatic extremes, a dataset on cyclone
intensity was downloaded from the PREVIEWGlobal
Risk Data Platform (http://preview.grid.unep.ch) as
a raster surface, which is created and hosted by
UNEP/GRID-Geneva and Supported by the United
Nations International Strategy for Disaster Reduction
(UNISDR), </t>
  </si>
  <si>
    <t>Icebergs, extreme conditions
and a lack of detailed hydrographic studies in the Arctic
(hereafter referred to as icebergs) pose a severe threat
to ships traversing arctic and Antarctic regions. Icebergs
pose an imminent danger to a ship, particularly as most
of the iceberg is subsurface, making them difficult to
detect and size. The difficulty in detecting icebergs is only
impeded as many sizeable icebergs are frozen into thin
layers of first-year sea ice.</t>
  </si>
  <si>
    <t>increased temperatures, glacial calving</t>
  </si>
  <si>
    <t>lack of technological and resources to track movement, lacking baselien data</t>
  </si>
  <si>
    <t>inability to model and predict iceberg presence</t>
  </si>
  <si>
    <t>The risk of piracy has been
a highly debated topic in recent years, particularly in the
Gulf of Aden and south-east Asia where piracy continues
to pose a threat to the shipping industry. However, international
efforts to address the issue, as well as the ability
of major shipping companies to respond to the threat by
hiring private security companies to stay and protect the
ship while traversing these regions, has had some effect
in recent years. Even so, attempts to contain the issue has
not addressed it completely, and a return of activity in
Somalia has shown that the risk should not be underestimated,
particularly in West Africa and the Far East
(Allianz 2017).</t>
  </si>
  <si>
    <t>socio-political conflicts</t>
  </si>
  <si>
    <t>Shifting and potentially harsh weather conditions and
climatic variables have always been a primary concern to
the shipping industry, and incidents caused by weather
extremes constitute themost frequent and severe risk factors
in the shipping industry, with Capt. Andrew Kinsey
noting that ‘the severity of weather events, for whatever
reason, is more pronounced and frequency is increasing’
(McDonald 2018). Even with the latest technological
achievements in meteorological forecasting, the shipping
industry is considerably damaged by natural catastrophes,
such as hurricanes, storms or groundings due
to strong winds, with recent examples the Superstorm
Sandy in 2012 and damage of $84m and Hurricane Katrina
in 2005 with $33m marine hull losses (Lloyd’s 2017)</t>
  </si>
  <si>
    <t>In particular, wind speed and wave heights are two
primary external factors affecting ship movement and
depending on the intensity level, both can pose a severe
danger to a ship (Chang et al. 2014; Butt et al. 2015;
Stornes 2015). Winds can be elusive, and contradictory
to common perception, ship weight and size do not
confine the way wind affects a ship. Similarly, significant
wave heights create unpredictable motion resulting
in the reduction of propeller thrust and drag increase
from steering corrections. Constant corrections to the
course and ship speed affect ship’s performance in rough
weather conditions.</t>
  </si>
  <si>
    <t>wind speeds, wave heights</t>
  </si>
  <si>
    <t>decreased ship control, increased shipping time, capsizing, grounding possibilities</t>
  </si>
  <si>
    <t>Besides the hazards and risks determined by weather
patterns and climatic variables, geographical hazards play
a significant role in the safe navigation of ships. Examples
of this type of risk include narrow channels with
shallow water, as well as coral reefs (Bennett O’Brien 2015). Based on Stornes (2015), narrow coastal waters i.e.
shallow water are considered as one of the primary risk
factors, particularly in combination with extreme winds
and high waves.</t>
  </si>
  <si>
    <t>Althoughmaritime infrastructure, including port network
and search and rescue facilities, do not contribute
to added risks for a ship while at sea, the relative distance
to the nearest facilities may impact the extent and consequence
of an accident. Therefore, the distance to ports is
a safety concern to the shipping industry, particularly in
areas, such as the Arctic, where maritime infrastructure
is sparse and disconnected. The ability for authorities to
reach a ship, provide search and rescue operations, salvage
a wreck and clean up after an oil spill is essential, in
order to limit the impact from a potential catastrophe at
sea.</t>
  </si>
  <si>
    <t>Icebergs are considered the lowest ranked risk factor in this study, primarily because of the relatively few
documented cases of iceberg collisions. However, additional traffic in Arctic waters, as well as melting sea ice
calving further icebergs, will likely cause further incidents in the future, should the NSR be used for commercial
shipping. Furthermore, the icebergs risk factor includes considerations about the extreme conditions in the
Arctic, which exacerbates the likelihood of an accident caused by damages to essential equipment, material,
and systems.</t>
  </si>
  <si>
    <t>glacial calving, increased temperatures</t>
  </si>
  <si>
    <t>emergance of new icebergs, evssel accidents, vessel pollution</t>
  </si>
  <si>
    <t>An evaluation of environmental risk from an oil spill should consider habitat
exposure areas, recovery potentials of species and habitats, and the current state of the habitats [23,24].
Nevalainen et al. [25] go further, suggesting that risk assessments must consider the entire ecosystem
(rather than species-specific) to identify long-term impacts and provide a holistic understanding of
the impacts of an oil spill. Given the complexity of Arctic oil spills, evaluating oil spill risk requires
multidisciplinary expert knowledge and region-specific analyses.</t>
  </si>
  <si>
    <t>Oil spills are the dominant threat posed by Arctic shipping [8] but evaluating environmental
consequences is complex. The presence of dangerous goods onboard a vessel introduces the risk of
environmental damage, but the consequence severity is not simply a product of accident potential and
oil spill trajectory [23]. An evaluation of environmental risk from an oil spill should consider habitat
exposure areas, recovery potentials of species and habitats, and the current state of the habitats [23,24].
Nevalainen et al. [25] go further, suggesting that risk assessments must consider the entire ecosystem
(rather than species-specific) to identify long-term impacts and provide a holistic understanding of
the impacts of an oil spill. Given the complexity of Arctic oil spills, evaluating oil spill risk requires
multidisciplinary expert knowledge and region-specific analyses.</t>
  </si>
  <si>
    <t>Literature, Policy</t>
  </si>
  <si>
    <t>Evaluating life-safety consequences of Arctic shipping is also complex, with many dynamic factors
(spatial and temporal). The number of passengers and crew on board a vessel and the ability to
mount safe and e ective escape, evacuation, and rescue (EER) will influence the severity of potential
life-safety consequences</t>
  </si>
  <si>
    <t>severity of other linked risks</t>
  </si>
  <si>
    <t>quantity of awarness of emergency procedures, emergency guidance andtraining</t>
  </si>
  <si>
    <t>The rescue of crew and passengers is daunting: Limited regional search and
rescue capabilities, scarce and aging infrastructure, long response times, and inadequate emergency
response capacities for large-scale incidents (e.g., large cruise vessels present a high life-safety risk in
the Arctic) [22,26,27].
Risk-based operational decision-making for ice class vessels should be based on a careful
consideration of all consequences and the integration of multidisciplinary knowledge. Evaluating the
severity of environmental and life-safety consequences is complex with many dynamic factors. The
framework proposed here integrates multidisciplinary knowledge for scenario-based risk management
for ships operating in ice.</t>
  </si>
  <si>
    <t>long response times, perpetuate incidents</t>
  </si>
  <si>
    <t>aging infrastructure, long response times, limited availability of SAR resources, remoteness</t>
  </si>
  <si>
    <t>Marchenko et al. [22] considered several accident types. For the purpose of this case study, focus
was on damage by collision, recognizing that this captured collisions with ice as well as collisions with
other ships or marine infrastructure. In the waters around Svalbard, cruise vessels are assessed as
presenting a high life-safety risk (S1) and oil tankers are assessed as moderate (S2).</t>
  </si>
  <si>
    <t>environmental damages, accident potential</t>
  </si>
  <si>
    <t>Marchenko et al. [22] used qualitative, expert-based risk analysis of ship accidents to establish
risk levels for a range of vessel types and incidents in various regions of the Arctic. They established
that the perceived likelihood of high consequence events increases with increasing vessel tra c, the
number of passengers, and the presence of hazardous cargos. They highlighted that the severity of
life-safety and environmental consequences can escalate in the Arctic due to a lack of emergency
response resources and the harsh environmental conditions.</t>
  </si>
  <si>
    <t>increased shipping</t>
  </si>
  <si>
    <t>presence of hazardous cargos, increased probability of vessel accidents and collisions</t>
  </si>
  <si>
    <t>Ships and crews operating in Arctic and Antarctic environments are exposed to a number of
unique risks. The presence of sea ice and icebergs can impose additional loads on the hull, propulsion
system, and appendages of a vessel. Cold temperatures, poor weather, and marine icing may reduce
the e ectiveness of components of the ship, ranging from deck machinery and emergency equipment
to sea suctions. A relative lack of good charts, communication systems, and other navigational aids in
the Polar regions, and the remoteness of these areas, makes rescue and clean-up operations di cult
and costly.</t>
  </si>
  <si>
    <t>cold temperatures, harsh weather</t>
  </si>
  <si>
    <t>Fig. 10 shows that the best combination for this scenario is the use of dispersant
and in situ burning. It should be noted that no two scenarios are the same
and so, the ranking may differ for other conditions.
Furthermore, to evaluate the socio-economic impact in dollar terms the ID
shown in Fig. 11 is implemented.
The simulation produces the impact in dollar (USD) terms. Using the illustrated
model, it is possible to simulate different scenarios. Using the information
given, the socio-economic impact simulated is approximately USD101,
242,480.</t>
  </si>
  <si>
    <t>Exposure modeling involves the assessment of oil concentration and its existence
in the media of contact. In marine species, pollutant existence could be
due to inhalation, ingestion of contaminated water and food, and absorption of
hydrocarbon. In dynamic risk assessment, the study of temporal variability of
the exposure and fate of the spilled oil is important. Season and temperature
variations are temporal variables in such environments. Although the concentration
in species is not the subject of this chapter, the information from such
a study is used to determine the Predicted No Effect Concentration (PNEC).
An oil spill in the ocean can be lethal to birds, fishes, mammals, and other
marine organisms due to toxic components present in oil. An oil toxicity data
and a robust toxicity model can support ecological risk assessments of spilled
oil and environmental impact assessment of spills. The toxicity of oil to marine
species depends on species presence and the extent of exposure of the toxic
oil component. Species presence and toxicity is a function of time, space, and
concentration.</t>
  </si>
  <si>
    <t>"Exposure modeling involves the assessment of oil concentration and its existence
in the media of contact. In marine species, pollutant existence could be
due to inhalation, ingestion of contaminated water and food, and absorption of
hydrocarbon. In dynamic risk assessment, the study of temporal variability of
the exposure and fate of the spilled oil is important. Season and temperature
variations are temporal variables in such environments. Although the concentration
in species is not the subject of this chapter, the information from such
a study is used to determine the Predicted No Effect Concentration (PNEC).
An oil spill in the ocean can be lethal to birds, fishes, mammals, and other
marine organisms due to toxic components present in oil. An oil toxicity data
and a robust toxicity model can support ecological risk assessments of spilled
oil and environmental impact assessment of spills. The toxicity of oil to marine
species depends on species presence and the extent of exposure of the toxic
oil component. Species presence and toxicity is a function of time, space, and
concentration."</t>
  </si>
  <si>
    <t>However, there are some challenges that
include: (1) spill is a rare event and so difficult to track; (2) uncertainty and
variability in climate conditions affect how the fate and transport of the potential
spill is predicted; (3) there is limited data on terrestrial conditions which is
critical for fate and transport modeling; (4) there is variability and uncertainty
on receptor (ecological or human) data which is critical for exposure modeling;
and (5) there is limited (no) data on the toxicity of ecological (aquatic and terrestrial
species) for different contaminants, which is critical for risk estimation.</t>
  </si>
  <si>
    <t>The problem is that there is very limited data of oil toxicity of aquatic species
in cold regions. To evaluate the risk to marine species, exposure concentration
may not be sufficient. There is a need to evaluate the concentration of oil in
the body of species exposed to oil. This concentration is responsible for deaths
of species under study.</t>
  </si>
  <si>
    <t>Furthermore, there is a level of restriction on conducting outdoor experiment
because of the environmental implications of oil in ice. The disposal of
the oil is difficult to deal with as environmental fines for violating such laws
can be consequential. However, this is changing considering the recent Arctic
Oil Spill Response JIP, which produced substantial knowledge on oil-ice interaction
and response of oil spill in the Arctic. In this case, the BN models can be
improved tremendously with an extensive data collection regime. This will further
create confidence in the method and subsequently the results</t>
  </si>
  <si>
    <t>case presedent for countries with Arctic waters to maintain and protect land</t>
  </si>
  <si>
    <t>The results of the simulations illustrate the flexibility that the various tools offer.
That is to say that different tools can be used to evaluate the same problem,
depending on what the end user really wants. There are still challenges to assessing
the risk of oil spills in ice-covered waters. The first is the absence of
algorithms to describe some of the processes that are very dominant when it
comes to oil spill in ice. One of such processes is oil encapsulation and decapsulation
in ice-covered waters.</t>
  </si>
  <si>
    <t>The indigenous communities
have advocated for more involvement in issues related to the Arctic. The tools
presented give the flexibility to achieve this. Thus, while collecting data from
these regions, the inputs would form part of the modeling work. Also, the output
would be useful to the communities as they can determine how much impact an
oil spill of a particular magnitude will have on the communities.</t>
  </si>
  <si>
    <t>The potential positive side,
however, is the melting of ice in the Arctic at an unprecedented rate. This means
that the Arctic is gradually becoming ice-free in the summer season and so the
likelihood of increased activities of maritime transportation and resource exploration
is high (Afenyo et al., 2017a). These activities translate to economic and
social improvement in the lives of the populace living in this area. The shipping
industry, for example, has already recorded an increase in the number of ships
being built to take advantage of this opportunity. Recent industry news shows
that many companies have signed in an order for vessels to be built for Arctic
voyages.</t>
  </si>
  <si>
    <t>However, these opportunities, along with the economic implications,
also bring with them the risk of a potential oil spill (Afenyo et al., 2017a). An
oil spill has environmental and socio-economic implications for the affected
area and people. For the local communities, it may even go as far as affecting
their culture. The oil spill affects the reproductive cycle of species and disrupts
the social make-up of the affected communities (Afenyo et al., 2016a). It is
therefore important to assess the risk to make decisions for resource allocation,
contingency planning, and response (Lee et al., 2015). In fact, some researchers
have even advocated the idea of no shipping in the Arctic.</t>
  </si>
  <si>
    <t>comprehensive study of the health impacts of BC and related particulate matter
(PM) (includes both PM2.5 and PM10) was conducted by the World Health
Organization (WHO) in 2012 (Janssen et al., 2012). The WHO study concluded
that there was insufficient information to distinguish the health effects of BC
from the known effects of PM, which include cardiopulmonary disease and lung
cancer. However, the study noted that BC may “operate as a universal carrier
of a wide variety of chemical constituents of varying toxicity, such as semivolatile
organics, to sensitive pulmonary and cardiovascular targets. Because of
this role, EC may very well act as a good indicator for combustion-derived and
potentially very harmful parts of PM.”
Aliabadi et al. (2014) studied localized emissions during the 2013 shipping
season (June 1–November 1) near two Arctic communities in Nunavut—
Cape Dorset and Resolute. Cape Dorset is near the northern entrance to
Hudson Bay and Resolute is further north and west near the Barrow Strait.
The study found consistently degraded air quality during the shipping season.
The estimated range for percent ship contribution to local particulate
emissions measured as PM2.5 was 19.5%–31.7% for Cape Dorset and 6.5%–
7.2% for Resolute.</t>
  </si>
  <si>
    <t>The use of HFO has negative health impacts, higher emissions, as well as
higher oil spill risks and risks of ecological damage. A ban on HFO use in the
Arctic would reduce environmental impacts, but the next lowest cost shipping
fuels—residual crude/distillate blends—may have similar impacts on air pollution
and BC emissions. While additional research on the impacts of blended
shipping fuels is warranted, an immediate shift to only distillates would reduce
air emissions and potential oil spill impacts simultaneously in the near term.</t>
  </si>
  <si>
    <t>Because shipping lanes are typically located close to coastal villages and
because HFO is still the primary shipping fuel used in the Arctic, it contributes
to localized health impacts that can be eliminated or reduced through
fuel shifting and clean technologies. Also, increased shipping and commerce
at high latitudes are already inducing industrial and residential growth which
would have a much larger impact than increased shipping alone. As was noted
earlier in this chapter, cargo volumes in the Russian Arctic ports were up almost
25% in 2018.</t>
  </si>
  <si>
    <t>BC emissions in the Arctic are a major contributor to ice melt as well as
to local public health impacts. BC absorbs heat, typically falls out of sky in a
matter of days or weeks, but then can settle on snow and ice and heat up the
ice surface. As a result of this localized deposition and heat absorption from
BC particles, Sand et al. (2013) estimated that 1 kg of BC emitted in the Arctic
causes five times higher Arctic surface temperature change than 1 kg emitted at
midlatitudes. The GWP impacts of BC emissions in the Arctic are then approximately
five times more potent than the GWPs noted previously—
equivalent to
16,000 over a short-term (20-year) time frame (Fig. 1).</t>
  </si>
  <si>
    <t>BC emissions are caused by the incomplete combustion of fossil fuels and other
organic matter. Because heavy fuel oil (HFO) is still in common use in global
shipping and since HFO combustion creates a relatively high amount of BC
emissions compared to other fuels, increased shipping through the Arctic as ice melts earlier will create impacts of concern—i.e., accelerated ice melting and
increased atmospheric haze (Fig. 2).</t>
  </si>
  <si>
    <t>haze, decrease local air quality, increase air temperatures</t>
  </si>
  <si>
    <t>black carbon emissions, increased vessel traffic, HFO use</t>
  </si>
  <si>
    <t>increased illnesses amogst communities, decline in local health and populations, decline quality of life - wildlife</t>
  </si>
  <si>
    <t>increased black carbon emissions</t>
  </si>
  <si>
    <t>ecological damage, destructuion of natural resources, decliend community health</t>
  </si>
  <si>
    <t>ecological damage, pollution, bioaccumulation</t>
  </si>
  <si>
    <t>black carbon emissions, HFO use, climate change</t>
  </si>
  <si>
    <t>vessel emissions</t>
  </si>
  <si>
    <t>increase climate warming, decrease snow and ice cover</t>
  </si>
  <si>
    <t>decrease ice and snow, increased temperatures</t>
  </si>
  <si>
    <t>*Statistical information on the socio-economic development of the Arctic zone of the Russian Federation. [Electronic resource]. URL: http://www.gks.ru/free_doc/new_site/region_stat/calendar1-2020.htm (accessed 10.06.2020)</t>
  </si>
  <si>
    <t>In accordance to the may decrees of the Russian President, NSR was set a target for cargo traffic by
2024 – 80 million tons. At the end of 2018, the volume of cargo transportation amounted to about 20
million tons per year, which is a record value for the entire history of Arctic development. In 2019, at
a meeting of the Arctic forum, “ROSATOM” Government Corporation representatives, which is NSR
infrastructure provider, announced plans for cargo traffic in 2019 – 26 million tons (the planned values
for 2019 have been reached after 11 months), in 2024 – 92.6 million tons, by 2030 this figure may
reach a value of 110-120 million tons. Most of these volumes are occupied by hydrocarbon flows
(coal, oil, liquefied gas, condensate) and this trend will continue. In 2018, this volume of traffic
amounted to 15 million tons (an increase of more than 2.5 times compared to 2017). According to the
forecasts of the Russian Government, the volume of cargo transportation will reach 65 million tons by
2024, with a growth potential of 95 million tons by 2030, and by 2035, the volume can be increased to
130-160 million tons of cargo.</t>
  </si>
  <si>
    <t>The NSR is a safe route, since the main part of the route passes in the waters of the Northern Russian seas; although it runs in a difficult ice environment, the vessels pass in harsh natural and climatic conditions, especially during the autumn, winter and spring navigation periods. In the Eastern part of the NSR, in contrast to the Western part, intensive shipping is observed in the summer and autumn period and lasts for 5 months (from July 1 to November 30).
A complicated system of NSR depends on a huge number of subjective and objective conditions. Exogenous conditions should include the external environment, and, above all, the situation on world energy markets. Today and in the long term, the route is dominated and will continue to be dominated by the transportation of oil and liquefied gas, as well as minerals that are extracted and produced in the AZRF [4]. These shipments are mainly for export purposes (96% of cargo traffic on the NSR is transportation of minerals). According to the results of statistical observation in the AZRF, there is an increase in business activity of enterprises and industrial production turnover (Table #1), which may also be associated with the loading of NSR.</t>
  </si>
  <si>
    <t>Russia actively cooperates in the Arctic with other countries on various issues of international
cooperation. The main intergovernmental cooperation within the framework of the Arctic Council is
established in the field of environmental protection and improving the living conditions of Arctic
communities. In accordance with the Ottawa Declaration, in addition to the Russian Federation, this
organization includes countries such as Canada, the Kingdom of Denmark, Finland, Iceland, Norway,
Sweden and the United States. Issues of economic development and national security are separate key
tasks of the States that are members of the Arctic Council. However, other countries are also showing
great interest in the development of the Arctic. Non-Arctic countries that depend on energy supplies
and are interested in developing the NSR. These are countries in the Asia-Pacific region. China is
particularly active in using the highway and considers it as part of the "silk road: one belt-one road"
project, the so-called "Ice silk road"[9,15]. In 2018, the state Council of China proposed the Arctic
policy of the PRC, where the Arctic is considered as a national priority. The Chinese government has
defined the main directions of Arctic development: shipping, minerals, fishing, and tourism. Attracting
a national partner to the tasks of modernizing the NSR will allow Russia to reach qualitatively new
levels of technological development [15,16,18].</t>
  </si>
  <si>
    <t>AVG Risk Score</t>
  </si>
  <si>
    <t>AVG DQ Score</t>
  </si>
  <si>
    <t>Data Observations</t>
  </si>
  <si>
    <t>Consequence</t>
  </si>
  <si>
    <t>Probabiliuty</t>
  </si>
  <si>
    <t>DQ Index</t>
  </si>
  <si>
    <t>Acronym</t>
  </si>
  <si>
    <t>ENV</t>
  </si>
  <si>
    <t>ECN</t>
  </si>
  <si>
    <t>COM</t>
  </si>
  <si>
    <t>SOC</t>
  </si>
  <si>
    <t>OPS</t>
  </si>
  <si>
    <t>NAV</t>
  </si>
  <si>
    <t>POL</t>
  </si>
  <si>
    <t>PLT</t>
  </si>
  <si>
    <t>ASM</t>
  </si>
  <si>
    <t>TEC</t>
  </si>
  <si>
    <t>HMN</t>
  </si>
  <si>
    <t>SEA</t>
  </si>
  <si>
    <t>The result of the simulated oil spill in our case
study demonstrates that the socioeconomic impacts
of the spill increase continuously and, indeed, accelerate
in subsequent years if there is no intervention
(i.e., allowing only for natural attenuation). The socioeconomic
impacts may be reduced should a recovery
intervention take place.
To achieve minimum negative socioeconomic
impacts in response to an oil spill, stringent enforcement
of regulations is urgently required. In the
case of the Rankin Inlet region and the NWP, the
challenge will be how the Canadian federal government
should collaborate with indigenous people to
respond rapidly to an oil spill. The Chiefs and the
Hunters and Trapper’s Association would have to be
involved in the coordinating efforts with the Canadian
federal government and the Coast Guards</t>
  </si>
  <si>
    <t>Also, there is an urgent need to develop a good
communication network between indigenous nations
within the region, the Canadian federal government,
and companies that are looking to work in the region.
This could facilitate communications between the appropriate
authorities and decision-makers in an oil
spill or other natural disaster. Furthermore, there is
a need for proper training of local, indigenous people
and others involved in oil spill response efforts in
the Canadian Arctic.</t>
  </si>
  <si>
    <t>The economic
loss includes lost income as a result of the oil spill.
These losses may come from sectors such as fisheries,
tourism, and shipping. The economic loss may also
include the consumer value loss as a result of shifts in
consumer behavior. Loss of equipment, and infrastructure
due to the spill, as well as impact on private
entities and governments are also another category
of costs. Legal costs include the cost of litigation
for individuals and government; other penalties may
be incurred by breaking both domestic and international
law (e.g., OPA 1990, Garick, 1993). Finally, the
social impact includes the cost associated with the
loss of life, depression, social unrest, and other social
vices.</t>
  </si>
  <si>
    <t>Survey and Literature</t>
  </si>
  <si>
    <t>Today Arctic shipping continues to be a controversial
issue. There are many indigenous groups, including
the Inuit, who believe that Canadian Arctic
waterways should only be used in a way that respects
the culture and interests of the indigenous communities
(Boyd, 2020). However, despite recent opposition
to shipping in this region (Boyd, 2020), there are
others that are in favor of this activity. Some rights
holders view the opening of the Arctic as an opportunity
to develop the region. They argue that exploring
the natural resources and taking advantage of the
shipping activities will open up the region to trade
and thereby creating jobs. Furthermore, with an increased
accessibility to the area by different organizations
both local and foreign investments will flow
easily into developing this region.</t>
  </si>
  <si>
    <t>In fac, oil spills due to shipping present eve more challenges especially for ship operators and insurers
in different regions around the world. For example,
the Mauritius oil spill that occurred recently
shows how the negligence of a captain and lax international
laws can cause devastating environmental,
economic, and social effects on the communities
affected. For Arctic shipping accidents, the consequences
would be even more devastating. Insurers
were at a lost as to what to do while there was no
law to hold the company accountable. Mauritius only
received economic aid and little help in terms of dealing
with the spill. In the end, the people of Mauritius
took matters into their own hands and devised crude
means to try and clean the oil since they are the ones
feeling the effect of the spill. The polluting company
is far away in Japan and the captain will face no serious
consequence. Therefore, it is in the best interest
of governments to be proactive and prepare for
emergency response for potential oil spills. The current
tool developed in this study is an answer to this
problem.</t>
  </si>
  <si>
    <t>Name</t>
  </si>
  <si>
    <t>Risk Rating Score</t>
  </si>
  <si>
    <t>Data Quality Score</t>
  </si>
  <si>
    <t>Hazard Rating</t>
  </si>
  <si>
    <t>Hazard Rating Score</t>
  </si>
  <si>
    <t>High agreement, Medium evidence</t>
  </si>
  <si>
    <t>Medium agreement, Medium evidence</t>
  </si>
  <si>
    <t>Low agreement, Medium evidence</t>
  </si>
  <si>
    <t>Check Formula, Medium evidence</t>
  </si>
  <si>
    <t>AVG DQ - Details</t>
  </si>
  <si>
    <t>LoA</t>
  </si>
  <si>
    <t>ES</t>
  </si>
  <si>
    <t>Highest Score</t>
  </si>
  <si>
    <t>Sector-based</t>
  </si>
  <si>
    <t>Shortly after midnight on 22 October, the engine alarm
goes off. Ten minutes later the two main engines stop
simultaneously. The auxiliary engine is started to keep
the bow against the wind and to reduce the drift, but it
provides insufficient thrust. The wind causes the vessel to
drift south-west towards the Kola Peninsula at a speed of
3 knots (Fig. 1). The water depth is 230 m, which is too
deep for use of the anchor. At 00:45, Oleum calls for
emergency assistance using VHF. The request is picked up
simultaneously by the coastal radio stations in Vardø and
Murmansk and is passed on to the rescue coordination
centres in Bodø (Norway) and Murmansk.</t>
  </si>
  <si>
    <t>Supplementary Table 1</t>
  </si>
  <si>
    <t>chemical spill</t>
  </si>
  <si>
    <t>chemical spill, human exposure due to vessel activity</t>
  </si>
  <si>
    <t>skin irritation, lung issues</t>
  </si>
  <si>
    <t>acute toxicity</t>
  </si>
  <si>
    <t>Scenario based analysis/modelling, structured what if</t>
  </si>
  <si>
    <t>The ship is a 102 m long, 5000 dead weight tonnes multipurpose
deck cargo carrier named Oleum transporting
equipment from the German port Hamburg to Yamburg
in western Siberia, Russia (Fig. 1). The fictitious company
Kalajoki Shipping is a professional shipping company,
based in a western European country. Their vessels all
carry the flag of the company’s home country. Their fleet
operates mainly in the Baltic and the North Sea areas.
Kalajoki Shipping specializes in marine transportation of
industrial dry bulk, biofuels, recyclables, minerals, forest products and different types of demanding cargo, such as
heavy power plant equipment and wind turbines.</t>
  </si>
  <si>
    <t>increased economic demand for a variety of secotrs</t>
  </si>
  <si>
    <t>clogged fuel filters</t>
  </si>
  <si>
    <t>restart engine, loss of engine</t>
  </si>
  <si>
    <t>Important supporting technologies for safe maritime
operations, including SAR operations, are navigation and
communication technologies (Kvamstad et al. 2009),
primarily global navigation satellite systems and satellitebased
and terrestrial communication systems. GPS navigation
satellites and the Russian global navigation satellite
system are available aids in the Barents Sea, although
the signals can be irregular and obstructed because of
low elevation angles of the satellites. In acute maritime
operations the accuracy and timing requirements are so
high that additional integrity information from GPS is
required. The information is not delivered by the navigation
satellites themselves, but either via on-shore
reference stations or satellite-based augmentation systems.
The availability of reference stations is low in the
Barents and other Arctic seas, and satellite-based augmentation
systems are based on GEO, which orbit the
Earth around the equator. These have limited availability
at latitudes above 758N. Field tests performed in the
MarSafe North project (Fjørtoft et al. 2009) showed that
practical communication problems can be experienced
already at 708N, depending on ionospheric and weather
conditions (Behlke et al. 2012). Many maritime communication
systems are also based on GEO satellites, using
Inmarsat and very small aperture terminal systems, so
they also face the challenges of low elevation angles. The
Arctic holds few and scattered coastal radio stations. The
only satellite-based system that covers the polar areas is
Iridium.</t>
  </si>
  <si>
    <t>limited satillite imagrey consistenly available</t>
  </si>
  <si>
    <t>limited communication abilities, limitations regarding route planning, reduced SAR capabilities</t>
  </si>
  <si>
    <t>The equipment supporting safe maritime operations
includes equipment to detect obstacles, in order to avoid
collisions, and to detect technical malfunctions of the
vessel. Examples of obstacles are sea ice, fixed or floating
installations and other vessels. Technologies such as
radars and the Automatic Identification System are used
for local detection of such obstacles. In addition to the
equipment on board, navigational and meteorological 
oceanographic warnings should be received from a vessel
traffic service established by port authorities, similar to
air traffic control, and/or coastal radio stations. Satellite
images and updated ice charts are also available upon
request. Sensors on machinery and the hull will detect
potential failures of machinery and instability of the ship.
Lacking sensors that could have provided warnings about
the clogged filters before they led to engine failure, the
crew of Oleum did not have the possibility for early action.
During the second engine failure, Oleum was also exposed
to heavy icing, depriving the crew of the possibility to
drop the anchors and stop her drifting.</t>
  </si>
  <si>
    <t>engine failure</t>
  </si>
  <si>
    <t>vessel accident, vessel power outage, vessel collision with ice</t>
  </si>
  <si>
    <t>Data</t>
  </si>
  <si>
    <t>Safety, Data</t>
  </si>
  <si>
    <t>System that automatically detects obstacles during navigation; Radar data and AIS</t>
  </si>
  <si>
    <t>Radar data and AIS</t>
  </si>
  <si>
    <t>weather, harsh environmental conditions</t>
  </si>
  <si>
    <t>vessel collision with ice, vessel stuck in ice</t>
  </si>
  <si>
    <t>A vessel in distress strongly needs communication
abilities. This can be achieved either via VHF DSC to the
coastal radio stations or via Inmarsat-C or Inmarsat Fleet33,
which is based on GEO satellites, or by activating the onboard
emergency position-indicating radiobeacon station
or a similar SAR transponder. The signals from on-board
emergency position-indicating radiobeacon stations and
SAR transponders are picked up by Cospas Sarsat satellites.
Cospas Sarsat satellites consist of both GEO satellites
and low Earth orbit satellites in near polar orbits, making
this system accessible at high latitudes, including the
Barents Sea. With the COSPAS-SARSAT low Earth orbit
system, the time that elapses between a vessel sending a
distress signal in the Arctic, and a rescue coordination
centre receiving an alarm may be up to one hour. In addition to having the technical equipment itself,
access to metocean (including ice) information and
navigational warnings are important in order to detect
potentially dangerous situations. This information is broadcasted
by the coastal radio stations and via VHF, HF/MF or
Inmarsat. Since the coverage from these radio and satellite
systems varies in the different regions of the Barents Sea,
availability of updated information varies in both time and
space.</t>
  </si>
  <si>
    <t>erquired communication in the event of emergency</t>
  </si>
  <si>
    <t>dangerous situations, distress calls</t>
  </si>
  <si>
    <t>Every winter, the coastlines of the Kara and Pechora
seas are scoured by drifting sea ice, which reduces the
diversity and abundance of sessile organisms in the
littoral and sub-littoral zones. The benthic faunal assemblages
down to 10 m water depth are evaluated as not
particularly vulnerable to oil pollution (Kulakov et al.
2006). Drifting eggs and fish larvae cannot swim effectively,
but move passively with the water currents.
They can therefore be highly influenced by oil and chemical
pollution in the water column. Marine mammals
and, especially, seabirds are vulnerable to oil pollution
(Kulakov et al. 2006).</t>
  </si>
  <si>
    <t>vulnerability to pollutants, inability to swim in waters</t>
  </si>
  <si>
    <t>Spilled oil and floating debris affect marine life.
Populations of plants and animals vary in distribution
and abundance through the year, so the impact of an oil
spill in a particular area will also vary with season. The
environmental sensitivity of the Vaygach area has been
evaluated for potential offshore petroleum activity and
potential oil spills (Pogrebov &amp; Puzachenko 2001). This
evaluation concludes that the Pechora Sea Kara Strait
coastal ecosystem is most vulnerable in spring, when
plankton blooms, migrating birds return and seals come
to breed. It is well documented that migrating birds leave
the Kara Strait area in the autumn, but there are large
gaps in our knowledge of the annual distribution and
abundance of marine organisms, especially for the Kara
Sea (Kulakov et al. 2006).</t>
  </si>
  <si>
    <t>impacts to natural environment, bioaccumulation in flora fauna, and humans</t>
  </si>
  <si>
    <t>oil spill, operational discharge</t>
  </si>
  <si>
    <t>Benthic fauna should
be sampled and analysed for oil and chemicals. Awildlifemonitoring
programme should include searches for dead
fish, mammals and seabirds, with subsequent autopsy
and chemical analysis to determine cause of death. Lastly,
a biosecurity survey could address whether new and
unwanted marine organisms have entered the environment
via the lost ballast water or the exterior of the hull
(Ware et al. 2012).</t>
  </si>
  <si>
    <t>chemicals creating or introducing new species into Arctic waters, pollution</t>
  </si>
  <si>
    <t>Policy issues
are addressed by the Protection of the Arctic Marine
Environment working group, while the Emergency Prevention,
Preparedness and Response working group
addresses aspects of environmental emergencies in the
Arctic. Their goal is to contribute to the protection of the
Arctic environment against the threat or impact that may
result from an accidental release of pollutants, including
radionuclides. The Emergency Prevention, Preparedness
and Response workshop in June 2012 concluded that we
are insufficiently prepared for an incident involving a
large container vessel (Arctic Council 2012). The workshop
recommended that ‘‘a Risk Analysis for the Arctic
should be carried out’’ and that the risk analysis should
include a worst case scenario with a container vessel to
improve our understanding of current and future environmental
risk of shipping in the Arctic.
The potential effects of the spilled chemicals are
threefold. The three oil-soluble chemicals are generally
expected to expose and affect biota in a similar manner as
oil.</t>
  </si>
  <si>
    <t>lack of complete baseline data</t>
  </si>
  <si>
    <t>unable to identify priority risks</t>
  </si>
  <si>
    <t>Arctic Council recommendation for Risk Analysis</t>
  </si>
  <si>
    <t>SAR operations in Arctic waters are challenging. Low sea
and air temperatures reduce the survival time for persons
in water or on ice. The probability of finding persons alive
depends on the following factors: response time for the
SAR resources; quality of initial position datum of a
missing person; models for drifting motion of live saving
equipment and persons in the sea; quality of technology
based search systems and application of pre-defined search
patterns; training of human lookouts on ships, helicopters
and airplanes; and on site weather (waves, wind, temperature
in sea and air, precipitation and fog) and light
conditions (day/night, summer/winter). Because of the low
traffic density in Arctic waters and large distances between
dedicated emergency response resources, all users of Arctic
waters have to focus on self-rescue as an important part of
their safety management strategy. Establishing a buddy
system with other vessels in the same waters is also
advisable</t>
  </si>
  <si>
    <t>harsh conditions, low sea and air temperatures</t>
  </si>
  <si>
    <t>response time decreased,reduced resource capacity, quality of identifying and finding vessel</t>
  </si>
  <si>
    <t>To identify the technological and infrastructural gaps for
safe maritime operations in this area requires, first, an
understanding of Arctic conditions, such as harsh weather,
icing, sea ice, low visibility, darkness and low temperatures.
One also needs to understand what kind of
equipment typically is installed and used on board the
vessels, and the need for supporting technology, infrastructure
and external aid during critical situations. Below
we point out some of the technological and infrastructural
gaps highlighted by the fictional Oleum accident.</t>
  </si>
  <si>
    <t>Publications, necropsy data, eye-witness collision reports, and anecdotal
data</t>
  </si>
  <si>
    <t>Collision reports for smaller marine species are generally
scarce likely due, at least in part, to a reporting bias rather than
collisions with smaller species being less frequent.We know that
collisions between large vessels and whales may not be reported
because vessel crew are not aware of the collision (Dolman
et al., 2006). Lack of awareness of a collision is even more
likely for smaller species. In addition, fatal collisions with most
cetaceans, whale sharks (Rhincodon typus), and sea turtles likely
go unnoticed because carcasses of these species sink quickly (van
Waerebeek et al., 2007; Speed et al., 2008; Williams et al., 2011;
Nero et al., 2013). Even if carcasses float, they may be consumed
by scavengers or too decomposed to reach shore. Whether
strandings of small and large species are reported with the same
probability is also unknown. It is possible that the general public
may be less concerned about reporting smaller species, such as
penguins and sea turtles, than about reporting large whales and
dolphins. Finally, there is no global encouragement nor a global
database, like the ship strike database for cetaceans established by
the IWC, to report collisions with smaller marine species. These
factors make it even more challenging to assess the frequency
and consequences of collisions with smaller species than it is for
large whales.</t>
  </si>
  <si>
    <t>increased vessel traffic, underwater noise pollution</t>
  </si>
  <si>
    <t>lack of baseline data available</t>
  </si>
  <si>
    <t>insufficient global encouragement, no global database to track marine collision incidents</t>
  </si>
  <si>
    <t>challenge to assess scale and severity of the global scale</t>
  </si>
  <si>
    <t>animal, injuries to vessel crew, abd damage to vessel</t>
  </si>
  <si>
    <t>change in mobility of species, decline and/or relocation of population.</t>
  </si>
  <si>
    <t>Table 1; Collision reports for smaller marine species are generally
scarce likely due, at least in part, to a reporting bias rather than
collisions with smaller species being less frequent.We know that
collisions between large vessels and whales may not be reported
because vessel crew are not aware of the collision (Dolman
et al., 2006). Lack of awareness of a collision is even more
likely for smaller species. In addition, fatal collisions with most
cetaceans, whale sharks (Rhincodon typus), and sea turtles likely
go unnoticed because carcasses of these species sink quickly (van
Waerebeek et al., 2007; Speed et al., 2008; Williams et al., 2011;
Nero et al., 2013). Even if carcasses float, they may be consumed
by scavengers or too decomposed to reach shore. Whether
strandings of small and large species are reported with the same
probability is also unknown. It is possible that the general public
may be less concerned about reporting smaller species, such as
penguins and sea turtles, than about reporting large whales and
dolphins. Finally, there is no global encouragement nor a global
database, like the ship strike database for cetaceans established by
the IWC, to report collisions with smaller marine species. These
factors make it even more challenging to assess the frequency
and consequences of collisions with smaller species than it is for
large whales.</t>
  </si>
  <si>
    <t>Vessel damage (e.g., cracked hulls, damaged hydrofoils, rudder
damage) is commonly reported for collisions between whales and
large vessels as well as small vessels (Laist et al., 2001; Neilson
et al., 2012; Ritter, 2012). Vessel damage from collisions with
smaller marine animals is less frequently reported. However,
South African fur seals (Arctocephalus pusillus) occasionally
Frontiers in Marine Science | www.frontiersin.org 7 May 2020 | Volume 7 | Article 292
Schoeman et al. Review Vessel Collisions Marine Animals
FIGURE 1 | Examples of vessel collision injuries observed on live cetaceans. (Top left) Southern right whale (Eubalaena australis) with a healed propeller injury (Photo
credit: Renée Schoeman). (Top right) humpback whale (Megaptera novaeangliae) with suspected blunt force trauma (Photo credit: Titus Shaanika). (Bottom)
bottlenose dolphin (Tursiops truncatus) with suspected propeller injury (Photo credit: Michelle Caputo).
come too close to the propellers of fishing trawlers while foraging.
These close interactions can result in fur seals incurring propeller
cuts and bending or breaking the propeller (Wickens and Sims,
1994). Sunfish are well-known for their damaging effects on
sailing yachts and even a large cement carrier incurred paint
damage to the hull from colliding with this species (Porcasi
and Andrews, 2001; Lulham, 2006). It is surprising that no
vessel damage, especially propeller damage, has been reported
for collisions between small vessels and sea turtles considering
their hard carapace. As mentioned under the section “Species
of marine animals colliding with vessels", the limited number of
vessel damage reports could be due to reporting biases.</t>
  </si>
  <si>
    <t>animails swimming too close to ships</t>
  </si>
  <si>
    <t>damage and/or desruction to vessel parts (hull, propellor, carriers)</t>
  </si>
  <si>
    <t>Table 1; Animals incur sharp and blunt force injuries when colliding
with a vessel (Figure 1), which can be lethal immediately upon
impact as well as several hours, days, or weeks after the incident
(Campbell-Malone et al., 2008; Martinez and Stockin, 2013;
Dwyer et al., 2014). Both sharp and blunt force injuries have
been extensively described for whales and manatees. Sharp force
injuries include external gashes and severed tail stocks or fins,
mainly originating from contact with a rotating propeller (e.g.,
Beck et al., 1982; Moore et al., 2004; Lightsey et al., 2006; Rommel
et al., 2007; Campbell-Malone et al., 2008; Douglas et al., 2008;
Hill et al., 2017). Blunt force injuries predominantly originate
fromcontact with the bow, hull, skeg, or rudder, and are classified
as abrasions (i.e., removal of the epithelial layer of the skin),
contusions (i.e., hemorrhages), lacerations (i.e., tearing of the
skin), and bone or skull fractures (DiMaio and DiMaio, 2001;
Lightsey et al., 2006; Moore et al., 2013). Criteria to identify
vessel strikes as the cause of death have predominantly been
developed from comprehensive necropsies on whales (Moore
et al., 2013) and reliable ways to separate ante-mortemfrompostmortem
injuries are becoming increasingly more established
(Sierra et al., 2014; Arregui et al., 2019). Furthermore, necropsies
and observations of whales andmanatees surviving a vessel strike
have provided information about the relationship between the
severity of injury and depth of laceration (i.e., into the skin,
blubber, or muscle), anatomical site of injury, and vessel speed
(Rommel et al., 2007; Vanderlaan and Taggart, 2007; Conn and
Silber, 2013; Wiley et al., 2016; Combs, 2018). Injured animals
experience a reduced welfare because of pain, stress, and possible
associated negative psychological states, with the extent of welfare
reduction being directly related to the type, severity, and duration
of an injury (de Vere et al., 2018).</t>
  </si>
  <si>
    <t>Animal mortaility</t>
  </si>
  <si>
    <t>appearing to colse to vessel, collision with vessel</t>
  </si>
  <si>
    <t>mortality, animal lacerations, animal injuries</t>
  </si>
  <si>
    <t>The impact of collision-related mortality on species and
(sub)populations is currently not well-understood (Thomas et al.,
2016). A decrease in population growth rate can be caused
by a high mortality rate or a decline in fertile animals. The
latter is of particular concern for long-lived marine species,
which generally have low recruitment rates and an older age of
sexual maturity (Heppel et al., 1999). Over time, it is possible
that vessel-related mortality might exceed the recruitment rate,
either through contributing to a cumulative mortality rate (i.e.,
mortality from both natural and human-related causes) or on
its own (e.g., Kraus et al., 2005; Guo, 2006; van der Hoop
et al., 2013; Fais et al., 2016). For species such as North Atlantic
right whales (Moore et al., 2004), Hauraki Gulf Bryde’s whales
(Balaenoptera edeni bryde, New Zealand: Constantine et al.,
2015), North Pacific blue whales (Redfern et al., 2013; Rockwood
et al., 2017), North Pacific humpback whales (Rockwood et al.,
2017),North Pacific fin whales (Rockwood et al., 2017; Keen et al.,
2019), and Canary Island sperm whales (Spain: Fais et al., 2016),
tools like comprehensive ship strike reporting systems, stranding
databases, and modeled risk analyses have helped to identify
populations for which ship strike rates may exceed population
recruitment rates.</t>
  </si>
  <si>
    <t>vessel speeds result in a decreased probability of detection of
marine animals by vessel operators and vice versa, resulting in
a higher probability of collision (Hazel et al., 2007; Gende et al.,
2011). Even if vessel operators are aware of an animals’ location,
the ability to avoid that animal will depend on the detection
distance, vessel speed, and vessel maneuverability (i.e., vessel
type). Small vessels may be able to move out of the way, even
when an animal is close and the vessel is going at high speed,
due to better maneuverability. In contrast, large vessels have
less maneuverability (i.e., greater response time to initiate and
adjust an avoidance maneuver and a greater turning angle) and
would need large distances to avoid an animal (Agreement on the
Conservation of Small Cetaceans of the Baltic North Seas, 2011).</t>
  </si>
  <si>
    <t>decreased detection of animals</t>
  </si>
  <si>
    <t>animal morality, vessel collision, crew injurys for collision</t>
  </si>
  <si>
    <t>As mentioned under section Mandatory Ship Reporting (MSR),
one of the earliest efforts to educate and create awareness
with mariners about collision risks was the broadcasting of
messages via the MSR system. Since then, education and
creating awareness initiatives have been started globally. Global
efforts have been undertaken by the IMO, who published a
collision guidance document that member governments were
encouraged to circulate further to stakeholders and interested
parties (International Maritime Organization, 2009). The IWC is
putting continuous efforts into global public outreach initiatives,
which have been a topic of attention since the start of the
SSWG (InternationalWhaling Commission, 2007).While global
efforts will ensure that mariners receive consistent information
about collision risks, it can take a considerable amount of time
to compose and distribute internationally relevant data. Hence,
local efforts to educate mariners on the risk of collision with
a specific species or within a specific area are a faster way to
create awareness and help mitigate collisions in local hotspots.
An example of a more localized effort is the development of an
educationmodule formaritime academies, as well as certification
and licensing courses, by the New England Aquarium under
a contract issued by the NMFS in 2003. This module aims to
educate vessel officers and crew about the potential for vessel
strikes with North Atlantic right whales and the regulatory
measures in place to protect these whales (Knowlton et al., 2007).</t>
  </si>
  <si>
    <t>lacking awarness, knowledge gaps reagrding the harms of hitting marine animals</t>
  </si>
  <si>
    <t>reduction in collisions, increased implementation of mitigation measures and controls</t>
  </si>
  <si>
    <t>Best Practicies, Research</t>
  </si>
  <si>
    <t>Re-routing measures, speed restrictions, animal detection sensors, eterrant devices, propeller guards; Mandatory Ship reporting, Passive acoustic buoy systems, early warning systems, real time ploting of cetaceans</t>
  </si>
  <si>
    <t>One question that remains difficult to answer is why animals
do not move out of the way of approaching vessels. Behaviors
such as resting, foraging, nursing, and socializing likely distract
animals fromrisk detection (Dukas, 2002). Furthermore, animals
potentially do not hear approaching vessels when near the
surface. Sound from a vessel reaches an animal via direct and
surface-reflected paths leading to constructive and destructive
interference (i.e., Lloyd’s mirror effect), with moments when
vessel noise may be inaudible to the animal (Gerstein et al., 2005;
Thorpe, 2010; Erbe et al., 2016). In addition, acoustic shadows in
which radiated ship noise levels approach or fall below ambient
noise levels, may form ahead of a vessel (Gerstein et al., 2005),
leaving that vessel undetectable to animals in its direct path,
especially when at the surface.</t>
  </si>
  <si>
    <t>animals fail to move awaay from vessels, vessel -animal collisions, animal mortaility</t>
  </si>
  <si>
    <t>Satellite and aerial imagery</t>
  </si>
  <si>
    <t>When we excluded pleasure craft from the calculation of hypothetical
vessel strike risk, the identified hotspots were identical and the cell
values remained largely unchanged for both BCB and ECWG bowhead
whales (Figs. S16, S17). Therefore, pleasure craft had little impact on the
calculation of vessel strike risk. This is likely because most pleasure craft
in our study region traveled at low speeds (&lt; 10 knots), particularly in
the BCB region (Figs. S8, S11).
Focusing the calculation of vessel strike risk only on bulk carriers,
container ships, and tanker ships, the outputs changed significantly
(Figs. S16, S17). Although all previously identified risk hotspots
continued to have some elevated risk based on these three vessel classes,
the magnitude of risk decreased. For BCB in particular, the vessel strike
risk decreased because few vessels within those classes traveled through
whale concentration areas. For ECWG, the area off eastern Baffin Island
near Clyde River and Isabella Bay remained an area of higher vessel
strike risk, particularly in September, as did the area in Cumberland, but disappeared, whereas risk decreased but was still present during
September in the southern Gulf of Boothia compared to the calculations
that included all vessel classes.
As a final step in this analysis, we extracted the average number of
vessel tracks across years within each vessel class in September that
contributed to the vessel strike risk hotspots (values &gt;0.3) for each 10
km cell, and then summed the number of vessel tracks per class across
cells (Fig. 8).
Sound closest to Pangnirtung. Much of the vessel strike risk in the Gulf of
Boothia, particularly during August near southern Somerset Island</t>
  </si>
  <si>
    <t>The remote and often harsh
nature of Arctic coastlines makes such data difficult to obtain. However,
the lack of data and difficulty collecting data do not preclude action on
this issue. Increased focus lately by government agencies on monitoring
whale populations and anthropogenic stressors may lead to better
availability of vessel strike data for the Arctic in the future. An important
recommendation from our study is further effort focused on monitoring
whale populations in the Arctic, particularly in these potential hotspots
for vessel strikes that we identified.</t>
  </si>
  <si>
    <t>remote and harsh environment</t>
  </si>
  <si>
    <t>difficult conditions to collect data</t>
  </si>
  <si>
    <t>There are, however, numerous
emerging threats linked with climate change that already or could have
negative influences on population trends, including changes in habitat
(e.g., sea ice loss, increased temperature and upwelling frequency,
changing current pathways), prey availability and quality (e.g., more
temperate-associated forage fish such as capelin (Mallotus villosus) and
lipid-poor copepods moving north), and predator occurrence (e.g.,
increased killer whales (Orcinus orca) in the Chukchi Sea and Nunavut)</t>
  </si>
  <si>
    <t>extinction of species, change in food web/chains</t>
  </si>
  <si>
    <t>Underwater noise from anthropogenic activities,
including vessel traffic and offshore energy/mineral exploration and
extraction activities, has increased and has significant potential to
displace whales from important feeding areas (Halliday et al., 2021,
2020). More vessel traffic also increases the potential for vessel strikes
(George et al., 2021, 2017). Bowhead whales are expected to be as
vulnerable to vessel strikes as their close relatives, North Atlantic right
whales, which have similar body morphology, foraging tactics, slow
swimming speed, and prevalence of subsurface foraging behaviour
(Fortune et al., 2020b; Parks et al., 2012).
The only studies that have investigated vessel strikes involving
bowhead whales found little evidence of past, non-lethal, vessel strikes
in subsistence harvested BCB whales (i.e., 1–2 % of whales with scarring
from vessels) (George et al., 2017, 1994). However, the more recent
analysis relies on data collected from 1990 to 2012 (George et al., 2017),
and vessel traffic has increased in the Arctic since that period (Dawson
et al., 2018; PAME, 2020).</t>
  </si>
  <si>
    <t>However, the boundaries of the protected area only
cover Isabella Bay and the adjacent ocean 12 nautical miles (~22 km)
offshore, whereas the hotspot for increased vessel strike risk that we
identified for this area is completely outside the designated boundaries,
laying roughly between 5 and 35 km east of the boundary (e.g., Fig. 6).
Expanding a 35 km (or even 50 km) buffer around the protected area
and designating it as an exclusion area, or creating a corridor for vessels
farther offshore, could be an effective way to better protect bowheads in
this area.</t>
  </si>
  <si>
    <t>small MPA boundries, negigence</t>
  </si>
  <si>
    <t>disruption within MPA, trvelling through and damaging MPA</t>
  </si>
  <si>
    <t>Large cetaceans, particularly slow swimming baleen whales (mysticetes),
are at risk of being struck by ships and other marine vessels
(henceforth collectively referred to as vessels), which can lead to serious
injury (Laist et al., 2001) and death (Conn and Silber, 2013; Kelley et al.,
2020; Vanderlaan and Taggart, 2007). Whales are at greater risk of
vessel strike when they spend time at the surface to breathe, rest, forage,
and socialize (Parks et al., 2012). Vessel strike risk is elevated at higher
vessel speeds, with greatest risk for surfaced whales being within 1–2
whale lengths of the vessel (Silber et al., 2010). Whales below the surface
at depths that are 1–2 times the vessel's draft are also at risk, and
even more vulnerable, due to the propeller suction effect (Silber et al.,
2010). For whale populations, vessel strikes represent a form of additive
mortality that is slow to be compensated for due to inherent low
reproductive outputs (George et al., 2021; Meyer-Gutbrod and Greene,
2018).</t>
  </si>
  <si>
    <t>cliamte change, species population and migration pattern shift</t>
  </si>
  <si>
    <t>surfacing to breathe, rest, forage, and socialise</t>
  </si>
  <si>
    <t>decreased populations, population degration, lack of resources to local communities</t>
  </si>
  <si>
    <t>Figure 3; Large cetaceans, particularly slow swimming baleen whales (mysticetes),
are at risk of being struck by ships and other marine vessels
(henceforth collectively referred to as vessels), which can lead to serious
injury (Laist et al., 2001) and death (Conn and Silber, 2013; Kelley et al.,
2020; Vanderlaan and Taggart, 2007). Whales are at greater risk of
vessel strike when they spend time at the surface to breathe, rest, forage,
and socialize (Parks et al., 2012). Vessel strike risk is elevated at higher
vessel speeds, with greatest risk for surfaced whales being within 1–2
whale lengths of the vessel (Silber et al., 2010). Whales below the surface
at depths that are 1–2 times the vessel's draft are also at risk, and
even more vulnerable, due to the propeller suction effect (Silber et al.,
2010). For whale populations, vessel strikes represent a form of additive
mortality that is slow to be compensated for due to inherent low
reproductive outputs (George et al., 2021; Meyer-Gutbrod and Greene,
2018).</t>
  </si>
  <si>
    <t>International Comprehensive Ocean-Atmosphere Data Set (ICOADS) released by the National Climate
Information Centre of the United States (NCDC), measured data from meteorological stations released
by the National Oceanic and Atmospheric Administration (NOAA) observing; air temperature (AT), wind speed (WS) and relative humidity (RH) directly a ect
visibility, while dew point temperature (DPT), sea level pressure (SLP) and the temperature di erence
between the sea and air (TDSA)</t>
  </si>
  <si>
    <t>With the gradual increase in global temperatures, the melting rate of sea ice in the Arctic
is accelerating, and the Arctic passages (APs) are close to being fully opened. According to the
Intergovernmental Panel on Climate Change’s (IPCC) Fifth Assessment Report (AR5), it is highly likely
that the Arctic sea ice will melt completely in late summer during the second half of the 21st century and
these conclusions were confirmed by further analyses of the CMIP3 (Climate Model Intercomparison
Project) archives. The APs refer to the three passages that cross the Arctic: the Northeast Passage,
Northwest Passage and North Pole Passage. Compared with the traditional passages crossing the
Strait of Malacca, Suez Canal and Panama Canal, the APs not only lower military risks but also are
associated significant economic benefits.
However, although merchant ships can cross the APs in August and September each year,
the Arctic’s natural environment is complex and harsh. Therefore, it is very important to objectively
assess the environmental risks of crossing the Arctic. The main factors influencing the navigation
risk of crossing APs are sea ice and visibility [1–3]. Sea ice data are abundant, enabling the needs
of assessment to be met, but atmospheric visibility data are extremely scarce [4] because of less
observations and complicated microphysical parameterization schemes of visibility [5–7].</t>
  </si>
  <si>
    <t>Data from
satellites are always a ected by clouds, so it is very unstable [8]. Because the uncertainty of visibility
parameterization always exists in NWP, the visibility data from NWP still need be improved [5,6,9]. So,
obtaining a large number of high-quality visibility gridded data and understanding the temporal and
spatial variations of visibility in the Arctic is of great significance for ensuring the safety of crossing
the APs.
To improve the result from NWP, many scholars have studied the parameterization scheme of
visibility. A new microphysical parameterization for fog (NMPF) method using RH (relative humidity),
LWC (liquid water content) and Nd (droplet number concentration) parameters was developed by
Gultepe et al. [5] to calculate visibility due to fog when RH~100%, and the NMPF has been used
extensively in NWP simulations. This new method significantly improves the prediction of visibility
from the operational forecast models.</t>
  </si>
  <si>
    <t>temporal and spatial cliamte variations</t>
  </si>
  <si>
    <t>data prediction modelling failures/limitations</t>
  </si>
  <si>
    <t>decreased visibility estimation significance</t>
  </si>
  <si>
    <t>In addition to NWP, many other methods are also used to calculate visibility. Kessner et al. [4]
retrieved atmospheric visibility based on satellite remote sensing aerosol optical thickness data and
achieved good results. However, due to the many defects of aerosol data obtained from satellite remote
sensing because of thick clouds, the method cannot guarantee the calculation of visibility data around
the world. At the same time, visibility was calculated with the Koschmieder formula, which is an
empirical formula that uses the attenuation coe cient [10]. Fei et al. [17] retrieved visibility based
on principal component regression (PCR) and NOAA/AVHRR remote sensing data.</t>
  </si>
  <si>
    <t>Ice conditions-related factors are special RIFs which are
also considered in accident analyses and risk models for other sea areas
in which sea ice affects ship navigation (Goerlandt et al., 2017; Valdez
Banda et al., 2016), so it is unsurprising that these also appear in risk
models for navigational accidents in Arctic shipping.</t>
  </si>
  <si>
    <t>The most critical root factor is ‘lack of communication or
miscommunication’, in the sense that it is considered most frequently in
the different risk models, namely four times.
Comparing the RIFs in the risk models with the hazard sources in the
Polar Code, it is found that in the Polar Code only one hazard source
(lack of ship crew experience in polar operations), is listed. It is a subjective
factor, which is difficult to evaluate and quantify. None of the
articles use this factor directly in the risk modeling, but some analogous
and arguably more specific factors are used, such as ‘inadequate
knowledge’ or ‘judgment or decision failures’.</t>
  </si>
  <si>
    <t>Considering the strength of evidence of these human and organizational
RIFs, as mentioned in Section 4, and Sections 5.1 and 5.2 above, it
is noted that only the models by Aziz et al. (2019), Zhang et al. (2019c)
and Kum and Sahin (2015) are based on accident data and/or reports.
Hence, it can be argued that the factors identified in those models have a
somewhat stronger evidential basis than the other factors, even though
the others are also plausible as they have been identified based on expert
judgment. These data-based factors are: ‘negligence’, ‘lack of situational
awareness’, ‘judgment or decision failure’, ‘anti-collision rule gap’,
‘safety measure and preventive action (lack/inadequate)’, and ‘lack of
communication or miscommunication’.</t>
  </si>
  <si>
    <t>As indicated above, in the Polar Code only ‘topside icing’ and ‘lack of
suitable emergency response equipment’ are listed as a hazard source
related to ship-related factors. The articles thus consider more specific
ship-related RIFs in the risk models, compared with the Polar Code.
Failures of navigation aids and of communication equipment are
Table 2
Aspects of papers addressing to quantitative risk analysis of Arctic shipping operations.
No Reference Scenario RIF groups Method Evidence source
1 Khan et al. (2020) Ship-ice collision Environmental and ship-related
factors
Dynamic Bayesian Network (DBN) Ship navigation dataset,
assumption data
2 Aziz et al. (2019) Fire/explosion,
machinery failure
Ship-related and human factors Bow-tie (Fault Tree Analysis (FTA) &amp;
Event Tree Analysis (ETA))
Ship maintenance logbook,
incident reports
3 Zhang et al. (2019c) Collision (shipicebreaker
collision)
Environmental, ship-related, human
and organizational factors
FTA, Human Factors Analysis and
Classification System (HFACS)
Accident/incident investigation
reports, expert judgment
4 Baksh et al. (2018) Collision, foundering
and grounding
Environmental, ship-related, and
human factors
Bayesian Network Literature and expert judgment
5 Fu et al. (2018a) Ship stuck in ice Environmental and ship-related
factors
Fuzzy-Event Tree Analysis (FETA), Frank
copula
Expert judgment
6 Khan et al. (2018) Ship-ice collision Environmental, ship-related, and
human factors
Object-Oriented Bayesian Network
(OOBN)
N/A (assumption data)
7 Obisesan and
Sriramula (2018)
Ship-iceberg collision Environmental, ship-related, and
human factors
Efficient surrogate model, FTA Literature
8 Afenyo et al. (2017) Ship-iceberg collision Environmental, ship-related, and
human factors
Bayesian Network Literature
9 Fu et al. (2016) Ship stuck in ice Environmental and ship-related
factors
Correlation analysis, Bayesian Network Ship navigation dataset, expert
judgment
10 Kum and Sahin
(2015)
Collision, grounding,
machinery failure
Environmental, ship-related, human
and organizational factors
Root cause analysis, current reality tree,
Fuzzy-Fault Tree Analysis (FFTA)
Accident/incident investigation
reports, expert judgment
Table 3
Environmental RIFs considered in the selected ten articles related to QRA of navigational accidents in Arctic shipping.
Environmental
RIFs
1
Khan et al.
(2020)
2
Aziz et al.
(2019)
3
Zhang et al.
(2019c)
4
Baksh et al.
(2018)
5
Fu et al.
(2018a)
6
Khan et al.
(2018)
7
Obisesan and
Sriramula (2018)
8
Afenyo et al.
(2017)
9
Fu et al.
(2016)
10
Kum and
Sahin
(2015)
Weather conditions
Fog √ √ √
Snow or rain √ √ √ √
Wind √ √ √ √ √
Visibility √ √ √ √ √ √
low temperature √ √
Severe weather
condition
√ √
Sea state
Wave √ √ √
Sea current √
Sea temperature √
Inadequate depth √ √
Environmental
obstacles
√ √
Ice conditions
Ice strength √ √
Ice concentration √ √ √
Ice thickness √ √
Drift/pack ice √ √ √ √ √ √
Ridge ice/iceberg √ √ √ √ √ √
Other
Darkness √ √
Season √
Impact from other
ships
√ √
S. Fu et al.
Safety Science 139 (2021) 105254
10
commonly applied RIFs in maritime accidents in various waters, see e.g.
H¨anninen and Kujala (2012) and Sotiralis et al. (2016). Ice class and
icebreaker or tugboat failure are special RIFs in Arctic shipping accidents,
and are included also in other risk models for navigation in icecovered
waters (Valdez Banda et al., 2016) or in a risk-based design
context for vessels operating in ice conditions (Kujala et al., 2019).</t>
  </si>
  <si>
    <t>Most of the articles consider three or more root RIFs from two or
three different sub-categories, with Zhang et al. (2019c) and Baksh et al.
(2018) accounting for six root RIFs. Following five root RIFs can be
identified as the most significant factors, also the critical ship-related
RIFs for navigational accidents in Arctic shipping, which are consid
ered
in three or more different risk models: ‘ice class’, ‘engine power’,
‘ship speed’, ‘aids to navigation failure, limitation or errors’, ‘commu
nication
equipment failure’ and ‘icebreaker or tugboat failure’.</t>
  </si>
  <si>
    <t>Comparing the risk factors in the risk models after with the hazard
sources in the Polar Code, it is found that the articles use a more specific
perspective than the Polar Code. For example, the articles apply five
characteristics of ice: ice strength, ice concentration, ice thickness, drift/
pack ice and ridge ice/iceberg, to specifically operationalize the hazard
source ‘ice’ in the Polar Code. Most of the hazard sources identified in
the Polar Code have been considered in these articles, only for ‘sensitive
environment’ can an equivalent root RIF not be identified. This may be explained because ‘sensitive environment’ is more associated with
environmental consequences such as oil spill or noise pollution from
vessels. The fact that the selected articles focus on factors contributing to
the accident occurrence rather than on consequences, can explain that
this factor identified in the Polar Code is not found in these articles in the
academic literature.</t>
  </si>
  <si>
    <t>vessel-source pollution, oil spills</t>
  </si>
  <si>
    <t>As mentioned in Section 4, only a few articles (Fu et al., 2016; Kum
and Sahin, 2015; Zhang et al., 2019c) use accident data and/or accident
reports as the evidence base for the risk model development, while the
other articles rely on expert judgment or on assumptions. Considering
this, it is apparent that the RIFs ‘snow or rain’, ‘wind’, ‘visibility’, ‘low
temperature’, ‘severe weather condition’, ‘wave’, ‘sea temperature’,
‘inadequate depth’, ‘ice concentration’, ‘ice thickness’, ‘drift/pack ice’,
‘ridge ice/iceberg’, and ‘impact from other ships’ have a somewhat
stronger evidence base than the other factors listed in Table 3, as these
are based on empirical data. The other RIFs included in Table 3 are
considered relevant by various experts (e.g., ‘fog’, ‘sea current’, or ‘ice
strength’), but are not as such based on empirical findings. Expert
judgment is widely considered a relevant knowledge source in risk
analysis contexts, but given the importance of considering uncertainties
in the evidence base in contemporary risk perspectives (Aven, 2013;
Goerlandt and Reniers, 2016; Zio, 2016; Zio and Aven, 2013), it is
prudent to make distinctions between the strength of evidential support
for different factors which are plausibly related to accident occurrence
in Arctic navigation.</t>
  </si>
  <si>
    <t>The hazard source identified in the Polar Code – ‘topside icing’ have
not been considered in these articles, which may be explained because
‘topside icing’ is more readily linked to occupational accidents and
stability-related accident, rather than navigational accidents. The fact
that the selected articles focus on factors contributing to the accident
occurrence rather than on consequences, can explain that this factor
identified in the Polar Code is not found in these articles in the academic
literature</t>
  </si>
  <si>
    <t>occupational or stability related incidents</t>
  </si>
  <si>
    <t>topside icing, lac of suitable emergency resopnse equipment</t>
  </si>
  <si>
    <t>Further development and implementation of the Polar Code</t>
  </si>
  <si>
    <t>Arctic operations are very challenging. Winds can topple equipment, currents can derail
prospective shipping routes, waves can topple and flood equipment and climate factors can alter
projections of delivery and maintenance. Furthermore, the harsh climate of the Arctic makes maintenance
critical for safe operation [3].</t>
  </si>
  <si>
    <t>Migration of marine animals and their natural activities such as feeding and mating
can cause interference with operations due to the relatively small amount of species that are adapted
to particular Arctic conditions and owing to the lack of information we have about their habits it is important
to avoid interference with ecological processes, particularly with those that relate to keystone species such
as whales and Polar bears [2]. Accidents in the arctic can have catastrophic consequences that can affect
renewable resources such as Fisheries. Fisheries represent 20 to 30 % of the income of the Arctic.
The increased transit will also increase pollution and may increase the riskof transportation of invasive species
with ballast water [5]</t>
  </si>
  <si>
    <t>introduction of invasinve species, increased pollution</t>
  </si>
  <si>
    <t>underwater noise pollution, vessel discharge, bioaccumulation to flora and fauna</t>
  </si>
  <si>
    <t>ecological changes. species behavioural changes, vessel discharge, bioaccumulation to flora and fauna</t>
  </si>
  <si>
    <t>The economy of the Arctic zones is
dependent on the extraction of minerals: oil, gas and fisheries. While nonrenewable resources offer high rents,
they also require extensive infrastructure and pose high risks to the ecology and renewable resources
of the Arctic [6]. Native populations are heavily dependent on a small pool of renewable resources, not only
economically, but also culturally and spiritually, and these populations should be safeguarded [18].</t>
  </si>
  <si>
    <t>"The economy of the Arctic zones is
dependent on the extraction of minerals: oil, gas and fisheries. While nonrenewable resources offer high rents,
they also require extensive infrastructure and pose high risks to the ecology and renewable resources
of the Arctic [6]. Native populations are heavily dependent on a small pool of renewable resources, not only
economically, but also culturally and spiritually, and these populations should be safeguarded [18]."</t>
  </si>
  <si>
    <t>The development of the North Passage will require a higher investment in infrastructure, but
projections suggest that this can double transportation and translate to $52 billion in profits [11]. These profits
can lead to higher employment for both local populations and migrant workers. Increased economic activity
will increase pressure on infrastructure, for example ports in low population density artic regions
in Canada and the US. Russia has several functioning ports along these routes however some need to be
updated [12].</t>
  </si>
  <si>
    <t>infrastructure, geological conditions and concerns, uncertain ice cover and poorly mapped depth
on likely routes</t>
  </si>
  <si>
    <t>availability of resource, ecological changes, increase pollution and risk transporting invaisive species</t>
  </si>
  <si>
    <t>Model, Policy/Standards</t>
  </si>
  <si>
    <t>Machine Learning and AI mediated sensors (chemical, ecological, and atmosphereic) detercting anomolies; Increased implemwntation of polar code standards and strengthening requirements within ice covered waters</t>
  </si>
  <si>
    <t>The
significance of an increase of oil related vessels can mean that an accident is more likely to occur, and the
higher amount of cargo and shipping vessels that there will be also a higher possibility of both interference
to wildlife and collisions, damage to more exploited fisheries is likely to quantify as higher damages,
as fisheries represent more than 30% of the income of some Arctic regions and indigenous peoples
in the regions with lower incomes are more dependent on fishing and make use of other natural resources
in zones that might be affected by an accident. The Arctic council has also indicated that there are possibilities
of more soft and thin ice as well as small icebergs detaching from larger ice formations which could affect
navigation at many times of the year [20].</t>
  </si>
  <si>
    <t>Unprecedented sea ice loss due to climatic warming is expanding the
open-water season for Canada’s Northwest Passage, resulting in
increased marine traffic to service the growth of regional communities
and industrial activities (Dawson et al., 2018; Overland and Wang,
2013; Smith and Stephenson, 2013).</t>
  </si>
  <si>
    <t>Increases in marine traffic inherently
increases the risk of an oil spill in the Arctic. Oil spills are disastrous
events with intertwined environmental, social, and economic
impacts that require both short and long-term clean-up strategies.
Follow-up studies from the 1989 Exxon Valdez oil spill, where 10.8 M
gallons of crude oil spilled into Prince William Sound, Alaska, showed
that 12 years later, an estimated 55,600 kg of sequestered oil persisted
(Short et al., 2004) and notably, has remained largely unchanged from
the 2001–2015 period (Lindeberg et al., 2018). This persistence highlights
not only the inherent challenges of oil spill clean-ups, which are
even more difficult in the Arctic’s remote and harsh climate (Li et al.,
2016), but also the need for improved long-term oil spill clean-up
strategies.</t>
  </si>
  <si>
    <t>However, very limited data exists on hydrocarbon
biodegradation and bioremediation on high Arctic beaches, particularly
along Canada’s Northwest Passage.
To date, knowledge of hydrocarbon biodegradation on high Arctic
shorelines is based on analyses from three field projects: the Baffin Island
Oil Spill (BIOS) in the Canadian high Arctic in 1980 (Sergy and Blackall,
1987), the Svalbard shoreline field trials on Spitsbergen, Norway in 1997
(Gu´enette et al., 2003) and two experimental spills in Svalbard in 2002
and 2003 (Røberg et al., 2007, 2011).</t>
  </si>
  <si>
    <t>limited knowledge and risk information</t>
  </si>
  <si>
    <t>Fieldwork collection, SILVA database v. 132</t>
  </si>
  <si>
    <t>Our beta diversity
analysis suggested distinct community composition between beaches,
where clustering was largely explained by the beach duplicate collected.
Such differentiation is congruent with the literature on the heterogeneity
of beaches, where bacterial abundance may differ at a millimetre
scale (Seymour et al., 2000). Overall, microbial communities clustered
by geographic location with the sediments from Cambridge Bay as
farthest from Resolute, Nanisivik and Alert (Fig. 2C).
Despite unique microbial community composition at each beach,
mineralization of hexadecane and naphthalene was observed demonstrating
pristine high Arctic beaches along the Northwest Passage
harbour microbes capable of degrading hydrocarbons at low temperature
(4 ◦C). Of the beaches used in the mineralization microcosms,
sediment from Resolute had the highest abundance of potential
hydrocarbon-degrading genera (Tank, 0.111 ± 0.012), followed by
Cambridge Bay (0.076 ± 0.001), then Nanisivik East (0.031 ± 0.007).
Screening for potential oil degraders was conducted using a set of genera
previously implicated with hydrocarbon biodegradation in cold environments
(Brakstad et al., 2017) and thus, may be an underestimate of
the true hydrocarbon-degrading community. Nonetheless, the abundance
reported is congruent with the observation that hydrocarbondegrading
genera may be present in up to 10% of a microbial community
(Atlas, 1981) and the detection of oil degraders by enumeration in
pristine high Arctic beach sediments (Røberg et al., 2007). The differences
between the total abundance of potential hydrocarbon degrading
genera across beaches may be explained by microbe enrichment from
minor pollution events</t>
  </si>
  <si>
    <t>increased presence within warmer temperatures</t>
  </si>
  <si>
    <t>increased vessel traffic, poil spills,</t>
  </si>
  <si>
    <t>While hexadecane and naphthalene mineralization were observed at
each beach, the extent of mineralization was variable between beaches.
In this study, Cambridge Bay showed the greatest extent of biodegradation
relative to Nanisivik and Resolute. However, Resolute had the
highest total proportion of potential hydrocarbon-degrading genera.
Thus, a higher proportion of total hydrocarbon-degrading genera was
not a reliable indicator of the extent of hydrocarbon biodegradation.
Similar results have been obtained for pristine sub-Antarctic intertidal
sediments where despite similarities in most probable number of
hydrocarbon-degrading microorganisms initially, strong differences in
extent of oil degradation were observed (Delille and Delille, 2000).
Higher organic matter content may also positively impact the extent of
Fig. 6. Abundance (counts per million) of alkane
biodegradation genes: alkB and CYP153 and aromatic
hydrocarbon biodegradation genes: phnAc in a 0-day
uncontaminated microcosm and in 55-day ULSFO
contaminated triplicate unamended microcosms (Oil)
and triplicate nutrient-amended microcosms (Oil &amp;
FERT). Genes are colored by contig taxonomy at the
genus level. (For interpretation of the references to
color in this figure legend, the reader is referred to
the web version of this article.)
M. Ellis et al.
Marine Pollution Bulletin 174 (2022) 113288
10
hydrocarbon biodegradation (Chen et al., 2020).</t>
  </si>
  <si>
    <t>n contrast to the early work conducted on high Arctic beaches,
recent studies have used high-throughput methods to advance the understanding
of oil degrading microbial communities in other high Arctic
environments including marine waters (Krolicka et al., 2019; Ribicic
et al., 2018; Vergeynst et al., 2019), soils (Ferguson et al., 2020; Yergeau
et al., 2012) and ice (Garneau et al., 2016; Vergeynst et al., 2019; Lofthus
et al., 2020). In the Canadian high Arctic, a survey of seawater and
sea ice was conducted in the Northwest Passage, where taxonomic and
functional differences were observed between microbial communities of
seawater and sea-ice (Yergeau et al., 2017). Another study in the
Northwest Passage examining hydrocarbon biodegradation by sub-ice
and sea-ice microbial communities found communities degraded 94%
and 48% of the oil, respectively (Garneau et al., 2016). The authors
additionally found differences in microbial communities following hydrocarbon
exposure, where Bacteroidetes (mainly Polaribacter) dominated
sea-ice communities and Epsilonproteobacteria increased in subice
communities (Garneau et al., 2016). Relative to these other high
Arctic environments, biodegradation on high Arctic shorelines is
affected by many unique factors (Wang et al., 2020), particularly:
limited ice-free days and sustained low temperatures even after thaw
conditions (Owens and Harper, 1977; Prince et al., 2002), dynamic oilsediment
interactions influenced by tidal action (Gustitus and Clement,
2017; Owens et al., 1987), and limited concentrations of nutrients and
oxygen that may vary with shoreline depth (Jansson, 1967; Lindeberg
et al., 2018; Prince, 1993). Thus, the aim of this work was to broaden the
body of knowledge of oil biodegradation on high Arctic shorelines,
particularly along Canada’s Northwest Passage.</t>
  </si>
  <si>
    <t>water pollution, marine mammal health risks, negative community health impacts, bioaccumulation</t>
  </si>
  <si>
    <t>negative community health impacts, bioaccumulation</t>
  </si>
  <si>
    <t>The Arctic is warming precipitously, with sea ice coverage declining
over time. The Arctic’s surface air temperature is at a record high, with
temperatures from 2014 through 2018 all exceeding previous records
[12]. The average annual global surface temperature is expected to increase
by 4–13 ◦C by the year 2100 [13]. Currently, the Arctic Ocean has
a polar ice cap consisting of multi-year ice that remains frozen
year-round, but in parts of the ocean and surrounding seas, the ice thaws
during the summer, making icebreaker-escort navigation possible during
the late summer and early fall. Based on the Arctic sea ice trend from
1979 to 2012, the entirety of the Arctic Ocean is expected to have an
ice-free September before 2050 [14]. By 2100, the Arctic Ocean is
projected to be ice-free for half of the year [15]. The ice along both the
NSR and NWP is diminishing at the highest rate across the Arctic,
making the routes easier to navigate. Although certainly not the only
influencing factor, as ice-related barriers and dangers decrease, shipping
and other traffic will likely rise.</t>
  </si>
  <si>
    <t>The
Polar Code has also emerged as an instrument for improving ship
insurability and aiding underwriters in their risk appraisals and vessel
insurances, even if only in limited ways [6].
The Arctic Council is a forum in which the eight Arctic states and six
Permanent Participants representing Indigenous communities discuss
issues related to the Arctic, like human security and environmental
concerns. It has also served as a venue for Arctic states to negotiate legally
binding agreements related to aeronautical and maritime search
and rescue (SAR), marine oil pollution prevention and response, and the
enhancement of cooperation on scientific research [7]. In its working
groups, states, Indigenous groups, non-governmental organizations, and
scientists collaborate to collect and analyze data related to Arctic
problems and challenges and make recommendations to policy makers
for positive change. As one example, the Protection of the Arctic Marine
Environment (PAME) focuses on sustaining the marine environment and
advocates accordingly, thus contributing to the governance of maritime
traffic.
In addition to these international efforts, Arctic states have established
national policies towards the Arctic region. As the area continues
to open up, states must decide if they will continue to follow the wellestablished
ethos grounded in the constructed “zone of peace and
fruitful cooperation,” as Gorbachev envisioned in his 1987 Murmansk
speech [8] and codified in Arctic institutions, or if they will digress from
this norm and secure their interests through unilateral action in a
zero-sum worldview. The direction states take in their Arctic policies
impacts the future use of the Arctic routes and governance of maritime
traffic.</t>
  </si>
  <si>
    <t>climate change, increased ship presence, increased accibility to NWP</t>
  </si>
  <si>
    <t>exploitation of species, rapid tourism increase, increase in scientific voyages</t>
  </si>
  <si>
    <t>The assumption is that despite lying within the Arctic region, each
route has its own geophysical, legal, and political features that shape its
evolving governance regime. The NSR lies within Russia’s EEZ.
Although international reconciliation on the level of authority that
Russia should have over the NSR is optimal, the route’s future viability is
less at risk than the NWP’s. Russia has exerted, and will continue to
exert, control over the NSR and its traffic in a predictable, albeit challenged,
fashion. Accordingly, it has developed a number of ports and
icebreakers to facilitate traffic in the route. In contrast, the currently
debated legal status of the NWP in the Canadian archipelago will likely
become untenable as traffic increases: Vessels will need to know
whether to follow Canadian or international rules. The future viability of
the NWP rests on international cooperation, particularly since the entire
route passes through the EEZs of multiple countries (the United States,
Canada, and the Kingdom of Denmark). Also, compared to Russia,
Canada has fewer ports and icebreakers to support vessel traffic (for a
discussion of the development of ports in the Arctic, see [11]). Russia
exerts authority over NSR traffic regardless of legal and political contentions,
while Canada does not exert the same level of control over the
NWP. Moreover, although companies are far from consistently using
either route, if they more routinely use the Arctic region as an alternative
to the Suez and Panama Canals for the shipment of goods</t>
  </si>
  <si>
    <t>Scholars debate the near future viability of the NSR. Some argue that
the route will become a better alternative to the Suez Canal. Faury and
Cariou compare a 1 A Ice-Class Panamax tanker vessel using the NSR
with a Panamax tanker vessel using the Suez Canal Route and conclude
that the NSR provides a competitive advantage from August to
November [26]. Bekkers, Francois, and Rojas-Romagosa find not only
that the NSR is viable but also causes shifts in trading patterns between
Asia and Europe, more traffic in the Arctic, and a drop in Suez traffic
[27]. In contrast, some argue that the prospect of routinely using the
NSR soon is low. Pruyn concludes that given increased time waiting and
slow steaming and extra costs, ships will not find the NSR more attractive
than the Suez Canal [28]. Based on data from ship owners, Lasserre
and Pelletier find that the bulk shipping sector is hesitant to use the NSR,
while the container shipping sector is not interested in the route [29].
Finally, some qualify the route’s viability by vessel type.</t>
  </si>
  <si>
    <t>In a separate study, Zhang and colleagues further assert that
the route is conducive for liquid, bulk, and general cargo ships [31].
Stephenson, Brigham, and Smith argue that although navigation possibilities
in the Kara, Laptev, and East Siberian Seas are uncertain, ice will
not pose significant barriers for destinational shipping to the Barents and
Chukchi Seas [32]. Meanwhile, shallow-draft ships may be the only
types of vessels able to complete full NSR transits in the near future [33].
Moe sums up the debate well: “Potential users of the sea route will
continuously update their assessments of conditions before deciding to
use the route. If they are not attractive, they will not show up. And if
they do not believe that conditions will be stable over the longer term,
they will not invest in ships and equipment that tie them to the NSR”
[34].
It is important to differentiate among the types of maritime traffic in
the NSR. Traffic includes trans-Arctic transit of goods, destinational
shipping, and intraregional maritime traffic</t>
  </si>
  <si>
    <t>Meanwhile, the NWP is also witnessing an increase in vessel traffic.
(However, vessel activity decreased dramatically in 2018, owing to
extensive icing. See [38].) The NWP is a sea route that extends from the
Pacific Ocean, over Alaska, through the Canadian archipelago, and between
Canada and Greenland into the Atlantic Ocean. Currently, it is
navigable only in late summer months with icebreaker escorts. Annual
shipping distances have nearly tripled between 1990 and 2015, with
two-thirds of the growth occurring since 2006 [39]. Vessel types that
increased in terms of distance traveled include bulk carriers, passenger
ships, government vessels, and pleasure craft [40]. General cargo vessels
and government vessels including icebreakers constitute most of the
ships over the time period, with pleasure craft, such as private yachts,
and fishing boats showing the fastest growth among all vessels [41].
In the period 2008–2018, vessels in the NWP were mainly adventure
craft or cruise ships [42]. The Crystal Serenity, with a capacity of 980
passengers and over 600 crew members, became the largest passenger
ship to navigate the Northwest Passage, when it completed a voyage
from Vancouver to New York in 2016. Of the 222 complete transits in
this period, only eight were hauling commercial cargo [43]. The vast
majority of traffic on the route is destinational and intraregional, primarily
resupplying rural communities, with growing fishing and tourism
industries. This is in contrast to traffic related to natural resource
extraction and exportation, which is prevalent in Russia [44].
Maritime infrastructure in the NWP is currently limited, with no
deep water ports (a deep water port is a port which can accommodate
large ships (with greater drafts), such as supertankers, post-Panamax
vessels, and container ships. For a review of the recent history of the
Port of Churchill, see [45]) in Alaska’s Arctic, and the future of the only
Canadian Arctic deep water port in jeopardy [46]. Coastal communities
near the NWP also have ongoing apprehensions about the future of
cruise ship tourism and other activity [47]. Most coastal communities
are rural villages that lack any capacity to dock large ships or accommodate
the hundreds of passengers that flood in with them. The NWP is
currently less navigable for trans-Arctic transits than the NSR, owing to
the complex network of passages comprising the NWP route [48]</t>
  </si>
  <si>
    <t>differs from the NSR dispute. The Canadian government insists that the
section of the route passing through its archipelago constitutes internal
waters, and thus it claims it has full sovereignty over it (for a discussion
of Canada’s sovereignty over the NWP in its archipelago, see [88]). In
opposition, the United States and others in the international community
contend that the entire NWP is an international strait, subject to
UNCLOS rules.
For now, Canada and the United States have agreed to disagree. They
have reached a settlement on the use of the route, while acknowledging
their differences on sovereignty in the region. According to the Agreement
between the Government of Canada and the Government of the
United States of America on Arctic Cooperation, the United States
“pledges that all navigation by U.S. icebreakers within waters claimed
by Canada to be internal will be undertaken with the consent of the
Government of Canada,” while Canada agrees to preemptively approve
all requested U.S. transits [89]. However, both countries acknowledge
that the agreement does not influence their respective positions but
instead allows them to move forward with continued NWP transits
without controversy [90].
As traffic increases in the NWP, however, this agreement is likely to
become untenable. An increasing number of U.S. vessels could jeopardize
various ecosystems in the Canadian archipelago and strain Canada’s
search and rescue operations. And without an international
resolution, or at least bilateral agreements in place, ships from other
countries will be at a loss regarding whether to consider the route international
or Canadian and the rules they should follow.
Pharand defends Canada’s position that the waters in the Canadian
archipelago are internal waters and not subject to the right of innocent
passage based on three reasons: First, Canada never ratified the 1958
Convention of the Territorial Sea and the Contiguous Zone; thus, he
argues that the straight baselines the country established around the
outer limits of its archipelago in 1985 enclosed the waters under
customary law. Second, the 1958 Convention’s innocent passage clause
had not become customary law by the time Canada established its
baselines in 1985; therefore, he states that it should not apply to Canada’s
enclosure. Third, Canada did not ratify UNCLOS until 2003; as
such, the UNCLOS innocent passage clause should not be applied
retroactively to change the legal standing to an international strait.
Since vessels do not have the right to innocent passage in a state’s internal
waters, according to UNCLOS, they would need to seek Canada’s
permission to navigate the route [91]. Accordingly, he warns that
Canada must take adequate preventive measures to preclude unauthorized
foreign navigation of the route; otherwise, it might become
internationalized and subject to the right of innocent passage by foreign
vessels [92]. A disadvantage of establishing the route as an international
strait is that Canada will be most affected by vessel pollution, without
much control over it.</t>
  </si>
  <si>
    <t>Part XII, Section 8, Article 234 of UNCLOS discusses ice-covered
areas and thus has direct application to the Arctic. It states:
Coastal States have the right to adopt and enforce nondiscriminatory
laws and regulations for the prevention, reduction
and control of marine pollution from vessels in ice-covered areas
within the limits of the exclusive economic zone, where particularly
severe climatic conditions and the presence of ice covering such
areas for most of the year create obstructions or exceptional hazards
to navigation, and pollution of the marine environment could cause
major harm to or irreversible disturbance of the ecological balance.
Such laws and regulations shall have due regard to navigation and
the protection and preservation of the marine environment based on
the best available scientific [62].</t>
  </si>
  <si>
    <t>Publications, Legislation</t>
  </si>
  <si>
    <t>Contined deveklopment and implementation of the following acts and regs; UNCLOS (Specifically, Article 234), EPPR Working Group, PAME, IMO Regulations</t>
  </si>
  <si>
    <t>increased demand for shipping, increased accibility to NWP</t>
  </si>
  <si>
    <t>political tensions, tariffs</t>
  </si>
  <si>
    <t>The article affords coastal states of ice-covered waters the authority
to address vessel pollution. Some argue that this article should remain
the legal foundation for regulating maritime activities in the Arctic into
the future [63]. It could indeed lead to environmental laws and regulations
that preserve the opening ocean and its ecosystems. However,
the ways in which states can enforce laws and regulations remain
ambiguous in UNCLOS (for a detailed review of Article 234, its purpose,
scope, and powers conferred to coastal states, see [64]). States could use
the article to justify the exercise of unilateral authority over shipping
and other traffic within their EEZs, regardless of marine environment
benefit. Thus, a discrepancy between the innocent passage clause and
the environmental enforcement clause potentially exists.</t>
  </si>
  <si>
    <t>mabiguous enforcement methods, lack of clear definition between illegal and illegal activity, difficult grounds for suspicion</t>
  </si>
  <si>
    <t>Without recognition of the right of innocent passage or a multilateral
agreement to allow for transit through the Canadian portion of the route,
the NWP will not be a viable means for trans-Arctic shipping. (Other
factors like geophysical conditions and lack of infrastructure also challenge
the routine use of the route.) If Canada’s section of the NWP is
deemed to be internal waters, then the country does not have to grant
authorization to any state, in accordance with UNCLOS. Although it will
likely grant passage to close allies, there will be no obligation to do so
unless codified in bilateral or multilateral agreements. This creates uncertainty
about the viability of the NWP as a trans-Arctic shipping route.
B.M. Boylan
Marine Policy 131 (2021) 104566
6
Canada and its position will come under pressure as the route opens up
and when shipping companies find navigating the route more attractive
[94].
Elliot-Meisel argues that the United States and Canada should reach a
sustainable compromise [95]. In her estimation, the United States
should recognize Canadian sovereignty over the section of the NWP that
passes through the Canadian archipelago, but Canada should recognize
the U.S. need to access the route. With the United States active in the
region, Canada can expend its limited resources on issues like security
elsewhere.</t>
  </si>
  <si>
    <t>Panama Canals for the shipment of goods, and legal and political
disputes are resolved, a competitive and oppositional dynamic could
develop between Russia and the NSR on the one side and the United
States, Canada, and the NWP on the other. The routes have similar start
and end points – from the North Pacific to the North Atlantic. Russia and
Canada, but also other states, will eventually vie for traffic and the
economic benefits that come with it. Competition might therefore drive
investment projects like infrastructure and emergency response capacities
to attract business. And a competitive dynamic would further
pressure the resolution of the governance regime of each route.</t>
  </si>
  <si>
    <t>With rapid global warming and atmospheric pattern-induced warming,
the Arctic sea ice extent, thickness, and concentration dramatically
decrease in summer and autumn (Cai et al., 2021a). In contrast to the
early 1980 s, at present, more than half of the sea ice disappears in
summer (Stroeve and Dirk, 2018). Summer sea ice variability is
impacted by major internal climate patterns, and the reduction in sea ice
is enhanced by the positive ice/ocean albedo feedback loop, which is
accelerated by Arctic amplification (Lei et al., 2016; Cai et al., 2021b).
With a continued decrease in sea ice coverage, both the area and the
duration of open water have increased in the Arctic (Wang et al., 2018),
thereby offering favorable conditions for navigating the Arctic. Arctic
navigation passages are economically valuable and also help to ease the
increased pressure on traditional shipping routes resulting from the
growth of international shipping (Schøyen and Bråthen, 2011; Zhang
et al., 2019).</t>
  </si>
  <si>
    <t>The spatially-averaged length of its open period
increased to 114 days in the 2000 s and reached 146 days in 2012 (Lei
et al., 2015). Observational evidence has also shown that the average
navigable period of the Northern Sea Route for normal merchant ships
was extended to October 24 from 2010 to 2017 (Chen et al., 2019). By
analyzing changes in sea ice and shipping activity in the Canadian Arctic
Archipelago from 1990 to 2015, Pizzolato et al. (2016) suggested that
navigability was negatively correlated with sea ice concentration.
Multiyear ice had a much greater impact on shipping than seasonal sea
ice.</t>
  </si>
  <si>
    <t>POLARIS data, The observation data came from the Sea Ice Index of the
National Snow and Ice Data Center (https://nsidc.org/data).</t>
  </si>
  <si>
    <t>The thickness of sea ice is small in the Arctic Ocean. It is very large,
however, in a band starting from the seas around the Beaufort Sea to the
waters north of the Canadian Arctic Archipelago and Greenland. Sea ice
around the New Siberian Islands, Franz Josef Land, and Svalbard also
has a large thickness. This thickness might affect the navigability of
some straits, such as the Sannikov Strait and Dmitrii Laptev Strait. The
thickness of the sea ice is not conducive to the opening of the Arctic
passages, especially to the Northwest Passage. The situation for passage
improves under 3 ℃ warming. Sea ice thickness is small in the seas in
northern Europe, but it is still large in the eastern Beaufort Sea and the
water within the Canadian Arctic Archipelago. This scenario means that
ice conditions remain severe in the Northwest Passage.</t>
  </si>
  <si>
    <t>The sea ice concentration
is more than 20% lower in the seas along most routes of the Northern Sea
Route and the Northwest Passage (Fig. 1). The concentration is still more
than 30% in the Parry Channel during the 2 ◦C period. The Arctic Ocean
north of Greenland and the water within the Queen Elizabeth Islands
(Fig. 1) have a large sea ice concentration of more than 40%. With
continued global warming, the sea ice concentration dramatically decreases
to less than 20% in the Arctic. It will be close to 0 in coastal
areas. In most seas along the Northern Sea Route and the Northwest
Passage, the concentration of sea ice is lower than 5% under 3 ◦C
warming.</t>
  </si>
  <si>
    <t>but the Parry Channel is still
covered by subzero temperatures. With the increase in temperature, the
positive surface air temperature runs north under 3 ◦C warming. The
negative temperatures are only concentrated in the Arctic basin, the
northern part of the Canadian Arctic Archipelago, and Greenland. The
navigability of the Arctic passages would improve with the shrinkage
and retreat of cold areas. The Northern Sea Route (Fig. 1) therefore
might provide more choices for routes, and the Parry Channel (Fig. 1)
might be accessible in September under 3 ◦C warming.</t>
  </si>
  <si>
    <t>Figure 7; However, the Northwest Passage is impassable for OW ships in most
straits within the Canadian Arctic Archipelago, although in November
ships in Polar Class 6 seem unimpeded along the Northern Sea Route and
Northwest Passage. Open water ships are still not passable through the
Arctic passages in March under global warming of 3 ◦C. Compared with
the 2 ◦C warming, during the 3 ◦C period, the East Siberian Sea, Laptev
Sea, Kara Sea, and Barents Sea along the Northern Sea Route are navigable
in September. The Northwest Passage should be accessible, though
navigation would require care due to complex sea ice conditions in the
straits within the Canadian Arctic Archipelago, especially in the Parry
Channel. The Arctic passages are not passable to ships in Polar Class 6 in
May, though the sea ice conditions have improved.</t>
  </si>
  <si>
    <t>During the initialization, sea-ice thickness data
and sea-ice concentration data are assimilated into the model
using the LESTKF as coded in the Parallel Data Assimilation
Framework (Nerger and Hiller, 2013, http://pdaf.awi.de).
The CS2SMOS data are used for sea-ice thickness assimilation
(V1.3; Ricker and others, 2017, http://data.meereisportal.de). The
resolution of CS2SMOS thickness data is 25 km. Sea-ice thickness
errors provided in CS2SMOS are considered as representative
errors during analysis. The sea-ice concentration data with a resolution
of 6.25 km are provided by the University of Bremen,
which are retrieved from the brightness temperature collected
by AMSR2 (https://seaice.uni-bremen.de/sea-ice-concentration/)
using the ARTIST Sea Ice (ASI) algorithm (Spreen and others,
2008). A uniform value of 0.2 is assigned as its representative
error based on hindcast experiments before the real-time forecast.
Following previous studies, a radius of ∼126 km (seven grids in
our configuration) is applied to localize the analysis (e.g. Yang
and others, 2014). Note that the CS2SMOS thickness data are
only available during the freezing season (i.e. no thickness assimilation
after 9 April). Nevertheless, the CS2SMOS thickness
assimilation from 1 January to 9 April already constrains the
model thickness field toward the observation and provides reasonable
initial states for further sea-ice prediction during the
melt season (Allard and others, 2018; Blockley and Peterson,
2018).
The sea surface temperature of the ocean model is constrained
by satellite observations (product SST_ARC_SST_L4_NRT_
OBSERVATIONS_010_008_b, http://marine.copernicus.eu) from
the Copernicus Marine Environment Monitoring Service with a
simple nudging scheme</t>
  </si>
  <si>
    <t>The Arctic environment has been experiencing rapid changes over the past few decades
(e.g. Richter-Menge and others, 2016). One of the most striking features is the dramatic reduction
and thinning of the Arctic sea ice (e.g. Kwok and Untersteiner, 2011; Cavalieri and
Parkinson, 2012). In recent years, the rapid sea-ice retreat provides new opportunities for
the navigation of commercial and scientific ships through the Arctic Routes, which significantly
reduces the shipping distance from Asia to Europe. The increase in shipping activities
in the Arctic, however, requires great efforts in improving the reliability of sea-ice forecasts
(Jung and others, 2016).</t>
  </si>
  <si>
    <t>declining sea ice, sea ice thinning</t>
  </si>
  <si>
    <t>increased shipping presence</t>
  </si>
  <si>
    <t>sea-ice and ocean forecasting systems are the
Canadian Global Ice Ocean Prediction System (GIOPS; Smith and others, 2016), the United
States Navy Arctic Cap Nowcast/Forecast System (ACNFS; Hebert and others, 2015) and the
Norwegian Tunable Optical Profiler for Aerosol and Ozone sea-ice/ocean numerical prediction
system (TOPAZ4; Sakov and others, 2012). As an essential part to reduce the uncertainties
associated with the initial states and external forcing, data assimilation has been widely
applied in these operational systems to improve the prediction accuracy. The assimilation
methods, however, are widely different in these prediction systems.</t>
  </si>
  <si>
    <t>inconsistency within obtaining real-time satellite data</t>
  </si>
  <si>
    <t>descrepencies amongst prediction modelling</t>
  </si>
  <si>
    <t>The satellite sea-ice concentration products also show large
deviations in MIZ. They apparently have direct impacts on the
assimilation. Concurrently, if the ensemble spread is not sufficiently
large, overestimations of the sea-ice concentration and further
the thickness are not surprising. Therefore, it is of great
demand to study the potential effects when assimilating different
sea-ice concentration products in each forecast system. More
in-situ observations (ASPeCt, aerial observations) should be
used to calibrate the system.</t>
  </si>
  <si>
    <t>For sea-ice observations, sea-ice concentration has been successively observed by several
satellite passive microwave sensors during the past four decades (e.g. Cavalieri and
Parkinson, 2012). Assimilating sea-ice concentration is hence the most common approach
to initialize the sea-ice states in forecast models. The assimilation of sea-ice thickness observations
is considered a further valuable source to reduce the uncertainties of the prediction systems.
However, measuring sea-ice thickness from space is a challenge (Kwok and Sulsky, 2010;
Kaleschke and others, 2012) and in-situ thickness observations are rather sparse. In recent
years, datasets from the CryoSat-2 (Ricker and others, 2014) and Soil Moisture and Ocean
Salinity (SMOS; Tian-Kunze and others, 2014) satellites have been validated against in-situ
measurements, providing sea-ice thickness data in cold season. Following an optimal
https://doi.org/10.1017/jog.2019.55 Published online by Cambridge University Press
interpolation approach, these two thickness datasets have been
combined to cover the entire Arctic region with a weekly frequency
(CS2SMOS; Ricker and others, 2017). Model studies
also show improved sea-ice thickness estimates when assimilating
these two satellite datasets.</t>
  </si>
  <si>
    <t>Insurances fees for a typical container ship account for approximately
0.343% of shipbuilding costs [30]. However, because the Arctic sea routes are not
fully developed and entail adverse weather and navigation conditions, insurance
companies typically list Arctic sea routes as high-risk routes. Consequently, the
annual insurance fees for an Arctic sea route are 16.7% to 100% higher than those
of a conventional route [31]. According to statistics, most insurance companies are
reluctant to insure firms that do not have experience in Arctic shipping, and even
for cooperated companies, the insurance fees are still 25% to 50% higher than the
conventional route [32]; this study used the median of this range 37.5%.</t>
  </si>
  <si>
    <t>2.2.3. Cost of Voyage Fuel (CVF)
CVF is the fuel cost of a single voyage. Fuel consumption is determined by ship size,
sailing speed, and navigation time [28].
CVF = FP FCONåZ
i
DOW
24 VOW
+
DIW, i
24 VIW, i
(3)
Fuel price Fp is the price of the HFO used by ships (USD/ton). Fuel consumption
FCON is the daily consumption of HFO in tons. The daily fuel consumption of a typical
container ship varies between open and icy waters [26]. According to the Russian Maritime
Register of Shipping, Ice Class 1A container ships consume 20% more fuel than do typical
container ships of the same tonnage [36,37]. Between 2011 and 2019, the average price of
marine fuel MF380 worldwide fluctuated between US$156/ton and US$743/ton [38]. This
study used the price of MF380 which indicated by Taiwan’s CPC Corporation in January
2022, which was US$656/ton [39].
2.2.4. Cost of Voyage Transit (CVT)
CVT represents costs incurred during a voyage. Tolls for passing through the Panama
Canal is charged bu TEU that can be accessed on the Panama Canal Authority website [27]
(Table 1). The Northwest Passage, which corresponds to the Americas sea route, has no
toll mechanism because Canada claims that this waterway is an inland sea, and the claim
is not internationally recognized. Therefore, this study assumed that any tolls along the
Northwest Passage would be similar to those in the Panama Canal. Tolls for passing
through the Suez Canal toward Europe is charged by tons that can be accessed on the Suez
Canal Authority website [38] (Table 1). Toll standards along the Northeast Passage, which
corresponds to the Europe sea route, can be accessed on the Russian Northern Sea Route
Administration website [40]; the original tolls are given in Rubles and were converted to
US dollars by using the mean exchange rate from 2021 (US$1 = 73.647 Rubles) [41].
Combining (1)–(3) Equation (4).'</t>
  </si>
  <si>
    <t>Table 5</t>
  </si>
  <si>
    <t>Table 4</t>
  </si>
  <si>
    <t>Figure 5</t>
  </si>
  <si>
    <t>Other studies on
climate change have reminded the public that the Arctic may become ice free in the next
20 years [9]. The massive melting of ice has resulted in two new sea routes in the Arctic,
the Northeast Passage and Northwest Passage. Satellite images taken in late August 2008
indicate that the Northeast and Northwest Passages were open simultaneously for the first
time, sparking heated discussion worldwide.</t>
  </si>
  <si>
    <t>Increases in shipping have worsened emission problems,
with 51% of CO2 emissions in international trade coming from maritime transportation,
27% coming from air transportation, and 22% coming from land transportation [2]. The
International Maritime Organization (IMO) conducted a study on global greenhouse gases
and reported that from 2012 to 2018, total emissions of greenhouse gases in the shipping
industry increased from 977 M tons to 1.076 G tons, with CO2 emissions increasing from
962 M tons to 1.056 G tons [3]; consequently, maritime transportation has become a rapidly
growing source of greenhouse gas emissions [4].</t>
  </si>
  <si>
    <t>Speed is a major factor affecting cost. The speed of container ships in open waters
is typically between 13 and 23 knots [26]. This study used a random number generator
10,000 times to obtain simulated container ship speeds in this range; an average open water
speed of 15 knots was obtained. Canal speed was set to 4 knots on the basis of Panama
Canal passage time [27]. Since the ships in this study sailed during the summer, the speed
of travel through icy waters was assumed to be approximately 13 knots</t>
  </si>
  <si>
    <t>exactEarth, SNAP, WCS, and ABSI, NSIDC and Halpern et al. (2015), IBCAO Version 3.0, GEBCO, and the Community Earth System Model (CESM) in CMIP5, Flanders Marine Institute and GRID-Arendal UNEP Continental Shelf Programme</t>
  </si>
  <si>
    <t>Survey questionnaires, Legislation, Publications</t>
  </si>
  <si>
    <t>Ship positions Canadian Coast Guard Marine Communications and Traffic Services (MCTS) and collated, duplicates were removed, and the names of ships standardized (e.g., minor typographical errors). Initial quality checking of reported information was undertaken using public databases and websites (e.g., https://www.marinetraffic.com). The primary vessel types (Table 1) were classified according to the Arctic Marine Shipping Assessment (AMSA)</t>
  </si>
  <si>
    <t>Observations were collected of raw (uncorrected) GPS
dual-frequency pseudouranges and GPS navigation
messages broadcast at the International GNSS Service
(IGS) reference station at Ulukhaktok, formerly
Holman, Victoria Island, Canada (latitude:
70.7364000N, longitude: 117.7609000W, 39.5 m above
the mean sea level), and made available through the
IGS internet archives
(ftp://cddis.nasa.gov/gnss/data/daily). and Ulukhaktok (Holman) GPS pseudorange
observations from the period DOY298 (25th October) –
DOY315 (11th November) in 2003.</t>
  </si>
  <si>
    <t>Arctic Ice Regime Shipping System (AIRSS), Canadian Ice Service archive (1972-2016)</t>
  </si>
  <si>
    <t>Sea ice thickness, seawater temperatures and salinities at 45
sigma layers in the study period (1978e2016) were obtained
from FVCOM.</t>
  </si>
  <si>
    <t>POLARIS, Community
Earth System Model Large Ensemble (CESM-LE), Canadian Ice Service Digital Archive (CISDA), European Centre for Medium-Range Weather
Forecasts (ECMWF), National Geophysical Data Center (NGDC)</t>
  </si>
  <si>
    <t>www.clarksons.com</t>
  </si>
  <si>
    <t>Interviews</t>
  </si>
  <si>
    <t>Peer-reviewed and grey literature</t>
  </si>
  <si>
    <t>We use sea ice data from the Canadian Ice Service Digital
Archive (CISDA), which is a compilation of weekly ice
charts from the Canadian Ice Service (CIS) from 1968 to
2020. The weekly CIS ice charts integrate all available sea
ice information from various sources with the primary
source being synthetic aperture radar (SAR) from RADARSAT-
1 (1996−2007), RADARSAT-2 (2008−2020), or
RADARSAT Constellation Mission (2020-present). The ice
charts provide polygons of the partial sea ice concentration
of different ice types (e.g. FYI and MYI), different stage of
ice development and the sea ice floe size distribution. A complete
description of the CISDA is available in Tivy et al.
(2011) and the data is available at: https://iceweb1.cis.ec.gc.
ca/Archive/page1.xhtml?lang = en.</t>
  </si>
  <si>
    <t>Canadian Hydrographic Service (2004) and National Imagery and Mapping Agency (2001), Canadian ice chart archives of Environment Canada (Canadian Ice Service, 2004), Canadian Arctic Ice Regime Shipping System Standards (AIRSS) (Transport Canada, 1998)</t>
  </si>
  <si>
    <t>Ice thickness data</t>
  </si>
  <si>
    <t>As unsuitable speed is a major cause of incident and/or accidents (Marchenko, 2014a), we define the speed depending on the ship’s
RIO. To compute the RIO, we extracted data from the European Copernicus database, which provides access to a full range of data on
ice conditions worldwide (von Schuckmann et al., 2016). In this analysis, we used the ARCTIC_REANALYSIS_PHYS_002_003 datase</t>
  </si>
  <si>
    <t>As vessels
approach the mid-point of the TSR near the North Pole, they will pose
fewer risks to coastal ecosystems and communities. Yet search and
rescue and spill response capacities will be severely limited, meaning the
impacts of a disaster could be harder to immediately contain than if it
were to occur nearshore. The settlement closest to the North Pole – Alert,
Canada (pop. 62) – is still 441 NM away, with only an airfield manned by
the Royal Canadian Air Force and no port due to persistent sea ice.</t>
  </si>
  <si>
    <t>remoteness, exponential risk of environmental and economic losses</t>
  </si>
  <si>
    <t>Arctic Countcil - SAR Agreement 2013</t>
  </si>
  <si>
    <t>Localized externalities from shipping that could disturb Arctic
marine environments include vessel oiling, air pollution, noise, collisions,
icebreaker-induced habitat disruption [128], and the introduction
of invasive species [13]. Ecologically sensitive places along the TSR like
Svalbard already face heightened risks of oil spills and air pollutants like
SO2, NOx, and black carbon due to an increase in vessel traffic [129,
130].</t>
  </si>
  <si>
    <t>Yet the industry
also poses risks to socioeconomic and cultural well-being. In Svalbard,
residents express frustration with existing levels of tourists and cruise
ships [74]. Shipping-induced strains on the environment and society are
perhaps more severe for Indigenous Peoples in the Bering Strait, where
the Chukchi, I˜nupiat, and Yupik peoples still rely on the marine environment
for subsistence [131]. During a workshop in Nome held in 2014
by Kawerak, Inc., the non-profit division of the Bering Straits Native
Corporation, one participant explained, “Our ocean is like our savings
account” [132]. Shipping could disturb or lead to the loss of sea mammals,
threatening food security. As Norman Menadelook, a Bering Sea
Elder from the village of Teller on Port Clarence Bay, remarked, “This
spring there were container ships passing through the migrating route
for walrus and interfering with our ‘Eskimo sonar’ – the way we stick an
oar in the water and listen for the walrus. All you could hear is the engine.
Ships were too close this spring”</t>
  </si>
  <si>
    <t>Activites relating to 11
Iceland’s proposed Finnafjord port could similarly disturb fishing activities
based out of nearby villages, while its planned 1200-ha hinterland
could affect land-based activities like farming. Finally, across the
Arctic, port construction could threaten cultural and archaeological resources
and result in increased costs of living.</t>
  </si>
  <si>
    <t>Yet local capacity
can and should be built before ships begin to dock through a variety of
means including integrating traditional and Western knowledge,
training villagers in Arctic search and rescue, establishing community
harbor safety committees, and providing for subsistence use within
expanded ports, such as by ensuring access for small skiffs [132,135,
136]. Capacity building could empower local communities and give
them not only a stake in the TSR, but a degree of control over it, too. An
effort in this vein to establish Tribal co-management in the Bering Sea
through the enactment of the Northern Bering Sea Climate Resilience
Area by former U.S. President Barack Obama in 2016 [137], however,
was reversed by the Trump administration, demonstrating that
including Indigenous People within American federal policymaking remains
contentious</t>
  </si>
  <si>
    <t>increased activities such as farming, port construction</t>
  </si>
  <si>
    <t>increase in ship activity</t>
  </si>
  <si>
    <t>rapid tourism increase, increased resource demands, increased cost of living, rental prices increased</t>
  </si>
  <si>
    <t>lack of capacity, land disputes and conflict</t>
  </si>
  <si>
    <t>lack of capacity building and knowledge transfer</t>
  </si>
  <si>
    <t>behaviour change, feeding, breeding and mating patterns change</t>
  </si>
  <si>
    <t>increased pollution, black carbon cliamte forcing, increased air temperatures, decreased local air quality</t>
  </si>
  <si>
    <t>port development, increased shipping demand</t>
  </si>
  <si>
    <t>pollution, increase in cost of living, employment, loss of cultural significant areas, decreased sense of remoteness</t>
  </si>
  <si>
    <t>A lack of support from national governments for empowering local
and Indigenous communities might seem to subvert their ability to influence
the global shipping industry and foreign governments interested
in developing Arctic ports and waterways. But the wider Arctic governance
community increasingly recognizes the importance of working
with Indigenous Peoples. Six Indigenous Peoples’ organizations are
included within the Arctic Council as Permanent Participants. One of the
most active, the Inuit Circumpolar Council, lobbied for the ban on HFO
at the IMO and has applied for observer status in the organization</t>
  </si>
  <si>
    <t>land disputes, terrirtiroal conflicts</t>
  </si>
  <si>
    <t>Yet given the paucity of research and coordi
nation
at regional and cross-boundary scales in the CAO [142], more
work is required to understand and plan for the impacts of shipping via
the TSR and other related environmental, economic, and geopolitical
processes, too. The opening ocean is leading sea ice to move at increased
speeds across Arctic states’ EEZs, potentially exacerbating
cross-boundary pollution [143]. As not just a new shipping route but an
entirely “new biome” arises [143], complex issues will require creative
“
regulatory solutions and robust regional cooperation. Representing a
start, PAME is tackling issues relating to the CAO and TSR at a regional
scale through initiatives such as the Integrated Ecosystem Assessment
for the CAO, the Arctic Ship Traffic Data project, and the Arctic Shipping
Best Practice Information Forum. Lessons from how the Arctic Council
partners with Indigenous Peoples could also inform the development of
an inclusive approach to governance in the high seas and areas beyond national jurisdiction that leverages their knowledge of transboundary
phenomena like species migration to craft policies and management
practices that will arguably impact them, as traditional residents and
users of these waters, more than anyone else.</t>
  </si>
  <si>
    <t>variable national-level policies, competing global interests</t>
  </si>
  <si>
    <t>nonunified approach to enforcement and regualtion of these areas</t>
  </si>
  <si>
    <t>Working with indigenous communities to ensure capcity building and knowldege sharing is in place</t>
  </si>
  <si>
    <t>Arctic Council - HFO ban</t>
  </si>
  <si>
    <t>Its development
was prompted by two disastrous oil spills, caused by the 1989 groundings of the Exxon
Valdez in the sensitive south-Alaskan Prince William Sound and of the Bahia Paraiso in
Antarctic waters.2 The necessity for specific legal standards on safety of navigation and
pollution prevention in polar waters has subsequently been confirmed time and again by
infamous incidents, including the 1989 near sinking of the cruise ship Maxim Gorky off 
Finn Polaris
Greenland as well as the sinking of the cargo ship
in the Canadian
Explorer
archipelago in 1991, of the passenger ship M/V
in Antarctica in 2007 and of
Inuk II
2016.3
the small excursion vessel
off Greenland in 2016.</t>
  </si>
  <si>
    <t>increase in risk incidents, limited response capacity</t>
  </si>
  <si>
    <t>growth and profitability</t>
  </si>
  <si>
    <t>Negotiation took place against a complex legal background. One prominent
source of disagreement in the Arctic has been the status of its passages. While
Canada and Russia claim full sovereignty over what they consider internal waters,
the United States in particular insists on the respect of freedom of navigation in
what it considers ‘international straits’.8 In addition, article 234 of the 1982 United
Nations Convention on the Law of the Sea (or UNCLOS) provides coastal States
with jurisdiction to adopt and enforce laws and regulations for the prevention and
control of marine pollution from vessels in areas covered with ice for most of the
year within the limits of their exclusive economic zone.9 Despite issues related to
the scope and breadth of article 234,10 it has long been the basis of robust legal
regimes imposed by Canada and Russia on international navigation off their Arctic
coasts.11</t>
  </si>
  <si>
    <t>tariffs, territorial conficts, geo-political santions/tensions</t>
  </si>
  <si>
    <t>UNCLOS Article 234</t>
  </si>
  <si>
    <t>However, the 2009 Arctic Marine Shipping Assessment (AMSA) report prepared
by the Protection of the Arctic Marine Environment (PAME) working group of the
Arctic Council rightly highlighted the continued ‘dearth of mandatory international
standards specifically designed for navigation in the Arctic’ and the benefit of
uniform standards.12 It also documented the risks to which ships are exposed as
well as the dangers vessels pose to the environment and provided recommendations
on three main policy areas, that is, on enhancing Arctic maritime safety;</t>
  </si>
  <si>
    <t>It also documented the risks to which ships are exposed as
well as the dangers vessels pose to the environment and provided recommendations
on three main policy areas, that is, on enhancing Arctic maritime safety; on
protecting Arctic people and the environment; and on building Arctic marine
infrastructure. The report proved highly influential on the course of IMO negotiations
towards global flag state obligations for polar shipping.</t>
  </si>
  <si>
    <t>A quarter century after the Exxon Valdez and Bahia Paraiso disasters, these
negotiations finally came to a conclusion. The IMO Maritime Safety Committee
(MSC) adopted the Polar Code’s safety provisions in November 2014, while the
IMO Marine Environment Protection Committee (MEPC) adopted the environmental
provisions in May 2015. The requirements were made mandatory through
amendments to the SOLAS, MARPOL and STCW conventions and the STCW
Code and entered into force on 1 January 2017.13 As stated in its Preamble, the
Polar Code aims to ‘increase the safety of ships’ operation and mitigate the impact
on the people and environment in the remote, vulnerable and potentially harsh
polar waters’.14</t>
  </si>
  <si>
    <t>Increase of traffic21 is far from the drastic growth conjured up by many
media. It is mainly fuelled by destination traffic of tankers, bulk carriers and general
cargo servicing communities or mining and hydrocarbon exploitation sites. Ship traffic in the Arctic has
been examined from various angles, ranging from its operational costs and environmental
impact to actual growth figures.5 A less investigated aspect is the impact caused by
the legal framework intended to limit the risk of incidents in a vulnerable region where
response capacity remains limited.</t>
  </si>
  <si>
    <t>Figure 2, 3, 4 and quotations</t>
  </si>
  <si>
    <t>Shipping traffic in the Canadian Arctic has undergone dramatic changes over the past few decades,
with almost a tripling of total distance travelled between 1990 and 2015 (Dawson et al. 2018), a shift
towards vessels with lower hull strengthening (Copland et al. 2019), and large increases in some
categories such as pleasure craft, bulk carriers and passenger ships. For example, pleasure craft, such
as private yachts, were rare in the 1990s, travelling a total average distance of 2590 km year−1.
However, by 2011–2015 their total annual distance covered had increased by more than 20 times, to
an average of 52 799 km year−1 (Dawson et al. 2018). Pizzolato et al. (2016) showed significant
relationships between increases in shipping activity and reductions in sea ice cover in parts of the
Northwest Passage, Baffin Bay, and the Beaufort Sea, although other factors such as northern population
growth, improvements in living standards, tourism, and opening and closing of mines have also
been important in driving shipping deman</t>
  </si>
  <si>
    <t>Mudryk et al. (2018) reported significant reductions in sea ice concentration across almost all regions
of Canada over the period 1981–2015, with the largest declines of &gt;10% decade−1 occurring offshore
eastern Canada in winter and spring, and in the Canadian Arctic Archipelago and Hudson Bay in
summer and fall. Associated with these losses has been a marked reduction in sea ice age.</t>
  </si>
  <si>
    <t>This seems to be connected to increased import of multiyear sea ice into the interior channels of the
Queen Elizabeth Islands from the Arctic Ocean as open water has allowed for greater sea ice movement
(Howell et al. 2013).</t>
  </si>
  <si>
    <t>icnrease in sea ice movemnt</t>
  </si>
  <si>
    <t>increase temperatures</t>
  </si>
  <si>
    <t>incraesed accessibility to NWP</t>
  </si>
  <si>
    <t>Figures 1-11</t>
  </si>
  <si>
    <t>increased risk of accidents, vessel collision, vessel struck by iceberg, vessel stuck in ice</t>
  </si>
  <si>
    <t>Figure 12</t>
  </si>
  <si>
    <t>Figure 1-11</t>
  </si>
  <si>
    <t>Use of AIRSS system</t>
  </si>
  <si>
    <t>Potential risks depend on intra-annual spatial
variability and sudden changes in sea ice conditions in the
Arctic. The Arctic severe weather (e.g., the strong winds,
snow storms, reduced visibility in fog) and the remoteness
from navigation support services (e.g., navigational, hydro
graphic,
meteorological, communication, emergency rescue,
vessel waste disposal) also increase navigational threats
(Gavrilov et al. 2019). Dynamic accurate predictions of
Arctic sea ice, ocean, atmosphere, and ecosystem are neces
sary
for safe and efficient Arctic maritime transportation
(Aksenov et al. 2017). However the core management system
for the whole Arctic shipping to balance between risks and
costs has not been effectively studied; only Zhang et al. (2019)
have given a framework for a big data–driven dynamic opti
mal
trans-Arctic route (DOTAR) system.</t>
  </si>
  <si>
    <t>navigational threats</t>
  </si>
  <si>
    <t>Tecnology</t>
  </si>
  <si>
    <t>Implementation of DOTAR system</t>
  </si>
  <si>
    <t>Sea ice conditions of Arctic routes significantly affect navigational
safety, economic costs, and navigable periods of trans-
Arctic transportation. Compared with the routes via the Suez
Canal or the Cape of Good Hope, the Arctic routes can reduce
the navigational distances between East Asia and Europe
ports</t>
  </si>
  <si>
    <t>accessibility to NWP, reduced distance between europe and asia</t>
  </si>
  <si>
    <t>increase profits</t>
  </si>
  <si>
    <t>Due to Arctic amplification of global warming,
the increasing length and variability of the open water season
is accelerating Arctic maritime transportation. However, increasing
Arctic shipping activities must be balanced with
any harm to the Arctic ecosystem, through pollution and
greenhouse gas emissions, and it is important that ships become
carbon-neutral at the earliest opportunity.</t>
  </si>
  <si>
    <t>Except for that, the exploitation of resources development
(e.g., Yamal oil/gas field) and shipment of raw materials
along the Arctic coast will also be a driver for the increase of
trans-Arctic maritime transportation.</t>
  </si>
  <si>
    <t>The thickness of Arctic sea ice can pose notable impacts on
icebreaking costs, operating costs, and depreciation costs of
vessels shipping along Arctic routes. A non-ice-strengthened
vessel in Arctic sea ice-prone regions could incur catastrophic
damages.</t>
  </si>
  <si>
    <t>sea ice presence</t>
  </si>
  <si>
    <t>Any piece of floating sea ice with a size &gt;20 m is called an ice
floe (Kwok 2014). The drift pattern of small-scale sea ice floes
is very difficult to monitor by satellite remote sensing or predict
by sea ice models or fully coupled climate models, but they
seriously threaten navigation safety along Arctic routes. Due to
the extreme climate and environment conditions in high latitudes,
in situ measurements of sea ice concentration, extent, and
thickness are spatially and temporally sparse in Arctic regions.
As the only low-cost reliable in situ measurements, buoys can
track drifting sea ice floes with 1m resolution.</t>
  </si>
  <si>
    <t>The commercial-grade GPS positioning performance in the Northwest Passage was assessed in three scenarios of the ionospheric effects mitigation. In general, the GPS positioning performance observed during a massive deterioration of space weather does
not meet the requirements for maritime navigation
and non-navigation applications. Notable biases and
variations were identified in three components of the
GPS positioning error vector in all three scenarios of
presumed
GPS use in the Arctic region of the
Northwest Passage during a massive space weather
disturbance.</t>
  </si>
  <si>
    <t>Deterioration of the GPS positioning error was understood to result from the inadequate GPS receiver design, as well as from the unaccounted space weather deterioration of the unknown statistical properties, thus its effects were not being accounted when using common correction models and procedures. Those were exploited for the GPS positioning error prediction model development based on the observed northing, easting, and vertical positioning errors, and on two competing model development methods: the exponential smoothing, and the Generalised Regression Neural Networks (GRNN).</t>
  </si>
  <si>
    <t>remoteness, lack of infrastructure, high geostorm activity</t>
  </si>
  <si>
    <t>A time series of horizontal GPS positioning errors was constructed from time series of northing and easting positioning errors. Using the horizontal GPS positioning error time series, two candidate prediction model development methods were selected and tuned, i.e., the exponential smoothing and the generalized regression neural networks (GRNN), to develop candidate models of the horizontal GPS positioning error.</t>
  </si>
  <si>
    <t>positioning errors</t>
  </si>
  <si>
    <t>incorrect prediction modelling</t>
  </si>
  <si>
    <t>Geomagnetic
storms represent extreme forms of space weather that
can affect radio wave propagation across the
spectrum, degrading the positioning performance of
the Global Navigation Satellite System (GNSS) and
reducing the quality of the GNSS-based applications
[1, 7]. Here we address the effects of the 2003
geomagnetic storm on the polar commercial-grade
GPS positioning performance in the Northwest
Passage. The 2003 extreme space weather event, also
known as the ‘Halloween Storm’, is often compared to
the Carrington Storm of 1859, by far the largest solar
storm recorded [1, 2]. Considering the expected
increase in maritime traffic in the Northwest Passage
with the extensive utilization of satellite navigation
on-board the vessels, this study aimed at assessment
of the GPS positioning performance using the
common on-board equipment and compliance with
the requested and required GPS positioning
performance [4].</t>
  </si>
  <si>
    <t>The navigability of passages and the choice of routes are
affected by many factors, such as meteorological and hydrological
conditions, extreme events, facilities, water depth, draft
restrictions, and local laws and regulations (Smith and
Stephenson, 2013). Besides, sea ice is widely regarded as a
critical factor restricting the opening of Arctic shipping routes
(Liu et al., 2017). Sea ice extent and multiyear ice extent within
the Canadian Arctic Archipelago (CAA) exhibited statistically
significant decreases of  8.7% per decade</t>
  </si>
  <si>
    <t>The number of ships sailing through
the CAA nearly tripled during 1900e2015 (Dawson et al.,
2018). A plenty of evidence provided by Eguı´luz et al. (2016)
showed that the extent of Arctic shipping was significantly
increase in 2011e2014 and that was predominantly accessed
via the Northeast Passage and NWP. Liu et al. (2017) investigated
the open windows of the NWP with sea ice concentration
and found that Route 4, as given in the Arctic Marine Shipping
Assessment 2009 Report, had the best navigable expectation in
2005e2015. Ice thickness was measured by airborne electromagnetic
surveys, which indicated that ice condition must still
be regarded as a critical factor for safe shipping (Haas and
Howell, 2015).</t>
  </si>
  <si>
    <t>The accessibility of the NWP was projected
with representative concentration pathways (Stephenson et al.,
2013; Meng et al., 2017; Ng et al., 2018), which showed that
both polar class 6 (PC6) ships and open water (OW) ships
would be navigable in expanded September by the mid-21stcentury.
The frequency of navigable periods would double for
OW ships, with routes across the central Arctic becoming
available (Melia et al., 2016).</t>
  </si>
  <si>
    <t>The variations in sea ice thickness and influencing
factors were analyzed with FVCOMin recent decades
(1978e2016). The accessibility of the NWP was evaluated
with the Arctic Transportation Accessibility Model (ATAM)
under two vessel types (open water ships and polar class 6
ships) and two climate-forcing scenarios (SSP 245 and 585 in
CMIP6) in the next 30 years (2021-2050)</t>
  </si>
  <si>
    <t>Figures 7-9</t>
  </si>
  <si>
    <t>Figures 3-4</t>
  </si>
  <si>
    <t>CAA Ice condition requirements regarding OW vessels</t>
  </si>
  <si>
    <t>Figure 5; Spatially, the contrast
is striking in these regions when the MYI concentration
from 1968 to 2006 is compared against the MYI concentration
from 2007 to 2020 (Fig. 2). When MYI conditions from 2007
to 2020 are compared against MYI conditions from 1978 to
2006 (i.e. the satellite period) the percent change is similar
to 1968–2006 and within ±1−3%.
Fig. 3 illustrates the time series of the percent MYI area
difference relative to the MYI area 1991–2020 climatology
over the shipping season in the selected regions of the Northwest
Passage for 1968–2006 (blue) and 2007–2020 (red). The
most noticeable feature in Fig. 3 is the considerable negative
anomalies in all regions since 2007. On average, the MYI area
anomalies were 33% less from 2007 to 2020. In the Western
Parry Channel, which is the most direct route through the
Northwest Passage, 1999 remained the lightest MYI year
during the shipping season with a negative anomaly of 71%
(Fig. 3). In terms of frequency, negative anomalies occurred
for 13 of the past 14 years in the Beaufort Sea, Franklin,
and the Western Arctic Waterway; 10 of the past 14 years
in Western Parry Channel and Queen Elizabeth Islands; and
9 of the past 14 years in the M’Clintock Channel.</t>
  </si>
  <si>
    <t>Figure 4, Table 4</t>
  </si>
  <si>
    <t>As a result,
MYI can persist through the summer melt season, remaining
a hazard to navigation at the peak of the shipping
season in summer and early fall. Recent observations indicate
that MYI is still relatively thick within the western
Canadian Arctic regions of the Northwest Passage (Babb
et al., 2020; Haas &amp; Howell, 2015; Kwok, 2018). Moreover,
climate models project that MYI will remain
present in many regions of the Canadian Arctic even
when a significant portion of the Arctic Ocean is sea icefree
during the summer months (Laliberté et al., 2015;
Mudryk et al., 2021)</t>
  </si>
  <si>
    <t>temperature change, decreased sea ice</t>
  </si>
  <si>
    <t>increased risk of vessel collision, increased icebergs</t>
  </si>
  <si>
    <t>Future decreases in sea ice are pro
jected
by the latest state-of-the climate models and a sea
ice-free Arctic during the summer months could be realized
by 2050 (Notz &amp; SIMIP Community, 2020). Several studies
have used model projections to suggest that future navigation
throughout the Arctic could become more practical with
decreasing summer sea ice replaced by increasing areas of
open water (e.g. Crawford et al., 2021; Melia et al., 2016;
Mudryk et al., 2021; Smith &amp; Stephenson, 2013; Wei et al.,
2020). Ship navigation through the Arctic provides shorter
routes that connect the Pacific and Atlantic Oceans through
the Northwest Passage and the Northern Sea Route as
opposed to the Panama and Suez Canals or transiting
around Cape Horn.</t>
  </si>
  <si>
    <t>The NSR is characterized by the presence of
predominantly thin drifting first-year ice (FYI) and has been ice free for several weeks during recent summers.
However, in winter the waters of the NWP are largely covered by thick landfast FYI which is interspersed with
fields of landfast multiyear ice (MYI) having survived one or several preceding summers. Although most FYI in
the NWP melts during summer, some may survive to form locally derived MYI [Howell et al., 2009]. In addition,
heavy MYI originating in the Arctic Ocean may be imported into the waters of the NWP by advection through
the Queen Elizabeth Islands (QEI) [Howell et al., 2013]. That MYI ice is known to be some of the thickest sea ice
in the world [Melling, 2002; Haas et al., 2010], and together with its high mechanical strength [Timco and
Weeks, 2010], presents the largest obstacle and hazard for transiting ships and offshore structures.</t>
  </si>
  <si>
    <t>The observed decline of the Arctic’s summer sea ice extent and thickness [Meier et al., 2014], longermelt seasons
in the CAA [Howell et al., 2009], and future climatemodel projections have led to suggestions of amore navigable
NWP by midcentury [Sou and Flato, 2009; Smith and Stephenson, 2013]. Caution should be taken with these
suggestions because global climate models with their coarse resolution likely have difficulty capturing intricate
sea ice dynamic processes within the narrow channels of the CAA. Specifically, the import, survival, and thickness
of MYI are difficult to predict and may in fact increase during the transition to a sea ice-free Arctic with more
mobile ice conditions in the QEI which are located between the Arctic Ocean and NWP [Melling, 2002; Howell
et al., 2013]. Presumably, MYI from the Arctic Ocean will be more heavily ridged and thicker [Melling, 2002;
Haas et al., 2010] than locally formed MYI, posing greater danger to transiting ships than locally grown MYI.</t>
  </si>
  <si>
    <t>Between November 2014 and April 2015, winter air temperatures were between  0.5°
C and  1.5°C colder than during 1980–2010 which could have led to slightly thicker level ice than average,
notwithstanding snow effects (Figure S4). Our results show that modal thicknesses were 0.4 to 0.6mless than
observed prior to the 1990s in regions farther north [Brown and Cote, 1992; Melling, 2002], with reductions in
deformed ice thickness more difficult to judge. This apparent thinning could be a direct consequence of the
observed climate warming in the CAA. However, by all means the observed thicknesses and amount of
deformed ice still indicate serious ice conditions which can persist throughout the summers and provide
ample potential for encounters with hazardous ice. Even in recent years, the CAA remains a source for locally
grown MYI and a sink for Arctic Ocean MYI [Howell et al., 2015]; and therefore, shipping through the NWP
should not be taken lightly. These conclusions also support results of Smith and Stephenson [2013] who
suggested that the NWP will not become easily navigable for another 40 years or so.</t>
  </si>
  <si>
    <t>There was large regional variability in mean thicknesses and in the thickness and amount of deformed ice.
This can mostly be explained by differences in FYI age, snow cover, ocean heat flux, local deformation of
FYI, and by the origin of MYI and its residence time in the waters of the NWP during previous summers.
Accordingly, ice thicknesses and the amount of thick, deformed ice decrease toward the south.</t>
  </si>
  <si>
    <t>The Arctic is an extremely sensitive region to climate change [5], with surface air
temperature rising at more than twice the global average [6,7]. In recent decades, sea
ice coverage has been drastically reduced [1,8], and the thickness of sea ice is becoming
thinner [9,10]. The diminishing ice barriers and the increasing open water [11], as a result,
are expected to encourage the NWP to become a stable intercontinental transportation
route [12,13].</t>
  </si>
  <si>
    <t>The Canadian Arctic Archipelago (CAA) is the main segment of the NWP (Figure 1);
the change in sea ice cover over 40 years period [15,16] has raised concerns about its
shipping activities. It appears that the reduction in sea ice has increased the amount
of ship activity as well as the distance travelled by ships [17,18]. However, only weak
correlations between the variables were identified [19]. The ice thickness is still considered
severe in today’s climate [20], and the changes in ice-melt duration [21–23] and sea-ice
exchange [24–27] in CAA have likewise not prevented the accumulation of multi-year ice
on the route. These investigations suggest that the observed increase in shipping activities
is more likely due to non-environmental factors such as the tourism demand, community
re-supply needs, and resource exploration trends, rather than implying that the risk of
navigation is decreasing</t>
  </si>
  <si>
    <t>These investigations suggest that the observed increase in shipping activities
is more likely due to non-environmental factors such as the tourism demand, community
re-supply needs, and resource exploration trends, rather than implying that the risk of
navigation is decreasing. It remains unclear whether the navigational risk of the NWP
has been significantly reduced, where the highest risks of the NWP are, and how the
navigation risk of the NWP will change in the future, particularly for ships with different
ice-breaking capabilities.</t>
  </si>
  <si>
    <t>Sea ice and other meteorological and hydrological risks such as strong wind, low
visibility, low temperature, and shallow water segments serve as major impediments to
ship navigation [28–33] and present some additional risk-influencing factors of the natural
environment: heavy waves mixed with drifting ice, icing of the ship, and prolonged periods
of darkness. These factors may have an increasing effect on the number of accidents such as
collisions, groundings, and instrument failures, raising worries about transport in the NWP.
For instance, a survey by the Transportation Safety Board of Canada (TSB) shows that in
2020 there were 71 marine accidents in the Canada Central Region near the Arctic, 50% of
which were collisions, with the majority of reportable incidents involving mechanical or
system failures on board [34]. It is widely known that transport systems could perform
worse under adverse and extreme weather conditions [35], and the poor infrastructure
of the NWP means that the consequences of any accident would be severe. Furthermore,
ship accidents are likely to cause serious pollution, for example, oil spills resulting from
ship collisions [36].</t>
  </si>
  <si>
    <t>Navigation risk assessment is based on the probability of risk occurrence and the
consequences caused. Several studies have discussed the shipping risks in the Arctic using
the risk matrixes [37–40]; however, such efforts were based on the accident analytical
reports and expert opinions, and neither the probability nor the harm severity have been
specifically and precisely estimated. Navigation in the NWP requires the aid of accurate
weather forecasts and charts that correspond to realistic conditions. In contrast to the
real-time or dynamic assessment [41–43], a risk map obtained by long-term statistics can
provide people with an overall understanding of the distribution of risks in the NWP in
advance, which is also essential for safe route selection, sustainable use of the channel, and
regional development planning. However, there are few results of such works at present.</t>
  </si>
  <si>
    <t>climate, hydrological patterns</t>
  </si>
  <si>
    <t>difficulies with ship navigation, drifting ice, icing of ship, low visibility, ship collisions, grounding, and instrument failures</t>
  </si>
  <si>
    <t>difficulies with ship navigation, ship collisions, grounding, and instrument failures</t>
  </si>
  <si>
    <t>inability to model and predict sea conditions, increased risks during route planning</t>
  </si>
  <si>
    <t>Complex factors such as the low temperature environment, drift
ice and hydrological cycle in the Arctic will make it difficult for oil pollution and other
pollutants to dissipate, thus causing significant environmental damage and affecting the
ecological sustainability of the NWP. Hence, to avoid the occurrence of ship accidents, the
environmental risks of the NWP need to be further understood and effectively assessed.</t>
  </si>
  <si>
    <t>increase likelihood of ship accidents, oil pollution icncidents, difficulty clean-up oil pollution</t>
  </si>
  <si>
    <t>reduced vessel reaction time</t>
  </si>
  <si>
    <t>It is necessary to strengthen the resupply
capacity of the NWP community and improve the infrastructure and real-time information
provision to respond to collisions or instrument failures in the event of adverse weather.
Turning risk into an available energy resource is also an option [77], for example, by using
wind power from Lancaster Sound and Amundsen Gulf. In addition, the total number of
available ice-breaking assets is negatively impacting the level of support by the marine
transportation system of Canada [72], which is also an area in which efforts need to be
accelerated, particularly for the northern route. Given that the projected increase in the
navigable period is conservative and considering the lengthy acquisition and production
process required for new ice-breaking fleets of Canada, ice-breaking resources in the NWP
may not be able to meet the expected demand in the near future. This is certainly a blow
to commercial shipping in the NWP, as container shipping is typically a liner service with
a pre-determined schedule (e.g., one port call every week), and the strong inter-annual
variability of the current NWP sea ice without adequate ice-breaking support compromises
the predictability and reliability of this service; hence, it is unlikely that container shipping
would be diverted to the Arctic any time soon; rather, tramp services would go first.</t>
  </si>
  <si>
    <t>Initial bacterial abundances in microcosms did not have much
impact on the overall degradation of oil because even though cell
abundance in sub-ice seawater microcosms was half the count
in ice (Table 2), sub-ice microbes degraded three times more hydrocarbons
in 3 days (Fig. 3). Results rather support the idea
that difference in the starting community composition and/or
environmental conditions (e.g. DOC concentrations) were key
factors. The relative contribution of Gammaproteobacteria to the
total bacteria was higher in sub-ice seawater than in the ice matrix,
where the contribution of other Proteobacteria was also important
(Fig. 7). Gammaproteobacteria were confirmed to be the
main players of oil biodegradation in cold marine environments
(Yakimov et al. 2004; Gerdes et al. 2005; Brakstad and Bonaunet
2006; Brakstad et al. 2008). Bacterial diversity also changed in the
presence of hydrocarbons (Figs 7–9) and shifted toward a higher
contribution of Gammaproteobacteria in both sub-ice seawater
and sea ice, further supporting the contention that oil-degrading
bacteria are affiliated to this class. Interestingly, the Epsilonproteobacteria
in sub-ice seawater also seemed to have benefited
from the presence of oil, as their contribution increased
in oil-enriched microcosms but not in controls (Fig. 7B).</t>
  </si>
  <si>
    <t>oil spill, operational discharge, vessel traffic increase</t>
  </si>
  <si>
    <t>Extensive offshore oil and gas activities
have been taking place in the Arctic since the 1940s (AMAP
2010), but increased accessibility made possible by a longer open
water season has created new opportunities for the petroleum
industry (AMAP 2012; Meier et al. 2014). Higher risks of accidental
hydrocarbon releases in the Arctic, either as oil spills or
discharges from ships, are anticipated. One of the major transportation
routes, the Northwest Passage in the Canadian Arctic
Archipelago, has seen an increase in vessel transits in recent
years (AMAP 2012; Michel 2013), thereby making the area particularly
vulnerable to accidental leaks of hydrocarbons. Hydrocarbon
pollution poses a major threat to Arctic marine ecosystems,
particularly to the survival of seabirds and marine mammals
(Meltofte et al. 2013). Oil may persist in the Arctic marine
environment longer than in southern regions in part because of
the challenges associated with oil spill clean-up in ice-infested
waters (Meltofte et al. 2013).</t>
  </si>
  <si>
    <t>longer open water season, new oppurtunities due to petroleum industry</t>
  </si>
  <si>
    <t>longer open water season, accessibility to vessels within NWP, new oppurtunities due to petroleum industry</t>
  </si>
  <si>
    <t>increased risk of accidents, operational discharges, HFO pollution</t>
  </si>
  <si>
    <t>In marine environments, oil biodegradation
is mostly attributable to bacteria, with an efficiency ranging
from0.003% to 100%,whereas degradation by fungi and algae
(Das and Chandran 2011) and archaea (Brakstad and Bonaunet
2006) are considered negligible. Hydrocarbon-degrading bacteria
exist in very low abundance (usually less than 1%) in the world’s
marine environments (Atlas and Cerniglia 1995), but may reach
10% of the total bacterial population in contaminated sites, especially
where the pollution is chronic such as in harbors (Hassanshahian
and Cappello 2013).</t>
  </si>
  <si>
    <t>Operational discharge, oil spill</t>
  </si>
  <si>
    <t>decline in marine mammals health, change in behavioural patterns, species range change</t>
  </si>
  <si>
    <t>Control Microcosms in reducing the spead and biodegration of hydrocarbons</t>
  </si>
  <si>
    <t>The objective of commencing oil production
from the Beaufort Sea is consistent with the
national interests and goals of all Canadians; oil
self-sufficiency by 1990, regional benefits where
possible and increased technological infrastructure
to ensure employment opportunities.
However, the total potential of the Beaufort
Sea-Mackenzie Delta region for oil and
Canadian benefits cannot be realized unless
production is allowed to begin. Basic building
blocks must be put in place now to achieve
results in the future.
Recognizing the difficulty of forecasting
demand, the long lead times required to develop
the supply alternatives, and the potential of
sudden interruptions in foreign supplies, the
only prudent direction that the country can
follow at this juncture is the development of all
alternative energy sources. Once production has
commenced from frontier areas such as the East
Coast and the Arctic the government will be in a
much better position to match supply and
demand by controlling the pace of further development
in these areas</t>
  </si>
  <si>
    <t>Valuable information has been obtained on
the behaviour of oil under and in sea ice, and
ways and means for cleaning up the oil. A study
conducted in 1980 on the spread of oil under ice
showed that up to 80 percent of the oil could be
removed while the remaining 20 percent dispersed
naturally with negligible impact on the
environment. Surprisingly, ice has proven to be
more of an ally than a foe when it comes to
restraining and cleaning up oil spills. What we
have found is that ice edges form natural booms
to collect oil against, and in the case of landfast
ice, which is generally the last to leave the
Beaufort region, it protects the important
foreshore coastline. During the lengthy winter
period ice continues to grow and encapsulates
oil, keeping it away from contact with marine
mammals and other biota. During this process
of ,,cold storage,, ample time is available for
trained people to plan an effective clean up
strategy, to transport and set up equipment, and
to handle the oil once it begins to be liberated
from the ice in the spring. The freezing of the oil
during the winter months preserves its most
volatile components, which helps tremendously
with burning during the spring. Although
industry and government work in</t>
  </si>
  <si>
    <t>economic loss, water, air pollution, ecological damage, loss of cultural significance</t>
  </si>
  <si>
    <t>oil spill on ice, capturing and freezing oil particles within ice</t>
  </si>
  <si>
    <t>Industry and government agencies have conducted
research on the impact of ship traffic
upon ice and the sea life that make their home
on, or under that ice (Figures 11 and 12). For
example, there have been noise studies conducted
with Kigoriak to determine the impact, if
any, of tanker passage on animal life, their
habitats, and migration patterns. With this
information, shipping routes can be selected to
avoid ecologically vulnerable areas. Shipping
corridors will be surveyed to obtain adequate
bathymetric and sea ice data, and a preliminary
study has been completed on the ability of
hunters to cross the broken ice left in the track
of an icebreaker (Figure 13).
Research and development has been conducted
on a variety of other technical issues relevant
to environmental protection matters and
solutions are evolving to handle them.</t>
  </si>
  <si>
    <t>During the first three years of operation in
the Beaufort, the drillships were anchored
through the winter at natural harbour sites
located at Herschel Island and at Cape Parry.
This posed various operational difficulties and
in 1979 permission was received to create a new
winter anchorage at McKinley Bay on the Tuktoyaktuk
Peninsula. A large cutter suction
dredge known as the Aquarius was brought in,
and by the end of the 1979 open water season,
had dredged a navigation channel and basin in
McKinley Bay (Figure 4).</t>
  </si>
  <si>
    <t>Many of the answers to technical problems
have gone hand in hand with environmental
and socio-economic solutions. Most of these
solutions have been developed through the
course of lengthy and diligent research, stepwise
and cautious development, and the sensible
application of real world experience. The oil
industry's expertise, built up over more than 15
years, has given it invaluable insight into both
the technical and the environmental concerns. A
sensible approach to these concerns is reflected
in the excellent safety record achieved in the
Beaufort Sea and Mackenzie Delta. There have
been few serious mistakes, no well blowouts,
and little ecological damage caused by exploration.
Scientists in general have become acutely
aware of the sometimes delicate balance between
climate, geography, and nature. Since
some of the interactions between living things
in the Delta and the Beaufort Sea may be disrupted
by exploration and development, the
industry has been especially cautious in
applying new technology to the region.
Frequently small scale experimental models
are constructed and tested by the industry before
any full scale activity is undertaken. For
example, model islands were built first to test
the impact of ice on these structures, and thereby
establish safety criteria which have been
demonstrated in the building of islands in progressively
deeper water. The Kigoriak Class
Four icebreaker is a fore-runner of a wholly new
class of icebreakers including the 200,000 dead
weight ton tankers.
The possible influence of year-round icebreaking
through the Northwest Passage, and the
building of artificial islands in coastal waters,
have been examined through ongoing research
and development programs.</t>
  </si>
  <si>
    <t>Assessent</t>
  </si>
  <si>
    <t>Environmental Impact Assessment</t>
  </si>
  <si>
    <t>difficulties with navigation</t>
  </si>
  <si>
    <t>harsh conditions, sea ice</t>
  </si>
  <si>
    <t>harsh environmental conditions, icebergs, ice conditions, vessel accident</t>
  </si>
  <si>
    <t>pollution, ecological damage, oil spill on ice, oil spill in water</t>
  </si>
  <si>
    <t>economic demand, resource extraction</t>
  </si>
  <si>
    <t>increased risk for vessel accidents</t>
  </si>
  <si>
    <t>With the
reduction of Arctic sea ice and the continuous improvement of ship
navigation technology [4], the Arctic tourism business in Canada,
Russia, Iceland, Norway, and other countries and regions continues to
increase [5]. As a result, the number of passenger ships sailing in Arctic
waters is gradually increasing [6–9]. In 2015, the volume of ship traffic
in the Canadian Arctic was three times higher than in the 1980s, with the
most significant increase in volume involving yachts and tourist ships
[10,11]. According to the tourism report of Quiquikata City in
Greenland [12], some 17,268 tourists visited the Arctic Circle in 2016.
Compared with the same period in 2015, the number of cruise passengers
traveling in August has increased by 15.6%</t>
  </si>
  <si>
    <t>Due to the complex and changeable navigation environment in
Arctic shipping, the poor navigation aids, and the lack of crew experience
in ice operations in Arctic waters [13], maritime accidents are
bound to occur. According to AGCS [14], there were 520 accidents in
Arctic waters from 2011 to 2020, of which 89 were grounding accidents.
Maritime accidents often lead to severe consequences [15–19]. The
unique geographical location of the Arctic and the high level of
vulnerability of the Arctic sea routes mainly originate from extreme
weather conditions, floating ice, and low visibility [20]. As a result, once
a maritime accident occurs, the consequences are highly likely to be
severe. Therefore, it is necessary to conduct a risk analysis of ship operations
in Arctic waters and propose targeted risk control options
(RCOs).</t>
  </si>
  <si>
    <t>uniqueness of Arctic, weather conditions, floating ice, low visibility</t>
  </si>
  <si>
    <t>BN to find that the vulnerability of the Arctic route is relatively high.
This is mainly due to inherent vulnerabilities, such as extreme weather,
ice and water, and poor visibility. The unique geographical environment
of the Arctic means ship operations there face the risks of ship-ice
collision and falling into the sea ice. Khan et al. [24,25] and Afenyo
et al. [26] used BN to assess the risk of ship-ice collisions and proposed
critical risk factors involving weather, ice conditions, human error,
navigation equipment, and mechanical equipment. Obisesan and Srir
amula
[27] used an efficient surrogate model to evaluate the probability
of ship-iceberg collisions.</t>
  </si>
  <si>
    <t>Current research on maritime accidents in Arctic shipping is mainly
focused on collisions and ship-ice collisions. As the typical accident
scenario in Arctic shipping, grounding has not been fully discussed in the
previous studies. And most of the risk management of grounding accidents
is developed based on accident statistics and expert knowledge,
which do not properly consider environmental risk and have certain
limitations [34–36]. So, the modeling and evolution analysis of ship
grounding accidents in Arctic waters requires considerable investigation.
Besides special environmental factors, human and organizational
factors also have an important impact on the occurrence of maritime
accidents [37,38]. More than 80% of maritime accidents occur due to
errors caused by navigators [39], and seafarers with poor theoretical
knowledge are vulnerable to accidents with serious consequences [40,
41</t>
  </si>
  <si>
    <t>Furthermore, the Arctic waters involve multiple governments and
are jointly supervised. The navigation environment and personnel are
extremely complex. Therefore, when analyzing the safety of Arctic
shipping, human and organizational factors need to be considered. The
complexity of government supervision, shipping company management,
technical and operational management, unsafe incidents and crew behaviors,
and environmental factors affecting grounding accidents in
Arctic waters have not yet been fully analyzed. Accident map (AcciMap)
[42] is a sociotechnical and evolving analytical system analysis method
based on the Rasmussen risk management framework. It is mainly used
to analyze the connections among a series of interaction events in an
accident, and to study the impact mechanism of the accident from the
perspective of a complex system</t>
  </si>
  <si>
    <t>Table 2</t>
  </si>
  <si>
    <t>poor traffic conditions, poor situational
awareness, and inefficient use of navigation equipment</t>
  </si>
  <si>
    <t>vessel accident, vessel pollution, loss of life, ecological damage, economic losses</t>
  </si>
  <si>
    <t>non-standardized use of language, language barriers</t>
  </si>
  <si>
    <t>Increased risk of accidents</t>
  </si>
  <si>
    <t>Figure 6, 7</t>
  </si>
  <si>
    <t>Table 2, 3</t>
  </si>
  <si>
    <t>Figure 8</t>
  </si>
  <si>
    <t>Ships navigating in ice reduce speed to mitigate the risk of iceinduced
structural damage to the vessel. A captain may reduce speed
based on experience and due caution. Speed reductions may be imposed
through regulatory guidelines, e.g. POLARIS. A detailed review of
existing methodologies to estimate the maximum speed in ice at which
damage can be avoided is provided by Dolny [15].</t>
  </si>
  <si>
    <t>damage to vessel, vessel risk of accidents</t>
  </si>
  <si>
    <t>An approach to estimate voyage time and fuel consumption along
predetermined routes is presented by Frederking [37]. Ship performance
follows Keinonen et al. [26], considering level ice resistance and available
engine power. Ice data is obtained from published ice charts. Ice
regimes are idealized as successive sections of level ice and open water.
The current study employs the Frederking [37] approach to model ship
performance in ice.
A similar approach for estimating voyage time and fuel consumption
is used to evaluate the economic viability of Arctic routes [38]. Ship
performance follows Riska et al. [34]. Discrete event simulation is used
to evaluate ship performance along different routes. Probabilistic distributions
of ice thickness and concentration are generated from satellite
data.</t>
  </si>
  <si>
    <t>cliamte flucuations, variable ice heights</t>
  </si>
  <si>
    <t>time of year, sea ice presence</t>
  </si>
  <si>
    <t>increased air emissions, decreased local air quality</t>
  </si>
  <si>
    <t>inaccessibility for vessels</t>
  </si>
  <si>
    <t>Using AIRSS or POLARIS to justify entry into an ice regime in which a
vessel has marginal or no capability of operating poses a risk to navigational
safety. This is particularly concerning in the presence of multiyear
ice, which increases the likelihood of vessel damage [14].
There are factors other than ice that require consideration for safe
Arctic navigation. Routes must be selected considering the extent to
which regions have been hydrographically surveyed.
Model results showed the agent strategically navigating to avoid
severe ice regimes. In reality, routes must be selected with consideration
of hydrographic information and vessel draft limitations.
There is an amount of uncertainty associated with the ice conditions
reported in an ice chart. Routes must be selected considering the potential
for ice drift.</t>
  </si>
  <si>
    <t>improper route planning, changes to navigational path</t>
  </si>
  <si>
    <t>grounding, vessel accident, vessel damage, vessel-animal collision</t>
  </si>
  <si>
    <t>vessel stuck in ice, vessel-ice collision, vessel accident, vessel sinking</t>
  </si>
  <si>
    <t>cliamte flucuations</t>
  </si>
  <si>
    <t>inadequate or no baseline data available</t>
  </si>
  <si>
    <t>Regulatory constraints can have significant implications on the
operational objectives of a ship [5]. Implementation can be onerous on
ship owners with respect to operational cost efficiency [6].
Effective marine policy requires evidence-based and data-driven
evaluations of the implications of regulatory constraints on operations.
Such evaluations allow policy-makers to consider the costs incurred by
those responsible for implementing regulations, and support industry
stakeholders in establishing economic implementation strategies.
A network of regulations govern the Arctic maritime industry, promoting,
in part, safety of people, environment, and assets. Regulatory
guidelines, such as the Canadian Arctic Ice Regime Shipping System
(AIRSS) [3] and the International Maritime Organization (IMO) Polar
Operational Limit Assessment Risk Indexing System (POLARIS) [4]
promote safe navigation in ice by imposing structural safety constraints
on Arctic ship operations.
Several studies have evaluated Arctic maritime regulations,
including the Polar Code [7], POLARIS [8–13], and AIRSS [14]. These
studies focus on regulatory efficacy, risk mitigation, and regulatory
limitations. There is a gap in the research literature regarding methods
to evaluate operational implications of Arctic maritime regulations.</t>
  </si>
  <si>
    <t>multiplicity of regulations at various levels</t>
  </si>
  <si>
    <t>varied regulatory efficacy, risk mitigation, assessment, and limitations</t>
  </si>
  <si>
    <t>Shipping speed regulations (POLARIS)</t>
  </si>
  <si>
    <t>The former is expected to increase primarily because of hydrocarbon extraction activities,
re-supply to remote Arctic communities, fishing, research voyages, and tourism (Melia, Haines, and
Hawkins 2017). For trans-Arctic shipping, it is currently mainly performed along two main routes:
Northern Sea Route (NSR) along Russia’s northern coastlines, and Northwest Passage (NWP)
through the Canadian Archipelago. The Transpolar Sea Route (TSR)—a mid-Arctic Ocean route
compared to the two mentioned coastal routes is less explored due to extreme ice conditions (Ng
et al. 2018) illustrates the minimum sea ice extent for September 1999–2019 (Lindsey and Scott
2019) (Figure 1).1</t>
  </si>
  <si>
    <t>sea ice melting</t>
  </si>
  <si>
    <t>re-supply remote communities, fishing, rapid tourism growth</t>
  </si>
  <si>
    <t>Amid the social, environmental, and economic challenges
(Afenyo, Jiang, and Ng 2019), the Arctic’s economic growth and emerging maritime supply chain
networks have created competitions among stakeholders (e.g., ship operators), Arctic and non-
Arctic countries alike (Government of Canada 2019). The increase in non-Arctic observer members
of the Arctic Council since its establishment in 1996 indicates the strategic importance of these new
waterways.
Having say so, most navigators face unique risks peculiar to the specific conditions of the Arctic.
As depicted by the International Code for Ship Operations in Polar Waters (hereinafter called the
‘Polar Code’), under the ‘hazard sources’ section such risks are caused by sea ice, low temperatures,
extended periods of darkness, high latitude, extreme weather conditions, remoteness, lack of data,
lack of crew experience, and the lack of search and rescue services (International Maritime
Organization (IMO) 2020). Illustrative examples can be found in Figures 2a and 2b, while some
current radars cannot detect icebergs while navigating in these waters. These imply that it requires
very experienced captains and crew to successfully pass through any hidden icebergs unscathed. In
this regard, physical risks (e.g., extreme weather events, icebergs), the lack of infrastructure
Figure 1. A map of Arctic shipping (Source: Authors elaboration using WWF Arctic Geographical Information System (wwfarcticmaps.
org)).
Figure 2. A and 2b. Sample Arctic shipping risk factors that include 1) poor visibility and 2) ice coverage.
862 R. PANAHI ET AL.
constituting such risks (e.g., poor communication equipment, incomplete charts, remoteness from search and rescue), and enhanced human errors in the Arctic (e.g., operational malfunction due to cold weather, lack of tailor-made training) are considered as the key factors during an insurance underwriting (P and Club 2014)</t>
  </si>
  <si>
    <t>increased difficulty for svessel navigation</t>
  </si>
  <si>
    <t>Considering the wide variety of stakeholders engaged in the shipping industry, we safely assume that stakeholders differ in terms of backgrounds, knowledge, beliefs, and concerns about the industry, especially in Arctic shipping. Such differences, affected by dissimilar power and interests, could be due to psychological distance (PD): a cognitive separation between self and other instances such as persons, events, or times (Trope and Liberman 2003), and exacerbated by the scarcity of accident data in the Arctic, not helped by data inaccuracy due to frequent underreporting (Marchenko et al. 2016; Goerlandt and Montewka 2015; Goerlandt et al. 2017). Furthermore, using different classifications and definitions to analyze such events has made it complex to explore root causes, and thereby plan and prepare for the challenges the new environment presents (Luo and Shin 2019). Such difference due to PD is reflected in stakeholders’ contributions in supporting sustainable development.</t>
  </si>
  <si>
    <t>data inaccuracy, underreporting of accidents</t>
  </si>
  <si>
    <t>Amid the social, environmental, and economic challenges
(Afenyo, Jiang, and Ng 2019), the Arctic’s economic growth and emerging maritime supply chain
networks have created competitions among stakeholders (e.g., ship operators), Arctic and non-
Arctic countries alike (Government of Canada 2019). The increase in non-Arctic observer members
of the Arctic Council since its establishment in 1996 indicates the strategic importance of these new
waterways. Considering the wide variety of stakeholders engaged in the shipping industry, we safely assume that stakeholders differ in terms of backgrounds, knowledge, beliefs, and concerns about the industry, especially in Arctic shipping. Such differences, affected by dissimilar power and interests, could be due to psychological distance (PD): a cognitive separation between self and other instances such as persons, events, or times (Trope and Liberman 2003), and exacerbated by the scarcity of accident data in the Arctic, not helped by data inaccuracy due to frequent underreporting (Marchenko et al. 2016; Goerlandt and Montewka 2015; Goerlandt et al. 2017).</t>
  </si>
  <si>
    <t>economic oppurtunities, increased accessibility to NWP</t>
  </si>
  <si>
    <t>tariffs, territorial disputes, geopolitical conflicts</t>
  </si>
  <si>
    <t>Furthermore, the gap unfavor
ably affects the implementation of risk transfer measures (e.g., P&amp;I insurance) in support of the development and defining the tolerable operation uncertainty.3 Finally, investigating such is critical from the business ethics perspective. Extensive literatures identify externalities as major sources for business ethics and suggest that any practice, which has negative externalities and requires another party to take a significant loss without consent or compensation, are regarded as unethical (Cosans 2009).</t>
  </si>
  <si>
    <t>unknowns of Arctic shipping</t>
  </si>
  <si>
    <t>Research, Standards</t>
  </si>
  <si>
    <t>Further research regarding possible risks to Arctic shipping, implementation of Arctic Shipping Resilience Index (ASRI)</t>
  </si>
  <si>
    <t>Analogous to the NSR, the NWP on the Canadian side recorded
approximately three times the volume of shipping activities from 1990
to 2015 due to reductions in sea ice concentration [9,39,5]. Because of
the potential growth of transport in the NWP, different levels of governments
initiated a wide range of plans to develop marine
* Corresponding author.
E-mail address: shengda.zhu@sydney.edu.au (S. Zhu).
1 Source: https://www.total.com/energy-expertise/projects/oil-gas/lng/yamal-lng-cold-environment-gas
Contents lists available at ScienceDirect
Marine Policy
journal homepage: www.elsevier.com/locate/marpol
https://doi.org/10.1016/j.marpol.2023.105647
Received 29 January 2023; Received in revised form 29 April 2023; Accepted 1 May 2023
Marine Policy 153 (2023) 105647
2
infrastructure along the NWP [23,40]. Despite the increasing economic
activities and prospects, local residents in the Canadian Arctic area have
expressed serious concern about the impacts of the increasing transport
volume in their jurisdiction, citing the effect on hunting and culture.</t>
  </si>
  <si>
    <t>reduced local resources, over expolitation, species migation population change</t>
  </si>
  <si>
    <t>increased vessel activity, economic demand, increased NWP accessibility</t>
  </si>
  <si>
    <t>Therefore, successive Arctic governments have presented a series of
Arctic policies to the public, and the Canadian government has proposed
the Low Impact Shipping Corridors initiative to reduce the possibility of
shipping incidents [32,46]. A critical issue remains, that is how the
proposals within the policy are going to be implemented. For example,
some of the key items to be addressed include the provision of internet
and infrastructure for health care, education and security. It is not very
clear where the money is coming from, but both China and Norway have
expressed their interests to get involved [14]</t>
  </si>
  <si>
    <t>economic gains, NWP viability for shipping route</t>
  </si>
  <si>
    <t>increased risk for vessel incident, vessel traffic</t>
  </si>
  <si>
    <t>Although shipping is among the least harmful transport modes in
terms of per ton-km, in absolute terms, it is still a major source of atmospheric
emissions and other climate change related concerns
including impact on human health [7]. Other externalities, including oil
and chemical spills, discharges, noise, and ballast water, are also worth
noting [34]. The International Maritime Organisation (IMO)’s Marine
Pollution Convention (MARPOL) is an international convention aimed at
preventing ship pollution on both operational and accidental levels.
Studies argue that IMO regulation is not strict enough. Chu Van et al. [6]
stated that IMO regulations on the fuel type for emission control areas
would require extra energy consumption through the fuel refinery and in
return, increase the greenhouse emission. Because of the vulnerability of
the Arctic area, Lindstad et al. [28] pointed out that the economic
benefit of shorter travel distance by adopting NSR is not enough to offset
its negative effects of additional emission, even with cleaner fuel</t>
  </si>
  <si>
    <t>Regulations</t>
  </si>
  <si>
    <t>MARPOL, IMO</t>
  </si>
  <si>
    <t>All the studies confirmed the distance
reduction effect in favour of the Arctic routes, but this does not necessarily
translate into savings in time and cost proportionately, as noted by
some researchers. Even during the summer, the navigability of the Arctic
is more hazardous than conventional routes, and most vessels require
some kind of ice-breaker escort. Due to changing ice conditions,
multi-year ice and extreme weather, vessels need to move slower and
more carefully, leading to a higher cost per unit distance.</t>
  </si>
  <si>
    <t>weather conditions, sea ice conditions, crew experience</t>
  </si>
  <si>
    <t>economic losses</t>
  </si>
  <si>
    <t>Table 3</t>
  </si>
  <si>
    <t>Noise is a major externality to both human health and fishing activities.
Halliday and Dawson [16] modelled the noise from shipping
activities in the Northwest Passage, while it should also be noted that
icebreaking could also vary the local communities hunting areas and
animal habitats [10]. Though the lack of real data to quantify the above
in the socio-economic costs, the proposal of Low Impact Shipping Corridors
is estimated to lower the impacts of shipping activities on local
communities.</t>
  </si>
  <si>
    <t>Due to the harsh climate and sparse population, road, and rail
infrastructure level in the focused communities, is underdeveloped.
Therefore, in most northern communities, air transport is the only yearround
option to move people and goods around. The opening of NWP for
liner shipping could bring some benefits to local people in terms of
accessibility and lower transport cost of goods compared to aviation.
The difficulty to incorporate accessibility benefit to the model is that
there is limited literature on how opening a route would benefit the area
it traverses through. Although transit NWP liner service will not cover
all our focused communities, it could increase their accessibility with
local transport options.</t>
  </si>
  <si>
    <t>remoteness, harsh environmental conditions</t>
  </si>
  <si>
    <t>limited resources available, delayed response time, increased losses and severity of losses</t>
  </si>
  <si>
    <t>limited SAR, limited resources to aid navigation, sparce ports for stopping, incerased duration trips</t>
  </si>
  <si>
    <t>In order to deal with the threat of ship oil spill to the
ecologically fragile Arctic waterway, Afenyo et al. (2019) also applied
the OOBN model to study oil spill mitigative measures. This model
overcomes the complexity, lack of data, and uncertainties in an oil spill
and response modeling scenario for Arctic shipping accident occurrence.</t>
  </si>
  <si>
    <t>Numerous factors affect the safety of ship navigation. These include
technical faults, including ship navigational system states and operational
system states; environmental conditions, such as ice and weather
states; social factors, including local regulations, pirates and economic
disputes; human error (Rothblum, 2000; Bowditch, 2002; Advisory,
2009; Canadian Coast Guard, 2012; Advisory, 2014; Sahin and Kum,
2015; Environment Canada, 2016; Khan et al., 2018). However, quantitative
characterization cannot be currently directly performed due to a
high degree of uncertainty in internal causes such as technical failures of
ships and human-caused operational errors. This article, therefore, focuses
on analysis and quantification of risks in the environmental conditions
module. By consulting several literatures and analyzing the
unique climate and geographical location of the Arctic region, we will
discuss the characteristics of the natural environment of the Northwest
Passage from two aspects: meteorological environment and hydrological
environment</t>
  </si>
  <si>
    <t>technical faults, environmental conditions, vessel navigation system vaults, piracy, and economic pressures</t>
  </si>
  <si>
    <t>evssel accidents, technical failures, human error</t>
  </si>
  <si>
    <t>In the summers of 2012 and 2013, several events attracted the interest of observers regarding Arctic navigation. Transit
traffic along the Northern Sea Route (NSR) was performed by 46 ships in 2012 and 71 in 2013 (official figures, NSRA 2013). In
the summer of 2012, the cruise ship MS The World transited the Northwest Passage (NWP) with 508 passengers, and in
August 2013, the coal bunker Nordic Orion transited the NWP as well between Vancouver and Europe.</t>
  </si>
  <si>
    <t>Publications, National Snow and Ice Data Center (NSIDC, www.nsidc.org)</t>
  </si>
  <si>
    <t>The melting of sea ice did not merely reactivate ancient ambitions about transportation in the Arctic, but immediately
http://dx.doi.org/10.1016/j.tra.2014.05.005
0965-8564/  2014 Elsevier Ltd. All rights reserved.
⇑ Tel.: +1 418 656 2131/12435; fax: +1 418 656 3960.
E-mail address: Frederic.lasserre@ggr.ulaval.ca
Transportation Research Part A 66 (2014) 144–161
Contents lists available at ScienceDirect
Transportation Research Part A
journal homepage: www.elsevier.com/locate/tra
proved to bear a political issue, as the growth of shipping in the region underlines the question of what the status of the
Northwest and Northeast Passages will be (Byers, 2009; Lasserre, 2010a): international straits, as claimed by the United
States or the European Union? Internal, and thus subject to their sovereignty, as claimed by Canada and Russia? Neutral,
if ships navigate across the Arctic Ocean? The question of the development of Arctic shipping remains controversial as
experts’ analyses do not converge (Howell and Yackel, 2004; Gedeon, 2007; Loughnane, 2009; Lasserre, 2011).</t>
  </si>
  <si>
    <t>Insurance premiums are also the object of a wide range of estimates. Three models rely on no insurance premiums. One
mentions a cargo insurance premium of 50% over standard tariffs. One mentions a price difference of about 100,000$ per trip.
Three models suggest global insurance costs may be between 75% and more than 100% higher than regular fees. For P&amp;I
(insurance protection that covers for third-party liabilities encountered in the commercial operation of vessels), premiums
vary from 16.7%, 25% (2), 43%; 50% (3) and 100%; for H&amp;M (insurance protection for damage done to the ship itself or the
equipment which forms part of it), premiums display a range between 25% (2), 50% (3) and 100% (3). Arpiainen and Kiili
(2006) quote 800 $/day as the average insurance cost for a ship plying Arctic waters year-round, whereas Somanathan
et al. (2009) sets this cost at 1746 $/day, Wergeland (2013) at 1150 $/day for a containership along the NSR, and Verny
and Grigentin (2009) at 3344$/day. Clearly, such a wide range of cost estimates underline the degree of uncertainty these
models have to cope with.</t>
  </si>
  <si>
    <t>We contacted several insurance companies and among the factors considered for the risk assessment and thus the rate, is
the experience of the crew in Arctic shipping; the availability of rescue units (icebreakers or else); the distance to a port in
case of damage; the ice class of the ship and the prevalence of fog and ice along the route considered. These factor plead for
higher premiums along the NWP as the NSR boasts intermediate ports (Varandei, Amderma, Dickson, Tiksi, Pevek, Provideniya),
more icebreakers, less drifting ice2 and less icebergs and growlers, because land glaciers that calve icebergs when entering
the sea on Novaya Zemlya, Severnaya Zemlya and Franz-Joseph Land are much smaller than Greenland’s and Ellesmere’s
(Dowdeswell and Hambrey, 2002, pp. 95–96).</t>
  </si>
  <si>
    <t>Table 3, 4</t>
  </si>
  <si>
    <t>navigational delays, sea ice</t>
  </si>
  <si>
    <t>Transit speed is less sensitive on the Yokohama service, as the shorter leg can provide for a strong advantage even with a
reduced speed; conversely, an improved speed will not impact the cost differential much: a 50% increase of the speed
entails a mere 17.66% variation of the differential on the Yokohama service, whereas a 50% decrease of the transit speed
along the NSR produces a 52.98% decline of the differential. Along the Shanghai route, a 50% improvement of the transit
speed along the NSR provides for a 40.15% improvement of the differential, thus a moderate sensitivity, whereas a 50%
decline impacts the cost differential by more than 120%: given the length of the route, if the transit along the NSR
becomes slower, then what advantage there might have been in transiting in the Arctic is quickly eroded.</t>
  </si>
  <si>
    <t>economic benefit</t>
  </si>
  <si>
    <t>worldwide interest, last chance tourism</t>
  </si>
  <si>
    <t>increased vessels, increased pollutation risks</t>
  </si>
  <si>
    <t>The Arctic Passage is closely related to the world geopolitical pattern [7, 8]. The Arctic passages
include three routes: the Northern Sea Route (NSR), the Northwest Passage (NWP), and the
Transpolar Sea Route (TSR). The environmental and socioeconomic impacts of the Transpolar
Sea Route could be locally significant because this route is shorter and deeper than the NSR
[9]. The huge benefits generated by the Arctic Passage have gradually attracted the attention of
many Arctic countries, which have attached great importance to the Arctic routes and Arctic
geopolitics for a long time. Non-Arctic countries, though away from the Arctic, also consider
the issue of Arctic routes an important agenda.</t>
  </si>
  <si>
    <t>During navigation along Arctic routes, ships are not only bound by the maritime administrative
regulations of the countries along the route but are also indirectly affected by various
factors, such as the political influence, economic development, military, and the culture of
each country. So far, services for ship navigation mainly rely on the global positioning system
(GPS). Various researchers have conducted a comprehensive analysis of the energy efficiency
of ice-going ships to ascertain the most energy-efficient navigation in the Arctic routes for
both economic and environmental purposes [10]. A model developed by the researchers estimates
how ice conditions change the probability of blockage along the route and play on the
economic and environmental attractiveness of the NSR [11].</t>
  </si>
  <si>
    <t>However, these navigation systems do not provide information on whether the vessels have
a legal and political basis for free navigation and scientific investigations in different sea areas.
Besides, the related jurisdictional agencies and the economic, political, cultural, and military
conditions of the countries, as well as the navigation issues reflected by geoinformation, are
not directly concerned. It is against this backdrop that the spatial pattern of the Arctic Passage
is analyzed in terms of geopolitical environmental factors, which include regional politics, economics,
culture, military, and other factors involved, to achieve the matching of geoinformation
with the spatial location and to investigate the spatial–temporal pattern.</t>
  </si>
  <si>
    <t>The utilization of the Arctic
Passage must comply with corresponding legal rules. The legal system of Arctic navigation
comprises two parts: relevant international law and domestic law. The nature and regulations
of the two types of laws are inconsistent. However, as their scopes of application, contents of
rules, and legal effects are related to the district to a certain extent, it is necessary to match the
laws with geographic information to ensure that the Arctic Passage is used accurately and
legally.</t>
  </si>
  <si>
    <t>Geoculture generally analyzes and predicts the strategic situation
of the world or a region and the status of cultural expression concerning the political
behavior of a country, i.e., according to the geographical form of various geographical factors
and political patterns. The existence of geoculture has given birth to different nations and
countries, thus influencing relations between countries. In some instances, it has even fueled
national war and regional turmoil. The origin of culture, habitat of nationality, and distribution
of aborigines in the Arctic are important factors for the investigation of Arctic geopolitical
culture. The “cold culture” of the Arctic natives—Eskimos (Inuit)—is also known as the “white
culture,” which is largely predominant in the Bering Strait, the Aleutian Islands, Alaska, northern
Canada, and Greenland.</t>
  </si>
  <si>
    <t>Geo-military is a combination of the terms “geography” and
“military,” and it can be understood as a military situation formed under the influence of geographical
factors. The opening of the Arctic Passage has facilitated and diversified military
Fig 1. Sketch map of the Arctic Passage. The boundary was obtained from Natural Earth (http://www.naturalearthdata.com/).
https://doi.org/10.1371/journal.pone.0270262.g001
PLOS ONE Spatial match analysis of multiple factors in the geopolitical environment of the Arctic Passage
PLOS ONE | https://doi.org/10.1371/journal.pone.0270262 July 1, 2022 4 / 22
delivery and military operations through the Arctic Ocean, making the region a “new battlefield”
for strategic games among the Arctic countries. The Arctic “fights” and the trend of militarization
in those countries have intensified. For instance, the United States and Russia attach
great importance to military control over the Arctic, and they build military bases, conduct
exercises, and deploy anti-aircraft guided missile systems and anti-submarine warfare airplanes
in this region. North Atlantic Treaty Organization’s (NATO) eastward expansion and
American strategies to fight Russia are likely to exist for a long time, and Russia is also likely to
form strategic counter-measures and deterrence against the United States and European countries
[23]. However, at present, almost all Arctic countries’ policy statements emphasize that a
realistic military threat does not exist in the Arctic.</t>
  </si>
  <si>
    <t>Harsh environmental conditions and remoteness characterize the wider Arctic region,
which is a rather difficult and dangerous area to live and conduct business endeavors
within. The marine transportation system and search and rescue (SAR) support are two
critical components of infrastructure needed to prevent harm potentially arising from
ship operations and business activities along the Arctic’s Northwest Passage.</t>
  </si>
  <si>
    <t>Ports are critical transportation links, especially when communities
lack other connections, such as in the case of the Arctic. Furthermore, initiatives to develop
voluntary traffic separation schemes support navigable waterways and are a vital part of
the marine transportation system. It is also necessary to highlight the fact that because of
the harsh conditions of the dynamic Arctic region, which is characterized by numerous
Logistics 2021, 5, 23. https://doi.org/10.3390/logistics5020023 https://www.mdpi.com/journal/logistics
Logistics 2021, 5, 23 2 of 15
record-setting events, as well as vast distances involved and remoteness, SAR support
capabilities hold a very important role: to ensure safe and secure vessel operations in the
region under discussion</t>
  </si>
  <si>
    <t>The continuous melting of ice is transforming the Arctic region into the most rapidly
warming region of the planet, most commonly identified with the North Pole and quite
synonymous with the term “Arctic Circle” [4]. Before proceeding any further, it is necessary
to specify the Arctic boundary considered for the purposes of this analysis. For both the
United States and Canada, the “Arctic” is defined as the area containing the Arctic Ocean
as well as the respective territories with a latitude higher than the Arctic Circle (66 33048”
N). Area within the Arctic Circle includes lands divided among eight countries: United
States (Alaska), Canada, Denmark (Greenland), Iceland, Norway, Sweden, Finland, and
Russia. The United States and Canada are among five of these eight countries that have an
Arctic coastline. Their geographic positions being located adjacent to emerging shipping
corridors creates important obligations in terms of navigation safety and responsibility to
render search and rescue assistance [5].</t>
  </si>
  <si>
    <t>The United States and Canada have a positive history of strong collaboration in the
Arctic despite an ongoing disagreement in relation to effective Arctic governance and
the legal status of the Northwest Passage [8]. More specifically, the dispute centers upon
the status and legal regime of the various water corridors that make up the different
routes. Canada maintains the view that these waters are internal waters, which fall
under Canada’s authority and jurisdiction. The United States maintains the position
that the Northwest Passage is an international strait, an area of high seas status. The
1988 Canada–United States Agreement on Arctic Cooperation (ACA) signaled that both
sides agree to disagree in order to work together and proceed with resolving issues of
mutual interest and concern [9]. Thus, the status quo has since proven fruitful: the
United States and Canada have both embraced a shared Arctic leadership model with a
foundation that emphasizes cooperation. The two countries strive to embrace opportunities
and confront challenges with the following objectives: conserving Arctic biodiversity
through science-based decision-making, incorporating Indigenous science and traditional
knowledge into decision-making, building a sustainable Arctic economy, and supporting
strong Arctic communities [10]</t>
  </si>
  <si>
    <t>The situation is the same in Arctic Canada. Coastal ports exist, but with limited
capabilities and significant environmental risks/concerns. Airplane services bolster Arctic
Canada’s transportation capabilities and few inland roads exist. Since air service is so
expensive, 95% of goods in the Canadian north are shipped by sea [12]. In Canada’s Northwest
Territory region, marine transportation services successfully overcame challenges of
record high water levels and COVID-19 restrictions to complete their 2020 marine resupply
season. The shipping operation took place between 10 July 2020 and 19 September 2020,
with a delivery of 27.9 million liters of fuel and 2720 tons of cargo to port communities
within the Northwest Territories [13].</t>
  </si>
  <si>
    <t>Overall, shipping in the Arctic has increased by 25%, from 1298 ships in 2013 ships in 2019 [2]. Vessel traffic is still low, but steadily increasing. There is significant in shipping of hard minerals and thus the distance sailed by bulk carriers Arctic Polar Code area has risen by 160% between 2013 and 2019 [2]. Contributing extensive increase at the eastern end of the Northwest Passage, the Canadian Mary Mine opened in 2014. The subsequent influence on traffic has noticeably increased carrier transits along the Northwest Passage as observed from 2013 to 2019. During the last two decades, the ability to observe how the Arctic is changing has
made notable progress and the world is clearly taking notice. Shipping activities in the
Arctic have clearly increased and there is an obvious reason behind this: sea ice coverage
has diminished from 6.1 million square kilometers in 1999 to 4.3 million square kilometers
in 2019 [2]. Additionally, the length of the navigation season has been growing by as
much as 7 to 10 days each year and may extend by 2.5 months over the next decade [3].
These changing conditions have resulted in increased attention from government, media,
scientific researchers, the natural resource exploration industry, and even entities engaged
in touristic activities and relevant business opportunities. The message is clear: the Arctic
is indeed undergoing a formative transformation</t>
  </si>
  <si>
    <t>There is significant economic value in regard to shipping operations and business
significant economic value in regard to shipping operations and business
activity in the United States’ Arctic region. Within the 1,000,000 square miles of U.S. Territorial
Waters and Exclusive Economic Zone, highlights include Alaska’s USD 3 billion
Arctic seafood industry, a USD 1 trillion value of rare earth minerals, 90 billion barrels of
undiscovered oil reserves, and an estimated 30 percent of the world’s undiscovered natural
gas [23]. Reductions in permanent sea ice have exposed coastal boarders and longer
seasons of reduced ice conditions have facilitated increased economic activity interest to
include commercial transportation and resource development. This increased activity demands
the use of innovative maritime transportation system tools and SAR support to
understand and manage the evolving risk.
In cooperation with the U.S. Coast Guard and U.S. Arctic Research Commission, the
Coastal Response Research Center of the University of New Hampshire hosted a workshop
in 2008 that was focused on the risk factors for plausible Arctic marine incidents.
Along the Northwest Passage, these potential incidents included a cruise ship grounding,
a bulk carrier trapped in ice, fire and collision in offshore operations, and a tug losing
power and subsequently grounding while towing a barge laden with explosives [24].
More than a dozen years have passed since that workshop, but the risks associated with
such incidents are even more plausible now than before. As more ships operate in the
Arctic, the need for support is inevitable and should be provided in a timely manner.
A very extended number of drivers may help to predict overall vessel activity along
the Northwest Passage. In 2018, the U.S. Arctic Research Commission and the Woodrow
Wilson Polar Institute supported the U.S. Committee on the Martine Transportation System
with a technical workshop, which brought together 41 experts from industry, academia,
government, and the Arctic region. Over 70 various drivers were identified and
ranked in categories to include natural resources, the global economy, changing geopolitics,
regulatory changes, infrastructure, improved technology and operations, environmental
change, the human element, and a changing fuel landscape. Ultimately, the research
scenario results suggest that the number of ships in Northern U.S. Arctic waters
and the surrounding region will increase by 136–346% over 2008 levels [3]. These results
provide an update to the 2015 report by The International Council on Clean Transportation
(ICCT), commissioned by the U.S. Committee on the Marine Transportation System
to support the priorities outlined in the U.S. National Strategy for the Arctic Region [25].
Figure 3. Bulk carrier traffic to and from the Mary River Mine. Courtesy of PAME—Arctic Shipping Status Report, available
online: https://pame.is/projects/arctic-marine-shipping/arctic-shipping-status-reports/723-arctic-shipping-report-1-
the-increase-in-arctic-shipping-2013--2019-pdf-version/file (accessed on 18 March 2021) [2].
There is significant economic value in regard to shipping operations and business
activity in the United States’ Arctic region. Within the 1,000,000 square miles of U.S.
e United States’ Arctic region. Within the 1,000,000 square miles of U.S. Territorial
Waters and Exclusive Economic Zone, highlights include Alaska’s USD 3 billion
Arctic seafood industry, a USD 1 trillion value of rare earth minerals, 90 billion barrels of
undiscovered oil reserves, and an estimated 30 percent of the world’s undiscovered natural
gas [23]. Reductions in permanent sea ice have exposed coastal boarders and longer
seasons of reduced ice conditions have facilitated increased economic activity interest to
include commercial transportation and resource development. This increased activity demands
the use of innovative maritime transportation system tools and SAR support to
understand and manage the evolving risk.
In cooperation with the U.S. Coast Guard and U.S. Arctic Research Commission, the
Coastal Response Research Center of the University of New Hampshire hosted a workshop
in 2008 that was focused on the risk factors for plausible Arctic marine incidents.
Along the Northwest Passage, these potential incidents included a cruise ship grounding,
a bulk carrier trapped in ice, fire and collision in offshore operations, and a tug losing
power and subsequently grounding while towing a barge laden with explosives [24].
More than a dozen years have passed since that workshop, but the risks associated with
such incidents are even more plausible now than before. As more ships operate in the
Arctic, the need for support is inevitable and should be provided in a timely manner.
A very extended number of drivers may help to predict overall vessel activity along
the Northwest Passage. In 2018, the U.S. Arctic Research Commission and the Woodrow
Wilson Polar Institute supported the U.S. Committee on the Martine Transportation System
with a technical workshop, which brought together 41 experts from industry, academia,
government, and the Arctic region. Over 70 various drivers were identified and
ranked in categories to include natural resources, the global economy, changing geopolitics,
regulatory changes, infrastructure, improved technology and operations, environmental
change, the human element, and a changing fuel landscape. Ultimately, the research
scenario results suggest that the number of ships in Northern U.S. Arctic waters
and the surrounding region will increase by 136–346% over 2008 levels [3]. These results
provide an update to the 2015 report by The International Council on Clean Transportation
(ICCT), commissioned by the U.S. Committee on the Marine Transportation System
to support the priorities outlined in the U.S. National Strategy for the Arctic Region [25].
Figure 3. Bulk carrier traffic to and from the Mary River Mine. Courtesy of PAME—Arctic Shipping Status Report, available
online: https://pame.is/projects/arctic-marine-shipping/arctic-shipping-status-reports/723-arctic-shipping-report-1-
the-increase-in-arctic-shipping-2013--2019-pdf-version/file (accessed on 18 March 2021) [2].
There is significant economic value in regard to shipping operations and business
activity in the United States’ Arctic region. Within the 1,000,000 square miles of U.S.
Territorial Waters and Exclusive Economic Zone, highlights include Alaska’s USD 3 billion
Arctic seafood industry, a USD 1 trillion value of rare earth minerals, 90 billion barrels
of undiscovered oil reserves, and an estimated 30 percent of the world’s undiscovered
natural gas [23]. Reductions in permanent sea ice have exposed coastal boarders and longer
seasons of reduced ice conditions have facilitated increased economic activity interest
to include commercial transportation and resource development. This increased activity
demands the use of innovative maritime transportation system tools and SAR support to
understand and manage the evolving risk</t>
  </si>
  <si>
    <t>"There is significant economic value in regard to shipping operations and business
significant economic value in regard to shipping operations and business
activity in the United States’ Arctic region. Within the 1,000,000 square miles of U.S. Territorial
Waters and Exclusive Economic Zone, highlights include Alaska’s USD 3 billion
Arctic seafood industry, a USD 1 trillion value of rare earth minerals, 90 billion barrels of
undiscovered oil reserves, and an estimated 30 percent of the world’s undiscovered natural
gas [23]. Reductions in permanent sea ice have exposed coastal boarders and longer
seasons of reduced ice conditions have facilitated increased economic activity interest to
include commercial transportation and resource development. This increased activity demands
the use of innovative maritime transportation system tools and SAR support to
understand and manage the evolving risk.
In cooperation with the U.S. Coast Guard and U.S. Arctic Research Commission, the
Coastal Response Research Center of the University of New Hampshire hosted a workshop
in 2008 that was focused on the risk factors for plausible Arctic marine incidents.
Along the Northwest Passage, these potential incidents included a cruise ship grounding,
a bulk carrier trapped in ice, fire and collision in offshore operations, and a tug losing
power and subsequently grounding while towing a barge laden with explosives [24].
More than a dozen years have passed since that workshop, but the risks associated with
such incidents are even more plausible now than before. As more ships operate in the
Arctic, the need for support is inevitable and should be provided in a timely manner.
A very extended number of drivers may help to predict overall vessel activity along
the Northwest Passage. In 2018, the U.S. Arctic Research Commission and the Woodrow
Wilson Polar Institute supported the U.S. Committee on the Martine Transportation System
with a technical workshop, which brought together 41 experts from industry, academia,
government, and the Arctic region. Over 70 various drivers were identified and
ranked in categories to include natural resources, the global economy, changing geopolitics,
regulatory changes, infrastructure, improved technology and operations, environmental
change, the human element, and a changing fuel landscape. Ultimately, the research
scenario results suggest that the number of ships in Northern U.S. Arctic waters
and the surrounding region will increase by 136–346% over 2008 levels [3]. These results
provide an update to the 2015 report by The International Council on Clean Transportation
(ICCT), commissioned by the U.S. Committee on the Marine Transportation System
to support the priorities outlined in the U.S. National Strategy for the Arctic Region [25].
Figure 3. Bulk carrier traffic to and from the Mary River Mine. Courtesy of PAME—Arctic Shipping Status Report, available
online: https://pame.is/projects/arctic-marine-shipping/arctic-shipping-status-reports/723-arctic-shipping-report-1-
the-increase-in-arctic-shipping-2013--2019-pdf-version/file (accessed on 18 March 2021) [2].
There is significant economic value in regard to shipping operations and business
activity in the United States’ Arctic region. Within the 1,000,000 square miles of U.S.
e United States’ Arctic region. Within the 1,000,000 square miles of U.S. Territorial
Waters and Exclusive Economic Zone, highlights include Alaska’s USD 3 billion
Arctic seafood industry, a USD 1 trillion value of rare earth minerals, 90 billion barrels of
undiscovered oil reserves, and an estimated 30 percent of the world’s undiscovered natural
gas [23]. Reductions in permanent sea ice have exposed coastal boarders and longer
seasons of reduced ice conditions have facilitated increased economic activity interest to
include commercial transportation and resource development. This increased activity demands
the use of innovative maritime transportation system tools and SAR support to
understand and manage the evolving risk.
In cooperation with the U.S. Coast Guard and U.S. Arctic Research Commission, the
Coastal Response Research Center of the University of New Hampshire hosted a workshop
in 2008 that was focused on the risk factors for plausible Arctic marine incidents.
Along the Northwest Passage, these potential incidents included a cruise ship grounding,
a bulk carrier trapped in ice, fire and collision in offshore operations, and a tug losing
power and subsequently grounding while towing a barge laden with explosives [24].
More than a dozen years have passed since that workshop, but the risks associated with
such incidents are even more plausible now than before. As more ships operate in the
Arctic, the need for support is inevitable and should be provided in a timely manner.
A very extended number of drivers may help to predict overall vessel activity along
the Northwest Passage. In 2018, the U.S. Arctic Research Commission and the Woodrow
Wilson Polar Institute supported the U.S. Committee on the Martine Transportation System
with a technical workshop, which brought together 41 experts from industry, academia,
government, and the Arctic region. Over 70 various drivers were identified and
ranked in categories to include natural resources, the global economy, changing geopolitics,
regulatory changes, infrastructure, improved technology and operations, environmental
change, the human element, and a changing fuel landscape. Ultimately, the research
scenario results suggest that the number of ships in Northern U.S. Arctic waters
and the surrounding region will increase by 136–346% over 2008 levels [3]. These results
provide an update to the 2015 report by The International Council on Clean Transportation
(ICCT), commissioned by the U.S. Committee on the Marine Transportation System
to support the priorities outlined in the U.S. National Strategy for the Arctic Region [25].
Figure 3. Bulk carrier traffic to and from the Mary River Mine. Courtesy of PAME—Arctic Shipping Status Report, available
online: https://pame.is/projects/arctic-marine-shipping/arctic-shipping-status-reports/723-arctic-shipping-report-1-
the-increase-in-arctic-shipping-2013--2019-pdf-version/file (accessed on 18 March 2021) [2].
There is significant economic value in regard to shipping operations and business
activity in the United States’ Arctic region. Within the 1,000,000 square miles of U.S.
Territorial Waters and Exclusive Economic Zone, highlights include Alaska’s USD 3 billion
Arctic seafood industry, a USD 1 trillion value of rare earth minerals, 90 billion barrels
of undiscovered oil reserves, and an estimated 30 percent of the world’s undiscovered
natural gas [23]. Reductions in permanent sea ice have exposed coastal boarders and longer
seasons of reduced ice conditions have facilitated increased economic activity interest
to include commercial transportation and resource development. This increased activity
demands the use of innovative maritime transportation system tools and SAR support to
understand and manage the evolving risk"</t>
  </si>
  <si>
    <t>Policy, Research</t>
  </si>
  <si>
    <t>IMO Regulation Strengthening, Low Impact Shipping Corridor, SAR Support Capabilities</t>
  </si>
  <si>
    <t>In 2001, The United States Adaptive Recreation Center (USARC) declared that the arctic ice
in the NWP will disappear by 2050, and ships will be able to go through this route even without
an icebreaking service. Intergovernmental Panel on Climate Change (IPCC) report (2007) used 15
models to simulate the ice conditions of a typical September in the Arctic Sea. It concluded that
the arctic ice has been melting at a quicker speed than the results of all the models, and that in fact,
the NWP may have an ice-free summer by 2050. Also according to Corbett et al. (2010), about
2% world trade cargoes will use the NWP in 2030, and the percentage may go up to 5% by 2050.</t>
  </si>
  <si>
    <t>Falkingham et al. (2001) caution that potential marine hazards may still arise because of the
rapid rate at which sea ice is dissolving due to warmer climates. This gives way to the increased
likelihood of hull-penetrating, high-latitude multiyear ice(MYI) flowing into the NWP shipping
lanes. He pointed out two possible chokepoints, one is in the Viscount Melville Sound and the
other one is in the M’Clure Strait. In this paper, we define that the ice-shipping service should be
used from the eastern end of the Parry Channel to the eastern end of the Prince of Wales Strait.
The distance between them is 576nm according to Google Earth’s “Ruler” function.</t>
  </si>
  <si>
    <t>Canada and the United States hold different opinions on the sovereignty of the NWP. Canada
claims that the NWP, especially those in the Canadian Arctic Archipelago, are internal waters to
Canada. So Canada has the right to prohibit transit. However, most maritime nations, including
the United States and those of the European Union claim that the NWP is an international strait.
In this case, Canada would have the right to enact fishing and environmental regulation, fiscal and
smuggling laws, shipping safety laws, but would not have the right to prohibit transit.</t>
  </si>
  <si>
    <t>Based on the comparison of 7 NWP routes, Route 2 is chosen to simulate container shipping
between the NWP and the Panama Canal with different ship sizes and different transit fee
situations in NWP. The results show that whether the NWP is favourable depends a lot on its
transit fee. If the NWP becomes internationally toll free, it is of course far more economical when
compared with the traditional Panama Canal. But if the route turns out to be free only within
Canada, the government should think carefully when setting the transit fee. Especially in the very
beginning, with regard to infrastructure building and also where to get investment is a big
undertaking prior to talk about the NWP’s development.</t>
  </si>
  <si>
    <t>On the other hand, since 1970, the Arctic sea ice has been dissolving at an average rate of
74,000km2 annually as a result of global warming. The Arctic Council anticipated that perhaps as
early as 2015, an ice-free Arctic Ocean is possible for a short period in summer. Falkingham
J’s(2004) global climate models predicted ice free summer seasons possibly by as early as 2050
and probably ice free all year round by 2100 if the current warming trend continues.</t>
  </si>
  <si>
    <t>Saran Somanathan and Jozef Szymanski(2006) simulated container shipping from Yokohama
to New York, St. Johns and Newfoundland through the NWP as opposed to using the Panama
Canal to see whether ice thinning makes this route more economical. It concluded that more
round trips per year can be completed for all the routes, and continued ice thinning will further
reduce the shipping cost.
The INSROP Simulation Study has developed a model for numerical simulations of the time
and costs using different ship types (25,000DWT, 40,000 DWT, 50,000DWT bulk carrier),
different routes (the Northern Sea Route and the Suez Canal) and at different times of year. It
concluded that the NSR is a more favourable option than the Suez Canal for a ship size of
50,000DWT.</t>
  </si>
  <si>
    <t>Bunker price has shown a wide variation in recent years, as has crude oil price. For the ice conditions in this model fuel
consumption is higher through the Northwest Passage, and a rise in bunker price to $650 per ton makes the Panama Canal
route more economic from St. Johns to Yokohama.</t>
  </si>
  <si>
    <t>Hence continuing to model the Northwest Passage is warranted, incorporating ongoing data on ice thickness (and hence
ship speed and fuel consumption for the Northwest Passage route) and improved cost estimates for the capital and operating
costs of ice capable ships. In addition, the model itself can be enhanced by collecting data to predict ice pressure and search
ing
for decadal variations in ice conditions. The model can also be fine tuned by deriving an experimental and mechanistic
correlation of ship’s speed and ice numeral.</t>
  </si>
  <si>
    <t>Each of these factors affects a ship’s performance in breaking through ice. Old thick ice presents the highest degree of difficulty
for ice breaking and ship transit, with glacial ice in an iceberg being an extreme. Floe size affects routing decisions:
small floes of thick ice can be circumnavigated, while larger floes must be transited. A further property of an ice field is its
internal pressure, which can arise from wind forcing the ice against a landmass or from constrained expansion of the ice during
its formation (Canadian Coast Guard, 1999). Ice pressure is second only to collision with glacial ice as a hazard to ships.
Note, however, that ice charts do not record ice pressure; the impact of this on the model is discussed below.</t>
  </si>
  <si>
    <t>AIRSS calls for reducing the ice multiplier values by one if the concentration of ice exceeds 60% and 30% of that ice is
ridged (Transport Canada, 1998), indicating the occurrence of ice pressure. However, the historical ice data from Environment
Canada (Canadian Ice Service, 2004) only indicates ridging and does not quantify it. Mulherin et al. (1999) linked
ice pressure to concentration but assumed that a 100% concentration of ice is required for this to occur. Note, however, that
even a concentration of 100% does not necessarily imply high ice pressure. In the initial model we ignore the impact of ice
pressure on ice numeral; a future refinement would be to include a probability of ice pressure, say 50%, when a high concentration
of ice occurs, especially in the area of Lancaster Sound and the Coastal Straits which have been identified as being
prone to high pressure ice (Canadian Hydrographic Service, 1985, 1994a,b; Canadian Coast Guard, 1999).</t>
  </si>
  <si>
    <t>Ship speed depends on the environmental conditions and ship capability. For conventional ocean travel wind condition
and resulting wave motion are the primary variable. These factors are reflected in a probability distribution of speed over
open water for each type of ship.</t>
  </si>
  <si>
    <t>Figure 3b, 3d</t>
  </si>
  <si>
    <t>Table 6</t>
  </si>
  <si>
    <t>Moreover, a carbon tax on ship emissions adversely affects investment in a high ice-class vessel with a greater engine power which
would increase the amount of GHG emitted (Faury et al., 2020). While Cai et al (2020) affirmed the ship ice class does not greatly
impact the NSR economic advantages, our analysis shows the shipping line can operate ice class 1A vessels with a logistics setting
based on two hubs that optimizes loading capacity and meanwhile reduces the level of CO2 emissions per TEU due to the increase in the
volume of transported containers, although the overall amount of emissions increases.</t>
  </si>
  <si>
    <t>This research aims at evaluating the impact of CO2 emission taxation on NSR attractiveness. Despite a highly constrained environment,
we demonstrate that it is still possible to generate profit by navigating along the NSR using an ice class 1A vessel.
In contrast to Jiang et al (2021), we consider that the freight rate is set by the shipping company, and this has an impact on the
number of containers loaded, i.e., on the shipping demand. Moreover, Jiang et al (2021) used the AIRSS based on monthly ice thickness
and concentration while we evaluate the daily evolution of the ice conditions.</t>
  </si>
  <si>
    <t>Additionally, one of the main issues faced by the economic development of the NSR is the difficulty of maintaining a fixed schedule
for container liner operations (Zhao et al., 2022; Cariou et al., 2019; Lasserre, 2014; Schøyen and Bråthen, 2011) and recent studies
have pointed out the suitability of hubs along the NSR (Bennett et al., 2020; Faury et al., 2020). Our results underline that using hubs
facilitates loading more containers per year and enhances vessel productivity while also increasing costs. In addition, the use of hubs
maximizes the number of journeys by the vessel during the period of possible navigation, as well as the number of journeys with short
transit times (due to the distance saved), thus magnifying travel time savings relative to the SCR as indicated by existing literature
(Faury and Cariou, 2016; Lin and Chang, 2018). However, from a profit perspective, with the tested freight rate values, the use of hubs
would not be recommended.</t>
  </si>
  <si>
    <t>The literature stresses that maritime transportation represents one of the most significant sources of air pollution in the Arctic
(Winther et al., 2014; 2017) that ‘impacts on climate change, health and the environment’ (PAME DNV-GL, 2019) which requires
modifications to the current shipping patterns to mitigate (Chen et al., 2022). Since 2020, the IMO has required bunkers with a low
quantity of sulphur or alternatively using HFO with scrubbers, and furthermore, HFO and VLSFO will be definitively banned in the
Arctic as of 2029 (IMO, 2021; Bai and Chircop, 2020). According to Delft (2018), shipowners will comply with the HFO ban by using
distillate fuels (MDO/MGO), while Liquified Natural Gas (LNG) as another alternative fuel to HFO is the most promising fuel option
following the 2029 prohibition (Deniz and Zincir, 2016; PAME DNV-GL, 2019). Nevertheless, this raises the question of necessary
investments in LNG and other transport infrastructure along the NSR.</t>
  </si>
  <si>
    <t>POLARIS, Icebreaker assistance when travelling through Arctic</t>
  </si>
  <si>
    <t>The mainobservationfrom Fig. 1 is thattheareacoveredbysea
ice inSeptember2012isreducedbynearly50%comparedtothe
median forSeptember,i.e.from7.0to3.6millionkm2, whichre-
presentedarecordlowicecover.Oneyearlater,i.e.inSeptember
2013theseaicecoverwas5.0millionkm2 (Bond, 2013). Despite
this increasefrom2012,theoveralltrendisthattheareacovered
by seaiceduringsummermonthsdecreases.Theexplanationis
that higherArcticseasurfacetemperaturesduetoglobalwarming
is leadingtolessseaice(areaextent)duringsummermonths,a
time whensolarintensitystrengthensatNorthernlatitudesfur-
ther acceleratetherateofseaiceloss,asmoresolarenergyis
absorbed inwhataretermedrapidfeedbackby Hansen andNa-
zarenko(2004). Thismeansthattheamountofmultiyearseaiceis
decreasing,andthatanincreasingshareofthewinterseaicenow
consists of first yearice,whichisthinnerthanthemultiyearsea
ice.</t>
  </si>
  <si>
    <t>air temperature increase, global warming</t>
  </si>
  <si>
    <t>increased accessibility to NWP, increased vessel activity</t>
  </si>
  <si>
    <t>Ships emitbothtoairandsea,andthemainsourceofthese
emissions istheexhaustgasfromfuelcombustionintheships
engines. Thebasicprincipleofacombustionengineistocompress
a largeamountofairandmixitwithasmallamountoffuel.When
this mixisigniteditgivesmechanicalenergytransferredthrough
the shaftandhotexhaustgases.BesidesCO2, thegaseouseffluent
contains: Carbonmonoxide(CO),Sulfuroxides(SOx), nitrogen
oxides(NOx), methane(CH4), blackcarbon(BC)andorganiccarbon
(OC). Thesesubstancesdoesnotonlyaffectclimate,butalsohave
adverse healthandnatureimpacts(MARPOL Convention,1973). At
medium tohighpowerthecombustionengineproduceseachkWh
with thelowestfuelconsumptionandthelowestemissions.When
engines operateatlowpower,fuelconsumptionperkWhpro-
duced increases.</t>
  </si>
  <si>
    <t>impact climate, adverse community health impacts, ecological degration</t>
  </si>
  <si>
    <t>Climate(Radiative)forcingisthedifferenceofinsolation
(sunlight) absorbedbytheEarthandenergyradiatedbackto
space. Apositiveforcing,i.e.moreincomingenergywarmsthe
system,whilenegativeforcingcoolsit.Togiveanexample,the
deposition ofblackcarbonoverhighlyreflectivesurfaces,suchas
snow andseaice,reducesitsalbedoandincreasesitssurface
temperature,leadingtoadditionalreductionsinsnow/seaiceex-
tentfromenhancedmeltingandthusadditionalreductionsinthe
surface albedo(Zender,2012; Flanner,2013; Sand etal.,2013; Jacobson,
2010; Bond etal.,2013) Snowandseaiceinextra-tropical
alpine, tundra,andthePolarregionarethereforeessentialmod-
ulatorsofEarth'senergybalanceandglobalmeansurfacetem-
perature</t>
  </si>
  <si>
    <t>vessel air emission</t>
  </si>
  <si>
    <t>increased surface-level radiation, increased land pollution, increased air temperature</t>
  </si>
  <si>
    <t>The emittedCO2 is afunctionofthecarboncontentinthefuel.
The emittedSOx are afunctionoftheSulfurcontentinthefuel.
The emittedNOx is afunctionoffueltype,enginetechnology,and
the engineloadrelativetoitsratedpower,withthehighest
emission perkWhatlowpower(Lindstad andSandaas,2014). The
emitted BC,formedbyincompletecombustionoffossilfuels,isa
function oftheengineloadrelativetoitsratedpower,wherethe
BC levelsmeasuredperkWhproducedarelowestathighpower
(Kasper etal.,2007; Ristimaki etal.,2010). Whenpowerisre-
duced, BCincreases,andatlowloaditmightbe4to8timeshigher
per kWhcomparedtohighloads(Lack andCorbett,2012). For
vessels thatuseliquidnaturalgas(LNG)orgasingeneralasafuel,
leakage ofun-combustedCH4 is achallenge.Thisleakage,mea-
sured ingramsperkWh,islowestathighpowerandincreasesat
low power(StenersenandNielsen,2010).</t>
  </si>
  <si>
    <t>Thisisalsoconsistentwithpoliciesfocusingonthe
need forareductioninGHGemissionsofaround50–85% in2050,
compared tocurrentlevelstoachieveastabilizationofthetem-
peratureat2 °C abovepre-industriallevels(IPCC, 2013). Fig. 2
showstheclimateimpactwitha20yearhorizonwhenoperating
in theArcticandwhenoperatingintherestoftheworldathigh
and lowpower.HeretheCO2 equivalentimpactisshownvertically
for eachoftheassessedfuelandenginetechnologiesatlowand
high powershownhorizontally.Emissionswhichcontributeto
warmingaregroupedabovethezerolineandthosewhichcon-
tribute tocoolingarebelowthelinewiththeneteffectofwarming
and coolingemissionsshownastheredhorizontalline.</t>
  </si>
  <si>
    <t>Theroutegoesfrom
the AtlanticOceantothePacific OceanalongtheRussianArctic
coast andreducesvoyagedistancebyaround40%betweenNorth
of EuropeandJapan,i.e.6–8000nm,comparedto11–13000nm
throughtheSuezCanal.Theterm “ice free” referstoabsenceof
continuous seaicecover,butpartofthevoyagewillstillgo
throughareaswithbrokenseaicecoverofvaryingdensitywhich
may requireappropriatelystrengthenedhullsandicebreaker
support forsafepassage.</t>
  </si>
  <si>
    <t>Withroughersea,i.e.30%ofthetime,higherpower
H. Lindstadetal./TransportPolicy45(2016)2426 –30
will berequiredtoachieve10knotsspeed.Roughlyspeaking,this
implies thathalfofthefuelconsumptionwillbeemittedatlow
powerandtheotherhalfathighpower.Regardingseaicecondi-
tions, partofthevoyagethroughNSRwillgothroughareaswith
broken seaicecoverofvaryingdensitywhichincreasespower
consumptioncomparedtostillwaterconditions.Inadditionves-
sels willgenerallyhavetowaitforseaicebreakerstoleadthe
vessels throughsomepartsoftheNorthernSeaRoute;oneweek
(7 days)isthereforeaddedtotheroundtriptime.</t>
  </si>
  <si>
    <t>There has been a marked increase in ship traffic in the Canadian Arctic over the past several decades (Pizzolato et al., 2014), including an increase of more than 250% in the total annual distance traveled by ships between 1990 and 2015 (Dawson et al., 2018). These increases are highlighted by a substantial increase in destination traffic from pleasure craft, tankers, bulk carriers, and general cargo vessels servicing growing communities, tourists, and resource extraction projects (Pizzolato et al., 2016; Johnston et al., 2017; Dawson et al., 2018). Some studies have demonstrated correlations between the observed increase in ship traffic and reductions in sea ice throughout the Arctic (e.g., Pizzolato et al., 2016), including an overall decrease in sea ice age, thickness, and extent (Serreze and Stroeve, 2015; Kwok, 2018; Mudryk et al., 2018; Derksen et al., 2019). These changes to sea ice are expected to continue as the climate warms (Jahn, 2018; Sigmond et al., 2018; Mudryk et al., 2021), which will very likely result in additional increases in Arctic ship traffic in the coming decades as the region becomes more accessible overal</t>
  </si>
  <si>
    <t>Despite observed and statistically significant decreases in sea ice across the Arctic region, the presence of thick, multiyear ice within the Canadian Arctic Archipelago (CAA) remains a fundamental navigation hazard for ship operators (AC, 2009; Mudryk et al., 2021). Even under future warming scenarios, there will still be ice present in the northern CAA in what is called the Last Ice Area (Derksen et al., 2019; Moore et al., 2019). Further, while total sea ice extent and thickness are decreasing, there is also a corresponding increase in the mobility and interannual variability of ice conditions in the Canadian Arctic (Babb et al., 2013; Kwok et al., 2013; Olason and Notz, 2014; Lukovich et al., 2015; Howell and Brady, 2019), particularly in the central part of the NWP (Haas and Howell, 2015). Areas that previously experienced little change in sea ice age or type from one year to the next are now experiencing rapid swings in ice characteristics between years, making it less predictable than in the past (Haas and Howell, 2015). In some years there are large regions of open water, while in other years, extensive, thick multiyear sea ice floes reach the interior channels of the CAA from the Arctic Ocean (Howell et al., 2013; Haas and Howell, 2015; Moore and McNeil, 2018). These changes in ice conditions are because higher temperatures appear to be increasing sea ice mobility, with the removal of first-year ice in the NWP, as well as the weakening of ice arches and bridges, now allowing greater import of old, thick ice from regions to the north</t>
  </si>
  <si>
    <t>Shipping in the Arctic occurs in remote areas where there is typically a lack of infrastructure and search and rescue (SAR) capabilities, sometimes insufficient charting and other basic information, and generally harsh environmental conditions, including low temperatures and the presence of sea ice (Fu et al., 2016; Kujala et al., 2019). These characteristics complicate Arctic operations and lead to risk to humans, infrastructure, and the environment (Kujala et al., 2019). A large body of literature exists that identifies factors influencing risk in Arctic shipping operations related to environmental conditions (e.g., low visibility, sea ice extent and thickness, high wind), human factors (e.g., improper qualifications of crew, injury, negligence), organizational and management factors (e.g., inadequate emergency planning, insufficient rescue equipment), and characteristics related to the ship itself (e.g., level of ice strengthening, system failure) (Kum and Sahin, 2015; Fu et al., 2016, 2018). One of the major risks for Arctic operations is ships interacting with or becoming beset in sea ice (Kotovirta et al., 2009; Kubat et al., 2013, 2015; Montewka et al., 2015). These ship-ice incidents have a host of consequences, such as uncontrolled ship drift, listing, damage to the hull, and, in the worst case, sinking of the vessel (Fu et al., 2016).</t>
  </si>
  <si>
    <t>When ships do have major incidents or accidents within polar waters, the impacts can be disastrous for the pristine and particularly sensitive environment and for local cultural groups (AC, 2009; CCA, 2016; AMAP, 2017). The direct impacts are also compounded in Arctic Canada due to the remoteness of the region and limited infrastructure, services, and SAR capacity (Ford and Clark, 2019; Kujala et al., 2019). As observed in other regions, long-term ecological impacts were clearly evident after the 1989 Exxon Valdez oil spill that devastated Prince William Sound, Alaska (Short et al., 2004; Barron et al., 2020). Other incidents in polar waters include the near sinking of the passenger vessel Maxim Gorky near Greenland in 1989, as well as the sinking of the cargo vessel Finn Polaris in 1991 in the Canadian Arctic, the passenger vessel M/V Explorer in 2007 in Antarctica, and the tour boat Inuk II in 2016 near Greenland</t>
  </si>
  <si>
    <t>Overall, with the addition of 2019 data, there were a total of 1292 unique vessels which reported positions between 1990 and 2019. Of these vessels, 1285 had a reported flag state from a total of 66 different countries, with almost a third (397 vessels) registered in Canada. After this, between 50 and 59 vessels were registered in Panama, Russia, Bahamas, and Cyprus. Between 40 and 48 vessels were registered in the Marshall Islands, United States, Netherlands, Liberia, United Kingdom, France, Denmark, and Malta. Ice-strengthening information was available for 1085 of the 1292 unique vessels (Fig. 3). Of these vessels, 235 (22%) reported no ice strengthening (Fig. 3). Of those that were ice strengthened, most fell into ice class 1B (491 vessels), with the next most common category being PC7 (191 vessels).</t>
  </si>
  <si>
    <t>Although the likelihood of the occurrence of a major incident is low, when an incident does occur, it can be a high consequence event, and the risk from ice may be increasing over time as the proportion of vessels, particularly passenger vessels with low ice strength, increases in Canadian Arctic waters (Tables 4 and 6). Groundings, mechanical breakdowns, and running out of fuel are common incidents, particularly for pleasure craft with inexperienced crew, but can be dangerous and costly in remote Arctic regions for both the vessel and for any rescue crews.</t>
  </si>
  <si>
    <t>Medium-strengthened ships are generally only able to navigate in thin first-year ice, so these vessels are travelling in the NORDREG zone despite the presence of multiyear ice in at least part of that region for some of the summer season (ECCC, 2019). In general, cruise ship tourism has moved northwards from Hudson Bay to the NWP over the past several decades (Dawson et al., 2018). Notable examples were the successful voyages of the IB ice class Crystal Serenity through the southern route of the NWP in 2016 and 2017. To date, major cruise ship accidents have been avoided in Arctic Canada, but there have been several groundings, and a situation similar to the sinking of the M/V Explorer in Antarctica (Stewart and Draper, 2008) could arise given the observed reductions in ice strength (Tables 4 and 6).</t>
  </si>
  <si>
    <t>In addition to the expansion of the icebreaker fleet, technological development and ship upgrades with more powerful engines are
essential points that the experts underlined. Meng et al. (2017) have also mentioned the increasing age of the Arctic icebreaker fleet.
Dalaklis et al. (2018b) reached similar conclusions, describing the Russian icebreaker fleet in detail in their paper and recommending
further increasing the number of atomic icebreakers</t>
  </si>
  <si>
    <t>In addition to the pure accompanying function of icebreakers, the experts considered so-called standby icebreakers to be necessary
to patrol Arctic routes, so they can be deployed at any time. This should both guarantee availability and shorten response times.
However, the equipment on board the icebreakers must also be expanded. In addition to the introduction of standards for equipment,
the equipment must be expanded to include equipment for medical emergencies. Furthermore, the icebreakers should have a reserve
tank for fuel as well as reserves of food and drinking water on board.
Another interesting point that has not yet received much attention in the literature is the use of mobile SAR stations. Some experts
have suggested implementing mobile SAR stations. Often patrolling as icebreakers and quickly available, these mobile SAR stations
would be equipped for emergencies. Helicopters should also be stationed on the mobile SAR stations to ensure rapid deployment.</t>
  </si>
  <si>
    <t>The involvement of civil and military resources as additional SAR resources is another relevant point that was mentioned by the
experts and that has so far received no attention in the literature. According to the experts, it makes sense to integrate the resources of
local people into SAR activities in order to increase SAR capacities and to ensure quick and efficient response in case of emergencies.
Locals have resources (e.g., ships, snowmobiles, buoys, tows) that can be deployed quickly, as well as the necessary knowledge about
local conditions (e.g., draft, weather conditions, ice conditions) (Ford et al., 2010; Pearce et al., 2015; Clark et al., 2016; Clark et al.,
2018). Comprehensive training is necessary to involve local people in SAR activities and to use human resources effectively. In
particular, because many communities are only minimally prepared for the current SAR requirements, it is necessary to train residents
in various areas: first aid, emergency management, multi-agency responses (Ford and Clark, 2019). Systematic involvement of the
locals leads to the creation of a local workforce (e.g., Canadian Coast Guard Auxiliary) (The Standing Committee on Fisheries and
Oceans, 2018). Such a local workforce could significantly relieve and support SAR staff, especially in relation to minor incidents or in
remote communities (Byers and Covey, 2019). According to the experts, the resources of the military, and the police should also be
integrated into SAR activities. These two public institutions have a wide range of well-equipped resources (such as aircrafts, helicopters,
boats, icebreakers, satellites and qualified personnel) (Smith, 2017; Byers and Covey, 2019). Response times can be reduced
by using this modern equipment (Ford et al., 2010; Smith, 2017).</t>
  </si>
  <si>
    <t>In the field of communication technology, the experts agreed that there is a lack of suitable tools for communication, which has also
been confirmed in some studies (Kvamstad et al., 2009; Milakovi´c et al., 2018). The experts indicated that the area-wide satellite
coverage is particularly important for ship-to-shore communication. Coverage of shadow zones is currently not yet present, and further
development is needed. This need for satellite coverage was also identified by Kvamstad et al. (2014) in the MARENOR project
(Maritime Radio System Performance in the High North). As described in their study, common maritime communication systems based
on GEO satellites (e.g., Inmarsat) cannot be used in Arctic waters because their coverage limit is 81.3◦N, and instability and signal loss
occur from 70◦N (Kvamstad et al., 2014). The only satellite system that covers the polar sea completely is Iridium, which is suitable for
non-critical voice communications and the transmission of short messages with low time requirements (Larsen et al., 2016). However,
even here, instabilities and system failures occur repeatedly (Kvamstad et al., 2014). The experts underlined that, in addition to
comprehensive satellite coverage, appropriate bandwidth is also required to enable SAR missions. This need has also been identified by
Buixad´e Farr´e et al. (2014) and Palma et al. (2019). According to the experts, to achieve a suitable communication network, the use of
military technology should be made possible for civil shipping. In addition to the availability of these technologies, all passing ships
must be equipped with these technologies and interoperability between different providers or systems must be guaranteed. The experts
also suggested what the communication technologies on the ships should look like. It is essential that the installed technology be
weather- and ice-proof and able to withstand the rough conditions of the Arctic. Maintaining redundant systems is also suggested to
continue operations in the event of a system failure. In addition to regular communication, the experts advocated for the development
of an emergency communication system that would still be operational even if all other onboard systems failed.</t>
  </si>
  <si>
    <t>This finding is reflected in the relevant literature (Kvamstad et al., 2014; Larsen et al., 2016). Kvamstad et al. (2014) clearly showed
that satellite coverage combining satellite systems at high latitudes is sufficient for navigation purposes. However, they pointed out
that inaccuracies may occur. These inaccuracies can only be resolved in the Arctic by reference stations, but their coverage is still
lacking and must be improved (Larsen et al., 2016). In addition, the experts also saw potential for improvement in the transmission
speed of weather and ice data. This point can be combined with the findings from the dimension communication technology. The
existing communication infrastructure is not suitable for the rapid exchange of extensive data.</t>
  </si>
  <si>
    <t>Another important point the experts mentioned is the forecasting of weather and ice conditions. Some studies have reported that
comprehensive ice charts and calculations are already available (Meng et al., 2017; Milakovi´c et al., 2018). Furthermore, Kvamstad
et al. (2009) have described the possibility of ice forecasts by using synthetic-aperture radar and near-ship ice monitoring. Nevertheless,
the experts saw room for improvement, especially in the forecasting of drifting ice masses (such as drift ice, icebergs and ice
floes). One possible approach is the use of machine learning or artificial intelligence based on atmospheric models. In addition to
improving weather and ice forecasts, the experts emphasized the need for availability of real-time data. Drones, which can be used for
ice forecasts and monitors, were mentioned. In addition to weather and ice data, the availability of hydrographic data was also
mentioned. This point is highlighted in the literature as well. Pruyn (2016) named missing data as the main cause of grounding. As with
communications technology, the experts noted that the technology must also be available on ships and that military solutions must be
made available for civilian shipping.</t>
  </si>
  <si>
    <t>The experts also demanded that these standards and agreements be implemented in all Arctic
countries. To this end, a monitoring system should be introduced to regularly check available SAR resources. As Buixad´e Farr´e et al.
(2014) have described, the Arctic has also gained increasing political interest. Since the establishment of the Arctic Council in 1996 by
the five states with large Arctic Ocean coasts and the three other states within the Arctic Circle, an increasing number of countries have
been integrated into this intergovernmental forum. Some experts did not consider these participants to be beneficial and therefore
suggested the clarification of interests.</t>
  </si>
  <si>
    <t>prepared for emergencies. One possibility is the cross-border standardization of SAR equipment for all Arctic states. Chircop and
Czarski (2020) examined the harmonization of national legislation in the five Arctic states and established that, despite a high level of
convergence with the Polar Code, differences still exist. For example, the experts emphasized in particular the standardization of
communication between ports and national SAR centers, clarification of responsibilities, and arrangements for border crossing or
dismantling in the case of emergency. The experts also recommended the standardization of SAR processes. Among others, the
following aspects must be defined: priorities, procedures, and responsibilities in case of emergencies. These regulations should extend
to all routes. In addition, the experts highlighted the importance of the Polar Code and claimed that the requirements should be
strengthened. They criticize in particular that a variety of safety requirements, such as the operating manual, ship structure, safety of
navigation, life-saving equipment and arrangements, communication, voyage planning, crew, training, etc. are only to be fulfilled on a
voluntary basis. In addition, the interviewed experts point out that pollution from ships and the regulation of heavy fuel oil are not
taken into account in current regulations and need to be discussed more intensively, which is in line with the literature (Sun, 2019,
2020).</t>
  </si>
  <si>
    <t>Furthermore, some experts demanded a port that is not hindered by harsh weather conditions. The experts also stressed that these
ports must be accessible year-round. Further optimizations are, therefore, necessary to improve the port structure. Such an analysis
was carried out by VanderBerg (2018), who identified only a few deep-sea ports in his mathematical model. In addition to the factors
relevant for SAR, such as the distance to the shipping route and suitability as a deep-sea port, a large number of other factors were
taken into account in the calculation. However, the result of his analysis shows an optimum by fulfilment of all criteria considered,
which is why the proposed ports do not represent an adequate solution for SAR.</t>
  </si>
  <si>
    <t>Beginning with the dimension port infrastructure, we first consider port characteristics. The experts’ opinions clearly show a particular need for more deep-sea ports in this area. This aligns with literature such as Abe and Otsuka (2019), Buixad´e Farr´e et al. (2014) and Dalaklis et al. (2018b). There are several ports along the NSR, but they have been neglected since the Soviet era and are, therefore, in disrepair (Buixad´e Farr´e et al., 2014). Compared to the NSR, the NWP’s port infrastructure is highly underdeveloped, especially in the Canadian Arctic (Dalaklis et al., 2018b). In addition to their capacity as deep-sea ports, ports must also be optimized in terms of their distance from each other and the ship’s route. The experts called for a manageable distance between ports so that a ship can dock at any time. </t>
  </si>
  <si>
    <t>An additional point that has not been considered in the literature so far is the use
of drones for first aid. Aside from first aid for people, the fast response of oil pollution teams is also necessary. Furthermore, welltrained
SAR personnel are also an essential aspect of a successful SAR framework. SAR staff should be trained not only on the procedures
of SAR operations (e.g., how to conduct SAR operations, how to respond to a rescue request or how to assist in emergency calls)
but also in the medical field (medical personnel). Furthermore, SAR staff should be trained on dealing with poor weather and a lack of
communication, as well as on diplomatic skills and languages.</t>
  </si>
  <si>
    <t>The experts saw an urgent need for improvement in cooperation. One crucial point is the sharing of information. As sensitive
military or semi-military data (coast guard) is at stake, the experts called for mutual trust. Less problematic but recommended by the
experts is the sharing of scientific data obtained through scientific observation systems. The experts saw great potential in joint SAR
trainings and exercises. These must first be expanded both bilaterally and multilaterally and involve several countries. Joint training
will help overcome the language problems and cultural barriers identified by Schmied et al. (2017). Regardless, training must be
intensified and include various emergency scenarios. This recommendation aligns with the findings of Schmied et al. (2017), who
concluded that past training has been limited in both scope and complexity. The experts also indicated that pure training alone is not
sufficient but that trainings must be subsequently jointly evaluated and assessed to identify potential for improvement. In addition to
cooperation between countries, internal cooperation between military, police, rescue services and civil rescue facilities is essential.
Another point of interest is the financing of all expenses related to SAR. It must be clarified who is to pay for investments in the SAR’s
infrastructure and who will pay for its maintenance. It must also be determined who will finance the training of personnel. Likewise, it
must be clarified who will bear the costs of border and cross-border operations.</t>
  </si>
  <si>
    <t>The Arctic environment is characterized by extreme weather and ice conditions, remoteness from land and vulnerability of nature
(Koshevyy and Shyshkin, 2017). In the last decade, 512 ship incidents have been reported in Arctic waters; machinery failure/damage
was responsible for almost half of the incidents, due to the harsh environment (Allianz, 2020). There were two losses in 2019, one in
the Canadian Arctic/Alaska and one in the Russian Arctic/Bering Sea (Allianz, 2020). Selected cases of Arctic maritime accidents are
shown, among others, by Marchenko (2012), Bowo et al. (2019) and Fedi et al. (2020).</t>
  </si>
  <si>
    <t>Given these accident statistics, numerous researches have been concerned with maritime accidents and the analysis of risk factors
in the Arctic. For example, Fu et al. (2018b) identified potential risk factors for Arctic maritime transportation using an analytical
hierarchy process method. Fu et al. (2018a) presented a risk assessment for major ship accidents in Arctic waters under uncertainty
with a case of ships stuck in ice. Baksh et al. (2018) have developed a risk model using a Bayesian network to explore the possibility of
maritime accidents (e.g., collisions, foundering, grounding) for the NSR. The authors of that study accounted for operational and
environmental factors. Fedi et al. (2020) mapped and analyzed maritime accidents and the related casualties and incidents with a focus
on the Russian Arctic and considered three accidents in connection with the Polar Code and the Polar Operational Limit Assessment
Risk Indexing System (POLARIS) for preventative purposes.
Given the accident statistics, the research studies conducted and the expectation of increased maritime activities in Arctic waters,
an adequate level of preparedness for emergency cases is needed (Marchenko et al., 2016a). In the following section, the current state
of SAR operations in the Arctic is presented.</t>
  </si>
  <si>
    <t>Understanding where knowledge gaps exist can help target
future research and monitoring efforts to minimize vessel
threats, and we found that uncertainty varied among regions,
species, and subpopulations. Some of the species and regions
identified as the least vulnerable were also characterized by high
uncertainty, highlighting areas that need additional data and
monitoring. The highest uncertainty occurred throughout Russia
in the NSR and in some portions of the Atlantic Arctic. There
are large data gaps on AMM subpopulation status, trends, and
distribution (3), which contributed to much of the uncertainty in
species exposure and sensitivity. We found a disproportionate
focus on cetacean sensitivity to vessel effects, whereas few
studies examined vessel effects on ice seals or polar bears.
Walruses also scored relatively high vulnerability compared with
the other pinniped species, largely because of their higher climate
change sensitivity and several small subpopulations that
had high sea route exposure in comparison with the ice seals,
which are characterized by high uncertainty in subpopulation size
and structure</t>
  </si>
  <si>
    <t>Our inclusion of variables
corresponding to sensitivity to sea ice loss, as well as
subpopulation size and trends, provide some assessment of
potential adaptive capacity, yet we recommend additional
research to assess AMM resilience, to vessels or otherwise,
under climate change scenarios.</t>
  </si>
  <si>
    <t>A suite of ecological impacts are emerging as a result of unprecedented
sea ice loss across Arctic marine systems (23, 24),
but the consequences of increasing human access in the face of
environmental change have not been comprehensively considered
across AMMs</t>
  </si>
  <si>
    <t>Figures 1-5</t>
  </si>
  <si>
    <t>Most exaggerated during
the summer–fall open-water season, the extent of September sea
ice cover has retreated 14% per decade since 1979, and the duration
of the open-water period has increased 5–10 wk (2, 3).
Projections suggest the Arctic will be sea ice–free during summer
by 2040 (4). Effects of declines in seasonal sea ice are propagating
through Arctic marine ecosystems and are increasingly juxtaposed
with expanding anthropogenic interests in the region (5, 6).
Navigability of previously inaccessible Arctic sea routes has
increased in conjunction with Arctic sea ice loss, sparking commercial
interests in the development of more direct connections
among global markets (7). Once impassible, the Northwest
Passage (NWP) has recently seen the advance of commercial
traffic and may provide new open shipping routes by midcentury
(8). The Northern Sea Route (NSR), through the Russian coastal
seas, already supports economically viable transits by both icestrengthened
and open-water ships (9)</t>
  </si>
  <si>
    <t>Risk Index</t>
  </si>
  <si>
    <t>consequence</t>
  </si>
  <si>
    <t>probability</t>
  </si>
  <si>
    <t>Sector</t>
  </si>
  <si>
    <t>Acronymn</t>
  </si>
  <si>
    <t>summed LoA</t>
  </si>
  <si>
    <t>summed ES</t>
  </si>
  <si>
    <t>count</t>
  </si>
  <si>
    <t>LoA_Score</t>
  </si>
  <si>
    <t>ES_Score</t>
  </si>
  <si>
    <t>H001</t>
  </si>
  <si>
    <t>H002</t>
  </si>
  <si>
    <t>H003</t>
  </si>
  <si>
    <t>H004</t>
  </si>
  <si>
    <t>H005</t>
  </si>
  <si>
    <t>H006</t>
  </si>
  <si>
    <t>H007</t>
  </si>
  <si>
    <t>H008</t>
  </si>
  <si>
    <t>H009</t>
  </si>
  <si>
    <t>H010</t>
  </si>
  <si>
    <t>H011</t>
  </si>
  <si>
    <t>H012</t>
  </si>
  <si>
    <t>H013</t>
  </si>
  <si>
    <t>H014</t>
  </si>
  <si>
    <t>H015</t>
  </si>
  <si>
    <t>H016</t>
  </si>
  <si>
    <t>H017</t>
  </si>
  <si>
    <t>H018</t>
  </si>
  <si>
    <t>H019</t>
  </si>
  <si>
    <t>H020</t>
  </si>
  <si>
    <t>H021</t>
  </si>
  <si>
    <t>H022</t>
  </si>
  <si>
    <t>H023</t>
  </si>
  <si>
    <t>H024</t>
  </si>
  <si>
    <t>H025</t>
  </si>
  <si>
    <t>H026</t>
  </si>
  <si>
    <t>H027</t>
  </si>
  <si>
    <t>H028</t>
  </si>
  <si>
    <t>H029</t>
  </si>
  <si>
    <t>H030</t>
  </si>
  <si>
    <t>H031</t>
  </si>
  <si>
    <t>H032</t>
  </si>
  <si>
    <t>H033</t>
  </si>
  <si>
    <t>H034</t>
  </si>
  <si>
    <t>H035</t>
  </si>
  <si>
    <t>H036</t>
  </si>
  <si>
    <t>H037</t>
  </si>
  <si>
    <t>H038</t>
  </si>
  <si>
    <t>H039</t>
  </si>
  <si>
    <t>H040</t>
  </si>
  <si>
    <t>H041</t>
  </si>
  <si>
    <t>H042</t>
  </si>
  <si>
    <t>H043</t>
  </si>
  <si>
    <t>H044</t>
  </si>
  <si>
    <t>H045</t>
  </si>
  <si>
    <t>H046</t>
  </si>
  <si>
    <t>H047</t>
  </si>
  <si>
    <t>H048</t>
  </si>
  <si>
    <t>H049</t>
  </si>
  <si>
    <t>H050</t>
  </si>
  <si>
    <t>H051</t>
  </si>
  <si>
    <t>H052</t>
  </si>
  <si>
    <t>H053</t>
  </si>
  <si>
    <t>H054</t>
  </si>
  <si>
    <t>H055</t>
  </si>
  <si>
    <t>H056</t>
  </si>
  <si>
    <t>H057</t>
  </si>
  <si>
    <t>H058</t>
  </si>
  <si>
    <t>H059</t>
  </si>
  <si>
    <t>H060</t>
  </si>
  <si>
    <t>H061</t>
  </si>
  <si>
    <t>H062</t>
  </si>
  <si>
    <t>H063</t>
  </si>
  <si>
    <t>H064</t>
  </si>
  <si>
    <t>H065</t>
  </si>
  <si>
    <t>H066</t>
  </si>
  <si>
    <t>H067</t>
  </si>
  <si>
    <t>H068</t>
  </si>
  <si>
    <t>H069</t>
  </si>
  <si>
    <t>H070</t>
  </si>
  <si>
    <t>Word Count</t>
  </si>
  <si>
    <t>Chapter 1</t>
  </si>
  <si>
    <t>Chapter 2</t>
  </si>
  <si>
    <t>Chapter 3</t>
  </si>
  <si>
    <t>Chapter 4</t>
  </si>
  <si>
    <t>Current WC</t>
  </si>
  <si>
    <t>Expected Increase</t>
  </si>
  <si>
    <t>Total</t>
  </si>
  <si>
    <t>CUMULATIVE:</t>
  </si>
  <si>
    <t>Y</t>
  </si>
  <si>
    <t>N</t>
  </si>
  <si>
    <t>Column1</t>
  </si>
  <si>
    <t>HazRisk Count</t>
  </si>
  <si>
    <t>Intangible</t>
  </si>
  <si>
    <t>Tangible</t>
  </si>
  <si>
    <t>Intang_Pct</t>
  </si>
  <si>
    <t>http://dx.doi.org/10.25607/OBP-1733</t>
  </si>
  <si>
    <t>H_count</t>
  </si>
  <si>
    <t>R_count</t>
  </si>
  <si>
    <t>Intangable</t>
  </si>
  <si>
    <t>Distribution (D)</t>
  </si>
  <si>
    <t>Agreement (Ag)</t>
  </si>
  <si>
    <t>Hazards</t>
  </si>
  <si>
    <t>Risks</t>
  </si>
  <si>
    <t>TOTAL</t>
  </si>
  <si>
    <t>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</si>
</sst>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
    <numFmt numFmtId="165" formatCode="0.0%"/>
    <numFmt numFmtId="166" formatCode="_(* #,##0_);_(* \(#,##0\);_(* &quot;-&quot;??_);_(@_)"/>
  </numFmts>
  <fonts count="38" x14ac:knownFonts="1">
    <font>
      <sz val="12"/>
      <color theme="1"/>
      <name val="Calibri"/>
      <family val="2"/>
      <scheme val="minor"/>
    </font>
    <font>
      <b/>
      <sz val="12"/>
      <color theme="1"/>
      <name val="Calibri"/>
      <family val="2"/>
      <scheme val="minor"/>
    </font>
    <font>
      <i/>
      <sz val="12"/>
      <color theme="1"/>
      <name val="Calibri"/>
      <family val="2"/>
      <scheme val="minor"/>
    </font>
    <font>
      <b/>
      <sz val="36"/>
      <color theme="0"/>
      <name val="Franklin Gothic Book"/>
      <family val="2"/>
    </font>
    <font>
      <sz val="10"/>
      <color rgb="FF000000"/>
      <name val="Times New Roman"/>
      <family val="1"/>
    </font>
    <font>
      <i/>
      <sz val="12"/>
      <color rgb="FF000000"/>
      <name val="Calibri"/>
      <family val="2"/>
      <scheme val="minor"/>
    </font>
    <font>
      <sz val="12"/>
      <color rgb="FF000000"/>
      <name val="Calibri"/>
      <family val="2"/>
      <scheme val="minor"/>
    </font>
    <font>
      <b/>
      <u/>
      <sz val="12"/>
      <color theme="1"/>
      <name val="Calibri"/>
      <family val="2"/>
      <scheme val="minor"/>
    </font>
    <font>
      <sz val="12"/>
      <color theme="1"/>
      <name val="Calibri"/>
      <family val="2"/>
      <scheme val="minor"/>
    </font>
    <font>
      <sz val="8"/>
      <name val="Calibri"/>
      <family val="2"/>
      <scheme val="minor"/>
    </font>
    <font>
      <b/>
      <sz val="12"/>
      <color theme="0"/>
      <name val="Calibri"/>
      <family val="2"/>
      <scheme val="minor"/>
    </font>
    <font>
      <u/>
      <sz val="12"/>
      <color theme="10"/>
      <name val="Calibri"/>
      <family val="2"/>
      <scheme val="minor"/>
    </font>
    <font>
      <sz val="12"/>
      <name val="Calibri"/>
      <family val="2"/>
      <scheme val="minor"/>
    </font>
    <font>
      <i/>
      <sz val="12"/>
      <color rgb="FF000000"/>
      <name val="Times New Roman"/>
      <family val="1"/>
    </font>
    <font>
      <b/>
      <i/>
      <sz val="12"/>
      <color theme="0"/>
      <name val="Calibri"/>
      <family val="2"/>
      <scheme val="minor"/>
    </font>
    <font>
      <b/>
      <sz val="36"/>
      <color theme="0"/>
      <name val="Calibri"/>
      <family val="2"/>
      <scheme val="minor"/>
    </font>
    <font>
      <sz val="12"/>
      <color theme="0"/>
      <name val="Calibri"/>
      <family val="2"/>
      <scheme val="minor"/>
    </font>
    <font>
      <sz val="12"/>
      <color theme="1" tint="4.9989318521683403E-2"/>
      <name val="Calibri"/>
      <family val="2"/>
      <scheme val="minor"/>
    </font>
    <font>
      <sz val="11"/>
      <color rgb="FF000000"/>
      <name val="Times New Roman"/>
      <family val="1"/>
    </font>
    <font>
      <sz val="12"/>
      <color rgb="FF000000"/>
      <name val="Times New Roman"/>
      <family val="1"/>
    </font>
    <font>
      <b/>
      <sz val="11"/>
      <color rgb="FF000000"/>
      <name val="Times New Roman"/>
      <family val="1"/>
    </font>
    <font>
      <b/>
      <sz val="12"/>
      <color rgb="FF000000"/>
      <name val="Times New Roman"/>
      <family val="1"/>
    </font>
    <font>
      <i/>
      <sz val="12"/>
      <color theme="1"/>
      <name val="Times New Roman"/>
      <family val="1"/>
    </font>
    <font>
      <b/>
      <i/>
      <sz val="12"/>
      <color theme="1"/>
      <name val="Times New Roman"/>
      <family val="1"/>
    </font>
    <font>
      <sz val="12"/>
      <color theme="1"/>
      <name val="Times New Roman"/>
      <family val="1"/>
    </font>
    <font>
      <b/>
      <sz val="12"/>
      <color theme="1"/>
      <name val="Times New Roman"/>
      <family val="1"/>
    </font>
    <font>
      <b/>
      <sz val="12"/>
      <color theme="0"/>
      <name val="Times New Roman"/>
      <family val="1"/>
    </font>
    <font>
      <b/>
      <sz val="20"/>
      <color theme="1"/>
      <name val="Times New Roman"/>
      <family val="1"/>
    </font>
    <font>
      <sz val="12"/>
      <color theme="0"/>
      <name val="Times New Roman"/>
      <family val="1"/>
    </font>
    <font>
      <b/>
      <sz val="12"/>
      <name val="Times New Roman"/>
      <family val="1"/>
    </font>
    <font>
      <b/>
      <sz val="36"/>
      <color theme="0"/>
      <name val="Times New Roman"/>
      <family val="1"/>
    </font>
    <font>
      <sz val="12"/>
      <color rgb="FF9C0006"/>
      <name val="Calibri"/>
      <family val="2"/>
      <scheme val="minor"/>
    </font>
    <font>
      <sz val="12"/>
      <color rgb="FF9C5700"/>
      <name val="Calibri"/>
      <family val="2"/>
      <scheme val="minor"/>
    </font>
    <font>
      <i/>
      <sz val="11"/>
      <color theme="0" tint="-0.499984740745262"/>
      <name val="Calibri"/>
      <family val="2"/>
      <scheme val="minor"/>
    </font>
    <font>
      <i/>
      <sz val="11"/>
      <color rgb="FF9C0006"/>
      <name val="Calibri"/>
      <family val="2"/>
      <scheme val="minor"/>
    </font>
    <font>
      <sz val="12"/>
      <name val="Times New Roman"/>
      <family val="1"/>
    </font>
    <font>
      <b/>
      <sz val="12"/>
      <name val="Calibri"/>
      <family val="2"/>
      <scheme val="minor"/>
    </font>
    <font>
      <b/>
      <i/>
      <sz val="12"/>
      <color theme="1"/>
      <name val="Calibri"/>
      <family val="2"/>
      <scheme val="minor"/>
    </font>
  </fonts>
  <fills count="38">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rgb="FF871D5E"/>
        <bgColor indexed="64"/>
      </patternFill>
    </fill>
    <fill>
      <patternFill patternType="solid">
        <fgColor rgb="FFCC0000"/>
        <bgColor indexed="64"/>
      </patternFill>
    </fill>
    <fill>
      <patternFill patternType="solid">
        <fgColor rgb="FFFFD966"/>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4" tint="-0.499984740745262"/>
        <bgColor indexed="64"/>
      </patternFill>
    </fill>
    <fill>
      <patternFill patternType="solid">
        <fgColor theme="1"/>
        <bgColor indexed="64"/>
      </patternFill>
    </fill>
    <fill>
      <patternFill patternType="solid">
        <fgColor theme="1" tint="4.9989318521683403E-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2" tint="-0.749992370372631"/>
        <bgColor indexed="64"/>
      </patternFill>
    </fill>
    <fill>
      <patternFill patternType="solid">
        <fgColor theme="5" tint="0.59999389629810485"/>
        <bgColor indexed="64"/>
      </patternFill>
    </fill>
    <fill>
      <patternFill patternType="solid">
        <fgColor theme="5"/>
        <bgColor indexed="64"/>
      </patternFill>
    </fill>
    <fill>
      <patternFill patternType="solid">
        <fgColor rgb="FFC00000"/>
        <bgColor indexed="64"/>
      </patternFill>
    </fill>
    <fill>
      <patternFill patternType="solid">
        <fgColor rgb="FFFFC7CE"/>
      </patternFill>
    </fill>
    <fill>
      <patternFill patternType="solid">
        <fgColor rgb="FFFFEB9C"/>
      </patternFill>
    </fill>
    <fill>
      <patternFill patternType="solid">
        <fgColor rgb="FFF7E0E0"/>
        <bgColor indexed="64"/>
      </patternFill>
    </fill>
    <fill>
      <patternFill patternType="solid">
        <fgColor theme="4" tint="0.79998168889431442"/>
        <bgColor theme="4" tint="0.79998168889431442"/>
      </patternFill>
    </fill>
    <fill>
      <patternFill patternType="solid">
        <fgColor theme="0" tint="-0.14999847407452621"/>
        <bgColor theme="0" tint="-0.14999847407452621"/>
      </patternFill>
    </fill>
    <fill>
      <patternFill patternType="solid">
        <fgColor theme="1" tint="0.34998626667073579"/>
        <bgColor indexed="64"/>
      </patternFill>
    </fill>
    <fill>
      <patternFill patternType="solid">
        <fgColor theme="0"/>
        <bgColor theme="0" tint="-0.14999847407452621"/>
      </patternFill>
    </fill>
    <fill>
      <patternFill patternType="solid">
        <fgColor theme="9"/>
        <bgColor indexed="64"/>
      </patternFill>
    </fill>
    <fill>
      <patternFill patternType="solid">
        <fgColor rgb="FFF7E0E0"/>
        <bgColor theme="0" tint="-0.14999847407452621"/>
      </patternFill>
    </fill>
    <fill>
      <patternFill patternType="solid">
        <fgColor theme="6" tint="0.59999389629810485"/>
        <bgColor indexed="64"/>
      </patternFill>
    </fill>
    <fill>
      <patternFill patternType="solid">
        <fgColor theme="6" tint="0.79998168889431442"/>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rgb="FF8EA9DB"/>
      </top>
      <bottom style="thin">
        <color rgb="FF8EA9DB"/>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right/>
      <top style="thin">
        <color theme="1"/>
      </top>
      <bottom style="thin">
        <color theme="1"/>
      </bottom>
      <diagonal/>
    </border>
  </borders>
  <cellStyleXfs count="6">
    <xf numFmtId="0" fontId="0" fillId="0" borderId="0"/>
    <xf numFmtId="43" fontId="8" fillId="0" borderId="0" applyFont="0" applyFill="0" applyBorder="0" applyAlignment="0" applyProtection="0"/>
    <xf numFmtId="9" fontId="8" fillId="0" borderId="0" applyFont="0" applyFill="0" applyBorder="0" applyAlignment="0" applyProtection="0"/>
    <xf numFmtId="0" fontId="11" fillId="0" borderId="0" applyNumberFormat="0" applyFill="0" applyBorder="0" applyAlignment="0" applyProtection="0"/>
    <xf numFmtId="0" fontId="31" fillId="27" borderId="0" applyNumberFormat="0" applyBorder="0" applyAlignment="0" applyProtection="0"/>
    <xf numFmtId="0" fontId="32" fillId="28" borderId="0" applyNumberFormat="0" applyBorder="0" applyAlignment="0" applyProtection="0"/>
  </cellStyleXfs>
  <cellXfs count="396">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2" borderId="22" xfId="0" applyFill="1" applyBorder="1"/>
    <xf numFmtId="0" fontId="6" fillId="0" borderId="24" xfId="0" applyFont="1" applyBorder="1"/>
    <xf numFmtId="0" fontId="0" fillId="0" borderId="0" xfId="0" applyAlignment="1">
      <alignment horizontal="center"/>
    </xf>
    <xf numFmtId="0" fontId="0" fillId="2" borderId="22" xfId="0" applyFill="1" applyBorder="1" applyAlignment="1">
      <alignment wrapText="1"/>
    </xf>
    <xf numFmtId="0" fontId="0" fillId="12" borderId="0" xfId="0" applyFill="1"/>
    <xf numFmtId="0" fontId="2"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pivotButton="1"/>
    <xf numFmtId="0" fontId="0" fillId="0" borderId="0" xfId="0" applyAlignment="1">
      <alignment horizontal="left"/>
    </xf>
    <xf numFmtId="164" fontId="0" fillId="0" borderId="0" xfId="0" applyNumberFormat="1"/>
    <xf numFmtId="0" fontId="1" fillId="0" borderId="0" xfId="0" applyFont="1" applyAlignment="1">
      <alignment horizontal="center"/>
    </xf>
    <xf numFmtId="9" fontId="0" fillId="0" borderId="0" xfId="2" applyFont="1" applyAlignment="1">
      <alignment horizontal="center" vertical="center" wrapText="1"/>
    </xf>
    <xf numFmtId="0" fontId="0" fillId="0" borderId="0" xfId="0" applyAlignment="1">
      <alignment horizontal="center" vertical="center" wrapText="1"/>
    </xf>
    <xf numFmtId="0" fontId="1" fillId="14" borderId="0" xfId="0" applyFont="1" applyFill="1" applyAlignment="1">
      <alignment horizontal="center" vertical="center"/>
    </xf>
    <xf numFmtId="0" fontId="1" fillId="2" borderId="0" xfId="0" applyFont="1" applyFill="1" applyAlignment="1">
      <alignment vertical="center"/>
    </xf>
    <xf numFmtId="0" fontId="0" fillId="2" borderId="0" xfId="0" applyFill="1" applyAlignment="1">
      <alignment vertical="center"/>
    </xf>
    <xf numFmtId="0" fontId="0" fillId="2" borderId="0" xfId="0" applyFill="1" applyAlignment="1">
      <alignment horizontal="center" vertical="center"/>
    </xf>
    <xf numFmtId="0" fontId="1" fillId="14" borderId="0" xfId="0" applyFont="1" applyFill="1" applyAlignment="1">
      <alignment vertical="center"/>
    </xf>
    <xf numFmtId="0" fontId="10" fillId="14" borderId="0" xfId="0" applyFont="1" applyFill="1" applyAlignment="1">
      <alignment horizontal="center" vertical="center"/>
    </xf>
    <xf numFmtId="0" fontId="12" fillId="2" borderId="0" xfId="0" applyFont="1" applyFill="1" applyAlignment="1">
      <alignment vertical="center"/>
    </xf>
    <xf numFmtId="2" fontId="10" fillId="2" borderId="0" xfId="0" applyNumberFormat="1" applyFont="1" applyFill="1" applyAlignment="1">
      <alignment horizontal="right" vertical="center"/>
    </xf>
    <xf numFmtId="0" fontId="15" fillId="3" borderId="0" xfId="0" applyFont="1" applyFill="1"/>
    <xf numFmtId="0" fontId="1" fillId="0" borderId="0" xfId="0" applyFont="1" applyAlignment="1">
      <alignment horizontal="left"/>
    </xf>
    <xf numFmtId="0" fontId="5" fillId="2" borderId="0" xfId="0" applyFont="1" applyFill="1" applyAlignment="1">
      <alignment horizontal="center"/>
    </xf>
    <xf numFmtId="0" fontId="13" fillId="2" borderId="0" xfId="0" applyFont="1" applyFill="1"/>
    <xf numFmtId="0" fontId="0" fillId="3" borderId="0" xfId="0" applyFill="1" applyAlignment="1">
      <alignment vertical="center"/>
    </xf>
    <xf numFmtId="0" fontId="0" fillId="3" borderId="0" xfId="0" applyFill="1" applyAlignment="1">
      <alignment vertical="center" wrapText="1"/>
    </xf>
    <xf numFmtId="0" fontId="3" fillId="3" borderId="0" xfId="0" applyFont="1" applyFill="1" applyAlignment="1">
      <alignment vertical="center"/>
    </xf>
    <xf numFmtId="0" fontId="0" fillId="2" borderId="0" xfId="0" applyFill="1" applyAlignment="1">
      <alignment vertical="center" wrapText="1"/>
    </xf>
    <xf numFmtId="0" fontId="2" fillId="10" borderId="1" xfId="0" applyFont="1" applyFill="1" applyBorder="1" applyAlignment="1">
      <alignment vertical="center"/>
    </xf>
    <xf numFmtId="0" fontId="2" fillId="10" borderId="1" xfId="0" applyFont="1" applyFill="1" applyBorder="1" applyAlignment="1">
      <alignment vertical="center" wrapText="1"/>
    </xf>
    <xf numFmtId="0" fontId="0" fillId="2" borderId="2" xfId="0" applyFill="1" applyBorder="1" applyAlignment="1">
      <alignment vertical="center"/>
    </xf>
    <xf numFmtId="0" fontId="0" fillId="2" borderId="13" xfId="0" applyFill="1" applyBorder="1" applyAlignment="1">
      <alignment vertical="center"/>
    </xf>
    <xf numFmtId="0" fontId="0" fillId="2" borderId="4" xfId="0" applyFill="1" applyBorder="1" applyAlignment="1">
      <alignment vertical="center" wrapText="1"/>
    </xf>
    <xf numFmtId="0" fontId="0" fillId="2" borderId="11" xfId="0" applyFill="1" applyBorder="1" applyAlignment="1">
      <alignment vertical="center"/>
    </xf>
    <xf numFmtId="0" fontId="0" fillId="2" borderId="14" xfId="0" applyFill="1" applyBorder="1" applyAlignment="1">
      <alignment vertical="center"/>
    </xf>
    <xf numFmtId="0" fontId="0" fillId="2" borderId="12" xfId="0" applyFill="1" applyBorder="1" applyAlignment="1">
      <alignment vertical="center" wrapText="1"/>
    </xf>
    <xf numFmtId="0" fontId="0" fillId="2" borderId="4" xfId="0" applyFill="1" applyBorder="1" applyAlignment="1">
      <alignment vertical="center"/>
    </xf>
    <xf numFmtId="0" fontId="0" fillId="2" borderId="13" xfId="0" applyFill="1" applyBorder="1" applyAlignment="1">
      <alignment vertical="center" wrapText="1"/>
    </xf>
    <xf numFmtId="0" fontId="0" fillId="2" borderId="12" xfId="0" applyFill="1" applyBorder="1" applyAlignment="1">
      <alignment vertical="center"/>
    </xf>
    <xf numFmtId="0" fontId="0" fillId="2" borderId="14" xfId="0" applyFill="1" applyBorder="1" applyAlignment="1">
      <alignment vertical="center" wrapText="1"/>
    </xf>
    <xf numFmtId="0" fontId="0" fillId="2" borderId="15" xfId="0" applyFill="1" applyBorder="1" applyAlignment="1">
      <alignment vertical="center"/>
    </xf>
    <xf numFmtId="0" fontId="0" fillId="12" borderId="0" xfId="0" applyFill="1" applyAlignment="1">
      <alignment vertical="center" wrapText="1"/>
    </xf>
    <xf numFmtId="0" fontId="0" fillId="0" borderId="10" xfId="0" applyBorder="1" applyAlignment="1">
      <alignment vertical="center"/>
    </xf>
    <xf numFmtId="0" fontId="0" fillId="0" borderId="8" xfId="0" applyBorder="1" applyAlignment="1">
      <alignment vertical="center" wrapText="1"/>
    </xf>
    <xf numFmtId="0" fontId="0" fillId="0" borderId="4" xfId="0" applyBorder="1" applyAlignment="1">
      <alignment vertical="center"/>
    </xf>
    <xf numFmtId="0" fontId="0" fillId="0" borderId="2" xfId="0" applyBorder="1" applyAlignment="1">
      <alignment vertical="center" wrapText="1"/>
    </xf>
    <xf numFmtId="0" fontId="17" fillId="0" borderId="7" xfId="0" applyFont="1" applyBorder="1" applyAlignment="1">
      <alignment vertical="center"/>
    </xf>
    <xf numFmtId="0" fontId="17" fillId="0" borderId="5" xfId="0" applyFont="1" applyBorder="1" applyAlignment="1">
      <alignment vertical="center"/>
    </xf>
    <xf numFmtId="0" fontId="0" fillId="12" borderId="0" xfId="0" applyFill="1" applyAlignment="1">
      <alignment vertical="center"/>
    </xf>
    <xf numFmtId="0" fontId="17" fillId="0" borderId="15" xfId="0" applyFont="1" applyBorder="1" applyAlignment="1">
      <alignment vertical="center" wrapText="1"/>
    </xf>
    <xf numFmtId="0" fontId="0" fillId="0" borderId="1" xfId="0" applyBorder="1" applyAlignment="1">
      <alignment vertical="center" wrapText="1"/>
    </xf>
    <xf numFmtId="0" fontId="0" fillId="0" borderId="13" xfId="0" applyBorder="1" applyAlignment="1">
      <alignment vertical="center" wrapText="1"/>
    </xf>
    <xf numFmtId="0" fontId="4" fillId="0" borderId="1"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21" fillId="17" borderId="26" xfId="0" applyFont="1" applyFill="1" applyBorder="1" applyAlignment="1">
      <alignment horizontal="center" vertical="center"/>
    </xf>
    <xf numFmtId="0" fontId="21" fillId="17" borderId="27" xfId="0" applyFont="1" applyFill="1" applyBorder="1" applyAlignment="1">
      <alignment horizontal="center" vertical="center"/>
    </xf>
    <xf numFmtId="0" fontId="22" fillId="2" borderId="0" xfId="0" applyFont="1" applyFill="1"/>
    <xf numFmtId="0" fontId="24" fillId="2" borderId="0" xfId="0" applyFont="1" applyFill="1"/>
    <xf numFmtId="0" fontId="26" fillId="4" borderId="28" xfId="0" applyFont="1" applyFill="1" applyBorder="1" applyAlignment="1">
      <alignment horizontal="center" vertical="center"/>
    </xf>
    <xf numFmtId="0" fontId="26" fillId="5" borderId="28" xfId="0" applyFont="1" applyFill="1" applyBorder="1" applyAlignment="1">
      <alignment horizontal="center" vertical="center"/>
    </xf>
    <xf numFmtId="0" fontId="25" fillId="6" borderId="28" xfId="0" applyFont="1" applyFill="1" applyBorder="1" applyAlignment="1">
      <alignment horizontal="center" vertical="center"/>
    </xf>
    <xf numFmtId="0" fontId="25" fillId="17" borderId="26" xfId="0" applyFont="1" applyFill="1" applyBorder="1"/>
    <xf numFmtId="0" fontId="13" fillId="0" borderId="1" xfId="0" applyFont="1" applyBorder="1" applyAlignment="1">
      <alignment horizontal="center"/>
    </xf>
    <xf numFmtId="0" fontId="13" fillId="0" borderId="31" xfId="0" applyFont="1" applyBorder="1" applyAlignment="1">
      <alignment horizontal="center"/>
    </xf>
    <xf numFmtId="0" fontId="24" fillId="6" borderId="28" xfId="0" applyFont="1" applyFill="1" applyBorder="1" applyAlignment="1">
      <alignment horizontal="center" vertical="center"/>
    </xf>
    <xf numFmtId="0" fontId="24" fillId="9" borderId="28" xfId="0" applyFont="1" applyFill="1" applyBorder="1" applyAlignment="1">
      <alignment horizontal="center" vertical="center"/>
    </xf>
    <xf numFmtId="0" fontId="24" fillId="2" borderId="30" xfId="0" applyFont="1" applyFill="1" applyBorder="1" applyAlignment="1">
      <alignment horizontal="center" vertical="center"/>
    </xf>
    <xf numFmtId="0" fontId="25" fillId="17" borderId="25" xfId="0" applyFont="1" applyFill="1" applyBorder="1" applyAlignment="1">
      <alignment horizontal="center" vertical="center" wrapText="1"/>
    </xf>
    <xf numFmtId="0" fontId="25" fillId="17" borderId="26" xfId="0" applyFont="1" applyFill="1" applyBorder="1" applyAlignment="1">
      <alignment horizontal="center" vertical="center"/>
    </xf>
    <xf numFmtId="0" fontId="25" fillId="17" borderId="25" xfId="0" applyFont="1" applyFill="1" applyBorder="1" applyAlignment="1">
      <alignment horizontal="center"/>
    </xf>
    <xf numFmtId="0" fontId="24" fillId="2" borderId="0" xfId="0" applyFont="1" applyFill="1" applyAlignment="1">
      <alignment horizontal="center" vertical="center"/>
    </xf>
    <xf numFmtId="0" fontId="13" fillId="2" borderId="0" xfId="0" applyFont="1" applyFill="1" applyAlignment="1">
      <alignment horizontal="center"/>
    </xf>
    <xf numFmtId="0" fontId="19" fillId="2" borderId="0" xfId="0" applyFont="1" applyFill="1"/>
    <xf numFmtId="0" fontId="4" fillId="0" borderId="28" xfId="0" applyFont="1" applyBorder="1" applyAlignment="1">
      <alignment vertical="center"/>
    </xf>
    <xf numFmtId="0" fontId="4" fillId="0" borderId="30" xfId="0" applyFont="1" applyBorder="1" applyAlignment="1">
      <alignment vertical="center"/>
    </xf>
    <xf numFmtId="0" fontId="20" fillId="17" borderId="25" xfId="0" applyFont="1" applyFill="1" applyBorder="1" applyAlignment="1">
      <alignment vertical="center"/>
    </xf>
    <xf numFmtId="0" fontId="20" fillId="17" borderId="25" xfId="0" applyFont="1" applyFill="1" applyBorder="1" applyAlignment="1">
      <alignment horizontal="center" vertical="center"/>
    </xf>
    <xf numFmtId="0" fontId="20" fillId="17" borderId="26" xfId="0" applyFont="1" applyFill="1" applyBorder="1" applyAlignment="1">
      <alignment horizontal="center" vertical="center"/>
    </xf>
    <xf numFmtId="0" fontId="18" fillId="0" borderId="28" xfId="0" applyFont="1" applyBorder="1" applyAlignment="1">
      <alignment horizontal="center" vertical="center"/>
    </xf>
    <xf numFmtId="0" fontId="18" fillId="0" borderId="1" xfId="0" applyFont="1" applyBorder="1" applyAlignment="1">
      <alignment horizontal="center" vertical="center"/>
    </xf>
    <xf numFmtId="0" fontId="18" fillId="0" borderId="30" xfId="0" applyFont="1" applyBorder="1" applyAlignment="1">
      <alignment horizontal="center" vertical="center"/>
    </xf>
    <xf numFmtId="0" fontId="18" fillId="0" borderId="31" xfId="0" applyFont="1" applyBorder="1" applyAlignment="1">
      <alignment horizontal="center" vertical="center"/>
    </xf>
    <xf numFmtId="0" fontId="25" fillId="0" borderId="30" xfId="0" applyFont="1" applyBorder="1" applyAlignment="1">
      <alignment horizontal="center" vertical="center"/>
    </xf>
    <xf numFmtId="0" fontId="16" fillId="2" borderId="0" xfId="0" applyFont="1" applyFill="1" applyAlignment="1">
      <alignment horizontal="center" vertical="center"/>
    </xf>
    <xf numFmtId="0" fontId="0" fillId="2" borderId="0" xfId="0" applyFill="1" applyAlignment="1">
      <alignment horizontal="left" vertical="center"/>
    </xf>
    <xf numFmtId="0" fontId="18" fillId="2" borderId="0" xfId="0" applyFont="1" applyFill="1"/>
    <xf numFmtId="0" fontId="24" fillId="2" borderId="1" xfId="0" applyFont="1" applyFill="1" applyBorder="1" applyAlignment="1">
      <alignment horizontal="center" vertical="center" wrapText="1"/>
    </xf>
    <xf numFmtId="2" fontId="0" fillId="2" borderId="0" xfId="0" applyNumberFormat="1" applyFill="1"/>
    <xf numFmtId="0" fontId="24" fillId="2" borderId="1" xfId="0" applyFont="1" applyFill="1" applyBorder="1" applyAlignment="1">
      <alignment horizontal="center" vertical="center"/>
    </xf>
    <xf numFmtId="49" fontId="24" fillId="2" borderId="1" xfId="0" applyNumberFormat="1" applyFont="1" applyFill="1" applyBorder="1" applyAlignment="1">
      <alignment horizontal="center" vertical="center"/>
    </xf>
    <xf numFmtId="0" fontId="24" fillId="2" borderId="31" xfId="0" applyFont="1" applyFill="1" applyBorder="1" applyAlignment="1">
      <alignment horizontal="center" vertical="center"/>
    </xf>
    <xf numFmtId="0" fontId="24" fillId="6" borderId="1" xfId="0" applyFont="1" applyFill="1" applyBorder="1" applyAlignment="1">
      <alignment horizontal="center" vertical="center" wrapText="1"/>
    </xf>
    <xf numFmtId="0" fontId="26" fillId="5" borderId="1" xfId="0" applyFont="1" applyFill="1" applyBorder="1" applyAlignment="1">
      <alignment horizontal="center" vertical="center" wrapText="1"/>
    </xf>
    <xf numFmtId="0" fontId="24" fillId="6" borderId="26" xfId="0" applyFont="1" applyFill="1" applyBorder="1" applyAlignment="1">
      <alignment horizontal="center" vertical="center" wrapText="1"/>
    </xf>
    <xf numFmtId="0" fontId="26" fillId="5" borderId="26" xfId="0" applyFont="1" applyFill="1" applyBorder="1" applyAlignment="1">
      <alignment horizontal="center" vertical="center" wrapText="1"/>
    </xf>
    <xf numFmtId="0" fontId="26" fillId="4" borderId="27" xfId="0" applyFont="1" applyFill="1" applyBorder="1" applyAlignment="1">
      <alignment horizontal="center" vertical="center" wrapText="1"/>
    </xf>
    <xf numFmtId="0" fontId="26" fillId="4" borderId="29" xfId="0" applyFont="1" applyFill="1" applyBorder="1" applyAlignment="1">
      <alignment horizontal="center" vertical="center" wrapText="1"/>
    </xf>
    <xf numFmtId="0" fontId="26" fillId="5" borderId="29" xfId="0" applyFont="1" applyFill="1" applyBorder="1" applyAlignment="1">
      <alignment horizontal="center" vertical="center" wrapText="1"/>
    </xf>
    <xf numFmtId="0" fontId="24" fillId="6" borderId="29" xfId="0" applyFont="1" applyFill="1" applyBorder="1" applyAlignment="1">
      <alignment horizontal="center" vertical="center" wrapText="1"/>
    </xf>
    <xf numFmtId="0" fontId="24" fillId="2" borderId="47" xfId="0" applyFont="1" applyFill="1" applyBorder="1" applyAlignment="1">
      <alignment horizontal="center" vertical="center" wrapText="1"/>
    </xf>
    <xf numFmtId="0" fontId="24" fillId="2" borderId="10" xfId="0" applyFont="1" applyFill="1" applyBorder="1" applyAlignment="1">
      <alignment horizontal="center" vertical="center" wrapText="1"/>
    </xf>
    <xf numFmtId="0" fontId="24" fillId="2" borderId="4" xfId="0" applyFont="1" applyFill="1" applyBorder="1" applyAlignment="1">
      <alignment horizontal="center" vertical="center" wrapText="1"/>
    </xf>
    <xf numFmtId="0" fontId="24" fillId="2" borderId="13" xfId="0" applyFont="1" applyFill="1" applyBorder="1" applyAlignment="1">
      <alignment horizontal="center" vertical="center" wrapText="1"/>
    </xf>
    <xf numFmtId="0" fontId="24" fillId="6" borderId="56" xfId="0" applyFont="1" applyFill="1" applyBorder="1" applyAlignment="1">
      <alignment horizontal="center" vertical="center" wrapText="1"/>
    </xf>
    <xf numFmtId="0" fontId="24" fillId="2" borderId="32" xfId="0" applyFont="1" applyFill="1" applyBorder="1" applyAlignment="1">
      <alignment horizontal="left" vertical="center" wrapText="1"/>
    </xf>
    <xf numFmtId="0" fontId="24" fillId="2" borderId="25" xfId="0" applyFont="1" applyFill="1" applyBorder="1" applyAlignment="1">
      <alignment horizontal="center" vertical="center" wrapText="1"/>
    </xf>
    <xf numFmtId="0" fontId="24" fillId="6" borderId="29" xfId="0" applyFont="1" applyFill="1" applyBorder="1" applyAlignment="1">
      <alignment horizontal="left" vertical="center" wrapText="1"/>
    </xf>
    <xf numFmtId="0" fontId="24" fillId="9" borderId="29" xfId="0" applyFont="1" applyFill="1" applyBorder="1" applyAlignment="1">
      <alignment horizontal="left" vertical="center" wrapText="1"/>
    </xf>
    <xf numFmtId="0" fontId="24" fillId="6" borderId="26" xfId="0" applyFont="1" applyFill="1" applyBorder="1" applyAlignment="1">
      <alignment horizontal="center" vertical="center"/>
    </xf>
    <xf numFmtId="0" fontId="28" fillId="5" borderId="26" xfId="0" applyFont="1" applyFill="1" applyBorder="1" applyAlignment="1">
      <alignment horizontal="center" vertical="center"/>
    </xf>
    <xf numFmtId="0" fontId="28" fillId="4" borderId="27" xfId="0" applyFont="1" applyFill="1" applyBorder="1" applyAlignment="1">
      <alignment horizontal="center" vertical="center"/>
    </xf>
    <xf numFmtId="0" fontId="28" fillId="4" borderId="27" xfId="0" applyFont="1" applyFill="1" applyBorder="1" applyAlignment="1">
      <alignment horizontal="left" vertical="center" wrapText="1"/>
    </xf>
    <xf numFmtId="0" fontId="28" fillId="5" borderId="29" xfId="0" applyFont="1" applyFill="1" applyBorder="1" applyAlignment="1">
      <alignment horizontal="left" vertical="center" wrapText="1"/>
    </xf>
    <xf numFmtId="0" fontId="29" fillId="7" borderId="52" xfId="0" applyFont="1" applyFill="1" applyBorder="1" applyAlignment="1">
      <alignment horizontal="center" vertical="center" wrapText="1"/>
    </xf>
    <xf numFmtId="0" fontId="29" fillId="7" borderId="53" xfId="0" applyFont="1" applyFill="1" applyBorder="1" applyAlignment="1">
      <alignment horizontal="center" vertical="center" wrapText="1"/>
    </xf>
    <xf numFmtId="0" fontId="29" fillId="7" borderId="54" xfId="0" applyFont="1" applyFill="1" applyBorder="1" applyAlignment="1">
      <alignment horizontal="center" vertical="center" wrapText="1"/>
    </xf>
    <xf numFmtId="0" fontId="29" fillId="7" borderId="33" xfId="0" applyFont="1" applyFill="1" applyBorder="1" applyAlignment="1">
      <alignment horizontal="center" vertical="center" wrapText="1"/>
    </xf>
    <xf numFmtId="0" fontId="29" fillId="7" borderId="57" xfId="0" applyFont="1" applyFill="1" applyBorder="1" applyAlignment="1">
      <alignment horizontal="center" vertical="center" wrapText="1"/>
    </xf>
    <xf numFmtId="0" fontId="29" fillId="7" borderId="41" xfId="0" applyFont="1" applyFill="1" applyBorder="1" applyAlignment="1">
      <alignment horizontal="center" vertical="center"/>
    </xf>
    <xf numFmtId="0" fontId="29" fillId="7" borderId="42" xfId="0" applyFont="1" applyFill="1" applyBorder="1" applyAlignment="1">
      <alignment horizontal="center" vertical="center"/>
    </xf>
    <xf numFmtId="0" fontId="22" fillId="2" borderId="0" xfId="0" applyFont="1" applyFill="1" applyAlignment="1">
      <alignment horizontal="left" wrapText="1"/>
    </xf>
    <xf numFmtId="0" fontId="0" fillId="2" borderId="16" xfId="0" applyFill="1" applyBorder="1" applyAlignment="1">
      <alignment wrapText="1"/>
    </xf>
    <xf numFmtId="0" fontId="0" fillId="2" borderId="17" xfId="0" applyFill="1" applyBorder="1" applyAlignment="1">
      <alignment wrapText="1"/>
    </xf>
    <xf numFmtId="0" fontId="0" fillId="2" borderId="17" xfId="0" applyFill="1" applyBorder="1"/>
    <xf numFmtId="0" fontId="0" fillId="2" borderId="18" xfId="0" applyFill="1" applyBorder="1"/>
    <xf numFmtId="0" fontId="0" fillId="2" borderId="19" xfId="0" applyFill="1" applyBorder="1" applyAlignment="1">
      <alignment wrapText="1"/>
    </xf>
    <xf numFmtId="0" fontId="0" fillId="2" borderId="20" xfId="0" applyFill="1" applyBorder="1"/>
    <xf numFmtId="0" fontId="24" fillId="2" borderId="0" xfId="0" applyFont="1" applyFill="1" applyAlignment="1">
      <alignment wrapText="1"/>
    </xf>
    <xf numFmtId="0" fontId="0" fillId="2" borderId="21" xfId="0" applyFill="1" applyBorder="1" applyAlignment="1">
      <alignment wrapText="1"/>
    </xf>
    <xf numFmtId="0" fontId="0" fillId="2" borderId="23" xfId="0" applyFill="1" applyBorder="1"/>
    <xf numFmtId="0" fontId="24" fillId="9" borderId="1" xfId="0" applyFont="1" applyFill="1" applyBorder="1" applyAlignment="1">
      <alignment horizontal="center"/>
    </xf>
    <xf numFmtId="0" fontId="24" fillId="20" borderId="1" xfId="0" applyFont="1" applyFill="1" applyBorder="1" applyAlignment="1">
      <alignment horizontal="center"/>
    </xf>
    <xf numFmtId="0" fontId="25" fillId="7" borderId="25" xfId="0" applyFont="1" applyFill="1" applyBorder="1"/>
    <xf numFmtId="0" fontId="25" fillId="22" borderId="28" xfId="0" applyFont="1" applyFill="1" applyBorder="1"/>
    <xf numFmtId="0" fontId="24" fillId="9" borderId="29" xfId="0" applyFont="1" applyFill="1" applyBorder="1" applyAlignment="1">
      <alignment horizontal="center"/>
    </xf>
    <xf numFmtId="0" fontId="25" fillId="23" borderId="43" xfId="0" applyFont="1" applyFill="1" applyBorder="1" applyAlignment="1">
      <alignment horizontal="center" vertical="center" wrapText="1"/>
    </xf>
    <xf numFmtId="0" fontId="25" fillId="23" borderId="46" xfId="0" applyFont="1" applyFill="1" applyBorder="1" applyAlignment="1">
      <alignment horizontal="center" vertical="center"/>
    </xf>
    <xf numFmtId="0" fontId="4" fillId="23" borderId="44" xfId="0" applyFont="1" applyFill="1" applyBorder="1" applyAlignment="1">
      <alignment horizontal="center" vertical="center" wrapText="1"/>
    </xf>
    <xf numFmtId="0" fontId="4" fillId="23" borderId="45" xfId="0" applyFont="1" applyFill="1" applyBorder="1" applyAlignment="1">
      <alignment horizontal="center" vertical="center" wrapText="1"/>
    </xf>
    <xf numFmtId="0" fontId="25" fillId="17" borderId="49" xfId="0" applyFont="1" applyFill="1" applyBorder="1" applyAlignment="1">
      <alignment horizontal="center"/>
    </xf>
    <xf numFmtId="0" fontId="26" fillId="4" borderId="50" xfId="0" applyFont="1" applyFill="1" applyBorder="1" applyAlignment="1">
      <alignment horizontal="center" vertical="center" wrapText="1"/>
    </xf>
    <xf numFmtId="0" fontId="26" fillId="5" borderId="50" xfId="0" applyFont="1" applyFill="1" applyBorder="1" applyAlignment="1">
      <alignment horizontal="center" vertical="center" wrapText="1"/>
    </xf>
    <xf numFmtId="0" fontId="25" fillId="6" borderId="50" xfId="0" applyFont="1" applyFill="1" applyBorder="1" applyAlignment="1">
      <alignment horizontal="center" vertical="center" wrapText="1"/>
    </xf>
    <xf numFmtId="0" fontId="25" fillId="0" borderId="51" xfId="0" applyFont="1" applyBorder="1" applyAlignment="1">
      <alignment horizontal="center" vertical="center" wrapText="1"/>
    </xf>
    <xf numFmtId="0" fontId="21" fillId="17" borderId="47" xfId="0" applyFont="1" applyFill="1" applyBorder="1" applyAlignment="1">
      <alignment horizontal="center" vertical="center"/>
    </xf>
    <xf numFmtId="0" fontId="4" fillId="0" borderId="10" xfId="0" applyFont="1" applyBorder="1" applyAlignment="1">
      <alignment horizontal="center" vertical="center" wrapText="1"/>
    </xf>
    <xf numFmtId="0" fontId="4" fillId="0" borderId="48" xfId="0" applyFont="1" applyBorder="1" applyAlignment="1">
      <alignment horizontal="center" vertical="center" wrapText="1"/>
    </xf>
    <xf numFmtId="0" fontId="25" fillId="17" borderId="52" xfId="0" applyFont="1" applyFill="1" applyBorder="1" applyAlignment="1">
      <alignment horizontal="center"/>
    </xf>
    <xf numFmtId="0" fontId="25" fillId="2" borderId="53" xfId="0" applyFont="1" applyFill="1" applyBorder="1" applyAlignment="1">
      <alignment horizontal="center" vertical="center"/>
    </xf>
    <xf numFmtId="0" fontId="25" fillId="2" borderId="55" xfId="0" applyFont="1" applyFill="1" applyBorder="1" applyAlignment="1">
      <alignment horizontal="center" vertical="center"/>
    </xf>
    <xf numFmtId="0" fontId="0" fillId="2" borderId="7" xfId="0" applyFill="1" applyBorder="1" applyAlignment="1">
      <alignment vertical="center" wrapText="1"/>
    </xf>
    <xf numFmtId="0" fontId="0" fillId="12" borderId="0" xfId="0" applyFill="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30" fillId="3" borderId="0" xfId="0" applyFont="1" applyFill="1"/>
    <xf numFmtId="0" fontId="0" fillId="18" borderId="0" xfId="0" applyFill="1"/>
    <xf numFmtId="0" fontId="0" fillId="0" borderId="24" xfId="0" applyBorder="1" applyAlignment="1">
      <alignment vertical="center"/>
    </xf>
    <xf numFmtId="2" fontId="10" fillId="12" borderId="0" xfId="0" applyNumberFormat="1" applyFont="1" applyFill="1" applyAlignment="1">
      <alignment horizontal="right" vertical="center"/>
    </xf>
    <xf numFmtId="0" fontId="0" fillId="2" borderId="0" xfId="3" applyFont="1" applyFill="1" applyBorder="1"/>
    <xf numFmtId="0" fontId="11" fillId="2" borderId="0" xfId="3" applyFill="1" applyBorder="1" applyAlignment="1">
      <alignment horizontal="center" vertical="center"/>
    </xf>
    <xf numFmtId="0" fontId="12" fillId="2" borderId="0" xfId="2" applyNumberFormat="1" applyFont="1" applyFill="1" applyAlignment="1">
      <alignment horizontal="center" vertical="center"/>
    </xf>
    <xf numFmtId="0" fontId="1" fillId="21" borderId="0" xfId="0" applyFont="1" applyFill="1" applyAlignment="1">
      <alignment horizontal="center" vertical="center"/>
    </xf>
    <xf numFmtId="0" fontId="0" fillId="21" borderId="0" xfId="0" applyFill="1" applyAlignment="1">
      <alignment horizontal="center" vertical="center"/>
    </xf>
    <xf numFmtId="0" fontId="1" fillId="24" borderId="0" xfId="0" applyFont="1" applyFill="1" applyAlignment="1">
      <alignment vertical="center"/>
    </xf>
    <xf numFmtId="0" fontId="0" fillId="24" borderId="0" xfId="0" applyFill="1" applyAlignment="1">
      <alignment vertical="center"/>
    </xf>
    <xf numFmtId="0" fontId="1" fillId="25" borderId="0" xfId="0" applyFont="1" applyFill="1" applyAlignment="1">
      <alignment vertical="center"/>
    </xf>
    <xf numFmtId="0" fontId="0" fillId="25" borderId="0" xfId="0" applyFill="1" applyAlignment="1">
      <alignment vertical="center"/>
    </xf>
    <xf numFmtId="0" fontId="1" fillId="19" borderId="0" xfId="0" applyFont="1" applyFill="1" applyAlignment="1">
      <alignment vertical="center"/>
    </xf>
    <xf numFmtId="0" fontId="0" fillId="19" borderId="0" xfId="0" applyFill="1" applyAlignment="1">
      <alignment vertical="center"/>
    </xf>
    <xf numFmtId="0" fontId="1" fillId="21" borderId="0" xfId="0" applyFont="1" applyFill="1" applyAlignment="1">
      <alignment vertical="center"/>
    </xf>
    <xf numFmtId="0" fontId="0" fillId="21" borderId="0" xfId="0" applyFill="1" applyAlignment="1">
      <alignment vertical="center"/>
    </xf>
    <xf numFmtId="0" fontId="1" fillId="19" borderId="0" xfId="0" applyFont="1" applyFill="1" applyAlignment="1">
      <alignment horizontal="center" vertical="center"/>
    </xf>
    <xf numFmtId="0" fontId="0" fillId="19" borderId="0" xfId="0" applyFill="1" applyAlignment="1">
      <alignment horizontal="center" vertical="center"/>
    </xf>
    <xf numFmtId="2" fontId="1" fillId="21" borderId="0" xfId="2" applyNumberFormat="1" applyFont="1" applyFill="1" applyAlignment="1">
      <alignment horizontal="center" vertical="center"/>
    </xf>
    <xf numFmtId="2" fontId="0" fillId="21" borderId="0" xfId="2" applyNumberFormat="1" applyFont="1" applyFill="1" applyAlignment="1">
      <alignment horizontal="center" vertical="center"/>
    </xf>
    <xf numFmtId="0" fontId="0" fillId="16" borderId="0" xfId="0" applyFill="1" applyAlignment="1">
      <alignment horizontal="right" vertical="center"/>
    </xf>
    <xf numFmtId="0" fontId="0" fillId="16" borderId="0" xfId="0" applyFill="1" applyAlignment="1">
      <alignment vertical="center"/>
    </xf>
    <xf numFmtId="9" fontId="0" fillId="16" borderId="0" xfId="2" applyFont="1" applyFill="1" applyAlignment="1">
      <alignment horizontal="center" vertical="center"/>
    </xf>
    <xf numFmtId="1" fontId="0" fillId="16" borderId="0" xfId="2" applyNumberFormat="1" applyFont="1" applyFill="1" applyAlignment="1">
      <alignment horizontal="center" vertical="center"/>
    </xf>
    <xf numFmtId="0" fontId="1" fillId="14" borderId="0" xfId="0" applyFont="1" applyFill="1" applyAlignment="1">
      <alignment horizontal="left" vertical="center"/>
    </xf>
    <xf numFmtId="1" fontId="1" fillId="14" borderId="0" xfId="2" applyNumberFormat="1" applyFont="1" applyFill="1" applyAlignment="1">
      <alignment horizontal="center" vertical="center"/>
    </xf>
    <xf numFmtId="2" fontId="1" fillId="14" borderId="0" xfId="2" applyNumberFormat="1" applyFont="1" applyFill="1" applyAlignment="1">
      <alignment horizontal="left" vertical="center"/>
    </xf>
    <xf numFmtId="2" fontId="1" fillId="14" borderId="0" xfId="2" applyNumberFormat="1" applyFont="1" applyFill="1" applyAlignment="1">
      <alignment horizontal="center" vertical="center"/>
    </xf>
    <xf numFmtId="2" fontId="0" fillId="16" borderId="0" xfId="2" applyNumberFormat="1" applyFont="1" applyFill="1" applyAlignment="1">
      <alignment horizontal="center" vertical="center"/>
    </xf>
    <xf numFmtId="2" fontId="0" fillId="16" borderId="0" xfId="0" applyNumberFormat="1" applyFill="1" applyAlignment="1">
      <alignment horizontal="center" vertical="center"/>
    </xf>
    <xf numFmtId="0" fontId="0" fillId="16" borderId="0" xfId="0" applyFill="1" applyAlignment="1">
      <alignment horizontal="center" vertical="center"/>
    </xf>
    <xf numFmtId="9" fontId="0" fillId="20" borderId="0" xfId="2" applyFont="1" applyFill="1" applyAlignment="1">
      <alignment vertical="center"/>
    </xf>
    <xf numFmtId="9" fontId="1" fillId="14" borderId="0" xfId="2" applyFont="1" applyFill="1" applyAlignment="1">
      <alignment vertical="center"/>
    </xf>
    <xf numFmtId="2" fontId="0" fillId="21" borderId="0" xfId="0" applyNumberFormat="1" applyFill="1" applyAlignment="1">
      <alignment vertical="center"/>
    </xf>
    <xf numFmtId="0" fontId="0" fillId="20" borderId="0" xfId="0" applyFill="1" applyAlignment="1">
      <alignment vertical="center"/>
    </xf>
    <xf numFmtId="2" fontId="0" fillId="20" borderId="0" xfId="1" applyNumberFormat="1" applyFont="1" applyFill="1" applyAlignment="1">
      <alignment vertical="center"/>
    </xf>
    <xf numFmtId="0" fontId="0" fillId="26" borderId="0" xfId="0" applyFill="1"/>
    <xf numFmtId="0" fontId="0" fillId="26" borderId="0" xfId="0" applyFill="1" applyAlignment="1">
      <alignment horizontal="center"/>
    </xf>
    <xf numFmtId="10" fontId="0" fillId="0" borderId="0" xfId="2" applyNumberFormat="1" applyFont="1"/>
    <xf numFmtId="0" fontId="33" fillId="22" borderId="1" xfId="5" applyFont="1" applyFill="1" applyBorder="1" applyAlignment="1">
      <alignment horizontal="center"/>
    </xf>
    <xf numFmtId="0" fontId="34" fillId="29" borderId="15" xfId="4" applyFont="1" applyFill="1" applyBorder="1" applyAlignment="1">
      <alignment horizontal="center"/>
    </xf>
    <xf numFmtId="0" fontId="1" fillId="7" borderId="1" xfId="0" applyFont="1" applyFill="1" applyBorder="1" applyAlignment="1">
      <alignment horizontal="center"/>
    </xf>
    <xf numFmtId="0" fontId="24" fillId="0" borderId="0" xfId="0" applyFont="1"/>
    <xf numFmtId="0" fontId="25" fillId="17" borderId="1" xfId="0" applyFont="1" applyFill="1" applyBorder="1" applyAlignment="1">
      <alignment horizontal="center" vertical="center" wrapText="1"/>
    </xf>
    <xf numFmtId="0" fontId="24" fillId="0" borderId="1" xfId="0" applyFont="1" applyBorder="1" applyAlignment="1">
      <alignment horizontal="center" vertical="center"/>
    </xf>
    <xf numFmtId="0" fontId="24" fillId="0" borderId="1" xfId="0" applyFont="1" applyBorder="1" applyAlignment="1">
      <alignment horizontal="left" vertical="center"/>
    </xf>
    <xf numFmtId="0" fontId="22" fillId="0" borderId="0" xfId="0" applyFont="1"/>
    <xf numFmtId="0" fontId="0" fillId="9" borderId="0" xfId="0" applyFill="1"/>
    <xf numFmtId="0" fontId="0" fillId="0" borderId="0" xfId="2" applyNumberFormat="1" applyFont="1" applyAlignment="1">
      <alignment horizontal="center" vertical="center" wrapText="1"/>
    </xf>
    <xf numFmtId="2" fontId="0" fillId="19" borderId="0" xfId="1" applyNumberFormat="1" applyFont="1" applyFill="1" applyAlignment="1">
      <alignment vertical="center"/>
    </xf>
    <xf numFmtId="2" fontId="0" fillId="19" borderId="0" xfId="0" applyNumberFormat="1" applyFill="1" applyAlignment="1">
      <alignment vertical="center"/>
    </xf>
    <xf numFmtId="165" fontId="10" fillId="14" borderId="0" xfId="2" applyNumberFormat="1" applyFont="1" applyFill="1" applyAlignment="1">
      <alignment horizontal="center" vertical="center"/>
    </xf>
    <xf numFmtId="165" fontId="12" fillId="2" borderId="0" xfId="2" applyNumberFormat="1" applyFont="1" applyFill="1" applyAlignment="1">
      <alignment horizontal="center" vertical="center"/>
    </xf>
    <xf numFmtId="165" fontId="12" fillId="2" borderId="0" xfId="2" applyNumberFormat="1" applyFont="1" applyFill="1" applyAlignment="1">
      <alignment vertical="center"/>
    </xf>
    <xf numFmtId="0" fontId="6" fillId="26" borderId="24" xfId="0" applyFont="1" applyFill="1" applyBorder="1"/>
    <xf numFmtId="0" fontId="2" fillId="0" borderId="0" xfId="0" applyFont="1"/>
    <xf numFmtId="0" fontId="6" fillId="0" borderId="0" xfId="0" applyFont="1"/>
    <xf numFmtId="0" fontId="2" fillId="26" borderId="0" xfId="0" applyFont="1" applyFill="1"/>
    <xf numFmtId="0" fontId="6" fillId="26" borderId="0" xfId="0" applyFont="1" applyFill="1"/>
    <xf numFmtId="0" fontId="0" fillId="0" borderId="0" xfId="0" quotePrefix="1"/>
    <xf numFmtId="0" fontId="2" fillId="12" borderId="0" xfId="0" applyFont="1" applyFill="1"/>
    <xf numFmtId="0" fontId="6" fillId="12" borderId="0" xfId="0" applyFont="1" applyFill="1"/>
    <xf numFmtId="0" fontId="0" fillId="12" borderId="0" xfId="0" applyFill="1" applyAlignment="1">
      <alignment horizontal="center"/>
    </xf>
    <xf numFmtId="0" fontId="6" fillId="0" borderId="0" xfId="1" applyNumberFormat="1" applyFont="1" applyFill="1" applyAlignment="1" applyProtection="1"/>
    <xf numFmtId="164" fontId="0" fillId="0" borderId="0" xfId="0" applyNumberFormat="1" applyAlignment="1">
      <alignment horizontal="center"/>
    </xf>
    <xf numFmtId="9" fontId="0" fillId="0" borderId="0" xfId="2" applyFont="1" applyAlignment="1">
      <alignment horizontal="center"/>
    </xf>
    <xf numFmtId="0" fontId="26" fillId="32" borderId="1" xfId="0" applyFont="1" applyFill="1" applyBorder="1" applyAlignment="1">
      <alignment vertical="center"/>
    </xf>
    <xf numFmtId="0" fontId="24" fillId="2" borderId="1" xfId="0" applyFont="1" applyFill="1" applyBorder="1" applyAlignment="1">
      <alignment vertical="center"/>
    </xf>
    <xf numFmtId="0" fontId="24" fillId="2" borderId="0" xfId="0" applyFont="1" applyFill="1" applyAlignment="1">
      <alignment vertical="center"/>
    </xf>
    <xf numFmtId="2" fontId="24" fillId="2" borderId="1" xfId="0" applyNumberFormat="1" applyFont="1" applyFill="1" applyBorder="1" applyAlignment="1">
      <alignment horizontal="center" vertical="center"/>
    </xf>
    <xf numFmtId="165" fontId="24" fillId="2" borderId="1" xfId="2" applyNumberFormat="1" applyFont="1" applyFill="1" applyBorder="1" applyAlignment="1">
      <alignment horizontal="center" vertical="center"/>
    </xf>
    <xf numFmtId="0" fontId="0" fillId="2" borderId="0" xfId="0" applyFill="1" applyAlignment="1">
      <alignment horizontal="center"/>
    </xf>
    <xf numFmtId="0" fontId="26" fillId="32" borderId="1" xfId="0" applyFont="1" applyFill="1" applyBorder="1" applyAlignment="1">
      <alignment horizontal="center" vertical="center"/>
    </xf>
    <xf numFmtId="0" fontId="0" fillId="31" borderId="58" xfId="0" applyFill="1" applyBorder="1" applyAlignment="1">
      <alignment horizontal="center" vertical="center"/>
    </xf>
    <xf numFmtId="2" fontId="1" fillId="31" borderId="58" xfId="0" applyNumberFormat="1" applyFont="1" applyFill="1" applyBorder="1" applyAlignment="1">
      <alignment horizontal="center" vertical="center"/>
    </xf>
    <xf numFmtId="0" fontId="0" fillId="12" borderId="58" xfId="0" applyFill="1" applyBorder="1" applyAlignment="1">
      <alignment horizontal="center" vertical="center"/>
    </xf>
    <xf numFmtId="2" fontId="1" fillId="12" borderId="58" xfId="0" applyNumberFormat="1" applyFont="1" applyFill="1" applyBorder="1" applyAlignment="1">
      <alignment horizontal="center" vertical="center"/>
    </xf>
    <xf numFmtId="0" fontId="0" fillId="0" borderId="58" xfId="0" applyBorder="1" applyAlignment="1">
      <alignment horizontal="center" vertical="center"/>
    </xf>
    <xf numFmtId="2" fontId="1" fillId="0" borderId="58" xfId="0" applyNumberFormat="1" applyFont="1" applyBorder="1" applyAlignment="1">
      <alignment horizontal="center" vertical="center"/>
    </xf>
    <xf numFmtId="0" fontId="0" fillId="2" borderId="58" xfId="0" applyFill="1" applyBorder="1" applyAlignment="1">
      <alignment horizontal="center" vertical="center"/>
    </xf>
    <xf numFmtId="165" fontId="12" fillId="2" borderId="58" xfId="2" applyNumberFormat="1" applyFont="1" applyFill="1" applyBorder="1" applyAlignment="1">
      <alignment horizontal="center" vertical="center"/>
    </xf>
    <xf numFmtId="0" fontId="0" fillId="33" borderId="58" xfId="0" applyFill="1" applyBorder="1" applyAlignment="1">
      <alignment vertical="center" wrapText="1"/>
    </xf>
    <xf numFmtId="0" fontId="0" fillId="2" borderId="58" xfId="0" applyFill="1" applyBorder="1" applyAlignment="1">
      <alignment vertical="center" wrapText="1"/>
    </xf>
    <xf numFmtId="0" fontId="0" fillId="33" borderId="58" xfId="0" applyFill="1" applyBorder="1" applyAlignment="1">
      <alignment vertical="center"/>
    </xf>
    <xf numFmtId="0" fontId="0" fillId="2" borderId="58" xfId="0" applyFill="1" applyBorder="1" applyAlignment="1">
      <alignment vertical="center"/>
    </xf>
    <xf numFmtId="0" fontId="24" fillId="2" borderId="1" xfId="0" applyFont="1" applyFill="1" applyBorder="1" applyAlignment="1">
      <alignment vertical="center" wrapText="1"/>
    </xf>
    <xf numFmtId="2" fontId="25" fillId="0" borderId="1" xfId="0" applyNumberFormat="1" applyFont="1" applyBorder="1" applyAlignment="1">
      <alignment horizontal="center" vertical="center"/>
    </xf>
    <xf numFmtId="165" fontId="35" fillId="2" borderId="1" xfId="2" applyNumberFormat="1" applyFont="1" applyFill="1" applyBorder="1" applyAlignment="1">
      <alignment horizontal="center" vertical="center"/>
    </xf>
    <xf numFmtId="0" fontId="24" fillId="33" borderId="1" xfId="0" applyFont="1" applyFill="1" applyBorder="1" applyAlignment="1">
      <alignment vertical="center" wrapText="1"/>
    </xf>
    <xf numFmtId="0" fontId="24" fillId="31" borderId="1" xfId="0" applyFont="1" applyFill="1" applyBorder="1" applyAlignment="1">
      <alignment horizontal="center" vertical="center"/>
    </xf>
    <xf numFmtId="2" fontId="25" fillId="31" borderId="1" xfId="0" applyNumberFormat="1" applyFont="1" applyFill="1" applyBorder="1" applyAlignment="1">
      <alignment horizontal="center" vertical="center"/>
    </xf>
    <xf numFmtId="2" fontId="0" fillId="3" borderId="0" xfId="0" applyNumberFormat="1" applyFill="1" applyAlignment="1">
      <alignment vertical="center"/>
    </xf>
    <xf numFmtId="2" fontId="0" fillId="3" borderId="0" xfId="0" applyNumberFormat="1" applyFill="1"/>
    <xf numFmtId="2" fontId="12" fillId="34" borderId="0" xfId="0" applyNumberFormat="1" applyFont="1" applyFill="1" applyAlignment="1">
      <alignment vertical="center"/>
    </xf>
    <xf numFmtId="2" fontId="12" fillId="34" borderId="0" xfId="0" applyNumberFormat="1" applyFont="1" applyFill="1"/>
    <xf numFmtId="0" fontId="24" fillId="30" borderId="1" xfId="0" applyFont="1" applyFill="1" applyBorder="1" applyAlignment="1">
      <alignment horizontal="center" vertical="center"/>
    </xf>
    <xf numFmtId="0" fontId="25" fillId="22" borderId="30" xfId="0" applyFont="1" applyFill="1" applyBorder="1" applyAlignment="1">
      <alignment horizontal="left" vertical="center" wrapText="1"/>
    </xf>
    <xf numFmtId="0" fontId="0" fillId="29" borderId="58" xfId="0" applyFill="1" applyBorder="1" applyAlignment="1">
      <alignment vertical="center"/>
    </xf>
    <xf numFmtId="0" fontId="0" fillId="29" borderId="58" xfId="0" applyFill="1" applyBorder="1" applyAlignment="1">
      <alignment vertical="center" wrapText="1"/>
    </xf>
    <xf numFmtId="0" fontId="0" fillId="29" borderId="58" xfId="0" applyFill="1" applyBorder="1" applyAlignment="1">
      <alignment horizontal="center" vertical="center"/>
    </xf>
    <xf numFmtId="2" fontId="1" fillId="29" borderId="58" xfId="0" applyNumberFormat="1" applyFont="1" applyFill="1" applyBorder="1" applyAlignment="1">
      <alignment horizontal="center" vertical="center"/>
    </xf>
    <xf numFmtId="165" fontId="12" fillId="29" borderId="58" xfId="2" applyNumberFormat="1" applyFont="1" applyFill="1" applyBorder="1" applyAlignment="1">
      <alignment horizontal="center" vertical="center"/>
    </xf>
    <xf numFmtId="0" fontId="0" fillId="35" borderId="58" xfId="0" applyFill="1" applyBorder="1" applyAlignment="1">
      <alignment vertical="center"/>
    </xf>
    <xf numFmtId="0" fontId="0" fillId="35" borderId="58" xfId="0" applyFill="1" applyBorder="1" applyAlignment="1">
      <alignment vertical="center" wrapText="1"/>
    </xf>
    <xf numFmtId="0" fontId="0" fillId="35" borderId="58" xfId="0" applyFill="1" applyBorder="1" applyAlignment="1">
      <alignment horizontal="center" vertical="center"/>
    </xf>
    <xf numFmtId="2" fontId="1" fillId="35" borderId="58" xfId="0" applyNumberFormat="1" applyFont="1" applyFill="1" applyBorder="1" applyAlignment="1">
      <alignment horizontal="center" vertical="center"/>
    </xf>
    <xf numFmtId="0" fontId="24" fillId="2" borderId="0" xfId="0" applyFont="1" applyFill="1" applyAlignment="1">
      <alignment horizontal="center"/>
    </xf>
    <xf numFmtId="0" fontId="0" fillId="33" borderId="58" xfId="0" applyFill="1" applyBorder="1" applyAlignment="1">
      <alignment horizontal="center" vertical="center"/>
    </xf>
    <xf numFmtId="0" fontId="25" fillId="7" borderId="1" xfId="0" applyFont="1" applyFill="1" applyBorder="1" applyAlignment="1">
      <alignment horizontal="center"/>
    </xf>
    <xf numFmtId="0" fontId="12" fillId="0" borderId="10" xfId="0" applyFont="1" applyBorder="1"/>
    <xf numFmtId="0" fontId="12" fillId="0" borderId="1" xfId="0" applyFont="1" applyBorder="1"/>
    <xf numFmtId="0" fontId="12" fillId="31" borderId="1" xfId="0" applyFont="1" applyFill="1" applyBorder="1" applyAlignment="1">
      <alignment horizontal="center" vertical="center"/>
    </xf>
    <xf numFmtId="0" fontId="12" fillId="0" borderId="4" xfId="0" applyFont="1" applyBorder="1"/>
    <xf numFmtId="0" fontId="12" fillId="0" borderId="13" xfId="0" applyFont="1" applyBorder="1"/>
    <xf numFmtId="0" fontId="12" fillId="31" borderId="13" xfId="0" applyFont="1" applyFill="1" applyBorder="1" applyAlignment="1">
      <alignment horizontal="center" vertical="center"/>
    </xf>
    <xf numFmtId="0" fontId="36" fillId="19" borderId="7" xfId="0" applyFont="1" applyFill="1" applyBorder="1"/>
    <xf numFmtId="0" fontId="36" fillId="19" borderId="15" xfId="0" applyFont="1" applyFill="1" applyBorder="1"/>
    <xf numFmtId="0" fontId="36" fillId="19" borderId="5" xfId="0" applyFont="1" applyFill="1" applyBorder="1"/>
    <xf numFmtId="0" fontId="0" fillId="19" borderId="1" xfId="0" applyFill="1" applyBorder="1"/>
    <xf numFmtId="0" fontId="12" fillId="0" borderId="1" xfId="0" applyFont="1" applyBorder="1" applyAlignment="1">
      <alignment horizontal="center"/>
    </xf>
    <xf numFmtId="0" fontId="12" fillId="0" borderId="13" xfId="0" applyFont="1" applyBorder="1" applyAlignment="1">
      <alignment horizontal="center"/>
    </xf>
    <xf numFmtId="164" fontId="12" fillId="0" borderId="1" xfId="0" applyNumberFormat="1" applyFont="1" applyBorder="1" applyAlignment="1">
      <alignment horizontal="center"/>
    </xf>
    <xf numFmtId="164" fontId="12" fillId="0" borderId="13" xfId="0" applyNumberFormat="1" applyFont="1" applyBorder="1" applyAlignment="1">
      <alignment horizontal="center"/>
    </xf>
    <xf numFmtId="0" fontId="12" fillId="0" borderId="8" xfId="0" applyFont="1" applyBorder="1" applyAlignment="1">
      <alignment horizontal="center"/>
    </xf>
    <xf numFmtId="0" fontId="12" fillId="0" borderId="2" xfId="0" applyFont="1" applyBorder="1" applyAlignment="1">
      <alignment horizontal="center"/>
    </xf>
    <xf numFmtId="0" fontId="12" fillId="2" borderId="1" xfId="0" applyFont="1" applyFill="1" applyBorder="1" applyAlignment="1">
      <alignment horizontal="center"/>
    </xf>
    <xf numFmtId="0" fontId="12" fillId="2" borderId="13" xfId="0" applyFont="1" applyFill="1" applyBorder="1" applyAlignment="1">
      <alignment horizontal="center"/>
    </xf>
    <xf numFmtId="165" fontId="12" fillId="2" borderId="1" xfId="2" applyNumberFormat="1" applyFont="1" applyFill="1" applyBorder="1" applyAlignment="1">
      <alignment horizontal="center"/>
    </xf>
    <xf numFmtId="165" fontId="12" fillId="2" borderId="13" xfId="2" applyNumberFormat="1" applyFont="1" applyFill="1" applyBorder="1" applyAlignment="1">
      <alignment horizontal="center"/>
    </xf>
    <xf numFmtId="0" fontId="1" fillId="0" borderId="0" xfId="0" applyFont="1" applyAlignment="1">
      <alignment vertical="center"/>
    </xf>
    <xf numFmtId="2" fontId="1" fillId="0" borderId="0" xfId="0" applyNumberFormat="1" applyFont="1" applyAlignment="1">
      <alignment horizontal="center" vertical="center"/>
    </xf>
    <xf numFmtId="165" fontId="0" fillId="0" borderId="0" xfId="2" applyNumberFormat="1" applyFont="1" applyAlignment="1">
      <alignment horizontal="center"/>
    </xf>
    <xf numFmtId="0" fontId="0" fillId="0" borderId="1" xfId="0" applyBorder="1"/>
    <xf numFmtId="9" fontId="1" fillId="0" borderId="1" xfId="2" applyFont="1" applyBorder="1" applyAlignment="1">
      <alignment horizontal="center"/>
    </xf>
    <xf numFmtId="0" fontId="2" fillId="36" borderId="1" xfId="0" applyFont="1" applyFill="1" applyBorder="1"/>
    <xf numFmtId="0" fontId="37" fillId="36" borderId="1" xfId="0" applyFont="1" applyFill="1" applyBorder="1"/>
    <xf numFmtId="0" fontId="1" fillId="36" borderId="1" xfId="0" applyFont="1" applyFill="1" applyBorder="1"/>
    <xf numFmtId="166" fontId="0" fillId="0" borderId="1" xfId="1" applyNumberFormat="1" applyFont="1" applyBorder="1" applyAlignment="1"/>
    <xf numFmtId="166" fontId="1" fillId="37" borderId="1" xfId="1" applyNumberFormat="1" applyFont="1" applyFill="1" applyBorder="1" applyAlignment="1"/>
    <xf numFmtId="43" fontId="0" fillId="0" borderId="0" xfId="0" applyNumberFormat="1"/>
    <xf numFmtId="165" fontId="0" fillId="0" borderId="0" xfId="2" applyNumberFormat="1" applyFont="1"/>
    <xf numFmtId="0" fontId="0" fillId="0" borderId="0" xfId="2" applyNumberFormat="1" applyFont="1" applyAlignment="1">
      <alignment horizontal="center"/>
    </xf>
    <xf numFmtId="0" fontId="11" fillId="0" borderId="0" xfId="3"/>
    <xf numFmtId="166" fontId="0" fillId="16" borderId="1" xfId="1" applyNumberFormat="1" applyFont="1" applyFill="1" applyBorder="1" applyAlignment="1"/>
    <xf numFmtId="0" fontId="0" fillId="0" borderId="0" xfId="2" applyNumberFormat="1" applyFont="1" applyAlignment="1">
      <alignment horizontal="center" vertical="center"/>
    </xf>
    <xf numFmtId="0" fontId="12" fillId="2" borderId="0" xfId="0" applyFont="1" applyFill="1" applyAlignment="1">
      <alignment horizontal="center"/>
    </xf>
    <xf numFmtId="0" fontId="0" fillId="2" borderId="1" xfId="0" applyFill="1" applyBorder="1" applyAlignment="1">
      <alignment horizontal="center" vertical="center"/>
    </xf>
    <xf numFmtId="0" fontId="12" fillId="2" borderId="1" xfId="2" applyNumberFormat="1" applyFont="1" applyFill="1" applyBorder="1" applyAlignment="1">
      <alignment horizontal="center" vertical="center"/>
    </xf>
    <xf numFmtId="0" fontId="0" fillId="0" borderId="7" xfId="0" applyBorder="1"/>
    <xf numFmtId="0" fontId="24" fillId="9" borderId="8" xfId="0" applyFont="1" applyFill="1" applyBorder="1" applyAlignment="1">
      <alignment horizontal="center"/>
    </xf>
    <xf numFmtId="0" fontId="0" fillId="0" borderId="15" xfId="0" applyBorder="1"/>
    <xf numFmtId="0" fontId="0" fillId="0" borderId="1" xfId="0" applyBorder="1" applyAlignment="1">
      <alignment horizontal="center"/>
    </xf>
    <xf numFmtId="0" fontId="0" fillId="0" borderId="10" xfId="0" applyBorder="1" applyAlignment="1">
      <alignment horizontal="center"/>
    </xf>
    <xf numFmtId="9" fontId="0" fillId="0" borderId="1" xfId="2" applyFont="1" applyBorder="1" applyAlignment="1">
      <alignment horizontal="center"/>
    </xf>
    <xf numFmtId="165" fontId="0" fillId="0" borderId="1" xfId="2" applyNumberFormat="1" applyFont="1" applyBorder="1" applyAlignment="1">
      <alignment horizontal="center"/>
    </xf>
    <xf numFmtId="0" fontId="1" fillId="36" borderId="1" xfId="0" applyFont="1" applyFill="1" applyBorder="1" applyAlignment="1">
      <alignment horizontal="center"/>
    </xf>
    <xf numFmtId="165" fontId="1" fillId="36" borderId="1" xfId="2" applyNumberFormat="1" applyFont="1" applyFill="1" applyBorder="1" applyAlignment="1">
      <alignment horizontal="center"/>
    </xf>
    <xf numFmtId="166" fontId="0" fillId="36" borderId="1" xfId="1" applyNumberFormat="1" applyFont="1" applyFill="1" applyBorder="1" applyAlignment="1"/>
    <xf numFmtId="0" fontId="1" fillId="11" borderId="8" xfId="0" applyFont="1" applyFill="1" applyBorder="1" applyAlignment="1">
      <alignment horizontal="left" vertical="center"/>
    </xf>
    <xf numFmtId="0" fontId="1" fillId="11" borderId="9" xfId="0" applyFont="1" applyFill="1" applyBorder="1" applyAlignment="1">
      <alignment horizontal="left" vertical="center"/>
    </xf>
    <xf numFmtId="0" fontId="1" fillId="11" borderId="10" xfId="0" applyFont="1" applyFill="1" applyBorder="1" applyAlignment="1">
      <alignment horizontal="left" vertical="center"/>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2" borderId="4" xfId="0" applyFont="1" applyFill="1" applyBorder="1" applyAlignment="1">
      <alignment horizontal="left" vertical="center"/>
    </xf>
    <xf numFmtId="0" fontId="22" fillId="2" borderId="0" xfId="0" applyFont="1" applyFill="1" applyAlignment="1">
      <alignment horizontal="left"/>
    </xf>
    <xf numFmtId="0" fontId="25" fillId="19" borderId="34" xfId="0" applyFont="1" applyFill="1" applyBorder="1" applyAlignment="1">
      <alignment horizontal="center"/>
    </xf>
    <xf numFmtId="0" fontId="25" fillId="19" borderId="35" xfId="0" applyFont="1" applyFill="1" applyBorder="1" applyAlignment="1">
      <alignment horizontal="center"/>
    </xf>
    <xf numFmtId="0" fontId="25" fillId="19" borderId="47" xfId="0" applyFont="1" applyFill="1" applyBorder="1" applyAlignment="1">
      <alignment horizontal="center"/>
    </xf>
    <xf numFmtId="0" fontId="25" fillId="8" borderId="34" xfId="0" applyFont="1" applyFill="1" applyBorder="1" applyAlignment="1">
      <alignment horizontal="center"/>
    </xf>
    <xf numFmtId="0" fontId="25" fillId="8" borderId="35" xfId="0" applyFont="1" applyFill="1" applyBorder="1" applyAlignment="1">
      <alignment horizontal="center"/>
    </xf>
    <xf numFmtId="0" fontId="25" fillId="8" borderId="36" xfId="0" applyFont="1" applyFill="1" applyBorder="1" applyAlignment="1">
      <alignment horizontal="center"/>
    </xf>
    <xf numFmtId="0" fontId="22" fillId="2" borderId="0" xfId="0" applyFont="1" applyFill="1" applyAlignment="1">
      <alignment horizontal="left" wrapText="1"/>
    </xf>
    <xf numFmtId="0" fontId="27" fillId="22" borderId="38" xfId="0" applyFont="1" applyFill="1" applyBorder="1" applyAlignment="1">
      <alignment horizontal="center" vertical="center"/>
    </xf>
    <xf numFmtId="0" fontId="27" fillId="22" borderId="39" xfId="0" applyFont="1" applyFill="1" applyBorder="1" applyAlignment="1">
      <alignment horizontal="center" vertical="center"/>
    </xf>
    <xf numFmtId="0" fontId="27" fillId="22" borderId="40" xfId="0" applyFont="1" applyFill="1" applyBorder="1" applyAlignment="1">
      <alignment horizontal="center" vertical="center"/>
    </xf>
    <xf numFmtId="0" fontId="24" fillId="2" borderId="30" xfId="0" applyFont="1" applyFill="1" applyBorder="1" applyAlignment="1">
      <alignment horizontal="center" wrapText="1"/>
    </xf>
    <xf numFmtId="0" fontId="24" fillId="2" borderId="31" xfId="0" applyFont="1" applyFill="1" applyBorder="1" applyAlignment="1">
      <alignment horizontal="center" wrapText="1"/>
    </xf>
    <xf numFmtId="0" fontId="24" fillId="2" borderId="32" xfId="0" applyFont="1" applyFill="1" applyBorder="1" applyAlignment="1">
      <alignment horizontal="center" wrapText="1"/>
    </xf>
    <xf numFmtId="0" fontId="18" fillId="0" borderId="8" xfId="0" applyFont="1" applyBorder="1"/>
    <xf numFmtId="0" fontId="18" fillId="0" borderId="9" xfId="0" applyFont="1" applyBorder="1"/>
    <xf numFmtId="0" fontId="18" fillId="0" borderId="37" xfId="0" applyFont="1" applyBorder="1"/>
    <xf numFmtId="0" fontId="25" fillId="17" borderId="34" xfId="0" applyFont="1" applyFill="1" applyBorder="1"/>
    <xf numFmtId="0" fontId="25" fillId="17" borderId="47" xfId="0" applyFont="1" applyFill="1" applyBorder="1"/>
    <xf numFmtId="0" fontId="19" fillId="0" borderId="8" xfId="0" applyFont="1" applyBorder="1"/>
    <xf numFmtId="0" fontId="19" fillId="0" borderId="10" xfId="0" applyFont="1" applyBorder="1"/>
    <xf numFmtId="0" fontId="19" fillId="0" borderId="38" xfId="0" applyFont="1" applyBorder="1"/>
    <xf numFmtId="0" fontId="19" fillId="0" borderId="48" xfId="0" applyFont="1" applyBorder="1"/>
    <xf numFmtId="0" fontId="25" fillId="17" borderId="26" xfId="0" applyFont="1" applyFill="1" applyBorder="1"/>
    <xf numFmtId="0" fontId="25" fillId="17" borderId="27" xfId="0" applyFont="1" applyFill="1" applyBorder="1"/>
    <xf numFmtId="0" fontId="19" fillId="0" borderId="1" xfId="0" applyFont="1" applyBorder="1"/>
    <xf numFmtId="0" fontId="19" fillId="0" borderId="29" xfId="0" applyFont="1" applyBorder="1"/>
    <xf numFmtId="0" fontId="19" fillId="0" borderId="37" xfId="0" applyFont="1" applyBorder="1"/>
    <xf numFmtId="0" fontId="4" fillId="0" borderId="1" xfId="0" applyFont="1" applyBorder="1" applyAlignment="1">
      <alignment vertical="center" wrapText="1"/>
    </xf>
    <xf numFmtId="0" fontId="4" fillId="0" borderId="29" xfId="0" applyFont="1" applyBorder="1" applyAlignment="1">
      <alignment vertical="center" wrapText="1"/>
    </xf>
    <xf numFmtId="0" fontId="4" fillId="0" borderId="31" xfId="0" applyFont="1" applyBorder="1" applyAlignment="1">
      <alignment vertical="center" wrapText="1"/>
    </xf>
    <xf numFmtId="0" fontId="4" fillId="0" borderId="32" xfId="0" applyFont="1" applyBorder="1" applyAlignment="1">
      <alignment vertical="center" wrapText="1"/>
    </xf>
    <xf numFmtId="0" fontId="24" fillId="2" borderId="25" xfId="0" applyFont="1" applyFill="1" applyBorder="1" applyAlignment="1">
      <alignment horizontal="center" vertical="center" textRotation="90" wrapText="1"/>
    </xf>
    <xf numFmtId="0" fontId="24" fillId="2" borderId="28" xfId="0" applyFont="1" applyFill="1" applyBorder="1" applyAlignment="1">
      <alignment horizontal="center" vertical="center" textRotation="90" wrapText="1"/>
    </xf>
    <xf numFmtId="0" fontId="24" fillId="2" borderId="30" xfId="0" applyFont="1" applyFill="1" applyBorder="1" applyAlignment="1">
      <alignment horizontal="center" vertical="center" textRotation="90" wrapText="1"/>
    </xf>
    <xf numFmtId="0" fontId="19" fillId="0" borderId="31" xfId="0" applyFont="1" applyBorder="1"/>
    <xf numFmtId="0" fontId="19" fillId="0" borderId="32" xfId="0" applyFont="1" applyBorder="1"/>
    <xf numFmtId="0" fontId="19" fillId="12" borderId="1" xfId="0" applyFont="1" applyFill="1" applyBorder="1"/>
    <xf numFmtId="0" fontId="19" fillId="12" borderId="29" xfId="0" applyFont="1" applyFill="1" applyBorder="1"/>
    <xf numFmtId="0" fontId="19" fillId="12" borderId="31" xfId="0" applyFont="1" applyFill="1" applyBorder="1"/>
    <xf numFmtId="0" fontId="19" fillId="12" borderId="32" xfId="0" applyFont="1" applyFill="1" applyBorder="1"/>
    <xf numFmtId="0" fontId="18" fillId="0" borderId="38" xfId="0" applyFont="1" applyBorder="1"/>
    <xf numFmtId="0" fontId="18" fillId="0" borderId="39" xfId="0" applyFont="1" applyBorder="1"/>
    <xf numFmtId="0" fontId="18" fillId="0" borderId="40" xfId="0" applyFont="1" applyBorder="1"/>
    <xf numFmtId="0" fontId="20" fillId="17" borderId="26" xfId="0" applyFont="1" applyFill="1" applyBorder="1"/>
    <xf numFmtId="0" fontId="20" fillId="17" borderId="27" xfId="0" applyFont="1" applyFill="1" applyBorder="1"/>
    <xf numFmtId="0" fontId="20" fillId="17" borderId="26" xfId="0" applyFont="1" applyFill="1" applyBorder="1" applyAlignment="1">
      <alignment vertical="center" wrapText="1"/>
    </xf>
    <xf numFmtId="0" fontId="20" fillId="17" borderId="27" xfId="0" applyFont="1" applyFill="1" applyBorder="1" applyAlignment="1">
      <alignment vertical="center" wrapText="1"/>
    </xf>
    <xf numFmtId="0" fontId="25" fillId="17" borderId="34" xfId="0" applyFont="1" applyFill="1" applyBorder="1" applyAlignment="1">
      <alignment horizontal="left" wrapText="1"/>
    </xf>
    <xf numFmtId="0" fontId="25" fillId="17" borderId="35" xfId="0" applyFont="1" applyFill="1" applyBorder="1" applyAlignment="1">
      <alignment horizontal="left" wrapText="1"/>
    </xf>
    <xf numFmtId="0" fontId="25" fillId="17" borderId="36" xfId="0" applyFont="1" applyFill="1" applyBorder="1" applyAlignment="1">
      <alignment horizontal="left" wrapText="1"/>
    </xf>
    <xf numFmtId="0" fontId="4" fillId="12" borderId="8" xfId="0" applyFont="1" applyFill="1" applyBorder="1" applyAlignment="1">
      <alignment wrapText="1"/>
    </xf>
    <xf numFmtId="0" fontId="4" fillId="12" borderId="9" xfId="0" applyFont="1" applyFill="1" applyBorder="1" applyAlignment="1">
      <alignment wrapText="1"/>
    </xf>
    <xf numFmtId="0" fontId="4" fillId="12" borderId="37" xfId="0" applyFont="1" applyFill="1" applyBorder="1" applyAlignment="1">
      <alignment wrapText="1"/>
    </xf>
    <xf numFmtId="0" fontId="4" fillId="12" borderId="38" xfId="0" applyFont="1" applyFill="1" applyBorder="1" applyAlignment="1">
      <alignment wrapText="1"/>
    </xf>
    <xf numFmtId="0" fontId="4" fillId="12" borderId="39" xfId="0" applyFont="1" applyFill="1" applyBorder="1" applyAlignment="1">
      <alignment wrapText="1"/>
    </xf>
    <xf numFmtId="0" fontId="4" fillId="12" borderId="40" xfId="0" applyFont="1" applyFill="1" applyBorder="1" applyAlignment="1">
      <alignment wrapText="1"/>
    </xf>
    <xf numFmtId="0" fontId="14" fillId="15" borderId="0" xfId="0" applyFont="1" applyFill="1" applyAlignment="1">
      <alignment horizontal="center" vertical="center"/>
    </xf>
    <xf numFmtId="0" fontId="14" fillId="13" borderId="0" xfId="0" applyFont="1" applyFill="1" applyAlignment="1">
      <alignment horizontal="center" vertical="center"/>
    </xf>
  </cellXfs>
  <cellStyles count="6">
    <cellStyle name="Bad" xfId="4" builtinId="27"/>
    <cellStyle name="Comma" xfId="1" builtinId="3"/>
    <cellStyle name="Hyperlink" xfId="3" builtinId="8"/>
    <cellStyle name="Neutral" xfId="5" builtinId="28"/>
    <cellStyle name="Normal" xfId="0" builtinId="0"/>
    <cellStyle name="Percent" xfId="2" builtinId="5"/>
  </cellStyles>
  <dxfs count="240">
    <dxf>
      <font>
        <b/>
        <i val="0"/>
        <color theme="0"/>
      </font>
      <fill>
        <patternFill>
          <bgColor rgb="FF871D5E"/>
        </patternFill>
      </fill>
    </dxf>
    <dxf>
      <font>
        <b/>
        <i val="0"/>
        <color theme="0"/>
      </font>
      <fill>
        <patternFill>
          <bgColor rgb="FFCC0000"/>
        </patternFill>
      </fill>
    </dxf>
    <dxf>
      <fill>
        <patternFill>
          <bgColor rgb="FFFFD966"/>
        </patternFill>
      </fill>
    </dxf>
    <dxf>
      <font>
        <b/>
        <i val="0"/>
        <color theme="0"/>
      </font>
      <fill>
        <patternFill>
          <bgColor rgb="FFCC0000"/>
        </patternFill>
      </fill>
    </dxf>
    <dxf>
      <font>
        <b/>
        <i val="0"/>
        <color theme="0"/>
      </font>
      <fill>
        <patternFill>
          <bgColor rgb="FF871D5E"/>
        </patternFill>
      </fill>
    </dxf>
    <dxf>
      <fill>
        <patternFill>
          <bgColor rgb="FFFFD966"/>
        </patternFill>
      </fill>
    </dxf>
    <dxf>
      <font>
        <b/>
        <i val="0"/>
        <color theme="0"/>
      </font>
      <fill>
        <patternFill>
          <bgColor rgb="FF871D5E"/>
        </patternFill>
      </fill>
    </dxf>
    <dxf>
      <font>
        <b/>
        <i val="0"/>
        <color theme="0"/>
      </font>
      <fill>
        <patternFill>
          <bgColor rgb="FFCC0000"/>
        </patternFill>
      </fill>
    </dxf>
    <dxf>
      <fill>
        <patternFill>
          <bgColor rgb="FFFFD966"/>
        </patternFill>
      </fill>
    </dxf>
    <dxf>
      <font>
        <b/>
        <i val="0"/>
        <color theme="0"/>
      </font>
      <fill>
        <patternFill>
          <bgColor rgb="FFCC0000"/>
        </patternFill>
      </fill>
    </dxf>
    <dxf>
      <font>
        <b/>
        <i val="0"/>
        <color theme="0"/>
      </font>
      <fill>
        <patternFill>
          <bgColor rgb="FF871D5E"/>
        </patternFill>
      </fill>
    </dxf>
    <dxf>
      <fill>
        <patternFill>
          <bgColor rgb="FFFFD966"/>
        </patternFill>
      </fill>
    </dxf>
    <dxf>
      <font>
        <b/>
        <i val="0"/>
        <color theme="0"/>
      </font>
      <fill>
        <patternFill>
          <bgColor rgb="FF871D5E"/>
        </patternFill>
      </fill>
    </dxf>
    <dxf>
      <font>
        <b/>
        <i val="0"/>
        <color theme="0"/>
      </font>
      <fill>
        <patternFill>
          <bgColor rgb="FFCC0000"/>
        </patternFill>
      </fill>
    </dxf>
    <dxf>
      <fill>
        <patternFill>
          <bgColor rgb="FFFFD966"/>
        </patternFill>
      </fill>
    </dxf>
    <dxf>
      <font>
        <b/>
        <i val="0"/>
        <color theme="0"/>
      </font>
      <fill>
        <patternFill>
          <bgColor rgb="FFCC0000"/>
        </patternFill>
      </fill>
    </dxf>
    <dxf>
      <font>
        <b/>
        <i val="0"/>
        <color theme="0"/>
      </font>
      <fill>
        <patternFill>
          <bgColor rgb="FF871D5E"/>
        </patternFill>
      </fill>
    </dxf>
    <dxf>
      <fill>
        <patternFill>
          <bgColor rgb="FFFFD966"/>
        </patternFill>
      </fill>
    </dxf>
    <dxf>
      <font>
        <b/>
        <i val="0"/>
        <color theme="0"/>
      </font>
      <fill>
        <patternFill>
          <bgColor rgb="FF871D5E"/>
        </patternFill>
      </fill>
    </dxf>
    <dxf>
      <font>
        <b/>
        <i val="0"/>
        <color theme="0"/>
      </font>
      <fill>
        <patternFill>
          <bgColor rgb="FFCC0000"/>
        </patternFill>
      </fill>
    </dxf>
    <dxf>
      <fill>
        <patternFill>
          <bgColor rgb="FFFFD966"/>
        </patternFill>
      </fill>
    </dxf>
    <dxf>
      <font>
        <b/>
        <i val="0"/>
        <color theme="0"/>
      </font>
      <fill>
        <patternFill>
          <bgColor rgb="FFCC0000"/>
        </patternFill>
      </fill>
    </dxf>
    <dxf>
      <font>
        <b/>
        <i val="0"/>
        <color theme="0"/>
      </font>
      <fill>
        <patternFill>
          <bgColor rgb="FF871D5E"/>
        </patternFill>
      </fill>
    </dxf>
    <dxf>
      <fill>
        <patternFill>
          <bgColor rgb="FFFFD966"/>
        </patternFill>
      </fill>
    </dxf>
    <dxf>
      <font>
        <b/>
        <i val="0"/>
        <color theme="0"/>
      </font>
      <fill>
        <patternFill>
          <bgColor rgb="FF871D5E"/>
        </patternFill>
      </fill>
    </dxf>
    <dxf>
      <font>
        <b/>
        <i val="0"/>
        <color theme="0"/>
      </font>
      <fill>
        <patternFill>
          <bgColor rgb="FFCC0000"/>
        </patternFill>
      </fill>
    </dxf>
    <dxf>
      <fill>
        <patternFill>
          <bgColor rgb="FFFFD966"/>
        </patternFill>
      </fill>
    </dxf>
    <dxf>
      <font>
        <b/>
        <i val="0"/>
        <color theme="0"/>
      </font>
      <fill>
        <patternFill>
          <bgColor rgb="FFCC0000"/>
        </patternFill>
      </fill>
    </dxf>
    <dxf>
      <font>
        <b/>
        <i val="0"/>
        <color theme="0"/>
      </font>
      <fill>
        <patternFill>
          <bgColor rgb="FF871D5E"/>
        </patternFill>
      </fill>
    </dxf>
    <dxf>
      <fill>
        <patternFill>
          <bgColor rgb="FFFFD966"/>
        </patternFill>
      </fill>
    </dxf>
    <dxf>
      <font>
        <b/>
        <i val="0"/>
        <color theme="0"/>
      </font>
      <fill>
        <patternFill>
          <bgColor rgb="FF871D5E"/>
        </patternFill>
      </fill>
    </dxf>
    <dxf>
      <font>
        <b/>
        <i val="0"/>
        <color theme="0"/>
      </font>
      <fill>
        <patternFill>
          <bgColor rgb="FFCC0000"/>
        </patternFill>
      </fill>
    </dxf>
    <dxf>
      <fill>
        <patternFill>
          <bgColor rgb="FFFFD966"/>
        </patternFill>
      </fill>
    </dxf>
    <dxf>
      <font>
        <b/>
        <i val="0"/>
        <color theme="0"/>
      </font>
      <fill>
        <patternFill>
          <bgColor rgb="FFCC0000"/>
        </patternFill>
      </fill>
    </dxf>
    <dxf>
      <font>
        <b/>
        <i val="0"/>
        <color theme="0"/>
      </font>
      <fill>
        <patternFill>
          <bgColor rgb="FF871D5E"/>
        </patternFill>
      </fill>
    </dxf>
    <dxf>
      <fill>
        <patternFill>
          <bgColor rgb="FFFFD966"/>
        </patternFill>
      </fill>
    </dxf>
    <dxf>
      <font>
        <b/>
        <i val="0"/>
        <color theme="0"/>
      </font>
      <fill>
        <patternFill>
          <bgColor rgb="FF871D5E"/>
        </patternFill>
      </fill>
    </dxf>
    <dxf>
      <font>
        <b/>
        <i val="0"/>
        <color theme="0"/>
      </font>
      <fill>
        <patternFill>
          <bgColor rgb="FFCC0000"/>
        </patternFill>
      </fill>
    </dxf>
    <dxf>
      <fill>
        <patternFill>
          <bgColor rgb="FFFFD966"/>
        </patternFill>
      </fill>
    </dxf>
    <dxf>
      <font>
        <b/>
        <i val="0"/>
        <color theme="0"/>
      </font>
      <fill>
        <patternFill>
          <bgColor rgb="FFCC0000"/>
        </patternFill>
      </fill>
    </dxf>
    <dxf>
      <font>
        <b/>
        <i val="0"/>
        <color theme="0"/>
      </font>
      <fill>
        <patternFill>
          <bgColor rgb="FF871D5E"/>
        </patternFill>
      </fill>
    </dxf>
    <dxf>
      <fill>
        <patternFill>
          <bgColor rgb="FFFFD966"/>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dxf>
    <dxf>
      <font>
        <strike val="0"/>
        <outline val="0"/>
        <shadow val="0"/>
        <u val="none"/>
        <vertAlign val="baseline"/>
        <sz val="12"/>
        <color auto="1"/>
        <name val="Calibri"/>
        <family val="2"/>
        <scheme val="minor"/>
      </font>
      <numFmt numFmtId="0" formatCode="General"/>
      <alignment horizontal="center" vertical="bottom" textRotation="0" wrapText="0" indent="0" justifyLastLine="0" shrinkToFit="0" readingOrder="0"/>
      <border diagonalUp="0" diagonalDown="0">
        <left style="thin">
          <color indexed="64"/>
        </left>
        <right/>
        <top style="thin">
          <color indexed="64"/>
        </top>
        <bottom style="thin">
          <color indexed="64"/>
        </bottom>
      </border>
    </dxf>
    <dxf>
      <font>
        <strike val="0"/>
        <outline val="0"/>
        <shadow val="0"/>
        <u val="none"/>
        <vertAlign val="baseline"/>
        <sz val="12"/>
        <color auto="1"/>
        <name val="Calibri"/>
        <family val="2"/>
        <scheme val="minor"/>
      </font>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auto="1"/>
        <name val="Calibri"/>
        <family val="2"/>
        <scheme val="minor"/>
      </font>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0" formatCode="Genera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numFmt numFmtId="0" formatCode="General"/>
      <fill>
        <patternFill>
          <fgColor indexed="64"/>
          <bgColor theme="0"/>
        </patternFill>
      </fill>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0" formatCode="General"/>
      <fill>
        <patternFill>
          <fgColor indexed="64"/>
          <bgColor theme="0"/>
        </patternFill>
      </fill>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numFmt numFmtId="0" formatCode="General"/>
      <fill>
        <patternFill>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numFmt numFmtId="165" formatCode="0.0%"/>
      <fill>
        <patternFill>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numFmt numFmtId="0" formatCode="General"/>
      <fill>
        <patternFill>
          <fgColor indexed="64"/>
          <bgColor theme="0"/>
        </patternFill>
      </fill>
      <alignment horizont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numFmt numFmtId="164" formatCode="0.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dxf>
    <dxf>
      <border outline="0">
        <bottom style="thin">
          <color indexed="64"/>
        </bottom>
      </border>
    </dxf>
    <dxf>
      <font>
        <b/>
        <i val="0"/>
        <strike val="0"/>
        <condense val="0"/>
        <extend val="0"/>
        <outline val="0"/>
        <shadow val="0"/>
        <u val="none"/>
        <vertAlign val="baseline"/>
        <sz val="12"/>
        <color auto="1"/>
        <name val="Calibri"/>
        <family val="2"/>
        <scheme val="minor"/>
      </font>
      <fill>
        <patternFill patternType="solid">
          <fgColor indexed="64"/>
          <bgColor theme="4" tint="0.39997558519241921"/>
        </patternFill>
      </fill>
      <border diagonalUp="0" diagonalDown="0" outline="0">
        <left style="thin">
          <color indexed="64"/>
        </left>
        <right style="thin">
          <color indexed="64"/>
        </right>
        <top/>
        <bottom/>
      </border>
    </dxf>
    <dxf>
      <numFmt numFmtId="164" formatCode="0.000"/>
    </dxf>
    <dxf>
      <fill>
        <patternFill patternType="none">
          <fgColor indexed="64"/>
          <bgColor auto="1"/>
        </patternFill>
      </fill>
      <alignment vertical="center" textRotation="0" indent="0" justifyLastLine="0" shrinkToFit="0" readingOrder="0"/>
    </dxf>
    <dxf>
      <alignment horizontal="general" vertical="center" textRotation="0" wrapText="0" indent="0" justifyLastLine="0" shrinkToFit="0" readingOrder="0"/>
    </dxf>
    <dxf>
      <fill>
        <patternFill patternType="none">
          <fgColor indexed="64"/>
          <bgColor auto="1"/>
        </patternFill>
      </fill>
      <alignment vertical="center" textRotation="0" indent="0" justifyLastLine="0" shrinkToFit="0" readingOrder="0"/>
    </dxf>
    <dxf>
      <alignment vertical="center" textRotation="0" wrapText="1" indent="0" justifyLastLine="0" shrinkToFit="0" readingOrder="0"/>
    </dxf>
    <dxf>
      <fill>
        <patternFill patternType="none">
          <fgColor indexed="64"/>
          <bgColor auto="1"/>
        </patternFill>
      </fill>
      <alignment vertical="center" textRotation="0" wrapText="1"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vertical="center" textRotation="0" indent="0" justifyLastLine="0" shrinkToFit="0" readingOrder="0"/>
    </dxf>
    <dxf>
      <fill>
        <patternFill patternType="none">
          <fgColor indexed="64"/>
          <bgColor auto="1"/>
        </patternFill>
      </fill>
      <alignment vertical="center" textRotation="0" indent="0" justifyLastLine="0" shrinkToFit="0" readingOrder="0"/>
    </dxf>
    <dxf>
      <fill>
        <patternFill patternType="none">
          <fgColor indexed="64"/>
          <bgColor auto="1"/>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strike val="0"/>
        <outline val="0"/>
        <shadow val="0"/>
        <u val="none"/>
        <vertAlign val="baseline"/>
        <sz val="12"/>
        <color theme="1" tint="4.9989318521683403E-2"/>
        <name val="Calibri"/>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2"/>
        <color auto="1"/>
        <name val="Calibri"/>
        <family val="2"/>
        <scheme val="minor"/>
      </font>
      <numFmt numFmtId="2" formatCode="0.00"/>
      <fill>
        <patternFill>
          <fgColor indexed="64"/>
          <bgColor theme="9"/>
        </patternFill>
      </fill>
    </dxf>
    <dxf>
      <numFmt numFmtId="2" formatCode="0.00"/>
      <fill>
        <patternFill>
          <fgColor indexed="64"/>
          <bgColor theme="4"/>
        </patternFill>
      </fill>
    </dxf>
    <dxf>
      <numFmt numFmtId="0" formatCode="General"/>
    </dxf>
    <dxf>
      <numFmt numFmtId="0" formatCode="General"/>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
      <numFmt numFmtId="0" formatCode="General"/>
    </dxf>
    <dxf>
      <numFmt numFmtId="0" formatCode="General"/>
    </dxf>
    <dxf>
      <font>
        <b val="0"/>
        <i val="0"/>
        <strike val="0"/>
        <condense val="0"/>
        <extend val="0"/>
        <outline val="0"/>
        <shadow val="0"/>
        <u val="none"/>
        <vertAlign val="baseline"/>
        <sz val="12"/>
        <color theme="1"/>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numFmt numFmtId="165" formatCode="0.0%"/>
      <alignment horizontal="center" vertical="bottom" textRotation="0" wrapText="0" indent="0" justifyLastLine="0" shrinkToFit="0" readingOrder="0"/>
    </dxf>
    <dxf>
      <numFmt numFmtId="0" formatCode="General"/>
      <fill>
        <patternFill patternType="none">
          <fgColor indexed="64"/>
          <bgColor auto="1"/>
        </patternFill>
      </fill>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0" formatCode="General"/>
      <alignment horizontal="center" textRotation="0" wrapText="0" indent="0" justifyLastLine="0" shrinkToFit="0" readingOrder="0"/>
    </dxf>
    <dxf>
      <fill>
        <patternFill>
          <fgColor indexed="64"/>
          <bgColor theme="0"/>
        </patternFill>
      </fill>
      <alignment vertical="center" textRotation="0" indent="0" justifyLastLine="0" shrinkToFit="0" readingOrder="0"/>
    </dxf>
    <dxf>
      <numFmt numFmtId="0" formatCode="General"/>
      <fill>
        <patternFill patternType="none">
          <fgColor indexed="64"/>
          <bgColor theme="4" tint="0.39997558519241921"/>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solid">
          <fgColor indexed="64"/>
          <bgColor theme="4" tint="0.39997558519241921"/>
        </patternFill>
      </fill>
      <alignment horizontal="general" vertical="center" textRotation="0" wrapText="0" indent="0" justifyLastLine="0" shrinkToFit="0" readingOrder="0"/>
    </dxf>
    <dxf>
      <numFmt numFmtId="2" formatCode="0.00"/>
      <fill>
        <patternFill patternType="solid">
          <fgColor indexed="64"/>
          <bgColor theme="4" tint="0.79998168889431442"/>
        </patternFill>
      </fill>
      <alignment horizontal="general" vertical="center" textRotation="0" wrapText="0" indent="0" justifyLastLine="0" shrinkToFit="0" readingOrder="0"/>
    </dxf>
    <dxf>
      <numFmt numFmtId="0" formatCode="General"/>
      <fill>
        <patternFill patternType="none">
          <fgColor indexed="64"/>
          <bgColor theme="4" tint="0.39997558519241921"/>
        </patternFill>
      </fill>
      <alignment horizontal="general" vertical="center" textRotation="0" wrapText="0" indent="0" justifyLastLine="0" shrinkToFit="0" readingOrder="0"/>
    </dxf>
    <dxf>
      <numFmt numFmtId="13" formatCode="0%"/>
      <fill>
        <patternFill patternType="none">
          <fgColor indexed="64"/>
          <bgColor theme="4" tint="0.79998168889431442"/>
        </patternFill>
      </fill>
      <alignment horizontal="general" vertical="center" textRotation="0" wrapText="0" indent="0" justifyLastLine="0" shrinkToFit="0" readingOrder="0"/>
    </dxf>
    <dxf>
      <numFmt numFmtId="13" formatCode="0%"/>
      <fill>
        <patternFill patternType="none">
          <fgColor indexed="64"/>
          <bgColor theme="4" tint="0.79998168889431442"/>
        </patternFill>
      </fill>
      <alignment horizontal="general" vertical="center" textRotation="0" wrapText="0" indent="0" justifyLastLine="0" shrinkToFit="0" readingOrder="0"/>
    </dxf>
    <dxf>
      <numFmt numFmtId="13" formatCode="0%"/>
      <fill>
        <patternFill patternType="none">
          <fgColor indexed="64"/>
          <bgColor theme="4" tint="0.79998168889431442"/>
        </patternFill>
      </fill>
      <alignment horizontal="general" vertical="center" textRotation="0" wrapText="0" indent="0" justifyLastLine="0" shrinkToFit="0" readingOrder="0"/>
    </dxf>
    <dxf>
      <numFmt numFmtId="13" formatCode="0%"/>
      <fill>
        <patternFill patternType="none">
          <fgColor indexed="64"/>
          <bgColor theme="4" tint="0.79998168889431442"/>
        </patternFill>
      </fill>
      <alignment horizontal="general" vertical="center" textRotation="0" wrapText="0" indent="0" justifyLastLine="0" shrinkToFit="0" readingOrder="0"/>
    </dxf>
    <dxf>
      <numFmt numFmtId="0" formatCode="General"/>
      <fill>
        <patternFill patternType="none">
          <fgColor indexed="64"/>
          <bgColor theme="9" tint="0.39997558519241921"/>
        </patternFill>
      </fill>
      <alignment horizontal="general" vertical="center" textRotation="0" wrapText="0" indent="0" justifyLastLine="0" shrinkToFit="0" readingOrder="0"/>
    </dxf>
    <dxf>
      <numFmt numFmtId="0" formatCode="General"/>
      <fill>
        <patternFill>
          <fgColor indexed="64"/>
          <bgColor theme="9" tint="0.79998168889431442"/>
        </patternFill>
      </fill>
      <alignment horizontal="center" vertical="center" textRotation="0" wrapText="0" indent="0" justifyLastLine="0" shrinkToFit="0" readingOrder="0"/>
    </dxf>
    <dxf>
      <numFmt numFmtId="2" formatCode="0.00"/>
      <fill>
        <patternFill>
          <fgColor indexed="64"/>
          <bgColor theme="9" tint="0.79998168889431442"/>
        </patternFill>
      </fill>
      <alignment horizontal="center" vertical="center" textRotation="0" wrapText="0" indent="0" justifyLastLine="0" shrinkToFit="0" readingOrder="0"/>
    </dxf>
    <dxf>
      <numFmt numFmtId="0" formatCode="General"/>
      <fill>
        <patternFill patternType="none">
          <fgColor indexed="64"/>
          <bgColor theme="9" tint="0.39997558519241921"/>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solid">
          <fgColor indexed="64"/>
          <bgColor theme="9"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solid">
          <fgColor indexed="64"/>
          <bgColor theme="9"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solid">
          <fgColor indexed="64"/>
          <bgColor theme="9" tint="0.39997558519241921"/>
        </patternFill>
      </fill>
      <alignment horizontal="center" vertical="center" textRotation="0" wrapText="0" indent="0" justifyLastLine="0" shrinkToFit="0" readingOrder="0"/>
    </dxf>
    <dxf>
      <numFmt numFmtId="13" formatCode="0%"/>
      <fill>
        <patternFill patternType="none">
          <fgColor indexed="64"/>
          <bgColor theme="9" tint="0.79998168889431442"/>
        </patternFill>
      </fill>
      <alignment horizontal="center" vertical="center" textRotation="0" wrapText="0" indent="0" justifyLastLine="0" shrinkToFit="0" readingOrder="0"/>
    </dxf>
    <dxf>
      <numFmt numFmtId="0" formatCode="General"/>
      <fill>
        <patternFill patternType="none">
          <fgColor indexed="64"/>
          <bgColor theme="9" tint="0.79998168889431442"/>
        </patternFill>
      </fill>
      <alignment horizontal="general" vertical="center" textRotation="0" wrapText="0" indent="0" justifyLastLine="0" shrinkToFit="0" readingOrder="0"/>
    </dxf>
    <dxf>
      <numFmt numFmtId="0" formatCode="General"/>
      <fill>
        <patternFill>
          <fgColor indexed="64"/>
          <bgColor theme="9" tint="0.79998168889431442"/>
        </patternFill>
      </fill>
      <alignment horizontal="general" vertical="center" textRotation="0" wrapText="0" indent="0" justifyLastLine="0" shrinkToFit="0" readingOrder="0"/>
    </dxf>
    <dxf>
      <numFmt numFmtId="0" formatCode="General"/>
      <fill>
        <patternFill patternType="none">
          <fgColor indexed="64"/>
          <bgColor theme="9" tint="0.79998168889431442"/>
        </patternFill>
      </fill>
      <alignment horizontal="general" vertical="center" textRotation="0" wrapText="0" indent="0" justifyLastLine="0" shrinkToFit="0" readingOrder="0"/>
    </dxf>
    <dxf>
      <numFmt numFmtId="0" formatCode="General"/>
      <fill>
        <patternFill patternType="none">
          <fgColor indexed="64"/>
          <bgColor theme="9" tint="0.79998168889431442"/>
        </patternFill>
      </fill>
      <alignment horizontal="general" vertical="center" textRotation="0" wrapText="0" indent="0" justifyLastLine="0" shrinkToFit="0" readingOrder="0"/>
    </dxf>
    <dxf>
      <numFmt numFmtId="0" formatCode="General"/>
      <fill>
        <patternFill patternType="none">
          <fgColor indexed="64"/>
          <bgColor theme="9" tint="0.79998168889431442"/>
        </patternFill>
      </fill>
      <alignment horizontal="general" vertical="center" textRotation="0" wrapText="0" indent="0" justifyLastLine="0" shrinkToFit="0" readingOrder="0"/>
    </dxf>
    <dxf>
      <numFmt numFmtId="0" formatCode="General"/>
      <fill>
        <patternFill patternType="none">
          <fgColor indexed="64"/>
          <bgColor theme="9" tint="0.79998168889431442"/>
        </patternFill>
      </fill>
      <alignment horizontal="general" vertical="center" textRotation="0" wrapText="0" indent="0" justifyLastLine="0" shrinkToFit="0" readingOrder="0"/>
    </dxf>
    <dxf>
      <fill>
        <patternFill patternType="none">
          <fgColor indexed="64"/>
          <bgColor theme="9" tint="0.79998168889431442"/>
        </patternFill>
      </fill>
      <alignment horizontal="right" vertical="center" textRotation="0" wrapText="0" indent="0" justifyLastLine="0" shrinkToFit="0" readingOrder="0"/>
    </dxf>
    <dxf>
      <numFmt numFmtId="0" formatCode="General"/>
      <fill>
        <patternFill patternType="none">
          <fgColor indexed="64"/>
          <bgColor theme="9" tint="0.39997558519241921"/>
        </patternFill>
      </fil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fill>
        <patternFill patternType="none">
          <fgColor indexed="64"/>
          <bgColor auto="1"/>
        </patternFill>
      </fill>
      <alignment horizontal="center" vertical="center" textRotation="0" wrapText="0" indent="0" justifyLastLine="0" shrinkToFit="0" readingOrder="0"/>
    </dxf>
    <dxf>
      <numFmt numFmtId="0" formatCode="General"/>
      <fill>
        <patternFill patternType="solid">
          <fgColor indexed="64"/>
          <bgColor theme="4" tint="0.39997558519241921"/>
        </patternFill>
      </fill>
      <alignment horizontal="center" vertical="center" textRotation="0" wrapText="0" indent="0" justifyLastLine="0" shrinkToFit="0" readingOrder="0"/>
    </dxf>
    <dxf>
      <numFmt numFmtId="0" formatCode="General"/>
      <fill>
        <patternFill patternType="solid">
          <fgColor indexed="64"/>
          <bgColor theme="4" tint="0.39997558519241921"/>
        </patternFill>
      </fill>
      <alignment horizontal="center" vertical="center" textRotation="0" wrapText="0" indent="0" justifyLastLine="0" shrinkToFit="0" readingOrder="0"/>
    </dxf>
    <dxf>
      <numFmt numFmtId="0" formatCode="General"/>
      <fill>
        <patternFill patternType="none">
          <fgColor indexed="64"/>
          <bgColor theme="9" tint="0.39997558519241921"/>
        </patternFill>
      </fill>
      <alignment horizontal="center" vertical="center" textRotation="0" wrapText="0" indent="0" justifyLastLine="0" shrinkToFit="0" readingOrder="0"/>
    </dxf>
    <dxf>
      <numFmt numFmtId="0" formatCode="General"/>
      <fill>
        <patternFill patternType="none">
          <fgColor indexed="64"/>
          <bgColor theme="5" tint="0.59999389629810485"/>
        </patternFill>
      </fill>
      <alignment vertical="center" textRotation="0" indent="0" justifyLastLine="0" shrinkToFit="0" readingOrder="0"/>
    </dxf>
    <dxf>
      <numFmt numFmtId="0" formatCode="General"/>
      <fill>
        <patternFill patternType="none">
          <fgColor indexed="64"/>
          <bgColor theme="5" tint="0.59999389629810485"/>
        </patternFill>
      </fill>
      <alignment vertical="center" textRotation="0" indent="0" justifyLastLine="0" shrinkToFit="0" readingOrder="0"/>
    </dxf>
    <dxf>
      <numFmt numFmtId="0" formatCode="General"/>
      <fill>
        <patternFill patternType="solid">
          <fgColor indexed="64"/>
          <bgColor theme="5"/>
        </patternFill>
      </fill>
      <alignment vertical="center" textRotation="0" indent="0" justifyLastLine="0" shrinkToFit="0" readingOrder="0"/>
    </dxf>
    <dxf>
      <numFmt numFmtId="0" formatCode="General"/>
      <fill>
        <patternFill patternType="solid">
          <fgColor indexed="64"/>
          <bgColor theme="5"/>
        </patternFill>
      </fill>
      <alignment vertical="center" textRotation="0" indent="0" justifyLastLine="0" shrinkToFit="0" readingOrder="0"/>
    </dxf>
    <dxf>
      <numFmt numFmtId="2" formatCode="0.00"/>
      <fill>
        <patternFill patternType="solid">
          <fgColor indexed="64"/>
          <bgColor theme="9" tint="0.39997558519241921"/>
        </patternFill>
      </fill>
      <alignment horizontal="general" vertical="center" textRotation="0" wrapText="0" indent="0" justifyLastLine="0" shrinkToFit="0" readingOrder="0"/>
    </dxf>
    <dxf>
      <numFmt numFmtId="2" formatCode="0.00"/>
      <fill>
        <patternFill patternType="solid">
          <fgColor indexed="64"/>
          <bgColor theme="4" tint="0.39997558519241921"/>
        </patternFill>
      </fill>
      <alignment horizontal="general" vertical="center" textRotation="0" wrapText="0" indent="0" justifyLastLine="0" shrinkToFit="0" readingOrder="0"/>
    </dxf>
    <dxf>
      <numFmt numFmtId="0" formatCode="General"/>
      <fill>
        <patternFill patternType="none">
          <fgColor indexed="64"/>
          <bgColor theme="5"/>
        </patternFill>
      </fill>
      <alignment vertical="center" textRotation="0" indent="0" justifyLastLine="0" shrinkToFit="0" readingOrder="0"/>
    </dxf>
    <dxf>
      <numFmt numFmtId="0" formatCode="General"/>
      <fill>
        <patternFill patternType="solid">
          <fgColor indexed="64"/>
          <bgColor theme="5" tint="0.59999389629810485"/>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horizontal="center" vertical="center" textRotation="0" wrapText="0" indent="0" justifyLastLine="0" shrinkToFit="0" readingOrder="0"/>
    </dxf>
    <dxf>
      <font>
        <strike val="0"/>
        <outline val="0"/>
        <shadow val="0"/>
        <u val="none"/>
        <vertAlign val="baseline"/>
        <sz val="12"/>
        <color auto="1"/>
        <name val="Calibri"/>
        <family val="2"/>
        <scheme val="minor"/>
      </font>
      <numFmt numFmtId="165" formatCode="0.0%"/>
      <fill>
        <patternFill>
          <fgColor indexed="64"/>
          <bgColor theme="0"/>
        </patternFill>
      </fill>
      <alignment horizontal="center" vertical="center" textRotation="0" wrapText="0" indent="0" justifyLastLine="0" shrinkToFit="0" readingOrder="0"/>
    </dxf>
    <dxf>
      <numFmt numFmtId="0" formatCode="General"/>
      <fill>
        <patternFill patternType="solid">
          <fgColor indexed="64"/>
          <bgColor theme="0"/>
        </patternFill>
      </fill>
      <alignment horizontal="center" vertical="center" textRotation="0" wrapText="0" indent="0" justifyLastLine="0" shrinkToFit="0" readingOrder="0"/>
    </dxf>
    <dxf>
      <numFmt numFmtId="0" formatCode="General"/>
      <fill>
        <patternFill>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2"/>
        <color theme="0"/>
        <name val="Calibri"/>
        <family val="2"/>
        <scheme val="minor"/>
      </font>
      <numFmt numFmtId="2" formatCode="0.00"/>
      <fill>
        <patternFill patternType="solid">
          <fgColor indexed="64"/>
          <bgColor theme="0"/>
        </patternFill>
      </fill>
      <alignment horizontal="right"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2" formatCode="0.00"/>
      <fill>
        <patternFill patternType="none">
          <fgColor indexed="64"/>
          <bgColor auto="1"/>
        </patternFill>
      </fill>
      <alignment horizontal="center" vertical="center" textRotation="0" wrapText="0" indent="0" justifyLastLine="0" shrinkToFit="0" readingOrder="0"/>
    </dxf>
    <dxf>
      <numFmt numFmtId="0" formatCode="General"/>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general" vertical="center" textRotation="0" wrapText="1" indent="0" justifyLastLine="0" shrinkToFit="0" readingOrder="0"/>
    </dxf>
    <dxf>
      <numFmt numFmtId="0" formatCode="General"/>
      <fill>
        <patternFill patternType="none">
          <fgColor indexed="64"/>
          <bgColor auto="1"/>
        </patternFill>
      </fill>
      <alignment vertical="center" textRotation="0" indent="0" justifyLastLine="0" shrinkToFit="0" readingOrder="0"/>
    </dxf>
    <dxf>
      <numFmt numFmtId="0" formatCode="General"/>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vertical="center" textRotation="0" indent="0" justifyLastLine="0" shrinkToFit="0" readingOrder="0"/>
    </dxf>
    <dxf>
      <alignment vertical="center" textRotation="0" indent="0" justifyLastLine="0" shrinkToFit="0" readingOrder="0"/>
    </dxf>
    <dxf>
      <font>
        <b/>
      </font>
      <alignment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13" formatCode="0%"/>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13" formatCode="0%"/>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13" formatCode="0%"/>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font>
      <numFmt numFmtId="0" formatCode="General"/>
      <alignment horizontal="general" vertical="center" textRotation="0" wrapText="1" indent="0" justifyLastLine="0" shrinkToFit="0" readingOrder="0"/>
    </dxf>
    <dxf>
      <font>
        <b val="0"/>
        <i/>
        <strike val="0"/>
        <condense val="0"/>
        <extend val="0"/>
        <outline val="0"/>
        <shadow val="0"/>
        <u val="none"/>
        <vertAlign val="baseline"/>
        <sz val="12"/>
        <color theme="1"/>
        <name val="Calibri"/>
        <family val="2"/>
        <scheme val="minor"/>
      </font>
      <numFmt numFmtId="0" formatCode="General"/>
      <alignment horizontal="general" vertical="center" textRotation="0" indent="0" justifyLastLine="0" shrinkToFit="0" readingOrder="0"/>
    </dxf>
    <dxf>
      <font>
        <i val="0"/>
      </font>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numFmt numFmtId="0" formatCode="General"/>
      <fill>
        <patternFill patternType="none">
          <fgColor indexed="64"/>
          <bgColor auto="1"/>
        </patternFill>
      </fill>
      <alignment horizontal="center" vertical="bottom" textRotation="0" wrapText="0" indent="0" justifyLastLine="0" shrinkToFit="0" readingOrder="0"/>
    </dxf>
    <dxf>
      <numFmt numFmtId="0" formatCode="General"/>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alignment horizontal="center" vertical="bottom" textRotation="0" wrapText="0" indent="0" justifyLastLine="0" shrinkToFit="0" readingOrder="0"/>
    </dxf>
    <dxf>
      <protection locked="1" hidden="0"/>
    </dxf>
    <dxf>
      <numFmt numFmtId="0" formatCode="General"/>
      <protection locked="1" hidden="0"/>
    </dxf>
    <dxf>
      <numFmt numFmtId="0" formatCode="General"/>
      <protection locked="1" hidden="0"/>
    </dxf>
    <dxf>
      <protection locked="1" hidden="0"/>
    </dxf>
    <dxf>
      <protection locked="1" hidden="0"/>
    </dxf>
    <dxf>
      <fill>
        <patternFill patternType="none">
          <bgColor auto="1"/>
        </patternFill>
      </fill>
      <protection locked="1" hidden="0"/>
    </dxf>
    <dxf>
      <protection locked="1" hidden="0"/>
    </dxf>
    <dxf>
      <protection locked="1" hidden="0"/>
    </dxf>
    <dxf>
      <protection locked="1" hidden="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colors>
    <mruColors>
      <color rgb="FFCC0000"/>
      <color rgb="FFFFD966"/>
      <color rgb="FF871D5E"/>
      <color rgb="FFF7E0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THEMES!$Q$1</c:f>
              <c:strCache>
                <c:ptCount val="1"/>
                <c:pt idx="0">
                  <c:v>VH</c:v>
                </c:pt>
              </c:strCache>
            </c:strRef>
          </c:tx>
          <c:spPr>
            <a:solidFill>
              <a:srgbClr val="871D5E"/>
            </a:solidFill>
            <a:ln>
              <a:solidFill>
                <a:schemeClr val="tx1"/>
              </a:solidFill>
            </a:ln>
            <a:effectLst/>
          </c:spPr>
          <c:invertIfNegative val="0"/>
          <c:cat>
            <c:strRef>
              <c:f>THEMES!$B$2:$B$13</c:f>
              <c:strCache>
                <c:ptCount val="12"/>
                <c:pt idx="0">
                  <c:v>Community</c:v>
                </c:pt>
                <c:pt idx="1">
                  <c:v>Pollutants</c:v>
                </c:pt>
                <c:pt idx="2">
                  <c:v>Sea Ice</c:v>
                </c:pt>
                <c:pt idx="3">
                  <c:v>Environmental</c:v>
                </c:pt>
                <c:pt idx="4">
                  <c:v>Social</c:v>
                </c:pt>
                <c:pt idx="5">
                  <c:v>Economic</c:v>
                </c:pt>
                <c:pt idx="6">
                  <c:v>Operational</c:v>
                </c:pt>
                <c:pt idx="7">
                  <c:v>Assessment</c:v>
                </c:pt>
                <c:pt idx="8">
                  <c:v>Navigational</c:v>
                </c:pt>
                <c:pt idx="9">
                  <c:v>Human</c:v>
                </c:pt>
                <c:pt idx="10">
                  <c:v>Political</c:v>
                </c:pt>
                <c:pt idx="11">
                  <c:v>Technological</c:v>
                </c:pt>
              </c:strCache>
            </c:strRef>
          </c:cat>
          <c:val>
            <c:numRef>
              <c:f>THEMES!$Q$2:$Q$13</c:f>
              <c:numCache>
                <c:formatCode>General</c:formatCode>
                <c:ptCount val="12"/>
                <c:pt idx="0">
                  <c:v>1</c:v>
                </c:pt>
                <c:pt idx="1">
                  <c:v>1</c:v>
                </c:pt>
                <c:pt idx="2">
                  <c:v>1</c:v>
                </c:pt>
                <c:pt idx="3">
                  <c:v>0</c:v>
                </c:pt>
                <c:pt idx="4">
                  <c:v>1</c:v>
                </c:pt>
                <c:pt idx="5">
                  <c:v>0</c:v>
                </c:pt>
                <c:pt idx="6">
                  <c:v>1</c:v>
                </c:pt>
                <c:pt idx="7">
                  <c:v>0</c:v>
                </c:pt>
                <c:pt idx="8">
                  <c:v>0</c:v>
                </c:pt>
                <c:pt idx="9">
                  <c:v>0</c:v>
                </c:pt>
                <c:pt idx="10">
                  <c:v>0</c:v>
                </c:pt>
                <c:pt idx="11">
                  <c:v>0</c:v>
                </c:pt>
              </c:numCache>
            </c:numRef>
          </c:val>
          <c:extLst>
            <c:ext xmlns:c16="http://schemas.microsoft.com/office/drawing/2014/chart" uri="{C3380CC4-5D6E-409C-BE32-E72D297353CC}">
              <c16:uniqueId val="{00000000-74FA-6643-B308-61759A479292}"/>
            </c:ext>
          </c:extLst>
        </c:ser>
        <c:ser>
          <c:idx val="1"/>
          <c:order val="1"/>
          <c:tx>
            <c:strRef>
              <c:f>THEMES!$R$1</c:f>
              <c:strCache>
                <c:ptCount val="1"/>
                <c:pt idx="0">
                  <c:v>H</c:v>
                </c:pt>
              </c:strCache>
            </c:strRef>
          </c:tx>
          <c:spPr>
            <a:solidFill>
              <a:srgbClr val="CC0000"/>
            </a:solidFill>
            <a:ln>
              <a:solidFill>
                <a:schemeClr val="tx1"/>
              </a:solidFill>
            </a:ln>
            <a:effectLst/>
          </c:spPr>
          <c:invertIfNegative val="0"/>
          <c:cat>
            <c:strRef>
              <c:f>THEMES!$B$2:$B$13</c:f>
              <c:strCache>
                <c:ptCount val="12"/>
                <c:pt idx="0">
                  <c:v>Community</c:v>
                </c:pt>
                <c:pt idx="1">
                  <c:v>Pollutants</c:v>
                </c:pt>
                <c:pt idx="2">
                  <c:v>Sea Ice</c:v>
                </c:pt>
                <c:pt idx="3">
                  <c:v>Environmental</c:v>
                </c:pt>
                <c:pt idx="4">
                  <c:v>Social</c:v>
                </c:pt>
                <c:pt idx="5">
                  <c:v>Economic</c:v>
                </c:pt>
                <c:pt idx="6">
                  <c:v>Operational</c:v>
                </c:pt>
                <c:pt idx="7">
                  <c:v>Assessment</c:v>
                </c:pt>
                <c:pt idx="8">
                  <c:v>Navigational</c:v>
                </c:pt>
                <c:pt idx="9">
                  <c:v>Human</c:v>
                </c:pt>
                <c:pt idx="10">
                  <c:v>Political</c:v>
                </c:pt>
                <c:pt idx="11">
                  <c:v>Technological</c:v>
                </c:pt>
              </c:strCache>
            </c:strRef>
          </c:cat>
          <c:val>
            <c:numRef>
              <c:f>THEMES!$R$2:$R$13</c:f>
              <c:numCache>
                <c:formatCode>General</c:formatCode>
                <c:ptCount val="12"/>
                <c:pt idx="0">
                  <c:v>7</c:v>
                </c:pt>
                <c:pt idx="1">
                  <c:v>8</c:v>
                </c:pt>
                <c:pt idx="2">
                  <c:v>6</c:v>
                </c:pt>
                <c:pt idx="3">
                  <c:v>19</c:v>
                </c:pt>
                <c:pt idx="4">
                  <c:v>4</c:v>
                </c:pt>
                <c:pt idx="5">
                  <c:v>3</c:v>
                </c:pt>
                <c:pt idx="6">
                  <c:v>5</c:v>
                </c:pt>
                <c:pt idx="7">
                  <c:v>0</c:v>
                </c:pt>
                <c:pt idx="8">
                  <c:v>5</c:v>
                </c:pt>
                <c:pt idx="9">
                  <c:v>2</c:v>
                </c:pt>
                <c:pt idx="10">
                  <c:v>2</c:v>
                </c:pt>
                <c:pt idx="11">
                  <c:v>0</c:v>
                </c:pt>
              </c:numCache>
            </c:numRef>
          </c:val>
          <c:extLst>
            <c:ext xmlns:c16="http://schemas.microsoft.com/office/drawing/2014/chart" uri="{C3380CC4-5D6E-409C-BE32-E72D297353CC}">
              <c16:uniqueId val="{00000001-74FA-6643-B308-61759A479292}"/>
            </c:ext>
          </c:extLst>
        </c:ser>
        <c:ser>
          <c:idx val="2"/>
          <c:order val="2"/>
          <c:tx>
            <c:strRef>
              <c:f>THEMES!$S$1</c:f>
              <c:strCache>
                <c:ptCount val="1"/>
                <c:pt idx="0">
                  <c:v>M</c:v>
                </c:pt>
              </c:strCache>
            </c:strRef>
          </c:tx>
          <c:spPr>
            <a:solidFill>
              <a:srgbClr val="FFD966"/>
            </a:solidFill>
            <a:ln>
              <a:solidFill>
                <a:schemeClr val="tx1"/>
              </a:solidFill>
            </a:ln>
            <a:effectLst/>
          </c:spPr>
          <c:invertIfNegative val="0"/>
          <c:cat>
            <c:strRef>
              <c:f>THEMES!$B$2:$B$13</c:f>
              <c:strCache>
                <c:ptCount val="12"/>
                <c:pt idx="0">
                  <c:v>Community</c:v>
                </c:pt>
                <c:pt idx="1">
                  <c:v>Pollutants</c:v>
                </c:pt>
                <c:pt idx="2">
                  <c:v>Sea Ice</c:v>
                </c:pt>
                <c:pt idx="3">
                  <c:v>Environmental</c:v>
                </c:pt>
                <c:pt idx="4">
                  <c:v>Social</c:v>
                </c:pt>
                <c:pt idx="5">
                  <c:v>Economic</c:v>
                </c:pt>
                <c:pt idx="6">
                  <c:v>Operational</c:v>
                </c:pt>
                <c:pt idx="7">
                  <c:v>Assessment</c:v>
                </c:pt>
                <c:pt idx="8">
                  <c:v>Navigational</c:v>
                </c:pt>
                <c:pt idx="9">
                  <c:v>Human</c:v>
                </c:pt>
                <c:pt idx="10">
                  <c:v>Political</c:v>
                </c:pt>
                <c:pt idx="11">
                  <c:v>Technological</c:v>
                </c:pt>
              </c:strCache>
            </c:strRef>
          </c:cat>
          <c:val>
            <c:numRef>
              <c:f>THEMES!$S$2:$S$13</c:f>
              <c:numCache>
                <c:formatCode>General</c:formatCode>
                <c:ptCount val="12"/>
                <c:pt idx="0">
                  <c:v>2</c:v>
                </c:pt>
                <c:pt idx="1">
                  <c:v>4</c:v>
                </c:pt>
                <c:pt idx="2">
                  <c:v>0</c:v>
                </c:pt>
                <c:pt idx="3">
                  <c:v>7</c:v>
                </c:pt>
                <c:pt idx="4">
                  <c:v>4</c:v>
                </c:pt>
                <c:pt idx="5">
                  <c:v>6</c:v>
                </c:pt>
                <c:pt idx="6">
                  <c:v>15</c:v>
                </c:pt>
                <c:pt idx="7">
                  <c:v>7</c:v>
                </c:pt>
                <c:pt idx="8">
                  <c:v>19</c:v>
                </c:pt>
                <c:pt idx="9">
                  <c:v>4</c:v>
                </c:pt>
                <c:pt idx="10">
                  <c:v>9</c:v>
                </c:pt>
                <c:pt idx="11">
                  <c:v>5</c:v>
                </c:pt>
              </c:numCache>
            </c:numRef>
          </c:val>
          <c:extLst>
            <c:ext xmlns:c16="http://schemas.microsoft.com/office/drawing/2014/chart" uri="{C3380CC4-5D6E-409C-BE32-E72D297353CC}">
              <c16:uniqueId val="{00000002-74FA-6643-B308-61759A479292}"/>
            </c:ext>
          </c:extLst>
        </c:ser>
        <c:ser>
          <c:idx val="3"/>
          <c:order val="3"/>
          <c:tx>
            <c:strRef>
              <c:f>THEMES!$T$1</c:f>
              <c:strCache>
                <c:ptCount val="1"/>
                <c:pt idx="0">
                  <c:v>U</c:v>
                </c:pt>
              </c:strCache>
            </c:strRef>
          </c:tx>
          <c:spPr>
            <a:solidFill>
              <a:schemeClr val="bg1"/>
            </a:solidFill>
            <a:ln>
              <a:solidFill>
                <a:schemeClr val="tx1"/>
              </a:solidFill>
            </a:ln>
            <a:effectLst/>
          </c:spPr>
          <c:invertIfNegative val="0"/>
          <c:cat>
            <c:strRef>
              <c:f>THEMES!$B$2:$B$13</c:f>
              <c:strCache>
                <c:ptCount val="12"/>
                <c:pt idx="0">
                  <c:v>Community</c:v>
                </c:pt>
                <c:pt idx="1">
                  <c:v>Pollutants</c:v>
                </c:pt>
                <c:pt idx="2">
                  <c:v>Sea Ice</c:v>
                </c:pt>
                <c:pt idx="3">
                  <c:v>Environmental</c:v>
                </c:pt>
                <c:pt idx="4">
                  <c:v>Social</c:v>
                </c:pt>
                <c:pt idx="5">
                  <c:v>Economic</c:v>
                </c:pt>
                <c:pt idx="6">
                  <c:v>Operational</c:v>
                </c:pt>
                <c:pt idx="7">
                  <c:v>Assessment</c:v>
                </c:pt>
                <c:pt idx="8">
                  <c:v>Navigational</c:v>
                </c:pt>
                <c:pt idx="9">
                  <c:v>Human</c:v>
                </c:pt>
                <c:pt idx="10">
                  <c:v>Political</c:v>
                </c:pt>
                <c:pt idx="11">
                  <c:v>Technological</c:v>
                </c:pt>
              </c:strCache>
            </c:strRef>
          </c:cat>
          <c:val>
            <c:numRef>
              <c:f>THEMES!$T$2:$T$13</c:f>
              <c:numCache>
                <c:formatCode>General</c:formatCode>
                <c:ptCount val="12"/>
                <c:pt idx="0">
                  <c:v>0</c:v>
                </c:pt>
                <c:pt idx="1">
                  <c:v>0</c:v>
                </c:pt>
                <c:pt idx="2">
                  <c:v>0</c:v>
                </c:pt>
                <c:pt idx="3">
                  <c:v>0</c:v>
                </c:pt>
                <c:pt idx="4">
                  <c:v>2</c:v>
                </c:pt>
                <c:pt idx="5">
                  <c:v>0</c:v>
                </c:pt>
                <c:pt idx="6">
                  <c:v>4</c:v>
                </c:pt>
                <c:pt idx="7">
                  <c:v>0</c:v>
                </c:pt>
                <c:pt idx="8">
                  <c:v>0</c:v>
                </c:pt>
                <c:pt idx="9">
                  <c:v>0</c:v>
                </c:pt>
                <c:pt idx="10">
                  <c:v>0</c:v>
                </c:pt>
                <c:pt idx="11">
                  <c:v>0</c:v>
                </c:pt>
              </c:numCache>
            </c:numRef>
          </c:val>
          <c:extLst>
            <c:ext xmlns:c16="http://schemas.microsoft.com/office/drawing/2014/chart" uri="{C3380CC4-5D6E-409C-BE32-E72D297353CC}">
              <c16:uniqueId val="{00000003-74FA-6643-B308-61759A479292}"/>
            </c:ext>
          </c:extLst>
        </c:ser>
        <c:dLbls>
          <c:showLegendKey val="0"/>
          <c:showVal val="0"/>
          <c:showCatName val="0"/>
          <c:showSerName val="0"/>
          <c:showPercent val="0"/>
          <c:showBubbleSize val="0"/>
        </c:dLbls>
        <c:gapWidth val="150"/>
        <c:overlap val="100"/>
        <c:axId val="1853366624"/>
        <c:axId val="1853368352"/>
      </c:barChart>
      <c:catAx>
        <c:axId val="1853366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853368352"/>
        <c:crosses val="autoZero"/>
        <c:auto val="1"/>
        <c:lblAlgn val="ctr"/>
        <c:lblOffset val="100"/>
        <c:noMultiLvlLbl val="0"/>
      </c:catAx>
      <c:valAx>
        <c:axId val="1853368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Proportion</a:t>
                </a:r>
                <a:r>
                  <a:rPr lang="en-US" baseline="0">
                    <a:latin typeface="Times New Roman" panose="02020603050405020304" pitchFamily="18" charset="0"/>
                    <a:cs typeface="Times New Roman" panose="02020603050405020304" pitchFamily="18" charset="0"/>
                  </a:rPr>
                  <a:t> of variables</a:t>
                </a:r>
                <a:endParaRPr lang="en-US">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853366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plotArea>
      <cx:plotAreaRegion>
        <cx:series layoutId="boxWhisker" uniqueId="{3EACAC09-DF87-BD42-B90F-6563B626B909}">
          <cx:spPr>
            <a:solidFill>
              <a:schemeClr val="bg2">
                <a:lumMod val="90000"/>
              </a:schemeClr>
            </a:solidFill>
            <a:ln w="9525">
              <a:solidFill>
                <a:schemeClr val="tx1"/>
              </a:solidFill>
            </a:ln>
          </cx:spPr>
          <cx:dataId val="0"/>
          <cx:layoutPr>
            <cx:visibility meanLine="1"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b="0">
                <a:latin typeface="Times New Roman" panose="02020603050405020304" pitchFamily="18" charset="0"/>
                <a:ea typeface="Times New Roman" panose="02020603050405020304" pitchFamily="18" charset="0"/>
                <a:cs typeface="Times New Roman" panose="02020603050405020304" pitchFamily="18" charset="0"/>
              </a:defRPr>
            </a:pPr>
            <a:endParaRPr lang="en-US" sz="900" b="0" i="0" u="none" strike="noStrike" baseline="0">
              <a:solidFill>
                <a:sysClr val="windowText" lastClr="000000">
                  <a:lumMod val="65000"/>
                  <a:lumOff val="35000"/>
                </a:sysClr>
              </a:solidFill>
              <a:latin typeface="Times New Roman" panose="02020603050405020304" pitchFamily="18" charset="0"/>
              <a:cs typeface="Times New Roman" panose="02020603050405020304" pitchFamily="18" charset="0"/>
            </a:endParaRPr>
          </a:p>
        </cx:txPr>
      </cx:axis>
      <cx:axis id="1">
        <cx:valScaling max="50"/>
        <cx:title>
          <cx:tx>
            <cx:txData>
              <cx:v>Risk Rating Score</cx:v>
            </cx:txData>
          </cx:tx>
          <cx:txPr>
            <a:bodyPr spcFirstLastPara="1" vertOverflow="ellipsis" horzOverflow="overflow" wrap="square" lIns="0" tIns="0" rIns="0" bIns="0" anchor="ctr" anchorCtr="1"/>
            <a:lstStyle/>
            <a:p>
              <a:pPr algn="ctr" rtl="0">
                <a:defRPr>
                  <a:latin typeface="Times New Roman" panose="02020603050405020304" pitchFamily="18" charset="0"/>
                  <a:ea typeface="Times New Roman" panose="02020603050405020304" pitchFamily="18" charset="0"/>
                  <a:cs typeface="Times New Roman" panose="02020603050405020304" pitchFamily="18" charset="0"/>
                </a:defRPr>
              </a:pPr>
              <a:r>
                <a:rPr lang="en-US" sz="900" b="0" i="0" u="none" strike="noStrike" baseline="0">
                  <a:solidFill>
                    <a:sysClr val="windowText" lastClr="000000">
                      <a:lumMod val="65000"/>
                      <a:lumOff val="35000"/>
                    </a:sysClr>
                  </a:solidFill>
                  <a:latin typeface="Times New Roman" panose="02020603050405020304" pitchFamily="18" charset="0"/>
                  <a:cs typeface="Times New Roman" panose="02020603050405020304" pitchFamily="18" charset="0"/>
                </a:rPr>
                <a:t>Risk Rating Score</a:t>
              </a:r>
            </a:p>
          </cx:txPr>
        </cx:title>
        <cx:majorGridlines>
          <cx:spPr>
            <a:ln>
              <a:solidFill>
                <a:schemeClr val="tx1"/>
              </a:solidFill>
              <a:prstDash val="sysDot"/>
            </a:ln>
          </cx:spPr>
        </cx:majorGridlines>
        <cx:tickLabels/>
        <cx:txPr>
          <a:bodyPr spcFirstLastPara="1" vertOverflow="ellipsis" horzOverflow="overflow" wrap="square" lIns="0" tIns="0" rIns="0" bIns="0" anchor="ctr" anchorCtr="1"/>
          <a:lstStyle/>
          <a:p>
            <a:pPr algn="ctr" rtl="0">
              <a:defRPr>
                <a:latin typeface="Times New Roman" panose="02020603050405020304" pitchFamily="18" charset="0"/>
                <a:ea typeface="Times New Roman" panose="02020603050405020304" pitchFamily="18" charset="0"/>
                <a:cs typeface="Times New Roman" panose="02020603050405020304" pitchFamily="18" charset="0"/>
              </a:defRPr>
            </a:pPr>
            <a:endParaRPr lang="en-US" sz="900" b="0" i="0" u="none" strike="noStrike" baseline="0">
              <a:solidFill>
                <a:sysClr val="windowText" lastClr="000000">
                  <a:lumMod val="65000"/>
                  <a:lumOff val="35000"/>
                </a:sysClr>
              </a:solidFill>
              <a:latin typeface="Times New Roman" panose="02020603050405020304" pitchFamily="18" charset="0"/>
              <a:cs typeface="Times New Roman" panose="02020603050405020304" pitchFamily="18" charset="0"/>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plotArea>
      <cx:plotAreaRegion>
        <cx:series layoutId="boxWhisker" uniqueId="{C01212FB-C4E8-E04D-BB64-D043614BF487}">
          <cx:spPr>
            <a:solidFill>
              <a:schemeClr val="accent2">
                <a:lumMod val="40000"/>
                <a:lumOff val="60000"/>
              </a:schemeClr>
            </a:solidFill>
            <a:ln>
              <a:solidFill>
                <a:schemeClr val="accent2">
                  <a:lumMod val="75000"/>
                </a:schemeClr>
              </a:solidFill>
            </a:ln>
          </cx:spPr>
          <cx:dataId val="0"/>
          <cx:layoutPr>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_xlchart.v1.7</cx:f>
      </cx:numDim>
    </cx:data>
  </cx:chartData>
  <cx:chart>
    <cx:title pos="t" align="ctr" overlay="0">
      <cx:tx>
        <cx:txData>
          <cx:v>Sea Ice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Sea Ice</a:t>
          </a:r>
        </a:p>
      </cx:txPr>
    </cx:title>
    <cx:plotArea>
      <cx:plotAreaRegion>
        <cx:series layoutId="boxWhisker" uniqueId="{9FDD4CFE-9D32-E24A-8361-9F098EC64ABE}">
          <cx:spPr>
            <a:solidFill>
              <a:schemeClr val="bg2">
                <a:lumMod val="90000"/>
              </a:schemeClr>
            </a:solidFill>
            <a:ln>
              <a:solidFill>
                <a:schemeClr val="tx1">
                  <a:lumMod val="95000"/>
                  <a:lumOff val="5000"/>
                </a:schemeClr>
              </a:solidFill>
            </a:ln>
          </cx:spPr>
          <cx:dataId val="0"/>
          <cx:layoutPr>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Community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Community</a:t>
          </a:r>
        </a:p>
      </cx:txPr>
    </cx:title>
    <cx:plotArea>
      <cx:plotAreaRegion>
        <cx:series layoutId="boxWhisker" uniqueId="{3D81AE94-4941-0649-B68B-0F02E35CECE6}">
          <cx:spPr>
            <a:solidFill>
              <a:schemeClr val="bg2">
                <a:lumMod val="90000"/>
              </a:schemeClr>
            </a:solidFill>
            <a:ln>
              <a:solidFill>
                <a:schemeClr val="tx1">
                  <a:lumMod val="95000"/>
                  <a:lumOff val="5000"/>
                </a:schemeClr>
              </a:solidFill>
            </a:ln>
          </cx:spPr>
          <cx:dataId val="0"/>
          <cx:layoutPr>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685800</xdr:colOff>
      <xdr:row>16</xdr:row>
      <xdr:rowOff>12700</xdr:rowOff>
    </xdr:from>
    <xdr:to>
      <xdr:col>6</xdr:col>
      <xdr:colOff>2184400</xdr:colOff>
      <xdr:row>40</xdr:row>
      <xdr:rowOff>114300</xdr:rowOff>
    </xdr:to>
    <xdr:graphicFrame macro="">
      <xdr:nvGraphicFramePr>
        <xdr:cNvPr id="4" name="Chart 3">
          <a:extLst>
            <a:ext uri="{FF2B5EF4-FFF2-40B4-BE49-F238E27FC236}">
              <a16:creationId xmlns:a16="http://schemas.microsoft.com/office/drawing/2014/main" id="{0CB38675-BC16-AF42-C853-16E11821AD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23</xdr:col>
      <xdr:colOff>165651</xdr:colOff>
      <xdr:row>21</xdr:row>
      <xdr:rowOff>173540</xdr:rowOff>
    </xdr:from>
    <xdr:to>
      <xdr:col>25</xdr:col>
      <xdr:colOff>276087</xdr:colOff>
      <xdr:row>27</xdr:row>
      <xdr:rowOff>102546</xdr:rowOff>
    </xdr:to>
    <xdr:sp macro="" textlink="">
      <xdr:nvSpPr>
        <xdr:cNvPr id="3" name="Rectangle 2">
          <a:extLst>
            <a:ext uri="{FF2B5EF4-FFF2-40B4-BE49-F238E27FC236}">
              <a16:creationId xmlns:a16="http://schemas.microsoft.com/office/drawing/2014/main" id="{F5CBD7F4-84B1-76E8-66A5-112780D15C55}"/>
            </a:ext>
          </a:extLst>
        </xdr:cNvPr>
        <xdr:cNvSpPr/>
      </xdr:nvSpPr>
      <xdr:spPr>
        <a:xfrm>
          <a:off x="35031490" y="7777764"/>
          <a:ext cx="1766957" cy="125422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23</xdr:col>
      <xdr:colOff>394411</xdr:colOff>
      <xdr:row>23</xdr:row>
      <xdr:rowOff>31553</xdr:rowOff>
    </xdr:from>
    <xdr:ext cx="1398460" cy="930807"/>
    <xdr:sp macro="" textlink="">
      <xdr:nvSpPr>
        <xdr:cNvPr id="4" name="TextBox 3">
          <a:extLst>
            <a:ext uri="{FF2B5EF4-FFF2-40B4-BE49-F238E27FC236}">
              <a16:creationId xmlns:a16="http://schemas.microsoft.com/office/drawing/2014/main" id="{69CA1077-3D18-1CAF-7B2A-957739D5DBFB}"/>
            </a:ext>
          </a:extLst>
        </xdr:cNvPr>
        <xdr:cNvSpPr txBox="1"/>
      </xdr:nvSpPr>
      <xdr:spPr>
        <a:xfrm>
          <a:off x="35260250" y="8061739"/>
          <a:ext cx="1398460" cy="930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a:latin typeface="Times New Roman" panose="02020603050405020304" pitchFamily="18" charset="0"/>
              <a:cs typeface="Times New Roman" panose="02020603050405020304" pitchFamily="18" charset="0"/>
            </a:rPr>
            <a:t>VERY</a:t>
          </a:r>
          <a:r>
            <a:rPr lang="en-US" sz="1200" baseline="0">
              <a:latin typeface="Times New Roman" panose="02020603050405020304" pitchFamily="18" charset="0"/>
              <a:cs typeface="Times New Roman" panose="02020603050405020304" pitchFamily="18" charset="0"/>
            </a:rPr>
            <a:t> HIGH</a:t>
          </a:r>
        </a:p>
        <a:p>
          <a:endParaRPr lang="en-US" sz="300">
            <a:latin typeface="Times New Roman" panose="02020603050405020304" pitchFamily="18" charset="0"/>
            <a:cs typeface="Times New Roman" panose="02020603050405020304" pitchFamily="18" charset="0"/>
          </a:endParaRPr>
        </a:p>
        <a:p>
          <a:r>
            <a:rPr lang="en-US" sz="1200">
              <a:latin typeface="Times New Roman" panose="02020603050405020304" pitchFamily="18" charset="0"/>
              <a:cs typeface="Times New Roman" panose="02020603050405020304" pitchFamily="18" charset="0"/>
            </a:rPr>
            <a:t>HIGH</a:t>
          </a:r>
        </a:p>
        <a:p>
          <a:endParaRPr lang="en-US" sz="300">
            <a:latin typeface="Times New Roman" panose="02020603050405020304" pitchFamily="18" charset="0"/>
            <a:cs typeface="Times New Roman" panose="02020603050405020304" pitchFamily="18" charset="0"/>
          </a:endParaRPr>
        </a:p>
        <a:p>
          <a:r>
            <a:rPr lang="en-US" sz="1200">
              <a:latin typeface="Times New Roman" panose="02020603050405020304" pitchFamily="18" charset="0"/>
              <a:cs typeface="Times New Roman" panose="02020603050405020304" pitchFamily="18" charset="0"/>
            </a:rPr>
            <a:t>MODERATE</a:t>
          </a:r>
        </a:p>
        <a:p>
          <a:endParaRPr lang="en-US" sz="300">
            <a:latin typeface="Times New Roman" panose="02020603050405020304" pitchFamily="18" charset="0"/>
            <a:cs typeface="Times New Roman" panose="02020603050405020304" pitchFamily="18" charset="0"/>
          </a:endParaRPr>
        </a:p>
        <a:p>
          <a:r>
            <a:rPr lang="en-US" sz="1200">
              <a:latin typeface="Times New Roman" panose="02020603050405020304" pitchFamily="18" charset="0"/>
              <a:cs typeface="Times New Roman" panose="02020603050405020304" pitchFamily="18" charset="0"/>
            </a:rPr>
            <a:t>UNDETECTABLE</a:t>
          </a:r>
        </a:p>
      </xdr:txBody>
    </xdr:sp>
    <xdr:clientData/>
  </xdr:oneCellAnchor>
  <xdr:twoCellAnchor>
    <xdr:from>
      <xdr:col>23</xdr:col>
      <xdr:colOff>275770</xdr:colOff>
      <xdr:row>23</xdr:row>
      <xdr:rowOff>86771</xdr:rowOff>
    </xdr:from>
    <xdr:to>
      <xdr:col>23</xdr:col>
      <xdr:colOff>409870</xdr:colOff>
      <xdr:row>24</xdr:row>
      <xdr:rowOff>7888</xdr:rowOff>
    </xdr:to>
    <xdr:sp macro="" textlink="">
      <xdr:nvSpPr>
        <xdr:cNvPr id="5" name="Oval 4">
          <a:extLst>
            <a:ext uri="{FF2B5EF4-FFF2-40B4-BE49-F238E27FC236}">
              <a16:creationId xmlns:a16="http://schemas.microsoft.com/office/drawing/2014/main" id="{4139B275-0ACC-337E-AFA7-4D66F5A954C2}"/>
            </a:ext>
          </a:extLst>
        </xdr:cNvPr>
        <xdr:cNvSpPr/>
      </xdr:nvSpPr>
      <xdr:spPr>
        <a:xfrm>
          <a:off x="35141609" y="8116957"/>
          <a:ext cx="134100" cy="134099"/>
        </a:xfrm>
        <a:prstGeom prst="ellipse">
          <a:avLst/>
        </a:prstGeom>
        <a:solidFill>
          <a:srgbClr val="871D5E"/>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275770</xdr:colOff>
      <xdr:row>24</xdr:row>
      <xdr:rowOff>84036</xdr:rowOff>
    </xdr:from>
    <xdr:to>
      <xdr:col>23</xdr:col>
      <xdr:colOff>409870</xdr:colOff>
      <xdr:row>24</xdr:row>
      <xdr:rowOff>218135</xdr:rowOff>
    </xdr:to>
    <xdr:sp macro="" textlink="">
      <xdr:nvSpPr>
        <xdr:cNvPr id="6" name="Oval 5">
          <a:extLst>
            <a:ext uri="{FF2B5EF4-FFF2-40B4-BE49-F238E27FC236}">
              <a16:creationId xmlns:a16="http://schemas.microsoft.com/office/drawing/2014/main" id="{DC9289B2-7FC0-9443-A228-B54E6E2A224B}"/>
            </a:ext>
          </a:extLst>
        </xdr:cNvPr>
        <xdr:cNvSpPr/>
      </xdr:nvSpPr>
      <xdr:spPr>
        <a:xfrm>
          <a:off x="35141609" y="8327204"/>
          <a:ext cx="134100" cy="134099"/>
        </a:xfrm>
        <a:prstGeom prst="ellipse">
          <a:avLst/>
        </a:prstGeom>
        <a:solidFill>
          <a:srgbClr val="CC000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275770</xdr:colOff>
      <xdr:row>25</xdr:row>
      <xdr:rowOff>65526</xdr:rowOff>
    </xdr:from>
    <xdr:to>
      <xdr:col>23</xdr:col>
      <xdr:colOff>409870</xdr:colOff>
      <xdr:row>25</xdr:row>
      <xdr:rowOff>199625</xdr:rowOff>
    </xdr:to>
    <xdr:sp macro="" textlink="">
      <xdr:nvSpPr>
        <xdr:cNvPr id="7" name="Oval 6">
          <a:extLst>
            <a:ext uri="{FF2B5EF4-FFF2-40B4-BE49-F238E27FC236}">
              <a16:creationId xmlns:a16="http://schemas.microsoft.com/office/drawing/2014/main" id="{447A580D-A08B-A247-AD2E-A3B45F384EAC}"/>
            </a:ext>
          </a:extLst>
        </xdr:cNvPr>
        <xdr:cNvSpPr/>
      </xdr:nvSpPr>
      <xdr:spPr>
        <a:xfrm>
          <a:off x="35141609" y="8537451"/>
          <a:ext cx="134100" cy="134099"/>
        </a:xfrm>
        <a:prstGeom prst="ellipse">
          <a:avLst/>
        </a:prstGeom>
        <a:solidFill>
          <a:srgbClr val="FFD966"/>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275770</xdr:colOff>
      <xdr:row>26</xdr:row>
      <xdr:rowOff>47014</xdr:rowOff>
    </xdr:from>
    <xdr:to>
      <xdr:col>23</xdr:col>
      <xdr:colOff>409870</xdr:colOff>
      <xdr:row>26</xdr:row>
      <xdr:rowOff>181113</xdr:rowOff>
    </xdr:to>
    <xdr:sp macro="" textlink="">
      <xdr:nvSpPr>
        <xdr:cNvPr id="8" name="Oval 7">
          <a:extLst>
            <a:ext uri="{FF2B5EF4-FFF2-40B4-BE49-F238E27FC236}">
              <a16:creationId xmlns:a16="http://schemas.microsoft.com/office/drawing/2014/main" id="{2548F3E4-E530-5745-A24B-B5C96168F92B}"/>
            </a:ext>
          </a:extLst>
        </xdr:cNvPr>
        <xdr:cNvSpPr/>
      </xdr:nvSpPr>
      <xdr:spPr>
        <a:xfrm>
          <a:off x="35141609" y="8747697"/>
          <a:ext cx="134100" cy="134099"/>
        </a:xfrm>
        <a:prstGeom prst="ellipse">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23</xdr:col>
      <xdr:colOff>223395</xdr:colOff>
      <xdr:row>22</xdr:row>
      <xdr:rowOff>2524</xdr:rowOff>
    </xdr:from>
    <xdr:ext cx="1576042" cy="289339"/>
    <xdr:sp macro="" textlink="">
      <xdr:nvSpPr>
        <xdr:cNvPr id="9" name="TextBox 8">
          <a:extLst>
            <a:ext uri="{FF2B5EF4-FFF2-40B4-BE49-F238E27FC236}">
              <a16:creationId xmlns:a16="http://schemas.microsoft.com/office/drawing/2014/main" id="{5485FD0D-50A0-D74E-9B48-A62614B7E151}"/>
            </a:ext>
          </a:extLst>
        </xdr:cNvPr>
        <xdr:cNvSpPr txBox="1"/>
      </xdr:nvSpPr>
      <xdr:spPr>
        <a:xfrm>
          <a:off x="34909661" y="7443879"/>
          <a:ext cx="1576042" cy="2893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a:latin typeface="Times New Roman" panose="02020603050405020304" pitchFamily="18" charset="0"/>
              <a:cs typeface="Times New Roman" panose="02020603050405020304" pitchFamily="18" charset="0"/>
            </a:rPr>
            <a:t>Risk Rating</a:t>
          </a:r>
          <a:r>
            <a:rPr lang="en-US" sz="1200" baseline="0">
              <a:latin typeface="Times New Roman" panose="02020603050405020304" pitchFamily="18" charset="0"/>
              <a:cs typeface="Times New Roman" panose="02020603050405020304" pitchFamily="18" charset="0"/>
            </a:rPr>
            <a:t> (RR) Index</a:t>
          </a:r>
          <a:endParaRPr lang="en-US" sz="1200">
            <a:latin typeface="Times New Roman" panose="02020603050405020304" pitchFamily="18" charset="0"/>
            <a:cs typeface="Times New Roman" panose="02020603050405020304" pitchFamily="18"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7</xdr:col>
      <xdr:colOff>629557</xdr:colOff>
      <xdr:row>4</xdr:row>
      <xdr:rowOff>17235</xdr:rowOff>
    </xdr:from>
    <xdr:to>
      <xdr:col>18</xdr:col>
      <xdr:colOff>326572</xdr:colOff>
      <xdr:row>8</xdr:row>
      <xdr:rowOff>153307</xdr:rowOff>
    </xdr:to>
    <xdr:sp macro="" textlink="">
      <xdr:nvSpPr>
        <xdr:cNvPr id="17" name="Rectangle 16">
          <a:extLst>
            <a:ext uri="{FF2B5EF4-FFF2-40B4-BE49-F238E27FC236}">
              <a16:creationId xmlns:a16="http://schemas.microsoft.com/office/drawing/2014/main" id="{C16476CF-662E-A44D-B0E8-26728709FEAD}"/>
            </a:ext>
          </a:extLst>
        </xdr:cNvPr>
        <xdr:cNvSpPr/>
      </xdr:nvSpPr>
      <xdr:spPr>
        <a:xfrm>
          <a:off x="8322128" y="815521"/>
          <a:ext cx="8777515" cy="934357"/>
        </a:xfrm>
        <a:prstGeom prst="rect">
          <a:avLst/>
        </a:prstGeom>
        <a:solidFill>
          <a:srgbClr val="871D5E">
            <a:alpha val="40000"/>
          </a:srgbClr>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627743</xdr:colOff>
      <xdr:row>8</xdr:row>
      <xdr:rowOff>160565</xdr:rowOff>
    </xdr:from>
    <xdr:to>
      <xdr:col>18</xdr:col>
      <xdr:colOff>324758</xdr:colOff>
      <xdr:row>12</xdr:row>
      <xdr:rowOff>72573</xdr:rowOff>
    </xdr:to>
    <xdr:sp macro="" textlink="">
      <xdr:nvSpPr>
        <xdr:cNvPr id="18" name="Rectangle 17">
          <a:extLst>
            <a:ext uri="{FF2B5EF4-FFF2-40B4-BE49-F238E27FC236}">
              <a16:creationId xmlns:a16="http://schemas.microsoft.com/office/drawing/2014/main" id="{7B08AE33-6670-3E46-A666-6B516E296150}"/>
            </a:ext>
          </a:extLst>
        </xdr:cNvPr>
        <xdr:cNvSpPr/>
      </xdr:nvSpPr>
      <xdr:spPr>
        <a:xfrm>
          <a:off x="8320314" y="1757136"/>
          <a:ext cx="8777515" cy="710294"/>
        </a:xfrm>
        <a:prstGeom prst="rect">
          <a:avLst/>
        </a:prstGeom>
        <a:solidFill>
          <a:srgbClr val="CC0000">
            <a:alpha val="40000"/>
          </a:srgbClr>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625929</xdr:colOff>
      <xdr:row>12</xdr:row>
      <xdr:rowOff>86177</xdr:rowOff>
    </xdr:from>
    <xdr:to>
      <xdr:col>18</xdr:col>
      <xdr:colOff>322944</xdr:colOff>
      <xdr:row>17</xdr:row>
      <xdr:rowOff>90713</xdr:rowOff>
    </xdr:to>
    <xdr:sp macro="" textlink="">
      <xdr:nvSpPr>
        <xdr:cNvPr id="19" name="Rectangle 18">
          <a:extLst>
            <a:ext uri="{FF2B5EF4-FFF2-40B4-BE49-F238E27FC236}">
              <a16:creationId xmlns:a16="http://schemas.microsoft.com/office/drawing/2014/main" id="{F710D43C-0302-CA4F-BAF6-6FD202AC7678}"/>
            </a:ext>
          </a:extLst>
        </xdr:cNvPr>
        <xdr:cNvSpPr/>
      </xdr:nvSpPr>
      <xdr:spPr>
        <a:xfrm>
          <a:off x="8318500" y="2481034"/>
          <a:ext cx="8777515" cy="1002393"/>
        </a:xfrm>
        <a:prstGeom prst="rect">
          <a:avLst/>
        </a:prstGeom>
        <a:solidFill>
          <a:srgbClr val="FFD966">
            <a:alpha val="40000"/>
          </a:srgbClr>
        </a:solidFill>
        <a:ln w="317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148770</xdr:colOff>
      <xdr:row>3</xdr:row>
      <xdr:rowOff>80736</xdr:rowOff>
    </xdr:from>
    <xdr:to>
      <xdr:col>18</xdr:col>
      <xdr:colOff>415470</xdr:colOff>
      <xdr:row>22</xdr:row>
      <xdr:rowOff>36287</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28E2A68A-6422-1E87-F0CF-4FB16EAC38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832270" y="690336"/>
              <a:ext cx="9347200" cy="381635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100189</xdr:colOff>
      <xdr:row>40</xdr:row>
      <xdr:rowOff>24695</xdr:rowOff>
    </xdr:from>
    <xdr:to>
      <xdr:col>11</xdr:col>
      <xdr:colOff>176389</xdr:colOff>
      <xdr:row>58</xdr:row>
      <xdr:rowOff>107245</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2862A59A-87F5-A30E-22E9-D935BFBB6A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783689" y="8152695"/>
              <a:ext cx="3378200" cy="37401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310444</xdr:colOff>
      <xdr:row>40</xdr:row>
      <xdr:rowOff>94545</xdr:rowOff>
    </xdr:from>
    <xdr:to>
      <xdr:col>14</xdr:col>
      <xdr:colOff>246944</xdr:colOff>
      <xdr:row>58</xdr:row>
      <xdr:rowOff>94545</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73FCB25C-0541-4240-99C2-5E3D866D10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295944" y="8222545"/>
              <a:ext cx="2413000" cy="3657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355600</xdr:colOff>
      <xdr:row>40</xdr:row>
      <xdr:rowOff>79022</xdr:rowOff>
    </xdr:from>
    <xdr:to>
      <xdr:col>17</xdr:col>
      <xdr:colOff>152400</xdr:colOff>
      <xdr:row>57</xdr:row>
      <xdr:rowOff>181327</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2AEE5E66-0CE2-3531-716F-F64E34EA6A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3817600" y="8207022"/>
              <a:ext cx="2273300" cy="355670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Connor Nixon" id="{13F759F2-83D0-6443-9893-0919B987885E}" userId="baf4530436cc6aa6"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nnor Anthony Rettinger" refreshedDate="45199.143676851854" createdVersion="8" refreshedVersion="8" minRefreshableVersion="3" recordCount="141" xr:uid="{A68CF851-7DAB-E748-91B3-11AD1006CE5D}">
  <cacheSource type="worksheet">
    <worksheetSource ref="A1:AX1048576" sheet="cause_consequence_rating"/>
  </cacheSource>
  <cacheFields count="17">
    <cacheField name="risk_id" numFmtId="0">
      <sharedItems containsBlank="1"/>
    </cacheField>
    <cacheField name="HazardRisk_Category" numFmtId="0">
      <sharedItems containsBlank="1" count="14">
        <s v="Environmental"/>
        <s v="Pollutants"/>
        <s v="Assessment"/>
        <s v="Economic"/>
        <s v="Sea Ice"/>
        <s v="Human"/>
        <s v="Operational"/>
        <s v="Social"/>
        <s v="Technological"/>
        <s v="Indigenous"/>
        <s v="Political"/>
        <s v="Navigational"/>
        <s v="Local Community"/>
        <m/>
      </sharedItems>
    </cacheField>
    <cacheField name="HazardRisk" numFmtId="0">
      <sharedItems containsBlank="1"/>
    </cacheField>
    <cacheField name="RiskRating" numFmtId="0">
      <sharedItems containsBlank="1" count="4">
        <s v="HIGH"/>
        <s v="MODERATE"/>
        <s v="UNDETECTABLE"/>
        <m/>
      </sharedItems>
    </cacheField>
    <cacheField name="RiskScore" numFmtId="0">
      <sharedItems containsString="0" containsBlank="1" containsNumber="1" minValue="1" maxValue="40"/>
    </cacheField>
    <cacheField name="DataScore" numFmtId="0">
      <sharedItems containsNonDate="0" containsString="0" containsBlank="1"/>
    </cacheField>
    <cacheField name="likelihood_finalscore2" numFmtId="0">
      <sharedItems containsString="0" containsBlank="1" containsNumber="1" minValue="1" maxValue="5"/>
    </cacheField>
    <cacheField name="severity_finalscore" numFmtId="0">
      <sharedItems containsString="0" containsBlank="1" containsNumber="1" minValue="1" maxValue="10"/>
    </cacheField>
    <cacheField name="data_PrelimTotals" numFmtId="0">
      <sharedItems containsString="0" containsBlank="1" containsNumber="1" containsInteger="1" minValue="2" maxValue="168"/>
    </cacheField>
    <cacheField name="likelihood_score_AVG" numFmtId="0">
      <sharedItems containsString="0" containsBlank="1" containsNumber="1" minValue="1" maxValue="5"/>
    </cacheField>
    <cacheField name="likelihood_score_total" numFmtId="0">
      <sharedItems containsString="0" containsBlank="1" containsNumber="1" containsInteger="1" minValue="1" maxValue="147"/>
    </cacheField>
    <cacheField name="severity_score_AVG" numFmtId="0">
      <sharedItems containsString="0" containsBlank="1" containsNumber="1" minValue="1" maxValue="10"/>
    </cacheField>
    <cacheField name="severity_score_total" numFmtId="0">
      <sharedItems containsString="0" containsBlank="1" containsNumber="1" containsInteger="1" minValue="1" maxValue="21"/>
    </cacheField>
    <cacheField name="data_score_consensus" numFmtId="0">
      <sharedItems containsBlank="1"/>
    </cacheField>
    <cacheField name="data_score_quantity" numFmtId="0">
      <sharedItems containsString="0" containsBlank="1" containsNumber="1" containsInteger="1" minValue="1" maxValue="21"/>
    </cacheField>
    <cacheField name="data_score_pct_agree" numFmtId="0">
      <sharedItems containsNonDate="0" containsString="0" containsBlank="1"/>
    </cacheField>
    <cacheField name="Column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s v="R035"/>
    <x v="0"/>
    <s v="Wave height"/>
    <x v="0"/>
    <n v="40"/>
    <m/>
    <n v="4"/>
    <n v="10"/>
    <n v="11"/>
    <n v="4"/>
    <n v="10"/>
    <n v="10"/>
    <n v="1"/>
    <s v="NO"/>
    <n v="1"/>
    <m/>
    <m/>
  </r>
  <r>
    <s v="R106"/>
    <x v="1"/>
    <s v="Methane emissions"/>
    <x v="0"/>
    <n v="40"/>
    <m/>
    <n v="4"/>
    <n v="10"/>
    <n v="11"/>
    <n v="4"/>
    <n v="10"/>
    <n v="10"/>
    <n v="1"/>
    <s v="NO"/>
    <n v="1"/>
    <m/>
    <m/>
  </r>
  <r>
    <s v="R004"/>
    <x v="2"/>
    <s v="Insufficient sattiliete coverage"/>
    <x v="0"/>
    <n v="35"/>
    <m/>
    <n v="5"/>
    <n v="7"/>
    <n v="8"/>
    <n v="5"/>
    <n v="7"/>
    <n v="7"/>
    <n v="1"/>
    <s v="NO"/>
    <n v="1"/>
    <m/>
    <m/>
  </r>
  <r>
    <s v="R105"/>
    <x v="1"/>
    <s v="HFO carriage and transport"/>
    <x v="0"/>
    <n v="35"/>
    <m/>
    <n v="5"/>
    <n v="7"/>
    <n v="8"/>
    <n v="5"/>
    <n v="7"/>
    <n v="7"/>
    <n v="1"/>
    <s v="NO"/>
    <n v="1"/>
    <m/>
    <m/>
  </r>
  <r>
    <s v="R011"/>
    <x v="3"/>
    <s v="Oil spill clean-up costs"/>
    <x v="0"/>
    <n v="30"/>
    <m/>
    <n v="3"/>
    <n v="10"/>
    <n v="11"/>
    <n v="3"/>
    <n v="10"/>
    <n v="10"/>
    <n v="1"/>
    <s v="NO"/>
    <n v="1"/>
    <m/>
    <m/>
  </r>
  <r>
    <s v="R101"/>
    <x v="1"/>
    <s v="Carrying oil on board"/>
    <x v="0"/>
    <n v="30"/>
    <m/>
    <n v="3"/>
    <n v="10"/>
    <n v="11"/>
    <n v="3"/>
    <n v="10"/>
    <n v="10"/>
    <n v="1"/>
    <s v="NO"/>
    <n v="1"/>
    <m/>
    <m/>
  </r>
  <r>
    <s v="R111"/>
    <x v="1"/>
    <s v="Oil spills on ice"/>
    <x v="0"/>
    <n v="30"/>
    <m/>
    <n v="3"/>
    <n v="10"/>
    <n v="11"/>
    <n v="3"/>
    <n v="10"/>
    <n v="10"/>
    <n v="1"/>
    <s v="NO"/>
    <n v="1"/>
    <m/>
    <m/>
  </r>
  <r>
    <s v="R114"/>
    <x v="4"/>
    <s v="Compressive ice cover"/>
    <x v="0"/>
    <n v="30"/>
    <m/>
    <n v="3"/>
    <n v="10"/>
    <n v="11"/>
    <n v="3"/>
    <n v="10"/>
    <n v="10"/>
    <n v="1"/>
    <s v="NO"/>
    <n v="1"/>
    <m/>
    <m/>
  </r>
  <r>
    <s v="R015"/>
    <x v="0"/>
    <s v="Animal displacement"/>
    <x v="0"/>
    <n v="28"/>
    <m/>
    <n v="4"/>
    <n v="7"/>
    <n v="8"/>
    <n v="4"/>
    <n v="7"/>
    <n v="7"/>
    <n v="1"/>
    <s v="NO"/>
    <n v="1"/>
    <m/>
    <m/>
  </r>
  <r>
    <s v="R019"/>
    <x v="0"/>
    <s v="Expolitation of natural reserves"/>
    <x v="0"/>
    <n v="28"/>
    <m/>
    <n v="4"/>
    <n v="7"/>
    <n v="8"/>
    <n v="4"/>
    <n v="7"/>
    <n v="7"/>
    <n v="1"/>
    <s v="NO"/>
    <n v="1"/>
    <m/>
    <m/>
  </r>
  <r>
    <s v="R022"/>
    <x v="0"/>
    <s v="Heavy snow, sleet, or rainfall"/>
    <x v="0"/>
    <n v="28"/>
    <m/>
    <n v="4"/>
    <n v="7"/>
    <n v="8"/>
    <n v="4"/>
    <n v="7"/>
    <n v="7"/>
    <n v="1"/>
    <s v="NO"/>
    <n v="1"/>
    <m/>
    <m/>
  </r>
  <r>
    <s v="R036"/>
    <x v="5"/>
    <s v="Crew fatigue"/>
    <x v="0"/>
    <n v="28"/>
    <m/>
    <n v="4"/>
    <n v="7"/>
    <n v="8"/>
    <n v="4"/>
    <n v="7"/>
    <n v="7"/>
    <n v="1"/>
    <s v="NO"/>
    <n v="1"/>
    <m/>
    <m/>
  </r>
  <r>
    <s v="R069"/>
    <x v="6"/>
    <s v="Load capacity"/>
    <x v="0"/>
    <n v="28"/>
    <m/>
    <n v="4"/>
    <n v="7"/>
    <n v="8"/>
    <n v="4"/>
    <n v="7"/>
    <n v="7"/>
    <n v="1"/>
    <s v="NO"/>
    <n v="1"/>
    <m/>
    <m/>
  </r>
  <r>
    <s v="R074"/>
    <x v="6"/>
    <s v="Travelling through marine protected areas"/>
    <x v="0"/>
    <n v="28"/>
    <m/>
    <n v="4"/>
    <n v="7"/>
    <n v="8"/>
    <n v="4"/>
    <n v="7"/>
    <n v="7"/>
    <n v="1"/>
    <s v="NO"/>
    <n v="1"/>
    <m/>
    <m/>
  </r>
  <r>
    <s v="R098"/>
    <x v="1"/>
    <s v="BC Climate Forcing"/>
    <x v="0"/>
    <n v="28"/>
    <m/>
    <n v="4"/>
    <n v="7"/>
    <n v="8"/>
    <n v="4"/>
    <n v="7"/>
    <n v="7"/>
    <n v="1"/>
    <s v="NO"/>
    <n v="1"/>
    <m/>
    <m/>
  </r>
  <r>
    <s v="R109"/>
    <x v="1"/>
    <s v="Oil spill (HFO)"/>
    <x v="0"/>
    <n v="28"/>
    <m/>
    <n v="4"/>
    <n v="7"/>
    <n v="8"/>
    <n v="4"/>
    <n v="7"/>
    <n v="7"/>
    <n v="1"/>
    <s v="NO"/>
    <n v="1"/>
    <m/>
    <m/>
  </r>
  <r>
    <s v="R127"/>
    <x v="7"/>
    <s v="Lack of clean up infrastructure response"/>
    <x v="0"/>
    <n v="28"/>
    <m/>
    <n v="4"/>
    <n v="7"/>
    <n v="8"/>
    <n v="4"/>
    <n v="7"/>
    <n v="7"/>
    <n v="1"/>
    <s v="NO"/>
    <n v="1"/>
    <m/>
    <m/>
  </r>
  <r>
    <s v="R138"/>
    <x v="8"/>
    <s v="Mechanical failure"/>
    <x v="0"/>
    <n v="28"/>
    <m/>
    <n v="4"/>
    <n v="7"/>
    <n v="8"/>
    <n v="4"/>
    <n v="7"/>
    <n v="7"/>
    <n v="1"/>
    <s v="NO"/>
    <n v="1"/>
    <m/>
    <m/>
  </r>
  <r>
    <s v="R119"/>
    <x v="4"/>
    <s v="Multi-year sea ice"/>
    <x v="0"/>
    <n v="27.125"/>
    <m/>
    <n v="3.5"/>
    <n v="7.75"/>
    <n v="35"/>
    <n v="3.5"/>
    <n v="31"/>
    <n v="7.75"/>
    <n v="4"/>
    <s v="NO"/>
    <n v="4"/>
    <m/>
    <m/>
  </r>
  <r>
    <s v="R108"/>
    <x v="1"/>
    <s v="Oil spill"/>
    <x v="0"/>
    <n v="25.562130177514796"/>
    <m/>
    <n v="3.4615384615384617"/>
    <n v="7.384615384615385"/>
    <n v="109"/>
    <n v="3.4615384615384617"/>
    <n v="96"/>
    <n v="7.384615384615385"/>
    <n v="13"/>
    <s v="NO"/>
    <n v="13"/>
    <m/>
    <m/>
  </r>
  <r>
    <s v="R116"/>
    <x v="4"/>
    <s v="First-year sea ice"/>
    <x v="0"/>
    <n v="25"/>
    <m/>
    <n v="5"/>
    <n v="5"/>
    <n v="6"/>
    <n v="5"/>
    <n v="5"/>
    <n v="5"/>
    <n v="1"/>
    <s v="NO"/>
    <n v="1"/>
    <m/>
    <m/>
  </r>
  <r>
    <s v="R113"/>
    <x v="1"/>
    <s v="Vessel-Source Pollution in Sensitive Marine Regions"/>
    <x v="0"/>
    <n v="24.5"/>
    <m/>
    <n v="3.5"/>
    <n v="7"/>
    <n v="16"/>
    <n v="3.5"/>
    <n v="14"/>
    <n v="7"/>
    <n v="2"/>
    <s v="NO"/>
    <n v="2"/>
    <m/>
    <m/>
  </r>
  <r>
    <s v="R104"/>
    <x v="1"/>
    <s v="Dumping into Arctic waters"/>
    <x v="0"/>
    <n v="24.48"/>
    <m/>
    <n v="3.6"/>
    <n v="6.8"/>
    <n v="39"/>
    <n v="3.6"/>
    <n v="34"/>
    <n v="6.8"/>
    <n v="5"/>
    <s v="NO"/>
    <n v="5"/>
    <m/>
    <m/>
  </r>
  <r>
    <s v="R052"/>
    <x v="9"/>
    <s v="Degradation of indigenous cultural and natural resources"/>
    <x v="0"/>
    <n v="24"/>
    <m/>
    <n v="4"/>
    <n v="6"/>
    <n v="14"/>
    <n v="4"/>
    <n v="12"/>
    <n v="6"/>
    <n v="2"/>
    <s v="NO"/>
    <n v="2"/>
    <m/>
    <m/>
  </r>
  <r>
    <s v="R039"/>
    <x v="5"/>
    <s v="Human error"/>
    <x v="0"/>
    <n v="23.333333333333336"/>
    <m/>
    <n v="3.3333333333333335"/>
    <n v="7"/>
    <n v="24"/>
    <n v="3.3333333333333335"/>
    <n v="21"/>
    <n v="7"/>
    <n v="3"/>
    <s v="NO"/>
    <n v="3"/>
    <m/>
    <m/>
  </r>
  <r>
    <s v="R080"/>
    <x v="6"/>
    <s v="Vessel-animal collision"/>
    <x v="0"/>
    <n v="23.333333333333336"/>
    <m/>
    <n v="3.3333333333333335"/>
    <n v="7"/>
    <n v="24"/>
    <n v="3.3333333333333335"/>
    <n v="21"/>
    <n v="7"/>
    <n v="3"/>
    <s v="NO"/>
    <n v="3"/>
    <m/>
    <m/>
  </r>
  <r>
    <s v="R120"/>
    <x v="4"/>
    <s v="Sea ice (generalized)"/>
    <x v="0"/>
    <n v="23"/>
    <m/>
    <n v="3.2857142857142856"/>
    <n v="7"/>
    <n v="168"/>
    <n v="3.2857142857142856"/>
    <n v="147"/>
    <n v="7"/>
    <n v="21"/>
    <s v="NO"/>
    <n v="21"/>
    <m/>
    <m/>
  </r>
  <r>
    <s v="R099"/>
    <x v="1"/>
    <s v="Black carbon air emissions"/>
    <x v="0"/>
    <n v="22.75"/>
    <m/>
    <n v="3.5"/>
    <n v="6.5"/>
    <n v="60"/>
    <n v="3.5"/>
    <n v="52"/>
    <n v="6.5"/>
    <n v="8"/>
    <s v="NO"/>
    <n v="8"/>
    <m/>
    <m/>
  </r>
  <r>
    <s v="R046"/>
    <x v="5"/>
    <s v="Miscommunication"/>
    <x v="0"/>
    <n v="22.666666666666668"/>
    <m/>
    <n v="4"/>
    <n v="5.666666666666667"/>
    <n v="20"/>
    <n v="4"/>
    <n v="17"/>
    <n v="5.666666666666667"/>
    <n v="3"/>
    <s v="NO"/>
    <n v="3"/>
    <m/>
    <m/>
  </r>
  <r>
    <s v="R037"/>
    <x v="5"/>
    <s v="Crew inexperience"/>
    <x v="0"/>
    <n v="22.5"/>
    <m/>
    <n v="3.75"/>
    <n v="6"/>
    <n v="28"/>
    <n v="3.75"/>
    <n v="24"/>
    <n v="6"/>
    <n v="4"/>
    <s v="NO"/>
    <n v="4"/>
    <m/>
    <m/>
  </r>
  <r>
    <s v="R027"/>
    <x v="0"/>
    <s v="Low visibility"/>
    <x v="0"/>
    <n v="22.439999999999998"/>
    <m/>
    <n v="3.4"/>
    <n v="6.6"/>
    <n v="38"/>
    <n v="3.4"/>
    <n v="33"/>
    <n v="6.6"/>
    <n v="5"/>
    <s v="NO"/>
    <n v="5"/>
    <m/>
    <m/>
  </r>
  <r>
    <s v="R097"/>
    <x v="1"/>
    <s v="Air emissions (generalized)"/>
    <x v="0"/>
    <n v="22.32"/>
    <m/>
    <n v="3.6"/>
    <n v="6.2"/>
    <n v="36"/>
    <n v="3.6"/>
    <n v="31"/>
    <n v="6.2"/>
    <n v="5"/>
    <s v="NO"/>
    <n v="5"/>
    <m/>
    <m/>
  </r>
  <r>
    <s v="R112"/>
    <x v="1"/>
    <s v="Underwater noise pollution"/>
    <x v="0"/>
    <n v="22.32"/>
    <m/>
    <n v="3.6"/>
    <n v="6.2"/>
    <n v="36"/>
    <n v="3.6"/>
    <n v="31"/>
    <n v="6.2"/>
    <n v="5"/>
    <s v="NO"/>
    <n v="5"/>
    <m/>
    <m/>
  </r>
  <r>
    <s v="R024"/>
    <x v="0"/>
    <s v="Introduction of invasive species"/>
    <x v="0"/>
    <n v="22"/>
    <m/>
    <n v="3.6666666666666665"/>
    <n v="6"/>
    <n v="42"/>
    <n v="3.6666666666666665"/>
    <n v="36"/>
    <n v="6"/>
    <n v="6"/>
    <s v="NO"/>
    <n v="6"/>
    <m/>
    <m/>
  </r>
  <r>
    <s v="R041"/>
    <x v="5"/>
    <s v="Iceburg collision"/>
    <x v="0"/>
    <n v="21.638888888888886"/>
    <m/>
    <n v="3.1666666666666665"/>
    <n v="6.833333333333333"/>
    <n v="47"/>
    <n v="3.1666666666666665"/>
    <n v="41"/>
    <n v="6.833333333333333"/>
    <n v="6"/>
    <s v="NO"/>
    <n v="6"/>
    <m/>
    <m/>
  </r>
  <r>
    <s v="R029"/>
    <x v="0"/>
    <s v="Operating in shallow waters"/>
    <x v="0"/>
    <n v="21.125"/>
    <m/>
    <n v="3.25"/>
    <n v="6.5"/>
    <n v="30"/>
    <n v="3.25"/>
    <n v="26"/>
    <n v="6.5"/>
    <n v="4"/>
    <s v="NO"/>
    <n v="4"/>
    <m/>
    <m/>
  </r>
  <r>
    <s v="R076"/>
    <x v="6"/>
    <s v="Vessel accident (generalized)"/>
    <x v="0"/>
    <n v="21.125"/>
    <m/>
    <n v="3.25"/>
    <n v="6.5"/>
    <n v="30"/>
    <n v="3.25"/>
    <n v="26"/>
    <n v="6.5"/>
    <n v="4"/>
    <s v="NO"/>
    <n v="4"/>
    <m/>
    <m/>
  </r>
  <r>
    <s v="R003"/>
    <x v="2"/>
    <s v="Frequent callibration of model parameters"/>
    <x v="0"/>
    <n v="21"/>
    <m/>
    <n v="3"/>
    <n v="7"/>
    <n v="8"/>
    <n v="3"/>
    <n v="7"/>
    <n v="7"/>
    <n v="1"/>
    <s v="NO"/>
    <n v="1"/>
    <m/>
    <m/>
  </r>
  <r>
    <s v="R017"/>
    <x v="0"/>
    <s v="Climate flucuation"/>
    <x v="0"/>
    <n v="21"/>
    <m/>
    <n v="3"/>
    <n v="7"/>
    <n v="8"/>
    <n v="3"/>
    <n v="7"/>
    <n v="7"/>
    <n v="1"/>
    <s v="NO"/>
    <n v="1"/>
    <m/>
    <m/>
  </r>
  <r>
    <s v="R021"/>
    <x v="0"/>
    <s v="Extreme winter conditions"/>
    <x v="0"/>
    <n v="21"/>
    <m/>
    <n v="3"/>
    <n v="7"/>
    <n v="8"/>
    <n v="3"/>
    <n v="7"/>
    <n v="7"/>
    <n v="1"/>
    <s v="NO"/>
    <n v="1"/>
    <m/>
    <m/>
  </r>
  <r>
    <s v="R033"/>
    <x v="0"/>
    <s v="Severe weather"/>
    <x v="0"/>
    <n v="21"/>
    <m/>
    <n v="3"/>
    <n v="7"/>
    <n v="8"/>
    <n v="3"/>
    <n v="7"/>
    <n v="7"/>
    <n v="1"/>
    <s v="NO"/>
    <n v="1"/>
    <m/>
    <m/>
  </r>
  <r>
    <s v="R044"/>
    <x v="5"/>
    <s v="Insufficient training and/or expertise"/>
    <x v="0"/>
    <n v="21"/>
    <m/>
    <n v="3"/>
    <n v="7"/>
    <n v="16"/>
    <n v="3"/>
    <n v="14"/>
    <n v="7"/>
    <n v="2"/>
    <s v="NO"/>
    <n v="2"/>
    <m/>
    <m/>
  </r>
  <r>
    <s v="R051"/>
    <x v="9"/>
    <s v="Cultural and archeological threat"/>
    <x v="0"/>
    <n v="21"/>
    <m/>
    <n v="3"/>
    <n v="7"/>
    <n v="8"/>
    <n v="3"/>
    <n v="7"/>
    <n v="7"/>
    <n v="1"/>
    <s v="NO"/>
    <n v="1"/>
    <m/>
    <m/>
  </r>
  <r>
    <s v="R053"/>
    <x v="9"/>
    <s v="Lack of support for indigenous communities"/>
    <x v="0"/>
    <n v="21"/>
    <m/>
    <n v="3"/>
    <n v="7"/>
    <n v="8"/>
    <n v="3"/>
    <n v="7"/>
    <n v="7"/>
    <n v="1"/>
    <s v="NO"/>
    <n v="1"/>
    <m/>
    <m/>
  </r>
  <r>
    <s v="R054"/>
    <x v="9"/>
    <s v="Socioeconomic impacts on indigenous peoples"/>
    <x v="0"/>
    <n v="21"/>
    <m/>
    <n v="3"/>
    <n v="7"/>
    <n v="8"/>
    <n v="3"/>
    <n v="7"/>
    <n v="7"/>
    <n v="1"/>
    <s v="NO"/>
    <n v="1"/>
    <m/>
    <m/>
  </r>
  <r>
    <s v="R063"/>
    <x v="6"/>
    <s v="Cargo volume intensification"/>
    <x v="0"/>
    <n v="21"/>
    <m/>
    <n v="3.5"/>
    <n v="6"/>
    <n v="14"/>
    <n v="3.5"/>
    <n v="12"/>
    <n v="6"/>
    <n v="2"/>
    <s v="NO"/>
    <n v="2"/>
    <m/>
    <m/>
  </r>
  <r>
    <s v="R070"/>
    <x v="6"/>
    <s v="No vessel assistance fleet"/>
    <x v="0"/>
    <n v="21"/>
    <m/>
    <n v="3"/>
    <n v="7"/>
    <n v="16"/>
    <n v="3"/>
    <n v="14"/>
    <n v="7"/>
    <n v="2"/>
    <s v="NO"/>
    <n v="2"/>
    <m/>
    <m/>
  </r>
  <r>
    <s v="R086"/>
    <x v="10"/>
    <s v="Geo-millitary factors"/>
    <x v="0"/>
    <n v="21"/>
    <m/>
    <n v="3"/>
    <n v="7"/>
    <n v="8"/>
    <n v="3"/>
    <n v="7"/>
    <n v="7"/>
    <n v="1"/>
    <s v="NO"/>
    <n v="1"/>
    <m/>
    <m/>
  </r>
  <r>
    <s v="R091"/>
    <x v="10"/>
    <s v="Sovereignty claims and disputes"/>
    <x v="0"/>
    <n v="21"/>
    <m/>
    <n v="3"/>
    <n v="7"/>
    <n v="8"/>
    <n v="3"/>
    <n v="7"/>
    <n v="7"/>
    <n v="1"/>
    <s v="NO"/>
    <n v="1"/>
    <m/>
    <m/>
  </r>
  <r>
    <s v="R103"/>
    <x v="1"/>
    <s v="Declining local air quality"/>
    <x v="0"/>
    <n v="21"/>
    <m/>
    <n v="3"/>
    <n v="7"/>
    <n v="8"/>
    <n v="3"/>
    <n v="7"/>
    <n v="7"/>
    <n v="1"/>
    <s v="NO"/>
    <n v="1"/>
    <m/>
    <m/>
  </r>
  <r>
    <s v="R115"/>
    <x v="6"/>
    <s v="Excessive ice accumulation on vessels"/>
    <x v="0"/>
    <n v="21"/>
    <m/>
    <n v="3"/>
    <n v="7"/>
    <n v="8"/>
    <n v="3"/>
    <n v="7"/>
    <n v="7"/>
    <n v="1"/>
    <s v="NO"/>
    <n v="1"/>
    <m/>
    <m/>
  </r>
  <r>
    <s v="R130"/>
    <x v="7"/>
    <s v="Reduced search and rescure capacity"/>
    <x v="0"/>
    <n v="21"/>
    <m/>
    <n v="3"/>
    <n v="7"/>
    <n v="88"/>
    <n v="3"/>
    <n v="77"/>
    <n v="7"/>
    <n v="11"/>
    <s v="NO"/>
    <n v="11"/>
    <m/>
    <m/>
  </r>
  <r>
    <s v="R131"/>
    <x v="7"/>
    <s v="Reduction in resources to locals"/>
    <x v="0"/>
    <n v="21"/>
    <m/>
    <n v="3"/>
    <n v="7"/>
    <n v="8"/>
    <n v="3"/>
    <n v="7"/>
    <n v="7"/>
    <n v="1"/>
    <s v="NO"/>
    <n v="1"/>
    <m/>
    <m/>
  </r>
  <r>
    <s v="R133"/>
    <x v="7"/>
    <s v="Tourist overcrowding"/>
    <x v="0"/>
    <n v="21"/>
    <m/>
    <n v="3"/>
    <n v="7"/>
    <n v="8"/>
    <n v="3"/>
    <n v="7"/>
    <n v="7"/>
    <n v="1"/>
    <s v="NO"/>
    <n v="1"/>
    <m/>
    <m/>
  </r>
  <r>
    <s v="R137"/>
    <x v="8"/>
    <s v="Limited Application of BC Abatement Technologies"/>
    <x v="0"/>
    <n v="21"/>
    <m/>
    <n v="3"/>
    <n v="7"/>
    <n v="8"/>
    <n v="3"/>
    <n v="7"/>
    <n v="7"/>
    <n v="1"/>
    <s v="NO"/>
    <n v="1"/>
    <m/>
    <m/>
  </r>
  <r>
    <s v="R058"/>
    <x v="11"/>
    <s v="Lacking navigation tools"/>
    <x v="0"/>
    <n v="20.41322314049587"/>
    <m/>
    <n v="3.4545454545454546"/>
    <n v="5.9090909090909092"/>
    <n v="76"/>
    <n v="3.4545454545454546"/>
    <n v="65"/>
    <n v="5.9090909090909092"/>
    <n v="11"/>
    <s v="NO"/>
    <n v="11"/>
    <m/>
    <m/>
  </r>
  <r>
    <s v="R005"/>
    <x v="2"/>
    <s v="Lack of data"/>
    <x v="0"/>
    <n v="20"/>
    <m/>
    <n v="4"/>
    <n v="5"/>
    <n v="12"/>
    <n v="4"/>
    <n v="10"/>
    <n v="5"/>
    <n v="2"/>
    <s v="NO"/>
    <n v="2"/>
    <m/>
    <m/>
  </r>
  <r>
    <s v="R012"/>
    <x v="3"/>
    <s v="Variable fuel costs"/>
    <x v="0"/>
    <n v="20"/>
    <m/>
    <n v="4"/>
    <n v="5"/>
    <n v="6"/>
    <n v="4"/>
    <n v="5"/>
    <n v="5"/>
    <n v="1"/>
    <s v="NO"/>
    <n v="1"/>
    <m/>
    <m/>
  </r>
  <r>
    <s v="R013"/>
    <x v="3"/>
    <s v="Variable insurance costs"/>
    <x v="0"/>
    <n v="20"/>
    <m/>
    <n v="4"/>
    <n v="5"/>
    <n v="18"/>
    <n v="4"/>
    <n v="15"/>
    <n v="5"/>
    <n v="3"/>
    <s v="NO"/>
    <n v="3"/>
    <m/>
    <m/>
  </r>
  <r>
    <s v="R018"/>
    <x v="0"/>
    <s v="Climate impacts"/>
    <x v="0"/>
    <n v="20"/>
    <m/>
    <n v="4"/>
    <n v="5"/>
    <n v="6"/>
    <n v="4"/>
    <n v="5"/>
    <n v="5"/>
    <n v="1"/>
    <s v="NO"/>
    <n v="1"/>
    <m/>
    <m/>
  </r>
  <r>
    <s v="R038"/>
    <x v="5"/>
    <s v="Decision failure"/>
    <x v="0"/>
    <n v="20"/>
    <m/>
    <n v="4"/>
    <n v="5"/>
    <n v="6"/>
    <n v="4"/>
    <n v="5"/>
    <n v="5"/>
    <n v="1"/>
    <s v="NO"/>
    <n v="1"/>
    <m/>
    <m/>
  </r>
  <r>
    <s v="R042"/>
    <x v="5"/>
    <s v="Inadequate fairway marking and charting"/>
    <x v="0"/>
    <n v="20"/>
    <m/>
    <n v="4"/>
    <n v="5"/>
    <n v="6"/>
    <n v="4"/>
    <n v="5"/>
    <n v="5"/>
    <n v="1"/>
    <s v="NO"/>
    <n v="1"/>
    <m/>
    <m/>
  </r>
  <r>
    <s v="R047"/>
    <x v="5"/>
    <s v="Operator miscommunication"/>
    <x v="0"/>
    <n v="20"/>
    <m/>
    <n v="4"/>
    <n v="5"/>
    <n v="6"/>
    <n v="4"/>
    <n v="5"/>
    <n v="5"/>
    <n v="1"/>
    <s v="NO"/>
    <n v="1"/>
    <m/>
    <m/>
  </r>
  <r>
    <s v="R057"/>
    <x v="12"/>
    <s v="Lost sense of wildness, isolation, and exclusiveness"/>
    <x v="0"/>
    <n v="20"/>
    <m/>
    <n v="4"/>
    <n v="5"/>
    <n v="6"/>
    <n v="4"/>
    <n v="5"/>
    <n v="5"/>
    <n v="1"/>
    <s v="NO"/>
    <n v="1"/>
    <m/>
    <m/>
  </r>
  <r>
    <s v="R067"/>
    <x v="6"/>
    <s v="Improper buker line-up"/>
    <x v="0"/>
    <n v="20"/>
    <m/>
    <n v="4"/>
    <n v="5"/>
    <n v="6"/>
    <n v="4"/>
    <n v="5"/>
    <n v="5"/>
    <n v="1"/>
    <s v="NO"/>
    <n v="1"/>
    <m/>
    <m/>
  </r>
  <r>
    <s v="R073"/>
    <x v="6"/>
    <s v="Traffic intensification"/>
    <x v="0"/>
    <n v="20"/>
    <m/>
    <n v="4"/>
    <n v="5"/>
    <n v="6"/>
    <n v="4"/>
    <n v="5"/>
    <n v="5"/>
    <n v="1"/>
    <s v="NO"/>
    <n v="1"/>
    <m/>
    <m/>
  </r>
  <r>
    <s v="R077"/>
    <x v="6"/>
    <s v="Vessel equipment and safety"/>
    <x v="0"/>
    <n v="20"/>
    <m/>
    <n v="4"/>
    <n v="5"/>
    <n v="6"/>
    <n v="4"/>
    <n v="5"/>
    <n v="5"/>
    <n v="1"/>
    <s v="NO"/>
    <n v="1"/>
    <m/>
    <m/>
  </r>
  <r>
    <s v="R082"/>
    <x v="10"/>
    <s v="Competing global interests"/>
    <x v="0"/>
    <n v="20"/>
    <m/>
    <n v="4"/>
    <n v="5"/>
    <n v="30"/>
    <n v="4"/>
    <n v="25"/>
    <n v="5"/>
    <n v="5"/>
    <s v="NO"/>
    <n v="5"/>
    <m/>
    <m/>
  </r>
  <r>
    <s v="R096"/>
    <x v="1"/>
    <s v="Acoustic propogation effects"/>
    <x v="0"/>
    <n v="20"/>
    <m/>
    <n v="4"/>
    <n v="5"/>
    <n v="6"/>
    <n v="4"/>
    <n v="5"/>
    <n v="5"/>
    <n v="1"/>
    <s v="NO"/>
    <n v="1"/>
    <m/>
    <m/>
  </r>
  <r>
    <s v="R134"/>
    <x v="8"/>
    <s v="Aids to navigation failure, limitation, or errors"/>
    <x v="0"/>
    <n v="20"/>
    <m/>
    <n v="4"/>
    <n v="5"/>
    <n v="6"/>
    <n v="4"/>
    <n v="5"/>
    <n v="5"/>
    <n v="1"/>
    <s v="NO"/>
    <n v="1"/>
    <m/>
    <m/>
  </r>
  <r>
    <s v="R135"/>
    <x v="8"/>
    <s v="Engine failure"/>
    <x v="0"/>
    <n v="20"/>
    <m/>
    <n v="4"/>
    <n v="5"/>
    <n v="6"/>
    <n v="4"/>
    <n v="5"/>
    <n v="5"/>
    <n v="1"/>
    <s v="NO"/>
    <n v="1"/>
    <m/>
    <m/>
  </r>
  <r>
    <s v="R136"/>
    <x v="8"/>
    <s v="Lacking technological advances"/>
    <x v="0"/>
    <n v="20"/>
    <m/>
    <n v="4"/>
    <n v="5"/>
    <n v="6"/>
    <n v="4"/>
    <n v="5"/>
    <n v="5"/>
    <n v="1"/>
    <s v="NO"/>
    <n v="1"/>
    <m/>
    <m/>
  </r>
  <r>
    <s v="R139"/>
    <x v="8"/>
    <s v="Vessel alarm and sensor malfunction"/>
    <x v="0"/>
    <n v="20"/>
    <m/>
    <n v="4"/>
    <n v="5"/>
    <n v="6"/>
    <n v="4"/>
    <n v="5"/>
    <n v="5"/>
    <n v="1"/>
    <s v="NO"/>
    <n v="1"/>
    <m/>
    <m/>
  </r>
  <r>
    <s v="R081"/>
    <x v="6"/>
    <s v="Vessel-vessel collision"/>
    <x v="0"/>
    <n v="19.5"/>
    <m/>
    <n v="3.25"/>
    <n v="6"/>
    <n v="28"/>
    <n v="3.25"/>
    <n v="24"/>
    <n v="6"/>
    <n v="4"/>
    <s v="NO"/>
    <n v="4"/>
    <m/>
    <m/>
  </r>
  <r>
    <s v="R072"/>
    <x v="6"/>
    <s v="Sinking vessel"/>
    <x v="0"/>
    <n v="19.375"/>
    <m/>
    <n v="2.5"/>
    <n v="7.75"/>
    <n v="35"/>
    <n v="2.5"/>
    <n v="31"/>
    <n v="7.75"/>
    <n v="4"/>
    <s v="NO"/>
    <n v="4"/>
    <m/>
    <m/>
  </r>
  <r>
    <s v="R066"/>
    <x v="6"/>
    <s v="Impact from other vessels"/>
    <x v="1"/>
    <n v="18.888888888888889"/>
    <m/>
    <n v="3.3333333333333335"/>
    <n v="5.666666666666667"/>
    <n v="20"/>
    <n v="3.3333333333333335"/>
    <n v="17"/>
    <n v="5.666666666666667"/>
    <n v="3"/>
    <s v="NO"/>
    <n v="3"/>
    <m/>
    <m/>
  </r>
  <r>
    <s v="R078"/>
    <x v="6"/>
    <s v="Vessel grounding"/>
    <x v="1"/>
    <n v="18.600000000000001"/>
    <m/>
    <n v="3"/>
    <n v="6.2"/>
    <n v="36"/>
    <n v="3"/>
    <n v="31"/>
    <n v="6.2"/>
    <n v="5"/>
    <s v="NO"/>
    <n v="5"/>
    <m/>
    <m/>
  </r>
  <r>
    <s v="R026"/>
    <x v="0"/>
    <s v="Low air temperature"/>
    <x v="1"/>
    <n v="18.559999999999999"/>
    <m/>
    <n v="3.2"/>
    <n v="5.8"/>
    <n v="34"/>
    <n v="3.2"/>
    <n v="29"/>
    <n v="5.8"/>
    <n v="5"/>
    <s v="NO"/>
    <n v="5"/>
    <m/>
    <m/>
  </r>
  <r>
    <s v="R049"/>
    <x v="5"/>
    <s v="Unfamilliar route planning"/>
    <x v="1"/>
    <n v="18.333333333333332"/>
    <m/>
    <n v="3.6666666666666665"/>
    <n v="5"/>
    <n v="18"/>
    <n v="3.6666666666666665"/>
    <n v="15"/>
    <n v="5"/>
    <n v="3"/>
    <s v="NO"/>
    <n v="3"/>
    <m/>
    <m/>
  </r>
  <r>
    <s v="R079"/>
    <x v="6"/>
    <s v="Vessel traffic congestion"/>
    <x v="1"/>
    <n v="18.155709342560552"/>
    <m/>
    <n v="3.1176470588235294"/>
    <n v="5.8235294117647056"/>
    <n v="116"/>
    <n v="3.1176470588235294"/>
    <n v="99"/>
    <n v="5.8235294117647056"/>
    <n v="17"/>
    <s v="NO"/>
    <n v="17"/>
    <m/>
    <m/>
  </r>
  <r>
    <s v="R031"/>
    <x v="0"/>
    <s v="Reduced ecosystem recovery time"/>
    <x v="1"/>
    <n v="18"/>
    <m/>
    <n v="3"/>
    <n v="6"/>
    <n v="28"/>
    <n v="3"/>
    <n v="24"/>
    <n v="6"/>
    <n v="4"/>
    <s v="NO"/>
    <n v="4"/>
    <m/>
    <m/>
  </r>
  <r>
    <s v="R117"/>
    <x v="4"/>
    <s v="Ice thickness"/>
    <x v="1"/>
    <n v="18"/>
    <m/>
    <n v="3"/>
    <n v="6"/>
    <n v="14"/>
    <n v="3"/>
    <n v="12"/>
    <n v="6"/>
    <n v="2"/>
    <s v="NO"/>
    <n v="2"/>
    <m/>
    <m/>
  </r>
  <r>
    <s v="R087"/>
    <x v="10"/>
    <s v="Insufficient Arctic shipping jurisdiction"/>
    <x v="1"/>
    <n v="17.777777777777779"/>
    <m/>
    <n v="3.3333333333333335"/>
    <n v="5.333333333333333"/>
    <n v="38"/>
    <n v="3.3333333333333335"/>
    <n v="32"/>
    <n v="5.333333333333333"/>
    <n v="6"/>
    <s v="NO"/>
    <n v="6"/>
    <m/>
    <m/>
  </r>
  <r>
    <s v="R122"/>
    <x v="4"/>
    <s v="Sea ice melt"/>
    <x v="1"/>
    <n v="17.670000000000002"/>
    <m/>
    <n v="3.1"/>
    <n v="5.7"/>
    <n v="67"/>
    <n v="3.1"/>
    <n v="57"/>
    <n v="5.7"/>
    <n v="10"/>
    <s v="NO"/>
    <n v="10"/>
    <m/>
    <m/>
  </r>
  <r>
    <s v="R014"/>
    <x v="3"/>
    <s v="Variable profit margins"/>
    <x v="1"/>
    <n v="17.5"/>
    <m/>
    <n v="3.5"/>
    <n v="5"/>
    <n v="12"/>
    <n v="3.5"/>
    <n v="10"/>
    <n v="5"/>
    <n v="2"/>
    <s v="NO"/>
    <n v="2"/>
    <m/>
    <m/>
  </r>
  <r>
    <s v="R032"/>
    <x v="0"/>
    <s v="Sea conditions"/>
    <x v="1"/>
    <n v="17.5"/>
    <m/>
    <n v="3.5"/>
    <n v="5"/>
    <n v="12"/>
    <n v="3.5"/>
    <n v="10"/>
    <n v="5"/>
    <n v="2"/>
    <s v="NO"/>
    <n v="2"/>
    <m/>
    <m/>
  </r>
  <r>
    <s v="R040"/>
    <x v="5"/>
    <s v="Human negligence"/>
    <x v="1"/>
    <n v="17.5"/>
    <m/>
    <n v="3.5"/>
    <n v="5"/>
    <n v="12"/>
    <n v="3.5"/>
    <n v="10"/>
    <n v="5"/>
    <n v="2"/>
    <s v="NO"/>
    <n v="2"/>
    <m/>
    <m/>
  </r>
  <r>
    <s v="R045"/>
    <x v="5"/>
    <s v="Lack of operator situational awareness"/>
    <x v="1"/>
    <n v="17.5"/>
    <m/>
    <n v="3.5"/>
    <n v="5"/>
    <n v="12"/>
    <n v="3.5"/>
    <n v="10"/>
    <n v="5"/>
    <n v="2"/>
    <s v="NO"/>
    <n v="2"/>
    <m/>
    <m/>
  </r>
  <r>
    <s v="R064"/>
    <x v="6"/>
    <s v="Fire onboard"/>
    <x v="1"/>
    <n v="17.5"/>
    <m/>
    <n v="3.5"/>
    <n v="5"/>
    <n v="12"/>
    <n v="3.5"/>
    <n v="10"/>
    <n v="5"/>
    <n v="2"/>
    <s v="NO"/>
    <n v="2"/>
    <m/>
    <m/>
  </r>
  <r>
    <s v="R084"/>
    <x v="10"/>
    <s v="Enforceability and accountability limitations regarding laws/regulations"/>
    <x v="1"/>
    <n v="17.5"/>
    <m/>
    <n v="3.5"/>
    <n v="5"/>
    <n v="12"/>
    <n v="3.5"/>
    <n v="10"/>
    <n v="5"/>
    <n v="2"/>
    <s v="NO"/>
    <n v="2"/>
    <m/>
    <m/>
  </r>
  <r>
    <s v="R118"/>
    <x v="4"/>
    <s v="Iceburg presence"/>
    <x v="1"/>
    <n v="17.5"/>
    <m/>
    <n v="2.5"/>
    <n v="7"/>
    <n v="16"/>
    <n v="2.5"/>
    <n v="14"/>
    <n v="7"/>
    <n v="2"/>
    <s v="NO"/>
    <n v="2"/>
    <m/>
    <m/>
  </r>
  <r>
    <s v="R129"/>
    <x v="7"/>
    <s v="Rapid tourism growth"/>
    <x v="1"/>
    <n v="17.5"/>
    <m/>
    <n v="3.5"/>
    <n v="5"/>
    <n v="12"/>
    <n v="3.5"/>
    <n v="10"/>
    <n v="5"/>
    <n v="2"/>
    <s v="NO"/>
    <n v="2"/>
    <m/>
    <m/>
  </r>
  <r>
    <s v="R132"/>
    <x v="7"/>
    <s v="Tourism"/>
    <x v="1"/>
    <n v="17.5"/>
    <m/>
    <n v="3.5"/>
    <n v="5"/>
    <n v="12"/>
    <n v="3.5"/>
    <n v="10"/>
    <n v="5"/>
    <n v="2"/>
    <s v="NO"/>
    <n v="2"/>
    <m/>
    <m/>
  </r>
  <r>
    <s v="R009"/>
    <x v="3"/>
    <s v="Fluctuation in shipping cost"/>
    <x v="1"/>
    <n v="17.367346938775508"/>
    <m/>
    <n v="3.2857142857142856"/>
    <n v="5.2857142857142856"/>
    <n v="44"/>
    <n v="3.2857142857142856"/>
    <n v="37"/>
    <n v="5.2857142857142856"/>
    <n v="7"/>
    <s v="NO"/>
    <n v="7"/>
    <m/>
    <m/>
  </r>
  <r>
    <s v="R048"/>
    <x v="5"/>
    <s v="Ship speeding"/>
    <x v="1"/>
    <n v="17.28"/>
    <m/>
    <n v="3.2"/>
    <n v="5.4"/>
    <n v="32"/>
    <n v="3.2"/>
    <n v="27"/>
    <n v="5.4"/>
    <n v="5"/>
    <s v="NO"/>
    <n v="5"/>
    <m/>
    <m/>
  </r>
  <r>
    <s v="R128"/>
    <x v="7"/>
    <s v="Lacking shipping infrastructure and services"/>
    <x v="1"/>
    <n v="17.076923076923077"/>
    <m/>
    <n v="2.8461538461538463"/>
    <n v="6"/>
    <n v="91"/>
    <n v="2.8461538461538463"/>
    <n v="78"/>
    <n v="6"/>
    <n v="13"/>
    <s v="NO"/>
    <n v="13"/>
    <m/>
    <m/>
  </r>
  <r>
    <s v="R043"/>
    <x v="5"/>
    <s v="Inadequate vessel maintenance"/>
    <x v="1"/>
    <n v="17"/>
    <m/>
    <n v="3"/>
    <n v="5.666666666666667"/>
    <n v="20"/>
    <n v="3"/>
    <n v="17"/>
    <n v="5.666666666666667"/>
    <n v="3"/>
    <s v="NO"/>
    <n v="3"/>
    <m/>
    <m/>
  </r>
  <r>
    <s v="R083"/>
    <x v="10"/>
    <s v="Complex regulations"/>
    <x v="1"/>
    <n v="17"/>
    <m/>
    <n v="3"/>
    <n v="5.666666666666667"/>
    <n v="20"/>
    <n v="3"/>
    <n v="17"/>
    <n v="5.666666666666667"/>
    <n v="3"/>
    <s v="NO"/>
    <n v="3"/>
    <m/>
    <m/>
  </r>
  <r>
    <s v="R006"/>
    <x v="2"/>
    <s v="Lack of risk analysis"/>
    <x v="1"/>
    <n v="16.666666666666668"/>
    <m/>
    <n v="3.3333333333333335"/>
    <n v="5"/>
    <n v="18"/>
    <n v="3.3333333333333335"/>
    <n v="15"/>
    <n v="5"/>
    <n v="3"/>
    <s v="NO"/>
    <n v="3"/>
    <m/>
    <m/>
  </r>
  <r>
    <s v="R123"/>
    <x v="7"/>
    <s v="Absence of layover sites"/>
    <x v="1"/>
    <n v="16.666666666666668"/>
    <m/>
    <n v="3.3333333333333335"/>
    <n v="5"/>
    <n v="18"/>
    <n v="3.3333333333333335"/>
    <n v="15"/>
    <n v="5"/>
    <n v="3"/>
    <s v="NO"/>
    <n v="3"/>
    <m/>
    <m/>
  </r>
  <r>
    <s v="R023"/>
    <x v="0"/>
    <s v="High wind speeds"/>
    <x v="1"/>
    <n v="16.200000000000003"/>
    <m/>
    <n v="3"/>
    <n v="5.4"/>
    <n v="32"/>
    <n v="3"/>
    <n v="27"/>
    <n v="5.4"/>
    <n v="5"/>
    <s v="NO"/>
    <n v="5"/>
    <m/>
    <m/>
  </r>
  <r>
    <s v="R121"/>
    <x v="4"/>
    <s v="Sea ice consentration"/>
    <x v="1"/>
    <n v="15.12"/>
    <m/>
    <n v="2.8"/>
    <n v="5.4"/>
    <n v="32"/>
    <n v="2.8"/>
    <n v="27"/>
    <n v="5.4"/>
    <n v="5"/>
    <s v="NO"/>
    <n v="5"/>
    <m/>
    <m/>
  </r>
  <r>
    <s v="R008"/>
    <x v="3"/>
    <s v="Financial burden to small-scale operators/communities"/>
    <x v="1"/>
    <n v="15"/>
    <m/>
    <n v="3"/>
    <n v="5"/>
    <n v="6"/>
    <n v="3"/>
    <n v="5"/>
    <n v="5"/>
    <n v="1"/>
    <s v="NO"/>
    <n v="1"/>
    <m/>
    <m/>
  </r>
  <r>
    <s v="R010"/>
    <x v="3"/>
    <s v="Lack of insurance information disclosure"/>
    <x v="1"/>
    <n v="15"/>
    <m/>
    <n v="3"/>
    <n v="5"/>
    <n v="6"/>
    <n v="3"/>
    <n v="5"/>
    <n v="5"/>
    <n v="1"/>
    <s v="NO"/>
    <n v="1"/>
    <m/>
    <m/>
  </r>
  <r>
    <s v="R020"/>
    <x v="0"/>
    <s v="Extended darkness"/>
    <x v="1"/>
    <n v="15"/>
    <m/>
    <n v="3"/>
    <n v="5"/>
    <n v="6"/>
    <n v="3"/>
    <n v="5"/>
    <n v="5"/>
    <n v="1"/>
    <s v="NO"/>
    <n v="1"/>
    <m/>
    <m/>
  </r>
  <r>
    <s v="R025"/>
    <x v="0"/>
    <s v="Limited benthic community samples"/>
    <x v="1"/>
    <n v="15"/>
    <m/>
    <n v="3"/>
    <n v="5"/>
    <n v="6"/>
    <n v="3"/>
    <n v="5"/>
    <n v="5"/>
    <n v="1"/>
    <s v="NO"/>
    <n v="1"/>
    <m/>
    <m/>
  </r>
  <r>
    <s v="R028"/>
    <x v="0"/>
    <s v="Marine mammal displacement due to noise"/>
    <x v="1"/>
    <n v="15"/>
    <m/>
    <n v="3"/>
    <n v="5"/>
    <n v="6"/>
    <n v="3"/>
    <n v="5"/>
    <n v="5"/>
    <n v="1"/>
    <s v="NO"/>
    <n v="1"/>
    <m/>
    <m/>
  </r>
  <r>
    <s v="R030"/>
    <x v="0"/>
    <s v="Pysical disturbance to wildlife"/>
    <x v="1"/>
    <n v="15"/>
    <m/>
    <n v="3"/>
    <n v="5"/>
    <n v="6"/>
    <n v="3"/>
    <n v="5"/>
    <n v="5"/>
    <n v="1"/>
    <s v="NO"/>
    <n v="1"/>
    <m/>
    <m/>
  </r>
  <r>
    <s v="R034"/>
    <x v="0"/>
    <s v="Species population migration/change"/>
    <x v="1"/>
    <n v="15"/>
    <m/>
    <n v="3"/>
    <n v="5"/>
    <n v="6"/>
    <n v="3"/>
    <n v="5"/>
    <n v="5"/>
    <n v="1"/>
    <s v="NO"/>
    <n v="1"/>
    <m/>
    <m/>
  </r>
  <r>
    <s v="R056"/>
    <x v="12"/>
    <s v="Community resident safety"/>
    <x v="1"/>
    <n v="15"/>
    <m/>
    <n v="3"/>
    <n v="5"/>
    <n v="6"/>
    <n v="3"/>
    <n v="5"/>
    <n v="5"/>
    <n v="1"/>
    <s v="NO"/>
    <n v="1"/>
    <m/>
    <m/>
  </r>
  <r>
    <s v="R059"/>
    <x v="11"/>
    <s v="Navigational obstacles"/>
    <x v="1"/>
    <n v="15"/>
    <m/>
    <n v="3"/>
    <n v="5"/>
    <n v="6"/>
    <n v="3"/>
    <n v="5"/>
    <n v="5"/>
    <n v="1"/>
    <s v="NO"/>
    <n v="1"/>
    <m/>
    <m/>
  </r>
  <r>
    <s v="R061"/>
    <x v="6"/>
    <s v="Bunker connection hose damaged/ruptured"/>
    <x v="1"/>
    <n v="15"/>
    <m/>
    <n v="3"/>
    <n v="5"/>
    <n v="6"/>
    <n v="3"/>
    <n v="5"/>
    <n v="5"/>
    <n v="1"/>
    <s v="NO"/>
    <n v="1"/>
    <m/>
    <m/>
  </r>
  <r>
    <s v="R062"/>
    <x v="6"/>
    <s v="Bunkering operations"/>
    <x v="1"/>
    <n v="15"/>
    <m/>
    <n v="3"/>
    <n v="5"/>
    <n v="6"/>
    <n v="3"/>
    <n v="5"/>
    <n v="5"/>
    <n v="1"/>
    <s v="NO"/>
    <n v="1"/>
    <m/>
    <m/>
  </r>
  <r>
    <s v="R065"/>
    <x v="6"/>
    <s v="Fuel consumption"/>
    <x v="1"/>
    <n v="15"/>
    <m/>
    <n v="3"/>
    <n v="5"/>
    <n v="6"/>
    <n v="3"/>
    <n v="5"/>
    <n v="5"/>
    <n v="1"/>
    <s v="NO"/>
    <n v="1"/>
    <m/>
    <m/>
  </r>
  <r>
    <s v="R068"/>
    <x v="6"/>
    <s v="Inadequate bunkering planning"/>
    <x v="1"/>
    <n v="15"/>
    <m/>
    <n v="3"/>
    <n v="5"/>
    <n v="6"/>
    <n v="3"/>
    <n v="5"/>
    <n v="5"/>
    <n v="1"/>
    <s v="NO"/>
    <n v="1"/>
    <m/>
    <m/>
  </r>
  <r>
    <s v="R071"/>
    <x v="6"/>
    <s v="Ship stuck in ice"/>
    <x v="1"/>
    <n v="15"/>
    <m/>
    <n v="3"/>
    <n v="5"/>
    <n v="12"/>
    <n v="3"/>
    <n v="10"/>
    <n v="5"/>
    <n v="2"/>
    <s v="NO"/>
    <n v="2"/>
    <m/>
    <m/>
  </r>
  <r>
    <s v="R075"/>
    <x v="6"/>
    <s v="Unsafe re-fueling operations"/>
    <x v="1"/>
    <n v="15"/>
    <m/>
    <n v="3"/>
    <n v="5"/>
    <n v="6"/>
    <n v="3"/>
    <n v="5"/>
    <n v="5"/>
    <n v="1"/>
    <s v="NO"/>
    <n v="1"/>
    <m/>
    <m/>
  </r>
  <r>
    <s v="R085"/>
    <x v="10"/>
    <s v="Geo-cultural differences"/>
    <x v="1"/>
    <n v="15"/>
    <m/>
    <n v="3"/>
    <n v="5"/>
    <n v="6"/>
    <n v="3"/>
    <n v="5"/>
    <n v="5"/>
    <n v="1"/>
    <s v="NO"/>
    <n v="1"/>
    <m/>
    <m/>
  </r>
  <r>
    <s v="R089"/>
    <x v="10"/>
    <s v="Legal dispute over northwest passage staus"/>
    <x v="1"/>
    <n v="15"/>
    <m/>
    <n v="3"/>
    <n v="5"/>
    <n v="6"/>
    <n v="3"/>
    <n v="5"/>
    <n v="5"/>
    <n v="1"/>
    <s v="NO"/>
    <n v="1"/>
    <m/>
    <m/>
  </r>
  <r>
    <s v="R090"/>
    <x v="10"/>
    <s v="Priacy"/>
    <x v="1"/>
    <n v="15"/>
    <m/>
    <n v="3"/>
    <n v="5"/>
    <n v="6"/>
    <n v="3"/>
    <n v="5"/>
    <n v="5"/>
    <n v="1"/>
    <s v="NO"/>
    <n v="1"/>
    <m/>
    <m/>
  </r>
  <r>
    <s v="R092"/>
    <x v="10"/>
    <s v="Territorial claims"/>
    <x v="1"/>
    <n v="15"/>
    <m/>
    <n v="3"/>
    <n v="5"/>
    <n v="6"/>
    <n v="3"/>
    <n v="5"/>
    <n v="5"/>
    <n v="1"/>
    <s v="NO"/>
    <n v="1"/>
    <m/>
    <m/>
  </r>
  <r>
    <s v="R093"/>
    <x v="10"/>
    <s v="Trading implications/competitions"/>
    <x v="1"/>
    <n v="15"/>
    <m/>
    <n v="3"/>
    <n v="5"/>
    <n v="6"/>
    <n v="3"/>
    <n v="5"/>
    <n v="5"/>
    <n v="1"/>
    <s v="NO"/>
    <n v="1"/>
    <m/>
    <m/>
  </r>
  <r>
    <s v="R094"/>
    <x v="10"/>
    <s v="Ununified technical standards"/>
    <x v="1"/>
    <n v="15"/>
    <m/>
    <n v="3"/>
    <n v="5"/>
    <n v="6"/>
    <n v="3"/>
    <n v="5"/>
    <n v="5"/>
    <n v="1"/>
    <s v="NO"/>
    <n v="1"/>
    <m/>
    <m/>
  </r>
  <r>
    <s v="R100"/>
    <x v="1"/>
    <s v="Black carbon land deposition"/>
    <x v="1"/>
    <n v="15"/>
    <m/>
    <n v="3"/>
    <n v="5"/>
    <n v="6"/>
    <n v="3"/>
    <n v="5"/>
    <n v="5"/>
    <n v="1"/>
    <s v="NO"/>
    <n v="1"/>
    <m/>
    <m/>
  </r>
  <r>
    <s v="R102"/>
    <x v="1"/>
    <s v="Chemical pollution due to Sills"/>
    <x v="1"/>
    <n v="15"/>
    <m/>
    <n v="3"/>
    <n v="5"/>
    <n v="6"/>
    <n v="3"/>
    <n v="5"/>
    <n v="5"/>
    <n v="1"/>
    <s v="NO"/>
    <n v="1"/>
    <m/>
    <m/>
  </r>
  <r>
    <s v="R107"/>
    <x v="1"/>
    <s v="Above-water noise pollution"/>
    <x v="1"/>
    <n v="15"/>
    <m/>
    <n v="3"/>
    <n v="5"/>
    <n v="6"/>
    <n v="3"/>
    <n v="5"/>
    <n v="5"/>
    <n v="1"/>
    <s v="NO"/>
    <n v="1"/>
    <m/>
    <m/>
  </r>
  <r>
    <s v="R124"/>
    <x v="7"/>
    <s v="Accessibility to local communities"/>
    <x v="1"/>
    <n v="15"/>
    <m/>
    <n v="3"/>
    <n v="5"/>
    <n v="6"/>
    <n v="3"/>
    <n v="5"/>
    <n v="5"/>
    <n v="1"/>
    <s v="NO"/>
    <n v="1"/>
    <m/>
    <m/>
  </r>
  <r>
    <s v="R126"/>
    <x v="7"/>
    <s v="Innaproporeate tourist behavior"/>
    <x v="1"/>
    <n v="15"/>
    <m/>
    <n v="3"/>
    <n v="5"/>
    <n v="6"/>
    <n v="3"/>
    <n v="5"/>
    <n v="5"/>
    <n v="1"/>
    <s v="NO"/>
    <n v="1"/>
    <m/>
    <m/>
  </r>
  <r>
    <s v="R002"/>
    <x v="2"/>
    <s v="Field-model descrepencies"/>
    <x v="1"/>
    <n v="14"/>
    <m/>
    <n v="2"/>
    <n v="7"/>
    <n v="8"/>
    <n v="2"/>
    <n v="7"/>
    <n v="7"/>
    <n v="1"/>
    <s v="NO"/>
    <n v="1"/>
    <m/>
    <m/>
  </r>
  <r>
    <s v="R088"/>
    <x v="10"/>
    <s v="Lack of clear policy and/or regulations"/>
    <x v="1"/>
    <n v="13.333333333333332"/>
    <m/>
    <n v="2.6666666666666665"/>
    <n v="5"/>
    <n v="18"/>
    <n v="2.6666666666666665"/>
    <n v="15"/>
    <n v="5"/>
    <n v="3"/>
    <s v="NO"/>
    <n v="3"/>
    <m/>
    <m/>
  </r>
  <r>
    <s v="R001"/>
    <x v="2"/>
    <s v="Dependance on climate modelling"/>
    <x v="1"/>
    <n v="12"/>
    <m/>
    <n v="4"/>
    <n v="3"/>
    <n v="4"/>
    <n v="4"/>
    <n v="3"/>
    <n v="3"/>
    <n v="1"/>
    <s v="NO"/>
    <n v="1"/>
    <m/>
    <m/>
  </r>
  <r>
    <s v="R016"/>
    <x v="0"/>
    <s v="Animal disturbance"/>
    <x v="1"/>
    <n v="12"/>
    <m/>
    <n v="2"/>
    <n v="6"/>
    <n v="14"/>
    <n v="2"/>
    <n v="12"/>
    <n v="6"/>
    <n v="2"/>
    <s v="NO"/>
    <n v="2"/>
    <m/>
    <m/>
  </r>
  <r>
    <s v="R055"/>
    <x v="12"/>
    <s v="Community impact"/>
    <x v="1"/>
    <n v="10"/>
    <m/>
    <n v="1"/>
    <n v="10"/>
    <n v="11"/>
    <n v="1"/>
    <n v="10"/>
    <n v="10"/>
    <n v="1"/>
    <s v="NO"/>
    <n v="1"/>
    <m/>
    <m/>
  </r>
  <r>
    <s v="R007"/>
    <x v="2"/>
    <s v="Lacking modelling"/>
    <x v="1"/>
    <n v="9"/>
    <m/>
    <n v="1.5"/>
    <n v="6"/>
    <n v="14"/>
    <n v="1.5"/>
    <n v="12"/>
    <n v="6"/>
    <n v="2"/>
    <s v="NO"/>
    <n v="2"/>
    <m/>
    <m/>
  </r>
  <r>
    <s v="R060"/>
    <x v="11"/>
    <s v="No toll requirements"/>
    <x v="1"/>
    <n v="7"/>
    <m/>
    <n v="1"/>
    <n v="7"/>
    <n v="8"/>
    <n v="1"/>
    <n v="7"/>
    <n v="7"/>
    <n v="1"/>
    <s v="NO"/>
    <n v="1"/>
    <m/>
    <m/>
  </r>
  <r>
    <s v="R110"/>
    <x v="1"/>
    <s v="Oil spill harms to marine life"/>
    <x v="1"/>
    <n v="7"/>
    <m/>
    <n v="1"/>
    <n v="7"/>
    <n v="8"/>
    <n v="1"/>
    <n v="7"/>
    <n v="7"/>
    <n v="1"/>
    <s v="NO"/>
    <n v="1"/>
    <m/>
    <m/>
  </r>
  <r>
    <s v="R050"/>
    <x v="5"/>
    <s v="Vessel-barge bunkering communication"/>
    <x v="1"/>
    <n v="6"/>
    <m/>
    <n v="2"/>
    <n v="3"/>
    <n v="4"/>
    <n v="2"/>
    <n v="3"/>
    <n v="3"/>
    <n v="1"/>
    <s v="NO"/>
    <n v="1"/>
    <m/>
    <m/>
  </r>
  <r>
    <s v="R125"/>
    <x v="7"/>
    <s v="Inadeqaute tools for socioeconomic imapct assessment"/>
    <x v="2"/>
    <n v="5"/>
    <m/>
    <n v="1"/>
    <n v="5"/>
    <n v="6"/>
    <n v="1"/>
    <n v="5"/>
    <n v="5"/>
    <n v="1"/>
    <s v="NO"/>
    <n v="1"/>
    <m/>
    <m/>
  </r>
  <r>
    <s v="R095"/>
    <x v="10"/>
    <s v="Violence or violent acts"/>
    <x v="2"/>
    <n v="1"/>
    <m/>
    <n v="1"/>
    <n v="1"/>
    <n v="2"/>
    <n v="1"/>
    <n v="1"/>
    <n v="1"/>
    <n v="1"/>
    <s v="NO"/>
    <n v="1"/>
    <m/>
    <m/>
  </r>
  <r>
    <m/>
    <x v="13"/>
    <m/>
    <x v="3"/>
    <m/>
    <m/>
    <m/>
    <m/>
    <m/>
    <m/>
    <m/>
    <m/>
    <m/>
    <m/>
    <m/>
    <m/>
    <m/>
  </r>
  <r>
    <m/>
    <x v="13"/>
    <m/>
    <x v="3"/>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0527F1-1D0B-AF4C-AE38-250268D2A78B}"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8" firstHeaderRow="0" firstDataRow="1" firstDataCol="1"/>
  <pivotFields count="17">
    <pivotField showAll="0"/>
    <pivotField axis="axisRow" showAll="0">
      <items count="15">
        <item x="2"/>
        <item x="3"/>
        <item x="0"/>
        <item x="5"/>
        <item x="9"/>
        <item x="12"/>
        <item x="11"/>
        <item x="6"/>
        <item x="10"/>
        <item x="1"/>
        <item x="4"/>
        <item x="7"/>
        <item x="8"/>
        <item x="13"/>
        <item t="default"/>
      </items>
    </pivotField>
    <pivotField showAll="0"/>
    <pivotField showAll="0">
      <items count="5">
        <item x="0"/>
        <item x="1"/>
        <item x="2"/>
        <item x="3"/>
        <item t="default"/>
      </items>
    </pivotField>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1"/>
  </rowFields>
  <rowItems count="15">
    <i>
      <x/>
    </i>
    <i>
      <x v="1"/>
    </i>
    <i>
      <x v="2"/>
    </i>
    <i>
      <x v="3"/>
    </i>
    <i>
      <x v="4"/>
    </i>
    <i>
      <x v="5"/>
    </i>
    <i>
      <x v="6"/>
    </i>
    <i>
      <x v="7"/>
    </i>
    <i>
      <x v="8"/>
    </i>
    <i>
      <x v="9"/>
    </i>
    <i>
      <x v="10"/>
    </i>
    <i>
      <x v="11"/>
    </i>
    <i>
      <x v="12"/>
    </i>
    <i>
      <x v="13"/>
    </i>
    <i t="grand">
      <x/>
    </i>
  </rowItems>
  <colFields count="1">
    <field x="-2"/>
  </colFields>
  <colItems count="2">
    <i>
      <x/>
    </i>
    <i i="1">
      <x v="1"/>
    </i>
  </colItems>
  <dataFields count="2">
    <dataField name="Average of RiskScore" fld="4" subtotal="average" baseField="0" baseItem="0"/>
    <dataField name="Count of data_score_quantity" fld="14" subtotal="count" baseField="0" baseItem="0"/>
  </dataFields>
  <formats count="1">
    <format dxfId="90">
      <pivotArea collapsedLevelsAreSubtotals="1" fieldPosition="0">
        <references count="2">
          <reference field="4294967294" count="1" selected="0">
            <x v="0"/>
          </reference>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588ACC-FA7A-7C4F-B7BD-17040E52E357}" name="FMECA" displayName="FMECA" ref="A1:AA864" totalsRowShown="0" headerRowDxfId="239">
  <autoFilter ref="A1:AA864" xr:uid="{05588ACC-FA7A-7C4F-B7BD-17040E52E357}"/>
  <tableColumns count="27">
    <tableColumn id="1" xr3:uid="{93D0E4C8-756C-E647-A022-FBA9844A965B}" name="article_code" dataDxfId="238"/>
    <tableColumn id="2" xr3:uid="{09935B74-94C5-8944-8C28-C850AD61A4E6}" name="source" dataDxfId="237"/>
    <tableColumn id="20" xr3:uid="{36AA89FD-639A-2946-B459-3C963EF3AA8B}" name="query" dataDxfId="236"/>
    <tableColumn id="3" xr3:uid="{7E3BE6E2-1BD2-584E-AAF1-E1616348BE0F}" name="first_author" dataDxfId="235"/>
    <tableColumn id="4" xr3:uid="{F1C6D295-BBE5-7D44-99F3-E416C3074290}" name="DOI" dataDxfId="234"/>
    <tableColumn id="8" xr3:uid="{FFE63A1F-E894-4A49-A13B-D87CC21B2D97}" name="article_title" dataDxfId="233"/>
    <tableColumn id="5" xr3:uid="{87EBCF33-8A5F-5246-8E8B-0E45ECA75156}" name="HazardRisk" dataDxfId="232">
      <calculatedColumnFormula>_xlfn.XLOOKUP(FMECA[[#This Row],[HazardRisk_name]],categories[HazardRisk_Name],categories[HazardRisk])</calculatedColumnFormula>
    </tableColumn>
    <tableColumn id="7" xr3:uid="{7C458F7C-DE49-8549-9CD9-7D0A92BA8E94}" name="category" dataDxfId="231">
      <calculatedColumnFormula>_xlfn.XLOOKUP(FMECA[[#This Row],[HazardRisk_name]],categories[HazardRisk_Name],categories[Category])</calculatedColumnFormula>
    </tableColumn>
    <tableColumn id="6" xr3:uid="{11DA3FF6-93ED-AB41-B4BB-F915849333C4}" name="HazardRisk_name" dataDxfId="230"/>
    <tableColumn id="21" xr3:uid="{8FDD3F08-2EDA-0344-ACBC-EBBD87FCF337}" name="probability_value" dataDxfId="229"/>
    <tableColumn id="14" xr3:uid="{34F98AC0-CEBD-2449-A3E1-7042B6BC8FCA}" name="probability_ex" dataDxfId="228"/>
    <tableColumn id="22" xr3:uid="{03AA4CA1-B792-AA4C-9375-6D3FCFF0A383}" name="consequence_value" dataDxfId="227"/>
    <tableColumn id="16" xr3:uid="{877B8DB7-95E9-804E-810E-2758540AA0BD}" name="consequence_ex" dataDxfId="226"/>
    <tableColumn id="24" xr3:uid="{9B5DB001-EC0A-8646-B175-7A1386FD271E}" name="Score" dataDxfId="225">
      <calculatedColumnFormula>FMECA[[#This Row],[probability_value]]*FMECA[[#This Row],[consequence_value]]</calculatedColumnFormula>
    </tableColumn>
    <tableColumn id="25" xr3:uid="{2A1E9B44-0E04-844F-B008-B5DAE901321E}" name="RR" dataDxfId="224">
      <calculatedColumnFormula>IF(AND(FMECA[[#This Row],[Score]]&gt;=0, 9&gt;=FMECA[[#This Row],[Score]]), "UNDETECTABLE", IF(AND(FMECA[[#This Row],[Score]]&gt;=10, 24&gt;=FMECA[[#This Row],[Score]]), "MODERATE", IF(AND(FMECA[[#This Row],[Score]]&gt;=25, 35&gt;=FMECA[[#This Row],[Score]]), "HIGH", IF(AND(FMECA[[#This Row],[Score]]&gt;=36, 50&gt;=FMECA[[#This Row],[Score]]), "VERY HIGH", "Check Formula"))))</calculatedColumnFormula>
    </tableColumn>
    <tableColumn id="26" xr3:uid="{1ADD7148-9D11-0F47-A2F7-C6FF1C638DBA}" name="StudyType" dataDxfId="223"/>
    <tableColumn id="27" xr3:uid="{3CC8FA24-8E45-D34F-97F8-E8F6D7B7BDCD}" name="availability" dataDxfId="222"/>
    <tableColumn id="28" xr3:uid="{B4671240-5244-034A-9F8D-E4D9F7B17F76}" name="study_region" dataDxfId="221"/>
    <tableColumn id="29" xr3:uid="{6A1136A2-2221-264D-85E2-D75886C40720}" name="datatype" dataDxfId="220"/>
    <tableColumn id="10" xr3:uid="{3F8FFB25-2617-0B49-BD9C-5F6FC4BE80CC}" name="data_deficient" dataDxfId="219"/>
    <tableColumn id="9" xr3:uid="{B4CC2902-6CE1-5142-A484-E20002A45ABB}" name="cause_list"/>
    <tableColumn id="11" xr3:uid="{FF16BDCA-95E5-5B40-ABCB-01AED1F2AFB8}" name="cause_direct_indirect"/>
    <tableColumn id="13" xr3:uid="{BD883A6E-6AA8-3348-9F65-AC94D454AE48}" name="consequence_list"/>
    <tableColumn id="15" xr3:uid="{B2060C28-1096-0F46-A872-1539C0B674D8}" name="conseq_direct_indirect"/>
    <tableColumn id="12" xr3:uid="{806A665B-9B78-6F47-BEDA-0D97413FDA13}" name="control_cat"/>
    <tableColumn id="17" xr3:uid="{84CB8001-4443-6142-8FD8-6794C1198E16}" name="control_name"/>
    <tableColumn id="18" xr3:uid="{25206284-6F87-F64C-B158-C469B447392D}" name="control_operation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6F002B6-3895-164D-9F10-8093E7FA785D}" name="Table3" displayName="Table3" ref="A1:AJ155" totalsRowShown="0" headerRowDxfId="218" dataDxfId="217">
  <autoFilter ref="A1:AJ155" xr:uid="{E6F002B6-3895-164D-9F10-8093E7FA785D}"/>
  <sortState xmlns:xlrd2="http://schemas.microsoft.com/office/spreadsheetml/2017/richdata2" ref="A2:AI138">
    <sortCondition ref="A1:A138"/>
  </sortState>
  <tableColumns count="36">
    <tableColumn id="1" xr3:uid="{3A00BE39-4E74-C14A-95C3-1AF1D934A36C}" name="HazardRisk_id" dataDxfId="216"/>
    <tableColumn id="19" xr3:uid="{2ED7B5FF-C26C-F94B-81D7-FB1FE2776942}" name="HazRisk_category" dataDxfId="215">
      <calculatedColumnFormula>VLOOKUP(Table3[[#This Row],[HazardRisk_id]], categories[], 5, FALSE)</calculatedColumnFormula>
    </tableColumn>
    <tableColumn id="2" xr3:uid="{3ECC1C16-56BE-7B47-9CB1-39741733133B}" name="HazardRisk_name" dataDxfId="214">
      <calculatedColumnFormula>VLOOKUP(Table3[[#This Row],[HazardRisk_id]], categories[], 2, FALSE)</calculatedColumnFormula>
    </tableColumn>
    <tableColumn id="3" xr3:uid="{4E3D9C3E-7F0C-FA48-B3C4-FAB40453FD7E}" name="HazardRisk_desc" dataDxfId="213">
      <calculatedColumnFormula>VLOOKUP(Table3[[#This Row],[HazardRisk_id]], categories[], 3, FALSE)</calculatedColumnFormula>
    </tableColumn>
    <tableColumn id="4" xr3:uid="{9028C7C5-4B80-9D42-AEA8-2B5E92049AF9}" name="risk_counts" dataDxfId="212">
      <calculatedColumnFormula>COUNTIFS(FMECA[HazardRisk_name],Table3[[#This Row],[HazardRisk_name]])</calculatedColumnFormula>
    </tableColumn>
    <tableColumn id="5" xr3:uid="{A759EFC8-5CFA-5B43-876D-25E2B4153919}" name="rh_likelihood" dataDxfId="211">
      <calculatedColumnFormula>SUMIFS(FMECA[probability_value], FMECA[HazardRisk_name], Table3[[#This Row],[HazardRisk_name]])</calculatedColumnFormula>
    </tableColumn>
    <tableColumn id="17" xr3:uid="{D5482255-0DFC-CD4A-9532-6308890040CB}" name="rh_likelihood_mean" dataDxfId="210">
      <calculatedColumnFormula>AVERAGEIFS(FMECA[probability_value],FMECA[HazardRisk_name],Table3[[#This Row],[HazardRisk_name]])</calculatedColumnFormula>
    </tableColumn>
    <tableColumn id="28" xr3:uid="{15F91948-7667-1C4F-92D8-5EC09F587D01}" name="likelihood_sd" dataDxfId="209">
      <calculatedColumnFormula array="1">STDEVP(IF(FMECA[HazardRisk_name]=Table3[[#This Row],[HazardRisk_name]],FMECA[probability_value]))</calculatedColumnFormula>
    </tableColumn>
    <tableColumn id="6" xr3:uid="{05848267-807E-B743-ACB1-06F5E53B8B7C}" name="rh_severity" dataDxfId="208">
      <calculatedColumnFormula>SUMIFS(FMECA[consequence_value], FMECA[HazardRisk_name], Table3[[#This Row],[HazardRisk_name]])</calculatedColumnFormula>
    </tableColumn>
    <tableColumn id="18" xr3:uid="{EB0D1010-62B4-9146-A343-453556D75BF6}" name="rh_severity_mean" dataDxfId="207">
      <calculatedColumnFormula>AVERAGEIFS(FMECA[consequence_value],FMECA[HazardRisk_name],Table3[[#This Row],[HazardRisk_name]])</calculatedColumnFormula>
    </tableColumn>
    <tableColumn id="34" xr3:uid="{7F91131A-6E1F-394C-BE7D-CDEC351E7B2E}" name="severity_sd" dataDxfId="206">
      <calculatedColumnFormula array="1">STDEVP(IF(FMECA[HazardRisk_name]=Table3[[#This Row],[HazardRisk_name]],FMECA[consequence_value]))</calculatedColumnFormula>
    </tableColumn>
    <tableColumn id="13" xr3:uid="{84F5CDBE-0AF5-F74E-B8F3-A14E440A5FA3}" name="RR_score_avg" dataDxfId="205">
      <calculatedColumnFormula>AVERAGEIFS(FMECA[Score],FMECA[HazardRisk_name],Table3[[#This Row],[HazardRisk_name]])</calculatedColumnFormula>
    </tableColumn>
    <tableColumn id="29" xr3:uid="{CA84AFE4-AD30-B340-9B2E-475FF03AB420}" name="RR_sd" dataDxfId="204">
      <calculatedColumnFormula array="1">STDEVP(IF(FMECA[HazardRisk_name]=Table3[[#This Row],[HazardRisk_name]],FMECA[Score]))</calculatedColumnFormula>
    </tableColumn>
    <tableColumn id="30" xr3:uid="{BD38733B-2E88-5E4C-B13B-5D8920896206}" name="theoretical" dataDxfId="203">
      <calculatedColumnFormula>COUNTIFS(FMECA_data!P:P, "Theoretical", FMECA_data!I:I,Table3[[#This Row],[HazardRisk_name]])</calculatedColumnFormula>
    </tableColumn>
    <tableColumn id="31" xr3:uid="{FABD9F8E-0F32-014C-9D45-437BD2249BFC}" name="observational" dataDxfId="202">
      <calculatedColumnFormula>COUNTIFS(FMECA_data!P:P, "Observational", FMECA_data!I:I,Table3[[#This Row],[HazardRisk_name]])</calculatedColumnFormula>
    </tableColumn>
    <tableColumn id="32" xr3:uid="{A2DB6463-63D7-3342-B861-6950605C5419}" name="hybrid" dataDxfId="201">
      <calculatedColumnFormula>COUNTIFS(FMECA_data!P:P, "Hybrid", FMECA_data!I:I,Table3[[#This Row],[HazardRisk_name]])</calculatedColumnFormula>
    </tableColumn>
    <tableColumn id="33" xr3:uid="{35EE24D1-0405-0C41-ABD9-5E44A3FF9944}" name="modelling" dataDxfId="200">
      <calculatedColumnFormula>COUNTIFS(FMECA_data!P:P, "Modelling", FMECA_data!I:I,Table3[[#This Row],[HazardRisk_name]])</calculatedColumnFormula>
    </tableColumn>
    <tableColumn id="9" xr3:uid="{00F2427F-540E-044A-BF61-1522E6650BBB}" name="data_defficient_count" dataDxfId="199">
      <calculatedColumnFormula>COUNTIFS(FMECA[data_deficient], "Yes",FMECA[HazardRisk_name],Table3[[#This Row],[HazardRisk_name]])</calculatedColumnFormula>
    </tableColumn>
    <tableColumn id="10" xr3:uid="{2C922410-2354-3743-B8AD-ECB461CCBD46}" name="data_availability_count" dataDxfId="198">
      <calculatedColumnFormula>(COUNTIFS(FMECA[availability], "Yes",FMECA[HazardRisk_name],Table3[[#This Row],[HazardRisk_name]])) + (COUNTIFS(FMECA[availability], "Available",FMECA[HazardRisk_name],Table3[[#This Row],[HazardRisk_name]]))</calculatedColumnFormula>
    </tableColumn>
    <tableColumn id="20" xr3:uid="{490D1B6D-538C-2243-99E9-8F4F1CEE7FEB}" name="vh_count" dataDxfId="197">
      <calculatedColumnFormula>COUNTIFS(FMECA[RR], "VERY HIGH",FMECA[HazardRisk_name],Table3[[#This Row],[HazardRisk_name]])</calculatedColumnFormula>
    </tableColumn>
    <tableColumn id="21" xr3:uid="{49B30524-947C-8F4D-9F77-14058A8FE743}" name="vh_pct" dataDxfId="196" dataCellStyle="Percent">
      <calculatedColumnFormula>Table3[[#This Row],[vh_count]]/Table3[[#This Row],[risk_counts]]</calculatedColumnFormula>
    </tableColumn>
    <tableColumn id="22" xr3:uid="{A9A4A11D-D888-7F45-A92F-97953F3E32D1}" name="h_count" dataDxfId="195">
      <calculatedColumnFormula>COUNTIFS(FMECA[RR], "HIGH",FMECA[HazardRisk_name],Table3[[#This Row],[HazardRisk_name]])</calculatedColumnFormula>
    </tableColumn>
    <tableColumn id="23" xr3:uid="{8473BB28-4D70-4E44-B084-2EA2BA7456C6}" name="h_pct" dataDxfId="194" dataCellStyle="Percent">
      <calculatedColumnFormula>Table3[[#This Row],[h_count]]/Table3[[#This Row],[risk_counts]]</calculatedColumnFormula>
    </tableColumn>
    <tableColumn id="24" xr3:uid="{E795FEB4-9B62-F246-A901-DEA57B2AD1D5}" name="m_count" dataDxfId="193">
      <calculatedColumnFormula>COUNTIFS(FMECA[RR], "MODERATE",FMECA[HazardRisk_name],Table3[[#This Row],[HazardRisk_name]])</calculatedColumnFormula>
    </tableColumn>
    <tableColumn id="25" xr3:uid="{EC2705EF-33A2-8D42-B602-18E586F9C18D}" name="m_pct" dataDxfId="192" dataCellStyle="Percent">
      <calculatedColumnFormula>Table3[[#This Row],[m_count]]/Table3[[#This Row],[risk_counts]]</calculatedColumnFormula>
    </tableColumn>
    <tableColumn id="26" xr3:uid="{50FC7D4B-3A41-8045-BAD2-3F670AE993CF}" name="l_count" dataDxfId="191">
      <calculatedColumnFormula>COUNTIFS(FMECA[RR], "UNDETECTABLE",FMECA[HazardRisk_name],Table3[[#This Row],[HazardRisk_name]])</calculatedColumnFormula>
    </tableColumn>
    <tableColumn id="27" xr3:uid="{EAD40691-DE70-A341-BBDE-D857B909E3E7}" name="l_pct" dataDxfId="190" dataCellStyle="Percent">
      <calculatedColumnFormula>Table3[[#This Row],[l_count]]/Table3[[#This Row],[risk_counts]]</calculatedColumnFormula>
    </tableColumn>
    <tableColumn id="7" xr3:uid="{07E7355E-21A8-0D46-B44C-27459A168BB6}" name="cause_list" dataDxfId="189"/>
    <tableColumn id="8" xr3:uid="{68CABA8F-E959-0943-A610-6198A488FFE4}" name="cause_direct_indirect" dataDxfId="188"/>
    <tableColumn id="11" xr3:uid="{C0B8FA53-89AB-8F40-8240-74AAE4F80B2F}" name="consequence_list" dataDxfId="187"/>
    <tableColumn id="12" xr3:uid="{8A017208-A3D9-BC43-838B-6D10867CD9D4}" name="consequence_direct_indirect" dataDxfId="186"/>
    <tableColumn id="14" xr3:uid="{DBF188D7-AE2A-C340-B715-CC3EC9F26ED6}" name="control_cat" dataDxfId="185"/>
    <tableColumn id="15" xr3:uid="{BC0F91B8-7796-1D4E-8CD0-A474D9A2D0A5}" name="controls" dataDxfId="184"/>
    <tableColumn id="35" xr3:uid="{B3B19861-8790-FD42-AE8F-8315AD2224FE}" name="control_operational" dataDxfId="183"/>
    <tableColumn id="16" xr3:uid="{B60036CC-B501-D048-AB7C-19DA7D62FCCF}" name="HazardRisk" dataDxfId="182">
      <calculatedColumnFormula>VLOOKUP(Table3[[#This Row],[HazardRisk_id]], categories[], 4, FALSE)</calculatedColumnFormula>
    </tableColumn>
    <tableColumn id="36" xr3:uid="{D929B7F0-9C8B-1748-AC81-FBBC2D04AECC}" name="Unknown_Availability" dataDxfId="181">
      <calculatedColumnFormula>(COUNTIFS(FMECA[availability], "Unknown",FMECA[HazardRisk_name],Table3[[#This Row],[HazardRisk_name]]))</calculatedColumnFormula>
    </tableColum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11A520B-2E9A-C54F-A8CF-4C69DAD87662}" name="Table4" displayName="Table4" ref="A1:AX155" totalsRowShown="0" headerRowDxfId="180" dataDxfId="179">
  <autoFilter ref="A1:AX155" xr:uid="{111A520B-2E9A-C54F-A8CF-4C69DAD87662}">
    <filterColumn colId="1">
      <filters>
        <filter val="Hazard"/>
      </filters>
    </filterColumn>
  </autoFilter>
  <tableColumns count="50">
    <tableColumn id="1" xr3:uid="{0E8F2CEB-9A84-9040-A971-D5795BD4AA78}" name="risk_id" dataDxfId="178"/>
    <tableColumn id="13" xr3:uid="{D385864F-4DCB-BE4D-BCCF-E457375E27B3}" name="HazardRisk" dataDxfId="177">
      <calculatedColumnFormula>VLOOKUP(Table4[[#This Row],[risk_id]], Table3[], 35, FALSE)</calculatedColumnFormula>
    </tableColumn>
    <tableColumn id="2" xr3:uid="{475959CA-D6E7-B34B-9A60-D221BCCEE817}" name="HazardRisk_Category" dataDxfId="176">
      <calculatedColumnFormula>VLOOKUP(Table4[[#This Row],[risk_id]], Table3[], 2, FALSE)</calculatedColumnFormula>
    </tableColumn>
    <tableColumn id="3" xr3:uid="{E4D6E0D6-2323-6A4F-B375-B92FE3F3FC6A}" name="HazardRiskName" dataDxfId="175">
      <calculatedColumnFormula>VLOOKUP(Table4[[#This Row],[risk_id]], Table3[], 3, FALSE)</calculatedColumnFormula>
    </tableColumn>
    <tableColumn id="7" xr3:uid="{D08A68B4-ABC0-C947-B5DB-D263F59A9F8F}" name="RiskRating" dataDxfId="174">
      <calculatedColumnFormula>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calculatedColumnFormula>
    </tableColumn>
    <tableColumn id="8" xr3:uid="{9627B62E-EB86-264C-964F-888978453D99}" name="RiskScore" dataDxfId="173">
      <calculatedColumnFormula>M2*N2</calculatedColumnFormula>
    </tableColumn>
    <tableColumn id="37" xr3:uid="{6FD59635-3EA3-B64C-B2F4-76A56D61D569}" name="ds_icon" dataDxfId="172">
      <calculatedColumnFormula>Table4[[#This Row],[DataQuality_Score]]</calculatedColumnFormula>
    </tableColumn>
    <tableColumn id="9" xr3:uid="{D54C6659-1A25-3C43-9F35-5BF65F99138E}" name="Data Quality Rating" dataDxfId="171">
      <calculatedColumnFormula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calculatedColumnFormula>
    </tableColumn>
    <tableColumn id="46" xr3:uid="{60E57AC0-8F08-AD42-A105-5B8F50E8D79C}" name="Data Quality - Details" dataDxfId="170">
      <calculatedColumnFormula>Table4[[#This Row],[LoA - Metric]]&amp; ", " &amp;Table4[[#This Row],[ES - Metric]]</calculatedColumnFormula>
    </tableColumn>
    <tableColumn id="16" xr3:uid="{F817330A-1E68-C543-A7A9-A6C2E3BC61FA}" name="DataQuality_Score" dataDxfId="169" dataCellStyle="Percent">
      <calculatedColumnFormula>(Table4[[#This Row],[LoA_SCORE]]+Table4[[#This Row],[ES_SCORE]])/100</calculatedColumnFormula>
    </tableColumn>
    <tableColumn id="48" xr3:uid="{0B769BA4-D444-AA44-9E96-FA6AA4BE9A5D}" name="LoA - Metric" dataDxfId="168" dataCellStyle="Percent">
      <calculatedColumnFormula xml:space="preserve"> IF(AND(Table4[[#This Row],[LoA_SCORE]]&gt;=0, 16.66&gt;=Table4[[#This Row],[LoA_SCORE]]), "Low agreement", IF(AND(Table4[[#This Row],[LoA_SCORE]]&gt;=16.67, 33.33 &gt;=Table4[[#This Row],[LoA_SCORE]]), "Medium agreement", IF(AND(Table4[[#This Row],[LoA_SCORE]]&gt;=33.34, 50&gt;=Table4[[#This Row],[LoA_SCORE]]), "High agreement", "Check Formula")))</calculatedColumnFormula>
    </tableColumn>
    <tableColumn id="47" xr3:uid="{3DD64DEE-488A-B048-8745-B57AD6717245}" name="ES - Metric" dataDxfId="167" dataCellStyle="Percent">
      <calculatedColumnFormula xml:space="preserve"> IF(AND(Table4[[#This Row],[ES_SCORE]]&gt;=0, 16.66&gt;=Table4[[#This Row],[ES_SCORE]]), "Limited evidence", IF(AND(Table4[[#This Row],[ES_SCORE]]&gt;=16.67, 33.33 &gt;=Table4[[#This Row],[ES_SCORE]]), "Medium evidence", IF(AND(Table4[[#This Row],[ES_SCORE]]&gt;=33.34, 50&gt;=Table4[[#This Row],[ES_SCORE]]), "Robust evidence", "Check Formula")))</calculatedColumnFormula>
    </tableColumn>
    <tableColumn id="5" xr3:uid="{C4DB82C0-458B-284B-A395-1838584B04DC}" name="PROBABILITY_SCORE" dataDxfId="166">
      <calculatedColumnFormula>Table4[[#This Row],[probability_average]]</calculatedColumnFormula>
    </tableColumn>
    <tableColumn id="10" xr3:uid="{84279BE4-0685-4E42-A5A3-84A1216A1127}" name="CONSEQUENCE_SCORE" dataDxfId="165">
      <calculatedColumnFormula>Table4[[#This Row],[consequence_average]]</calculatedColumnFormula>
    </tableColumn>
    <tableColumn id="43" xr3:uid="{0F2C4283-8BA8-884E-8194-5F9253FADDD3}" name="LoA_SCORE" dataDxfId="164">
      <calculatedColumnFormula>Table4[[#This Row],[agreementPCT_score]]+Table4[[#This Row],[agreement_dist_score]]+Table4[[#This Row],[LoA_AQ_score]]</calculatedColumnFormula>
    </tableColumn>
    <tableColumn id="49" xr3:uid="{9D98A377-0640-C842-8AAC-33EFD8B09998}" name="ES_SCORE" dataDxfId="163">
      <calculatedColumnFormula>Table4[[#This Row],[evidenceconsistency_score]]+Table4[[#This Row],[EQ_score]]+Table4[[#This Row],[EA_score]]+Table4[[#This Row],[ET_score]]</calculatedColumnFormula>
    </tableColumn>
    <tableColumn id="11" xr3:uid="{38A702A0-0BA0-1346-BD6B-A03E52EF99B6}" name="consequence_average" dataDxfId="162">
      <calculatedColumnFormula>VLOOKUP(Table4[[#This Row],[risk_id]],Table3[],10,FALSE)</calculatedColumnFormula>
    </tableColumn>
    <tableColumn id="12" xr3:uid="{D79CB3B4-97BF-1E40-A2D1-7EB6F17A5BC3}" name="consequence_summed" dataDxfId="161">
      <calculatedColumnFormula>VLOOKUP(Table4[[#This Row],[risk_id]],Table3[],9,FALSE)</calculatedColumnFormula>
    </tableColumn>
    <tableColumn id="14" xr3:uid="{7733AD20-86DD-4E46-B7F1-681C9EEEFF79}" name="probability_average" dataDxfId="160">
      <calculatedColumnFormula>VLOOKUP(Table4[[#This Row],[risk_id]],Table3[],7,FALSE)</calculatedColumnFormula>
    </tableColumn>
    <tableColumn id="15" xr3:uid="{B36A8307-1796-5540-9849-C90272791F34}" name="probability_summed" dataDxfId="159">
      <calculatedColumnFormula>VLOOKUP(Table4[[#This Row],[risk_id]],Table3[],6,FALSE)</calculatedColumnFormula>
    </tableColumn>
    <tableColumn id="17" xr3:uid="{CF9556AF-352E-F146-996A-6ABDF0E900A0}" name="Indicator_12.5pct" dataDxfId="158">
      <calculatedColumnFormula>12.5</calculatedColumnFormula>
    </tableColumn>
    <tableColumn id="6" xr3:uid="{FF5F6AB7-A10C-4E40-8E23-312BB281D826}" name="Indicator_20pct" dataDxfId="157">
      <calculatedColumnFormula>10</calculatedColumnFormula>
    </tableColumn>
    <tableColumn id="18" xr3:uid="{A57B4472-2DF3-854A-B137-4C9CD61F1236}" name="Indicator_30pct" dataDxfId="156">
      <calculatedColumnFormula>30</calculatedColumnFormula>
    </tableColumn>
    <tableColumn id="19" xr3:uid="{F4F9042C-CC35-5C49-9CDE-E31466F940A2}" name="data_observations" dataDxfId="155">
      <calculatedColumnFormula>VLOOKUP(Table4[[#This Row],[risk_id]],Table3[],5,FALSE)</calculatedColumnFormula>
    </tableColumn>
    <tableColumn id="50" xr3:uid="{7FC039B7-B472-A149-B2F0-416700E1D7EA}" name="AllObservations_count" dataDxfId="154">
      <calculatedColumnFormula>94</calculatedColumnFormula>
    </tableColumn>
    <tableColumn id="26" xr3:uid="{AD4C428B-BE3F-7947-9C9C-B822344E2AB3}" name="ET_score" dataDxfId="153">
      <calculatedColumnFormula>Table4[[#This Row],[EStype_summed]]*Table4[[#This Row],[Indicator_12.5pct]]</calculatedColumnFormula>
    </tableColumn>
    <tableColumn id="20" xr3:uid="{927B9B73-4096-6043-B1E8-76A83D7069B3}" name="EStype_summed" dataDxfId="152">
      <calculatedColumnFormula>(IF(Table4[[#This Row],[all_evtype]]&gt;=4,"4", IF(Table4[[#This Row],[all_evtype]]&gt;=3,"3", IF(Table4[[#This Row],[all_evtype]]&gt;=2,"2", IF(Table4[[#This Row],[all_evtype]]&gt;=1,"1","0")))))/Table4[[#This Row],[HPS_et]]</calculatedColumnFormula>
    </tableColumn>
    <tableColumn id="38" xr3:uid="{FAAFDE31-B04A-A64C-9A9A-1A40A2EC519C}" name="THEO" dataDxfId="151">
      <calculatedColumnFormula>VLOOKUP(Table4[[#This Row],[risk_id]],Table3[], 14, FALSE)</calculatedColumnFormula>
    </tableColumn>
    <tableColumn id="39" xr3:uid="{EBB6BB68-D5DE-8F49-B297-756F10880C56}" name="OBS" dataDxfId="150">
      <calculatedColumnFormula>VLOOKUP(Table4[[#This Row],[risk_id]],Table3[], 15, FALSE)</calculatedColumnFormula>
    </tableColumn>
    <tableColumn id="40" xr3:uid="{23750F0C-A12C-CA48-BA1A-D6BDA5570774}" name="HYB" dataDxfId="149">
      <calculatedColumnFormula>VLOOKUP(Table4[[#This Row],[risk_id]], Table3[], 16, FALSE)</calculatedColumnFormula>
    </tableColumn>
    <tableColumn id="41" xr3:uid="{7F02EA24-1789-3B4C-B479-3E30D10525EC}" name="MOD" dataDxfId="148">
      <calculatedColumnFormula>VLOOKUP(Table4[[#This Row],[risk_id]], Table3[], 17, )</calculatedColumnFormula>
    </tableColumn>
    <tableColumn id="4" xr3:uid="{55D56022-89D5-4B48-BC0E-13C317C1D9F0}" name="HPS_et" dataDxfId="147">
      <calculatedColumnFormula>4</calculatedColumnFormula>
    </tableColumn>
    <tableColumn id="42" xr3:uid="{77E41975-5400-994E-AF5F-8486EF1DA71C}" name="all_evtype" dataDxfId="146">
      <calculatedColumnFormula>COUNTIF(Table4[[#This Row],[THEO]:[MOD]], "&gt;=1")</calculatedColumnFormula>
    </tableColumn>
    <tableColumn id="24" xr3:uid="{90F6C3DA-AF21-2242-A755-DF0A9FD56B8A}" name="evidenceamount_pct" dataDxfId="145" dataCellStyle="Percent">
      <calculatedColumnFormula>Table4[[#This Row],[data_observations]]/Table4[[#This Row],[AllObservations_count]]</calculatedColumnFormula>
    </tableColumn>
    <tableColumn id="51" xr3:uid="{29CE51DA-F87F-7740-8BBB-5FFA8B76B44B}" name="EA_score" dataDxfId="144" dataCellStyle="Percent">
      <calculatedColumnFormula>Table4[[#This Row],[evidenceamount_pct]]*(Table4[[#This Row],[Indicator_12.5pct]])</calculatedColumnFormula>
    </tableColumn>
    <tableColumn id="36" xr3:uid="{E9785AEE-AA7F-3D47-8D33-39C1862F1BC9}" name="ev_data_deficient_score" dataDxfId="143" dataCellStyle="Percent">
      <calculatedColumnFormula>(1-(VLOOKUP(Table4[[#This Row],[risk_id]],Table3[],18, FALSE))/(Table4[[#This Row],[data_observations]]))</calculatedColumnFormula>
    </tableColumn>
    <tableColumn id="22" xr3:uid="{2A420707-3CF2-2D4F-8BD5-B8877086C4CF}" name="ev_data_availability_score" dataDxfId="142" dataCellStyle="Percent">
      <calculatedColumnFormula>((VLOOKUP(Table4[[#This Row],[risk_id]],Table3[],19, FALSE))+((VLOOKUP(Table4[[#This Row],[risk_id]],Table3[],36, FALSE))*0.5))/(Table4[[#This Row],[data_observations]])</calculatedColumnFormula>
    </tableColumn>
    <tableColumn id="25" xr3:uid="{C40B63B7-C8E9-0E40-A79A-DB83ABF1AF07}" name="EQ_score" dataDxfId="141">
      <calculatedColumnFormula>((Table4[[#This Row],[ev_data_deficient_score]]*0.5)+(Table4[[#This Row],[ev_data_availability_score]]*0.5))*(Table4[[#This Row],[Indicator_12.5pct]])</calculatedColumnFormula>
    </tableColumn>
    <tableColumn id="44" xr3:uid="{F530D33A-5579-E343-A156-1FBC83AB4A95}" name="evidence_mean_RR" dataDxfId="140">
      <calculatedColumnFormula>Table4[[#This Row],[RiskScore]]</calculatedColumnFormula>
    </tableColumn>
    <tableColumn id="45" xr3:uid="{34312F79-3472-3949-A201-CAAC27155D0D}" name="evidence_SD_RR" dataDxfId="139">
      <calculatedColumnFormula>VLOOKUP(Table4[[#This Row],[risk_id]], Table3[], 13, FALSE)</calculatedColumnFormula>
    </tableColumn>
    <tableColumn id="23" xr3:uid="{B8E8A091-BFE3-834E-B72F-1A6C90DD64D7}" name="evidenceconsistency_score" dataDxfId="138">
      <calculatedColumnFormula>(1-(Table4[[#This Row],[evidence_SD_RR]]/Table4[[#This Row],[evidence_mean_RR]]))*(Table4[[#This Row],[Indicator_12.5pct]])</calculatedColumnFormula>
    </tableColumn>
    <tableColumn id="31" xr3:uid="{E948B40C-9869-3D44-9333-B5F4FD272ADE}" name="C" dataDxfId="137" dataCellStyle="Percent">
      <calculatedColumnFormula>VLOOKUP(Table4[[#This Row],[risk_id]],Table3[],21, FALSE)</calculatedColumnFormula>
    </tableColumn>
    <tableColumn id="32" xr3:uid="{4B1823A0-05A5-394E-A886-6901EB8B9653}" name="H" dataDxfId="136" dataCellStyle="Percent">
      <calculatedColumnFormula>VLOOKUP(Table4[[#This Row],[risk_id]],Table3[],23, FALSE)</calculatedColumnFormula>
    </tableColumn>
    <tableColumn id="33" xr3:uid="{FA0CE66C-37BF-024B-A4C8-07F195CF9287}" name="M" dataDxfId="135" dataCellStyle="Percent">
      <calculatedColumnFormula>VLOOKUP(Table4[[#This Row],[risk_id]],Table3[],25, FALSE)</calculatedColumnFormula>
    </tableColumn>
    <tableColumn id="34" xr3:uid="{695BBF31-319C-2D47-B4D9-2AD9E3288616}" name="U" dataDxfId="134" dataCellStyle="Percent">
      <calculatedColumnFormula>VLOOKUP(Table4[[#This Row],[risk_id]],Table3[],27, FALSE)</calculatedColumnFormula>
    </tableColumn>
    <tableColumn id="27" xr3:uid="{C2C3C040-351F-6B41-AF91-926FD84C255F}" name="agreementPCT_score" dataDxfId="133">
      <calculatedColumnFormula>(MAX(Table4[[#This Row],[C]:[U]]))*Table4[[#This Row],[Indicator_20pct]]</calculatedColumnFormula>
    </tableColumn>
    <tableColumn id="52" xr3:uid="{617C1A7A-6039-9C47-954E-9BFC425AD10D}" name="different_scores_count" dataDxfId="132" dataCellStyle="Comma">
      <calculatedColumnFormula>COUNTIFS(Table4[[#This Row],[C]], "&gt;0", Table4[[#This Row],[U]], "&gt;0") + COUNTIFS(Table4[[#This Row],[H]], "&gt;0", Table4[[#This Row],[U]], "&gt;0") + COUNTIFS(Table4[[#This Row],[C]], "&gt;0", Table4[[#This Row],[M]], "&gt;0")</calculatedColumnFormula>
    </tableColumn>
    <tableColumn id="29" xr3:uid="{1C906827-18ED-634D-895D-555EB8C728C2}" name="agreement_dist_score" dataDxfId="131" dataCellStyle="Comma">
      <calculatedColumnFormula>((-(Table4[[#This Row],[different_scores_count]]-3))/3)*Table4[[#This Row],[Indicator_20pct]]</calculatedColumnFormula>
    </tableColumn>
    <tableColumn id="28" xr3:uid="{CB656DEE-CF6C-AF41-B011-D240A6B4BEC7}" name="LoA_AQ_score" dataDxfId="130">
      <calculatedColumnFormula>IF(Table4[[#This Row],[data_observations]]&gt;=5, 30, IF(Table4[[#This Row],[data_observations]]&gt;=3, 15, 0))</calculatedColumnFormula>
    </tableColumn>
    <tableColumn id="21" xr3:uid="{9DD6C8CC-DF72-274D-9840-6C63D9EE69B9}" name="Intangable" dataDxfId="129"/>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370C45-EEC3-3E46-8162-435449355951}" name="Table5" displayName="Table5" ref="A1:X13" totalsRowShown="0">
  <autoFilter ref="A1:X13" xr:uid="{D9370C45-EEC3-3E46-8162-435449355951}"/>
  <sortState xmlns:xlrd2="http://schemas.microsoft.com/office/spreadsheetml/2017/richdata2" ref="A2:X13">
    <sortCondition descending="1" ref="D1:D13"/>
  </sortState>
  <tableColumns count="24">
    <tableColumn id="1" xr3:uid="{CA998A29-56E3-034C-9FE9-DE4A17230114}" name="Acronym"/>
    <tableColumn id="2" xr3:uid="{3E3517A7-0DF3-6B49-8332-4DD05D003274}" name="Category"/>
    <tableColumn id="20" xr3:uid="{A30AE091-D8C0-C945-836B-18532E1705D1}" name="Risk Rating" dataDxfId="128">
      <calculatedColumnFormula>IF(AND(Table5[[#This Row],[AVG Risk Score]]&gt;=0, 9.999&gt;=Table5[[#This Row],[AVG Risk Score]]), "UNDETECTABLE", IF(AND(Table5[[#This Row],[AVG Risk Score]]&gt;9.001, 24.999&gt;=Table5[[#This Row],[AVG Risk Score]]), "MODERATE", IF(AND(Table5[[#This Row],[AVG Risk Score]]&gt;=25, 35.9999&gt;=Table5[[#This Row],[AVG Risk Score]]), "HIGH", IF(AND(Table5[[#This Row],[AVG Risk Score]]&gt;36, 50&gt;=Table5[[#This Row],[AVG Risk Score]]), "VERY HIGH", "Check Formula"))))</calculatedColumnFormula>
    </tableColumn>
    <tableColumn id="3" xr3:uid="{FE292113-1AF9-7E40-A907-8840974AD388}" name="AVG Risk Score" dataDxfId="127">
      <calculatedColumnFormula>(Table5[[#This Row],[Consequence]]/Table5[[#This Row],[Data Observations]])*(Table5[[#This Row],[Probabiliuty]]/Table5[[#This Row],[Data Observations]])</calculatedColumnFormula>
    </tableColumn>
    <tableColumn id="21" xr3:uid="{6F691BA9-9164-5A44-A159-8BDB00DB0FFA}" name="DQ Index" dataDxfId="126">
      <calculatedColumnFormula xml:space="preserve"> IF(AND(Table5[[#This Row],[AVG DQ Score]]&gt;0, 0.2&gt;=Table5[[#This Row],[AVG DQ Score]]), "VERY LOW", IF(AND(Table5[[#This Row],[AVG DQ Score]]&gt;0.201, 0.4 &gt;=Table5[[#This Row],[AVG DQ Score]]), "LOW", IF(AND(Table5[[#This Row],[AVG DQ Score]]&gt;0.401, 0.6&gt;=Table5[[#This Row],[AVG DQ Score]]), "MODERATE", IF(AND(Table5[[#This Row],[AVG DQ Score]]&gt;0.6000001, 0.8&gt;=Table5[[#This Row],[AVG DQ Score]]), "HIGH", IF(AND(Table5[[#This Row],[AVG DQ Score]]&gt;0.800001, 1&gt;=Table5[[#This Row],[AVG DQ Score]]), "VERY HIGH", "Check Formula")))))</calculatedColumnFormula>
    </tableColumn>
    <tableColumn id="4" xr3:uid="{66855195-3558-5347-83EF-13A307E1F2EF}" name="AVG DQ Score" dataDxfId="125" dataCellStyle="Percent">
      <calculatedColumnFormula>AVERAGEIFS(Table4[DataQuality_Score],Table4[HazardRisk_Category],Table5[[#This Row],[Category]])</calculatedColumnFormula>
    </tableColumn>
    <tableColumn id="22" xr3:uid="{5C46DBEC-39FE-1F41-B9BF-B2EB04ADE4A2}" name="AVG DQ - Details" dataDxfId="124" dataCellStyle="Percent">
      <calculatedColumnFormula>Table5[[#This Row],[LoA - Metric]]&amp;", "&amp;Table5[[#This Row],[ES - Metric]]</calculatedColumnFormula>
    </tableColumn>
    <tableColumn id="12" xr3:uid="{895E8D35-0472-2E46-ADAB-D98CEECD9163}" name="HazRisk Count" dataDxfId="123" dataCellStyle="Percent">
      <calculatedColumnFormula>COUNTIF(Table4[HazardRisk_Category],Table5[[#This Row],[Category]])</calculatedColumnFormula>
    </tableColumn>
    <tableColumn id="15" xr3:uid="{DE4547E0-DF60-9043-9ACF-82C042C6ED17}" name="Intang_Pct" dataDxfId="122" dataCellStyle="Percent">
      <calculatedColumnFormula>Table5[[#This Row],[Intangible]]/Table5[[#This Row],[HazRisk Count]]</calculatedColumnFormula>
    </tableColumn>
    <tableColumn id="14" xr3:uid="{3DE9FA07-F8CF-7D4B-8C9B-84B8A4B76BC6}" name="Intangible" dataDxfId="121" dataCellStyle="Percent">
      <calculatedColumnFormula>COUNTIFS(Table4[HazardRisk_Category],Table5[[#This Row],[Category]],Table4[Intangable], "Y")</calculatedColumnFormula>
    </tableColumn>
    <tableColumn id="13" xr3:uid="{49CA2F67-7E11-E943-BC80-B547C2462CF5}" name="Tangible" dataDxfId="120" dataCellStyle="Percent">
      <calculatedColumnFormula>COUNTIFS(Table4[HazardRisk_Category],Table5[[#This Row],[Category]],Table4[Intangable], "N")</calculatedColumnFormula>
    </tableColumn>
    <tableColumn id="5" xr3:uid="{0BFC8E70-2B21-E744-9884-BA355533C6D5}" name="Data Observations" dataDxfId="119">
      <calculatedColumnFormula>SUMIFS(Table4[data_observations],Table4[HazardRisk_Category],Table5[[#This Row],[Category]])</calculatedColumnFormula>
    </tableColumn>
    <tableColumn id="6" xr3:uid="{8967A89B-3F6D-E04A-BBCF-E71DF8239961}" name="Consequence" dataDxfId="118">
      <calculatedColumnFormula>SUMIFS(Table4[consequence_summed],Table4[HazardRisk_Category],Table5[[#This Row],[Category]])</calculatedColumnFormula>
    </tableColumn>
    <tableColumn id="7" xr3:uid="{325F40DE-D77F-B24B-967E-DE75F47D7DDB}" name="Probabiliuty" dataDxfId="117">
      <calculatedColumnFormula>SUMIFS(Table4[probability_summed],Table4[HazardRisk_Category],Table5[[#This Row],[Category]])</calculatedColumnFormula>
    </tableColumn>
    <tableColumn id="17" xr3:uid="{6A53C03B-2876-7444-9BF2-6DFC10384DE8}" name="H_count" dataDxfId="116">
      <calculatedColumnFormula>COUNTIFS(Table4[HazardRisk_Category],Table5[[#This Row],[Category]], Table4[HazardRisk], "Hazard")</calculatedColumnFormula>
    </tableColumn>
    <tableColumn id="16" xr3:uid="{77C70DB5-72FD-B945-B784-5F4BA7AD9D38}" name="R_count" dataDxfId="115">
      <calculatedColumnFormula>COUNTIFS(Table4[HazardRisk_Category],Table5[[#This Row],[Category]], Table4[HazardRisk], "Risk")</calculatedColumnFormula>
    </tableColumn>
    <tableColumn id="18" xr3:uid="{2D94186C-1F6C-DF42-A05A-64178A5D0119}" name="VH" dataDxfId="114">
      <calculatedColumnFormula>COUNTIFS(Table4[HazardRisk_Category],Table5[[#This Row],[Category]], Table4[RiskRating], "Very High")</calculatedColumnFormula>
    </tableColumn>
    <tableColumn id="19" xr3:uid="{48553564-8F73-154A-A05F-1D7DF0B053F5}" name="H" dataDxfId="113">
      <calculatedColumnFormula>COUNTIFS(Table4[HazardRisk_Category],Table5[[#This Row],[Category]], Table4[RiskRating], "High")</calculatedColumnFormula>
    </tableColumn>
    <tableColumn id="23" xr3:uid="{2790C186-EFE7-4E42-AAC5-8B51A97AA5F8}" name="M" dataDxfId="112">
      <calculatedColumnFormula>COUNTIFS(Table4[HazardRisk_Category],Table5[[#This Row],[Category]], Table4[RiskRating], "Moderate")</calculatedColumnFormula>
    </tableColumn>
    <tableColumn id="24" xr3:uid="{8BA6BA1D-3EE8-D447-9E79-D325963C82CC}" name="U" dataDxfId="111">
      <calculatedColumnFormula>COUNTIFS(Table4[HazardRisk_Category],Table5[[#This Row],[Category]], Table4[RiskRating], "Undetectable")</calculatedColumnFormula>
    </tableColumn>
    <tableColumn id="8" xr3:uid="{D9E35068-5D81-4D45-A46A-ABEAE4FD382E}" name="LoA - Metric" dataDxfId="110">
      <calculatedColumnFormula xml:space="preserve"> IF(AND(Table5[[#This Row],[LoA]]&gt;=0, 16.66&gt;=Table5[[#This Row],[LoA]]), "Low agreement", IF(AND(Table5[[#This Row],[LoA]]&gt;=16.67, 33.33 &gt;=Table5[[#This Row],[LoA]]), "Medium agreement", IF(AND(Table5[[#This Row],[LoA]]&gt;=33.34, 50&gt;=Table5[[#This Row],[LoA]]), "High agreement", "Check Formula")))</calculatedColumnFormula>
    </tableColumn>
    <tableColumn id="9" xr3:uid="{F29F6A62-0970-FE4B-97C5-14F7EE3F4216}" name="ES - Metric" dataDxfId="109">
      <calculatedColumnFormula xml:space="preserve"> IF(AND(Table5[[#This Row],[ES]]&gt;=0, 16.66&gt;=Table5[[#This Row],[ES]]), "Limited evidence", IF(AND(Table5[[#This Row],[ES]]&gt;=16.67, 33.33 &gt;=Table5[[#This Row],[ES]]), "Medium evidence", IF(AND(Table5[[#This Row],[ES]]&gt;=33.34, 50&gt;=Table5[[#This Row],[ES]]), "Robust evidence", "Check Formula")))</calculatedColumnFormula>
    </tableColumn>
    <tableColumn id="10" xr3:uid="{8A8900EE-45BC-644E-B181-3FD9FD847AC5}" name="LoA" dataDxfId="108">
      <calculatedColumnFormula>(SUMIFS(Table4[LoA_SCORE], Table4[HazardRisk_Category], Table5[[#This Row],[Category]]))/(COUNTIFS(Table4[HazardRisk_Category], Table5[[#This Row],[Category]]))</calculatedColumnFormula>
    </tableColumn>
    <tableColumn id="11" xr3:uid="{51789D20-5B1D-4E4A-A743-E7859ECCCABA}" name="ES" dataDxfId="107">
      <calculatedColumnFormula>(SUMIFS(Table4[ES_SCORE], Table4[HazardRisk_Category], Table5[[#This Row],[Category]]))/(COUNTIFS(Table4[HazardRisk_Category], Table5[[#This Row],[Category]]))</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ECC852C-3387-8249-96AE-6A5BE951B0B9}" name="Table6" displayName="Table6" ref="B6:D11" totalsRowShown="0" headerRowDxfId="106" dataDxfId="104" headerRowBorderDxfId="105" tableBorderDxfId="103" totalsRowBorderDxfId="102">
  <autoFilter ref="B6:D11" xr:uid="{AECC852C-3387-8249-96AE-6A5BE951B0B9}"/>
  <tableColumns count="3">
    <tableColumn id="1" xr3:uid="{B5B3526E-08F6-1A4B-B9CD-E5A51F17310D}" name="Source" dataDxfId="101"/>
    <tableColumn id="2" xr3:uid="{E00032F1-8BDA-604D-A718-1C8486133617}" name="Term" dataDxfId="100"/>
    <tableColumn id="3" xr3:uid="{17B5071E-DBB9-204C-8E73-8C2D998ED153}" name="Definition" dataDxfId="99"/>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DF2A70-E54B-294F-BD4F-3B00877DD1F9}" name="categories" displayName="categories" ref="B16:G170" totalsRowShown="0" headerRowDxfId="98" dataDxfId="97">
  <autoFilter ref="B16:G170" xr:uid="{87DF2A70-E54B-294F-BD4F-3B00877DD1F9}">
    <filterColumn colId="1">
      <filters>
        <filter val="Declining physical health of community"/>
        <filter val="Hydrocarbon release"/>
      </filters>
    </filterColumn>
  </autoFilter>
  <sortState xmlns:xlrd2="http://schemas.microsoft.com/office/spreadsheetml/2017/richdata2" ref="B17:G170">
    <sortCondition ref="B16:B170"/>
  </sortState>
  <tableColumns count="6">
    <tableColumn id="3" xr3:uid="{31D8F4EE-D47B-104A-BDBC-62097F401F2B}" name="HazardRisk_ID" dataDxfId="96"/>
    <tableColumn id="2" xr3:uid="{5315ABFA-B2CD-0E48-9219-8907AA6F5A11}" name="HazardRisk_Name" dataDxfId="95"/>
    <tableColumn id="5" xr3:uid="{5A20E50B-9AF4-1247-BA92-A9D97A7C7452}" name="HazardRisk_Description" dataDxfId="94"/>
    <tableColumn id="4" xr3:uid="{3A270C58-7911-E845-9604-C23C764A06AC}" name="HazardRisk" dataDxfId="93"/>
    <tableColumn id="7" xr3:uid="{445B68F2-E356-9542-8E6A-AE9CBB641489}" name="Category" dataDxfId="92"/>
    <tableColumn id="6" xr3:uid="{4361CF48-6FD9-904F-AD95-3A7B5329D5CF}" name="References" dataDxfId="9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58F8844-2567-914F-9684-3D0C4C9EE6C3}" name="Table7" displayName="Table7" ref="C7:S19" totalsRowShown="0" headerRowDxfId="89" dataDxfId="87" headerRowBorderDxfId="88" tableBorderDxfId="86" totalsRowBorderDxfId="85">
  <autoFilter ref="C7:S19" xr:uid="{958F8844-2567-914F-9684-3D0C4C9EE6C3}"/>
  <sortState xmlns:xlrd2="http://schemas.microsoft.com/office/spreadsheetml/2017/richdata2" ref="C8:S19">
    <sortCondition ref="H7:H19"/>
  </sortState>
  <tableColumns count="17">
    <tableColumn id="1" xr3:uid="{EBF368F5-4D6A-1045-8FBE-4D98F9E3A8A2}" name="Acronymn" dataDxfId="84"/>
    <tableColumn id="2" xr3:uid="{DAD26A4C-3364-A34C-BD55-B7AEFE468E95}" name="Sector" dataDxfId="83"/>
    <tableColumn id="3" xr3:uid="{A722E427-5D4B-6E4D-9F1C-82373029A210}" name="Risk Score" dataDxfId="82">
      <calculatedColumnFormula>IF(AND(F8&gt;=0, 9.999&gt;=F8), "UNDETECTABLE", IF(AND(F8&gt;9.001, 24.999&gt;=F8), "MODERATE", IF(AND(F8&gt;=25, 35.9999&gt;=F8), "HIGH", IF(AND(F8&gt;36, 50&gt;=F8), "VERY HIGH", "Check Formula"))))</calculatedColumnFormula>
    </tableColumn>
    <tableColumn id="4" xr3:uid="{8E0C7319-B5AC-704C-B8BD-51DBB5AAB2C6}" name="Risk Index" dataDxfId="81">
      <calculatedColumnFormula>(Table7[[#This Row],[consequence]]/Table7[[#This Row],[Data Observations]])*(Table7[[#This Row],[probability]]/Table7[[#This Row],[Data Observations]])</calculatedColumnFormula>
    </tableColumn>
    <tableColumn id="5" xr3:uid="{068184D5-7F7F-3642-9385-4F7A0AB3C876}" name="Data Quality Index" dataDxfId="80">
      <calculatedColumnFormula xml:space="preserve"> IF(AND(Table7[[#This Row],[Data Quality Score]]&gt;0, 0.2&gt;=Table7[[#This Row],[Data Quality Score]]), "VERY LOW", IF(AND(Table7[[#This Row],[Data Quality Score]]&gt;0.201, 0.4 &gt;=Table7[[#This Row],[Data Quality Score]]), "LOW", IF(AND(Table7[[#This Row],[Data Quality Score]]&gt;0.401, 0.6&gt;=Table7[[#This Row],[Data Quality Score]]), "MODERATE", IF(AND(Table7[[#This Row],[Data Quality Score]]&gt;0.6000001, 0.8&gt;=Table7[[#This Row],[Data Quality Score]]), "HIGH", IF(AND(Table7[[#This Row],[Data Quality Score]]&gt;0.800001, 1&gt;=Table7[[#This Row],[Data Quality Score]]), "VERY HIGH", "Check Formula")))))</calculatedColumnFormula>
    </tableColumn>
    <tableColumn id="6" xr3:uid="{A87E45D6-8C62-6E41-8DC0-27BC7DAA3B17}" name="Data Quality Score" dataDxfId="79" dataCellStyle="Percent">
      <calculatedColumnFormula>(Table7[[#This Row],[LoA_Score]]+Table7[[#This Row],[ES_Score]])/100</calculatedColumnFormula>
    </tableColumn>
    <tableColumn id="7" xr3:uid="{9B952349-F1CD-154C-B46E-2B26631DF6E9}" name="Data Quality - Details" dataDxfId="78">
      <calculatedColumnFormula>Table7[[#This Row],[LoA]]&amp;", "&amp;Table7[[#This Row],[ES]]</calculatedColumnFormula>
    </tableColumn>
    <tableColumn id="13" xr3:uid="{3BA90283-BC43-FE4E-93B6-C90E0424D413}" name="LoA" dataDxfId="77">
      <calculatedColumnFormula xml:space="preserve"> IF(AND(Table7[[#This Row],[LoA_Score]]&gt;=0, 16.66&gt;=Table7[[#This Row],[LoA_Score]]), "Low agreement", IF(AND(Table7[[#This Row],[LoA_Score]]&gt;=16.67, 33.33 &gt;=Table7[[#This Row],[LoA_Score]]), "Medium agreement", IF(AND(Table7[[#This Row],[LoA_Score]]&gt;=33.34, 50&gt;=Table7[[#This Row],[LoA_Score]]), "High agreement", "Check Formula")))</calculatedColumnFormula>
    </tableColumn>
    <tableColumn id="14" xr3:uid="{021ABE2A-5338-E343-8BDA-9233CB141B66}" name="ES" dataDxfId="76">
      <calculatedColumnFormula xml:space="preserve"> IF(AND(Table7[[#This Row],[ES_Score]]&gt;=0, 16.66&gt;=Table7[[#This Row],[ES_Score]]), "Limited evidence", IF(AND(Table7[[#This Row],[ES_Score]]&gt;=16.67, 33.33 &gt;=Table7[[#This Row],[ES_Score]]), "Medium evidence", IF(AND(Table7[[#This Row],[ES_Score]]&gt;=33.34, 50&gt;=Table7[[#This Row],[ES_Score]]), "Robust evidence", "Check Formula")))</calculatedColumnFormula>
    </tableColumn>
    <tableColumn id="17" xr3:uid="{75550E55-EA37-BB4B-B4C7-D9231F9752BB}" name="count" dataDxfId="75">
      <calculatedColumnFormula>COUNTIFS(Table4[HazardRisk_Category],Table7[[#This Row],[Sector]])</calculatedColumnFormula>
    </tableColumn>
    <tableColumn id="8" xr3:uid="{D147C2A8-B958-654C-9818-94CB0B03F0C7}" name="Data Observations" dataDxfId="74">
      <calculatedColumnFormula>SUMIFS(Table4[data_observations], Table4[HazardRisk_Category],Table7[[#This Row],[Sector]])</calculatedColumnFormula>
    </tableColumn>
    <tableColumn id="9" xr3:uid="{0C8AA0DD-C458-174F-A2DB-6B0C5662FD2D}" name="consequence" dataDxfId="73">
      <calculatedColumnFormula>SUMIFS(Table4[data_observations], Table4[HazardRisk_Category],Table7[[#This Row],[Sector]])</calculatedColumnFormula>
    </tableColumn>
    <tableColumn id="10" xr3:uid="{E985917C-43D3-374D-A74B-3F095055D7B6}" name="probability" dataDxfId="72">
      <calculatedColumnFormula>SUMIFS(Table4[probability_summed], Table4[HazardRisk_Category],Table7[[#This Row],[Sector]])</calculatedColumnFormula>
    </tableColumn>
    <tableColumn id="15" xr3:uid="{B8496AFF-522F-B24D-B873-86E52532B2F9}" name="LoA_Score" dataDxfId="71">
      <calculatedColumnFormula>Table7[[#This Row],[summed LoA]]/Table7[[#This Row],[count]]</calculatedColumnFormula>
    </tableColumn>
    <tableColumn id="16" xr3:uid="{6ECAE51F-2673-AC43-80E6-DD51054FCE8E}" name="ES_Score" dataDxfId="70">
      <calculatedColumnFormula>Table7[[#This Row],[summed ES]]/Table7[[#This Row],[count]]</calculatedColumnFormula>
    </tableColumn>
    <tableColumn id="11" xr3:uid="{F7EC1417-589D-0642-AF85-F20A4B9D3C30}" name="summed ES" dataDxfId="69">
      <calculatedColumnFormula>SUMIFS(Table4[ES_SCORE], Table4[HazardRisk_Category],Table7[[#This Row],[Sector]])</calculatedColumnFormula>
    </tableColumn>
    <tableColumn id="12" xr3:uid="{AACF3D18-A85C-5143-8554-CE860B62554B}" name="summed LoA" dataDxfId="68">
      <calculatedColumnFormula>SUMIFS(Table4[LoA_SCORE], Table4[HazardRisk_Category],Table7[[#This Row],[Sector]])</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A45068-4E48-204A-AE31-9EC30A337970}" name="Table9" displayName="Table9" ref="A1:F842" totalsRowShown="0" headerRowDxfId="67" dataDxfId="66">
  <autoFilter ref="A1:F842" xr:uid="{E3A45068-4E48-204A-AE31-9EC30A337970}"/>
  <sortState xmlns:xlrd2="http://schemas.microsoft.com/office/spreadsheetml/2017/richdata2" ref="A2:F842">
    <sortCondition ref="B1:B842"/>
  </sortState>
  <tableColumns count="6">
    <tableColumn id="1" xr3:uid="{87D50F70-49FE-524F-9CDD-6A82861E0992}" name="HazardRisk"/>
    <tableColumn id="2" xr3:uid="{43A9875A-C71D-EB4A-ACB0-8400925145A7}" name="category"/>
    <tableColumn id="3" xr3:uid="{C99E102C-1080-6E40-9DEF-D39D25906530}" name="probability_value" dataDxfId="65"/>
    <tableColumn id="4" xr3:uid="{77704E89-3C86-7D4E-A3CB-20FCD8596EB2}" name="consequence_value" dataDxfId="64"/>
    <tableColumn id="6" xr3:uid="{EEA8646F-B935-5A48-A01B-226CEDB011BB}" name="Column1" dataDxfId="63">
      <calculatedColumnFormula>IF(AND(Table9[[#This Row],[Score]]&gt;=0, 9&gt;=Table9[[#This Row],[Score]]), "UNDETECTABLE", IF(AND(Table9[[#This Row],[Score]]&gt;=10, 24&gt;=Table9[[#This Row],[Score]]), "MODERATE", IF(AND(Table9[[#This Row],[Score]]&gt;=25, 35&gt;=Table9[[#This Row],[Score]]), "HIGH", IF(AND(Table9[[#This Row],[Score]]&gt;=36, 50&gt;=Table9[[#This Row],[Score]]), "VERY HIGH", "Check Formula"))))</calculatedColumnFormula>
    </tableColumn>
    <tableColumn id="5" xr3:uid="{D1C52749-23B6-8241-A926-028F675C9FD2}" name="Score" dataDxfId="6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8" dT="2023-11-16T13:08:06.08" personId="{13F759F2-83D0-6443-9893-0919B987885E}" id="{FE1B2A5C-C4FA-5D4D-A10A-7C77421F8463}">
    <text>Change to operational</text>
  </threadedComment>
  <threadedComment ref="A121" dT="2023-11-21T05:33:17.43" personId="{13F759F2-83D0-6443-9893-0919B987885E}" id="{2A59E46F-457E-194A-9F0C-EDB59F64DE66}">
    <text>Good article for RA within PhD</text>
  </threadedComment>
  <threadedComment ref="A167" dT="2023-11-17T08:38:50.12" personId="{13F759F2-83D0-6443-9893-0919B987885E}" id="{534B1D8A-5A7A-B840-A43F-7BBC39CA0147}">
    <text>ALREADY COMPLETED</text>
  </threadedComment>
  <threadedComment ref="A250" dT="2023-11-17T09:12:24.93" personId="{13F759F2-83D0-6443-9893-0919B987885E}" id="{E5A6DE10-E41E-A645-9DA1-70177D73CD06}">
    <text>USES TEXT MINING</text>
  </threadedComment>
  <threadedComment ref="A257" dT="2023-11-23T06:54:26.92" personId="{13F759F2-83D0-6443-9893-0919B987885E}" id="{360F18B5-2B94-2A41-9B05-739339A5D341}">
    <text>Uses cause consequence and text mining</text>
  </threadedComment>
  <threadedComment ref="F307" dT="2023-09-30T05:22:42.97" personId="{13F759F2-83D0-6443-9893-0919B987885E}" id="{60391815-DD70-8240-941C-9C2E8DF58647}">
    <text>READ OVERR LOTS.. good info on frequency</text>
  </threadedComment>
  <threadedComment ref="F308" dT="2023-09-30T05:22:42.97" personId="{13F759F2-83D0-6443-9893-0919B987885E}" id="{38A52EC0-FB13-C241-8B8D-282902CC6BF5}">
    <text>READ OVERR LOTS.. good info on frequency</text>
  </threadedComment>
  <threadedComment ref="F309" dT="2023-09-30T05:22:42.97" personId="{13F759F2-83D0-6443-9893-0919B987885E}" id="{B1FFD1DA-3307-4C47-BCC9-5589A3802FA5}">
    <text>READ OVERR LOTS.. good info on frequency</text>
  </threadedComment>
  <threadedComment ref="F310" dT="2023-09-30T05:22:42.97" personId="{13F759F2-83D0-6443-9893-0919B987885E}" id="{628F3C27-1043-F44B-9607-F29099C5D824}">
    <text>READ OVERR LOTS.. good info on frequency</text>
  </threadedComment>
  <threadedComment ref="F311" dT="2023-09-30T05:22:42.97" personId="{13F759F2-83D0-6443-9893-0919B987885E}" id="{0BF3AC82-86ED-064E-ACEB-E4602E7E8756}">
    <text>READ OVERR LOTS.. good info on frequency</text>
  </threadedComment>
  <threadedComment ref="F312" dT="2023-09-30T05:22:42.97" personId="{13F759F2-83D0-6443-9893-0919B987885E}" id="{E66CB1D0-97C4-E948-A5E5-389874587D2C}">
    <text>READ OVERR LOTS.. good info on frequency</text>
  </threadedComment>
  <threadedComment ref="F313" dT="2023-09-30T05:22:42.97" personId="{13F759F2-83D0-6443-9893-0919B987885E}" id="{40AB2175-8D3A-2547-BE72-1261CBA92B0D}">
    <text>READ OVERR LOTS.. good info on frequency</text>
  </threadedComment>
  <threadedComment ref="F314" dT="2023-09-30T05:22:42.97" personId="{13F759F2-83D0-6443-9893-0919B987885E}" id="{D274B41F-4AB2-8244-97A1-271DF17C8528}">
    <text>READ OVERR LOTS.. good info on frequency</text>
  </threadedComment>
  <threadedComment ref="F315" dT="2023-09-30T05:22:42.97" personId="{13F759F2-83D0-6443-9893-0919B987885E}" id="{F4429B40-6948-CF48-AF58-FCFBA8D900F7}">
    <text>READ OVERR LOTS.. good info on frequency</text>
  </threadedComment>
  <threadedComment ref="F316" dT="2023-09-30T05:22:42.97" personId="{13F759F2-83D0-6443-9893-0919B987885E}" id="{BA7EF417-93BF-1C44-89AC-5CFA037B5F63}">
    <text>READ OVERR LOTS.. good info on frequency</text>
  </threadedComment>
  <threadedComment ref="F317" dT="2023-09-30T05:22:42.97" personId="{13F759F2-83D0-6443-9893-0919B987885E}" id="{88CAB008-F5C9-B34E-A078-51196227B767}">
    <text>READ OVERR LOTS.. good info on frequency</text>
  </threadedComment>
  <threadedComment ref="F318" dT="2023-09-30T05:22:42.97" personId="{13F759F2-83D0-6443-9893-0919B987885E}" id="{1C52D010-3175-DF47-86F8-3C1A4ABFFEF0}">
    <text>READ OVERR LOTS.. good info on frequency</text>
  </threadedComment>
  <threadedComment ref="F319" dT="2023-09-30T05:22:42.97" personId="{13F759F2-83D0-6443-9893-0919B987885E}" id="{E5B7BCB4-3856-424B-B7FF-3DBD416DA04F}">
    <text>READ OVERR LOTS.. good info on frequency</text>
  </threadedComment>
  <threadedComment ref="F320" dT="2023-09-30T05:22:42.97" personId="{13F759F2-83D0-6443-9893-0919B987885E}" id="{4FB6DDDD-E7B6-8D41-ADB2-3036800752D8}">
    <text>READ OVERR LOTS.. good info on frequency</text>
  </threadedComment>
  <threadedComment ref="F321" dT="2023-09-30T05:22:42.97" personId="{13F759F2-83D0-6443-9893-0919B987885E}" id="{10A9C82C-8A1A-6D48-9E75-64BB199EA345}">
    <text>READ OVERR LOTS.. good info on frequency</text>
  </threadedComment>
  <threadedComment ref="F322" dT="2023-09-30T05:22:42.97" personId="{13F759F2-83D0-6443-9893-0919B987885E}" id="{AAB23FA5-034F-D94F-BACB-54E3B4C576A1}">
    <text>READ OVERR LOTS.. good info on frequency</text>
  </threadedComment>
  <threadedComment ref="F323" dT="2023-09-30T05:22:42.97" personId="{13F759F2-83D0-6443-9893-0919B987885E}" id="{8B63D0D1-C504-914E-BFD9-B07994CE1D3A}">
    <text>READ OVERR LOTS.. good info on frequency</text>
  </threadedComment>
  <threadedComment ref="F324" dT="2023-09-30T05:22:42.97" personId="{13F759F2-83D0-6443-9893-0919B987885E}" id="{3C532697-3A7C-8849-BF6E-4186F0FD0F4C}">
    <text>READ OVERR LOTS.. good info on frequency</text>
  </threadedComment>
  <threadedComment ref="F334" dT="2023-11-28T22:37:20.19" personId="{13F759F2-83D0-6443-9893-0919B987885E}" id="{58DB5E8B-B920-8A48-9B16-677BDF7F506D}">
    <text>Prioritization of risks</text>
  </threadedComment>
  <threadedComment ref="F335" dT="2023-11-28T22:37:20.19" personId="{13F759F2-83D0-6443-9893-0919B987885E}" id="{ACA4ED75-C4E7-694F-B026-A2469E9796A3}">
    <text>Prioritization of risks</text>
  </threadedComment>
  <threadedComment ref="F336" dT="2023-11-28T22:37:20.19" personId="{13F759F2-83D0-6443-9893-0919B987885E}" id="{41444C48-817C-FE42-89F5-AFA0159E8F9C}">
    <text>Prioritization of risks</text>
  </threadedComment>
  <threadedComment ref="F337" dT="2023-11-28T22:37:20.19" personId="{13F759F2-83D0-6443-9893-0919B987885E}" id="{EC7088F2-A34D-154B-AA3F-421CE2BE4165}">
    <text>Prioritization of risks</text>
  </threadedComment>
  <threadedComment ref="F338" dT="2023-11-28T22:37:20.19" personId="{13F759F2-83D0-6443-9893-0919B987885E}" id="{AAD9ED14-6FEF-D44C-A561-D8DC28CCA1A3}">
    <text>Prioritization of risks</text>
  </threadedComment>
  <threadedComment ref="F339" dT="2023-11-28T22:37:20.19" personId="{13F759F2-83D0-6443-9893-0919B987885E}" id="{AF629ECC-27D0-4C4F-A855-46087EFB5046}">
    <text>Prioritization of risks</text>
  </threadedComment>
  <threadedComment ref="F340" dT="2023-11-28T22:37:20.19" personId="{13F759F2-83D0-6443-9893-0919B987885E}" id="{C6E40FCB-4D1E-C94E-9A94-1CF2FC71B56A}">
    <text>Prioritization of risks</text>
  </threadedComment>
  <threadedComment ref="F341" dT="2023-11-28T22:37:20.19" personId="{13F759F2-83D0-6443-9893-0919B987885E}" id="{E1F816D6-44DD-CE4E-B2EE-903B52F1F7FD}">
    <text>Prioritization of risks</text>
  </threadedComment>
  <threadedComment ref="F342" dT="2023-11-28T22:37:20.19" personId="{13F759F2-83D0-6443-9893-0919B987885E}" id="{0F1E08B6-F3A9-6F4B-83CF-6FDC09DBD059}">
    <text>Prioritization of risks</text>
  </threadedComment>
  <threadedComment ref="A688" dT="2023-11-14T04:09:29.93" personId="{13F759F2-83D0-6443-9893-0919B987885E}" id="{DC4C7090-F396-2E4A-B0B6-6FA874E4A118}">
    <text>Use for definitions</text>
  </threadedComment>
</ThreadedComments>
</file>

<file path=xl/threadedComments/threadedComment2.xml><?xml version="1.0" encoding="utf-8"?>
<ThreadedComments xmlns="http://schemas.microsoft.com/office/spreadsheetml/2018/threadedcomments" xmlns:x="http://schemas.openxmlformats.org/spreadsheetml/2006/main">
  <threadedComment ref="AJ1" dT="2023-11-16T21:27:00.21" personId="{13F759F2-83D0-6443-9893-0919B987885E}" id="{CC99E112-726B-CC45-9713-FD5876234991}">
    <text>Lower the DD score, higher DD ratings</text>
  </threadedComment>
</ThreadedComments>
</file>

<file path=xl/threadedComments/threadedComment3.xml><?xml version="1.0" encoding="utf-8"?>
<ThreadedComments xmlns="http://schemas.microsoft.com/office/spreadsheetml/2018/threadedcomments" xmlns:x="http://schemas.openxmlformats.org/spreadsheetml/2006/main">
  <threadedComment ref="B115" dT="2023-11-16T13:08:06.08" personId="{13F759F2-83D0-6443-9893-0919B987885E}" id="{D7B725F5-111F-A74C-BAD2-2A54AC776125}">
    <text>Change to operational</text>
  </threadedComment>
</ThreadedComment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s://arcticyearbook.com/images/yearbook/2021/Scholarly-Papers/6_AY2021_Luijk_Dawson.pdf"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3.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dx.doi.org/10.1016/j.oceaneng.2017.02.002" TargetMode="External"/><Relationship Id="rId1" Type="http://schemas.openxmlformats.org/officeDocument/2006/relationships/hyperlink" Target="https://www.sciencedirect.com/science/article/pii/S0951832023003733"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3.vml"/><Relationship Id="rId1" Type="http://schemas.openxmlformats.org/officeDocument/2006/relationships/drawing" Target="../drawings/drawing3.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948EC-1B5B-F648-B1C5-F76CBB2DD538}">
  <sheetPr>
    <tabColor rgb="FFFFFF00"/>
  </sheetPr>
  <dimension ref="B1:R160"/>
  <sheetViews>
    <sheetView tabSelected="1" zoomScale="130" zoomScaleNormal="130" workbookViewId="0">
      <selection activeCell="D14" sqref="D14"/>
    </sheetView>
  </sheetViews>
  <sheetFormatPr baseColWidth="10" defaultRowHeight="16" x14ac:dyDescent="0.2"/>
  <cols>
    <col min="1" max="2" width="4.1640625" style="16" customWidth="1"/>
    <col min="3" max="3" width="23.5" style="16" bestFit="1" customWidth="1"/>
    <col min="4" max="4" width="25.33203125" style="16" bestFit="1" customWidth="1"/>
    <col min="5" max="5" width="92.1640625" style="15" customWidth="1"/>
    <col min="6" max="6" width="10.83203125" style="16"/>
    <col min="7" max="7" width="16.33203125" style="16" bestFit="1" customWidth="1"/>
    <col min="8" max="8" width="38.6640625" style="16" customWidth="1"/>
    <col min="9" max="9" width="57.1640625" style="15" customWidth="1"/>
    <col min="10" max="10" width="13" style="16" bestFit="1" customWidth="1"/>
    <col min="11" max="16384" width="10.83203125" style="16"/>
  </cols>
  <sheetData>
    <row r="1" spans="2:9" s="36" customFormat="1" ht="6" customHeight="1" x14ac:dyDescent="0.2">
      <c r="E1" s="37"/>
      <c r="I1" s="37"/>
    </row>
    <row r="2" spans="2:9" s="36" customFormat="1" ht="45" x14ac:dyDescent="0.2">
      <c r="C2" s="38" t="s">
        <v>16</v>
      </c>
      <c r="E2" s="37"/>
      <c r="I2" s="37"/>
    </row>
    <row r="3" spans="2:9" s="36" customFormat="1" ht="6" customHeight="1" x14ac:dyDescent="0.2">
      <c r="E3" s="37"/>
      <c r="I3" s="37"/>
    </row>
    <row r="4" spans="2:9" s="26" customFormat="1" x14ac:dyDescent="0.2">
      <c r="E4" s="39"/>
      <c r="I4" s="39"/>
    </row>
    <row r="5" spans="2:9" s="26" customFormat="1" x14ac:dyDescent="0.2">
      <c r="C5" s="334" t="s">
        <v>15</v>
      </c>
      <c r="D5" s="335"/>
      <c r="E5" s="336"/>
      <c r="I5" s="39"/>
    </row>
    <row r="6" spans="2:9" s="26" customFormat="1" x14ac:dyDescent="0.2">
      <c r="C6" s="331"/>
      <c r="D6" s="332"/>
      <c r="E6" s="333"/>
      <c r="I6" s="39"/>
    </row>
    <row r="7" spans="2:9" s="26" customFormat="1" x14ac:dyDescent="0.2">
      <c r="E7" s="39"/>
      <c r="I7" s="39"/>
    </row>
    <row r="8" spans="2:9" s="26" customFormat="1" x14ac:dyDescent="0.2">
      <c r="C8" s="328" t="s">
        <v>14</v>
      </c>
      <c r="D8" s="329"/>
      <c r="E8" s="330"/>
    </row>
    <row r="9" spans="2:9" s="26" customFormat="1" ht="17" x14ac:dyDescent="0.2">
      <c r="C9" s="40" t="s">
        <v>9</v>
      </c>
      <c r="D9" s="40" t="s">
        <v>10</v>
      </c>
      <c r="E9" s="41" t="s">
        <v>13</v>
      </c>
    </row>
    <row r="10" spans="2:9" s="26" customFormat="1" ht="17" x14ac:dyDescent="0.2">
      <c r="B10" s="166">
        <v>1</v>
      </c>
      <c r="C10" s="42" t="s">
        <v>11</v>
      </c>
      <c r="D10" s="43" t="s">
        <v>0</v>
      </c>
      <c r="E10" s="44" t="s">
        <v>42</v>
      </c>
    </row>
    <row r="11" spans="2:9" s="26" customFormat="1" ht="17" x14ac:dyDescent="0.2">
      <c r="B11" s="167">
        <v>2</v>
      </c>
      <c r="C11" s="45" t="s">
        <v>11</v>
      </c>
      <c r="D11" s="46" t="s">
        <v>1</v>
      </c>
      <c r="E11" s="47" t="s">
        <v>43</v>
      </c>
    </row>
    <row r="12" spans="2:9" s="26" customFormat="1" ht="17" x14ac:dyDescent="0.2">
      <c r="B12" s="167">
        <v>3</v>
      </c>
      <c r="C12" s="45" t="s">
        <v>11</v>
      </c>
      <c r="D12" s="46" t="s">
        <v>37</v>
      </c>
      <c r="E12" s="47" t="s">
        <v>40</v>
      </c>
    </row>
    <row r="13" spans="2:9" s="26" customFormat="1" ht="17" x14ac:dyDescent="0.2">
      <c r="B13" s="167">
        <v>4</v>
      </c>
      <c r="C13" s="45" t="s">
        <v>11</v>
      </c>
      <c r="D13" s="46" t="s">
        <v>2</v>
      </c>
      <c r="E13" s="47" t="s">
        <v>39</v>
      </c>
    </row>
    <row r="14" spans="2:9" s="26" customFormat="1" ht="17" x14ac:dyDescent="0.2">
      <c r="B14" s="167">
        <v>5</v>
      </c>
      <c r="C14" s="45" t="s">
        <v>11</v>
      </c>
      <c r="D14" s="46" t="s">
        <v>3</v>
      </c>
      <c r="E14" s="47" t="s">
        <v>38</v>
      </c>
    </row>
    <row r="15" spans="2:9" s="26" customFormat="1" ht="17" x14ac:dyDescent="0.2">
      <c r="B15" s="167">
        <v>6</v>
      </c>
      <c r="C15" s="45" t="s">
        <v>11</v>
      </c>
      <c r="D15" s="46" t="s">
        <v>61</v>
      </c>
      <c r="E15" s="47" t="s">
        <v>62</v>
      </c>
    </row>
    <row r="16" spans="2:9" s="26" customFormat="1" ht="17" x14ac:dyDescent="0.2">
      <c r="B16" s="167">
        <v>7</v>
      </c>
      <c r="C16" s="45" t="s">
        <v>11</v>
      </c>
      <c r="D16" s="46" t="s">
        <v>32</v>
      </c>
      <c r="E16" s="47" t="s">
        <v>1119</v>
      </c>
    </row>
    <row r="17" spans="2:5" s="26" customFormat="1" ht="17" x14ac:dyDescent="0.2">
      <c r="B17" s="167">
        <v>8</v>
      </c>
      <c r="C17" s="45" t="s">
        <v>11</v>
      </c>
      <c r="D17" s="46" t="s">
        <v>31</v>
      </c>
      <c r="E17" s="47" t="s">
        <v>41</v>
      </c>
    </row>
    <row r="18" spans="2:5" s="26" customFormat="1" ht="17" x14ac:dyDescent="0.2">
      <c r="B18" s="167">
        <v>9</v>
      </c>
      <c r="C18" s="45" t="s">
        <v>11</v>
      </c>
      <c r="D18" s="46" t="s">
        <v>27</v>
      </c>
      <c r="E18" s="47" t="s">
        <v>799</v>
      </c>
    </row>
    <row r="19" spans="2:5" s="26" customFormat="1" ht="17" x14ac:dyDescent="0.2">
      <c r="B19" s="167">
        <v>10</v>
      </c>
      <c r="C19" s="45" t="s">
        <v>11</v>
      </c>
      <c r="D19" s="46" t="s">
        <v>29</v>
      </c>
      <c r="E19" s="47" t="s">
        <v>800</v>
      </c>
    </row>
    <row r="20" spans="2:5" s="26" customFormat="1" ht="17" x14ac:dyDescent="0.2">
      <c r="B20" s="167">
        <v>11</v>
      </c>
      <c r="C20" s="45" t="s">
        <v>11</v>
      </c>
      <c r="D20" s="46" t="s">
        <v>1114</v>
      </c>
      <c r="E20" s="47" t="s">
        <v>1120</v>
      </c>
    </row>
    <row r="21" spans="2:5" s="26" customFormat="1" ht="17" x14ac:dyDescent="0.2">
      <c r="B21" s="167">
        <v>12</v>
      </c>
      <c r="C21" s="45" t="s">
        <v>11</v>
      </c>
      <c r="D21" s="46" t="s">
        <v>1117</v>
      </c>
      <c r="E21" s="47" t="s">
        <v>1121</v>
      </c>
    </row>
    <row r="22" spans="2:5" s="26" customFormat="1" ht="17" x14ac:dyDescent="0.2">
      <c r="B22" s="167">
        <v>13</v>
      </c>
      <c r="C22" s="45" t="s">
        <v>11</v>
      </c>
      <c r="D22" s="46" t="s">
        <v>1115</v>
      </c>
      <c r="E22" s="47" t="s">
        <v>1122</v>
      </c>
    </row>
    <row r="23" spans="2:5" s="26" customFormat="1" ht="17" x14ac:dyDescent="0.2">
      <c r="B23" s="167">
        <v>14</v>
      </c>
      <c r="C23" s="45" t="s">
        <v>11</v>
      </c>
      <c r="D23" s="46" t="s">
        <v>1118</v>
      </c>
      <c r="E23" s="47" t="s">
        <v>1123</v>
      </c>
    </row>
    <row r="24" spans="2:5" s="26" customFormat="1" ht="17" x14ac:dyDescent="0.2">
      <c r="B24" s="167">
        <v>15</v>
      </c>
      <c r="C24" s="45" t="s">
        <v>11</v>
      </c>
      <c r="D24" s="46" t="s">
        <v>23</v>
      </c>
      <c r="E24" s="47" t="s">
        <v>1125</v>
      </c>
    </row>
    <row r="25" spans="2:5" s="26" customFormat="1" ht="17" x14ac:dyDescent="0.2">
      <c r="B25" s="167">
        <v>16</v>
      </c>
      <c r="C25" s="45" t="s">
        <v>11</v>
      </c>
      <c r="D25" s="46" t="s">
        <v>1116</v>
      </c>
      <c r="E25" s="47" t="s">
        <v>1124</v>
      </c>
    </row>
    <row r="26" spans="2:5" s="26" customFormat="1" ht="17" x14ac:dyDescent="0.2">
      <c r="B26" s="167">
        <v>17</v>
      </c>
      <c r="C26" s="45" t="s">
        <v>11</v>
      </c>
      <c r="D26" s="46" t="s">
        <v>765</v>
      </c>
      <c r="E26" s="47" t="s">
        <v>796</v>
      </c>
    </row>
    <row r="27" spans="2:5" s="26" customFormat="1" ht="17" x14ac:dyDescent="0.2">
      <c r="B27" s="167">
        <v>18</v>
      </c>
      <c r="C27" s="45" t="s">
        <v>11</v>
      </c>
      <c r="D27" s="46" t="s">
        <v>763</v>
      </c>
      <c r="E27" s="47" t="s">
        <v>797</v>
      </c>
    </row>
    <row r="28" spans="2:5" s="26" customFormat="1" ht="17" x14ac:dyDescent="0.2">
      <c r="B28" s="167">
        <v>19</v>
      </c>
      <c r="C28" s="45" t="s">
        <v>11</v>
      </c>
      <c r="D28" s="46" t="s">
        <v>762</v>
      </c>
      <c r="E28" s="47" t="s">
        <v>766</v>
      </c>
    </row>
    <row r="29" spans="2:5" s="26" customFormat="1" ht="17" x14ac:dyDescent="0.2">
      <c r="B29" s="167">
        <v>20</v>
      </c>
      <c r="C29" s="45" t="s">
        <v>11</v>
      </c>
      <c r="D29" s="46" t="s">
        <v>764</v>
      </c>
      <c r="E29" s="47" t="s">
        <v>798</v>
      </c>
    </row>
    <row r="30" spans="2:5" s="26" customFormat="1" ht="17" x14ac:dyDescent="0.2">
      <c r="B30" s="167">
        <v>21</v>
      </c>
      <c r="C30" s="45" t="s">
        <v>11</v>
      </c>
      <c r="D30" s="46" t="s">
        <v>1110</v>
      </c>
      <c r="E30" s="47" t="s">
        <v>1126</v>
      </c>
    </row>
    <row r="31" spans="2:5" s="26" customFormat="1" ht="17" x14ac:dyDescent="0.2">
      <c r="B31" s="167">
        <v>22</v>
      </c>
      <c r="C31" s="45" t="s">
        <v>11</v>
      </c>
      <c r="D31" s="46" t="s">
        <v>27</v>
      </c>
      <c r="E31" s="47" t="s">
        <v>799</v>
      </c>
    </row>
    <row r="32" spans="2:5" s="26" customFormat="1" ht="17" x14ac:dyDescent="0.2">
      <c r="B32" s="167">
        <v>23</v>
      </c>
      <c r="C32" s="45" t="s">
        <v>11</v>
      </c>
      <c r="D32" s="46" t="s">
        <v>29</v>
      </c>
      <c r="E32" s="47" t="s">
        <v>800</v>
      </c>
    </row>
    <row r="33" spans="2:5" s="26" customFormat="1" ht="17" x14ac:dyDescent="0.2">
      <c r="B33" s="167">
        <v>24</v>
      </c>
      <c r="C33" s="45" t="s">
        <v>11</v>
      </c>
      <c r="D33" s="46" t="s">
        <v>1108</v>
      </c>
      <c r="E33" s="47" t="s">
        <v>801</v>
      </c>
    </row>
    <row r="34" spans="2:5" s="26" customFormat="1" ht="17" x14ac:dyDescent="0.2">
      <c r="B34" s="167">
        <v>25</v>
      </c>
      <c r="C34" s="45" t="s">
        <v>11</v>
      </c>
      <c r="D34" s="46" t="s">
        <v>4</v>
      </c>
      <c r="E34" s="47" t="s">
        <v>804</v>
      </c>
    </row>
    <row r="35" spans="2:5" s="26" customFormat="1" ht="17" x14ac:dyDescent="0.2">
      <c r="B35" s="167">
        <v>26</v>
      </c>
      <c r="C35" s="45" t="s">
        <v>11</v>
      </c>
      <c r="D35" s="46" t="s">
        <v>1109</v>
      </c>
      <c r="E35" s="47" t="s">
        <v>802</v>
      </c>
    </row>
    <row r="36" spans="2:5" s="26" customFormat="1" ht="17" x14ac:dyDescent="0.2">
      <c r="B36" s="167">
        <v>27</v>
      </c>
      <c r="C36" s="45" t="s">
        <v>11</v>
      </c>
      <c r="D36" s="46" t="s">
        <v>1127</v>
      </c>
      <c r="E36" s="47" t="s">
        <v>803</v>
      </c>
    </row>
    <row r="37" spans="2:5" s="26" customFormat="1" ht="17" x14ac:dyDescent="0.2">
      <c r="B37" s="167">
        <v>28</v>
      </c>
      <c r="C37" s="45" t="s">
        <v>11</v>
      </c>
      <c r="D37" s="46" t="s">
        <v>1128</v>
      </c>
      <c r="E37" s="47" t="s">
        <v>1129</v>
      </c>
    </row>
    <row r="38" spans="2:5" s="26" customFormat="1" ht="17" x14ac:dyDescent="0.2">
      <c r="B38" s="167">
        <v>29</v>
      </c>
      <c r="C38" s="45" t="s">
        <v>11</v>
      </c>
      <c r="D38" s="46" t="s">
        <v>6</v>
      </c>
      <c r="E38" s="47" t="s">
        <v>805</v>
      </c>
    </row>
    <row r="39" spans="2:5" s="26" customFormat="1" ht="17" x14ac:dyDescent="0.2">
      <c r="B39" s="168">
        <v>30</v>
      </c>
      <c r="C39" s="45" t="s">
        <v>11</v>
      </c>
      <c r="D39" s="46" t="s">
        <v>1113</v>
      </c>
      <c r="E39" s="47" t="s">
        <v>1130</v>
      </c>
    </row>
    <row r="40" spans="2:5" s="26" customFormat="1" ht="17" x14ac:dyDescent="0.2">
      <c r="B40" s="166">
        <v>1</v>
      </c>
      <c r="C40" s="43" t="s">
        <v>461</v>
      </c>
      <c r="D40" s="48" t="s">
        <v>28</v>
      </c>
      <c r="E40" s="49" t="s">
        <v>806</v>
      </c>
    </row>
    <row r="41" spans="2:5" s="26" customFormat="1" ht="17" x14ac:dyDescent="0.2">
      <c r="B41" s="167">
        <v>2</v>
      </c>
      <c r="C41" s="46" t="s">
        <v>461</v>
      </c>
      <c r="D41" s="50" t="s">
        <v>27</v>
      </c>
      <c r="E41" s="51" t="s">
        <v>799</v>
      </c>
    </row>
    <row r="42" spans="2:5" s="26" customFormat="1" ht="17" x14ac:dyDescent="0.2">
      <c r="B42" s="167">
        <v>3</v>
      </c>
      <c r="C42" s="46" t="s">
        <v>461</v>
      </c>
      <c r="D42" s="50" t="s">
        <v>29</v>
      </c>
      <c r="E42" s="51" t="s">
        <v>800</v>
      </c>
    </row>
    <row r="43" spans="2:5" s="26" customFormat="1" ht="17" x14ac:dyDescent="0.2">
      <c r="B43" s="167">
        <v>4</v>
      </c>
      <c r="C43" s="46" t="s">
        <v>461</v>
      </c>
      <c r="D43" s="50" t="s">
        <v>451</v>
      </c>
      <c r="E43" s="51" t="s">
        <v>452</v>
      </c>
    </row>
    <row r="44" spans="2:5" s="26" customFormat="1" ht="17" x14ac:dyDescent="0.2">
      <c r="B44" s="167">
        <v>5</v>
      </c>
      <c r="C44" s="46" t="s">
        <v>461</v>
      </c>
      <c r="D44" s="50" t="s">
        <v>453</v>
      </c>
      <c r="E44" s="51" t="s">
        <v>458</v>
      </c>
    </row>
    <row r="45" spans="2:5" s="26" customFormat="1" ht="17" x14ac:dyDescent="0.2">
      <c r="B45" s="167">
        <v>6</v>
      </c>
      <c r="C45" s="46" t="s">
        <v>461</v>
      </c>
      <c r="D45" s="50" t="s">
        <v>456</v>
      </c>
      <c r="E45" s="51" t="s">
        <v>460</v>
      </c>
    </row>
    <row r="46" spans="2:5" s="26" customFormat="1" ht="17" x14ac:dyDescent="0.2">
      <c r="B46" s="167">
        <v>7</v>
      </c>
      <c r="C46" s="46" t="s">
        <v>461</v>
      </c>
      <c r="D46" s="50" t="s">
        <v>454</v>
      </c>
      <c r="E46" s="51" t="s">
        <v>457</v>
      </c>
    </row>
    <row r="47" spans="2:5" s="26" customFormat="1" ht="17" x14ac:dyDescent="0.2">
      <c r="B47" s="167">
        <v>8</v>
      </c>
      <c r="C47" s="46" t="s">
        <v>461</v>
      </c>
      <c r="D47" s="50" t="s">
        <v>455</v>
      </c>
      <c r="E47" s="51" t="s">
        <v>459</v>
      </c>
    </row>
    <row r="48" spans="2:5" s="26" customFormat="1" ht="17" x14ac:dyDescent="0.2">
      <c r="B48" s="167">
        <v>9</v>
      </c>
      <c r="C48" s="46" t="s">
        <v>461</v>
      </c>
      <c r="D48" s="50" t="s">
        <v>1205</v>
      </c>
      <c r="E48" s="51" t="s">
        <v>1203</v>
      </c>
    </row>
    <row r="49" spans="2:18" s="26" customFormat="1" ht="17" x14ac:dyDescent="0.2">
      <c r="B49" s="167">
        <v>10</v>
      </c>
      <c r="C49" s="46" t="s">
        <v>461</v>
      </c>
      <c r="D49" s="50" t="s">
        <v>758</v>
      </c>
      <c r="E49" s="51" t="s">
        <v>1139</v>
      </c>
    </row>
    <row r="50" spans="2:18" s="26" customFormat="1" ht="17" x14ac:dyDescent="0.2">
      <c r="B50" s="167">
        <v>11</v>
      </c>
      <c r="C50" s="46" t="s">
        <v>461</v>
      </c>
      <c r="D50" s="50" t="s">
        <v>759</v>
      </c>
      <c r="E50" s="51" t="s">
        <v>1140</v>
      </c>
    </row>
    <row r="51" spans="2:18" s="26" customFormat="1" ht="17" x14ac:dyDescent="0.2">
      <c r="B51" s="167">
        <v>12</v>
      </c>
      <c r="C51" s="46" t="s">
        <v>461</v>
      </c>
      <c r="D51" s="50" t="s">
        <v>760</v>
      </c>
      <c r="E51" s="51" t="s">
        <v>1141</v>
      </c>
      <c r="Q51" s="26">
        <v>1600</v>
      </c>
      <c r="R51" s="26">
        <f>(Q51)/(SUM($Q$51:$Q$53))</f>
        <v>0.36363636363636365</v>
      </c>
    </row>
    <row r="52" spans="2:18" s="26" customFormat="1" ht="17" x14ac:dyDescent="0.2">
      <c r="B52" s="167">
        <v>13</v>
      </c>
      <c r="C52" s="46" t="s">
        <v>461</v>
      </c>
      <c r="D52" s="50" t="s">
        <v>761</v>
      </c>
      <c r="E52" s="51" t="s">
        <v>1142</v>
      </c>
      <c r="Q52" s="26">
        <v>1600</v>
      </c>
      <c r="R52" s="26">
        <f>(Q52)/(SUM($Q$51:$Q$53))</f>
        <v>0.36363636363636365</v>
      </c>
    </row>
    <row r="53" spans="2:18" s="26" customFormat="1" ht="17" x14ac:dyDescent="0.2">
      <c r="B53" s="167">
        <v>14</v>
      </c>
      <c r="C53" s="46" t="s">
        <v>461</v>
      </c>
      <c r="D53" s="50" t="s">
        <v>1133</v>
      </c>
      <c r="E53" s="51" t="s">
        <v>1143</v>
      </c>
      <c r="Q53" s="26">
        <v>1200</v>
      </c>
      <c r="R53" s="26">
        <f>(Q53)/(SUM($Q$51:$Q$53))</f>
        <v>0.27272727272727271</v>
      </c>
    </row>
    <row r="54" spans="2:18" s="26" customFormat="1" ht="17" x14ac:dyDescent="0.2">
      <c r="B54" s="167">
        <v>15</v>
      </c>
      <c r="C54" s="46" t="s">
        <v>461</v>
      </c>
      <c r="D54" s="50" t="s">
        <v>1151</v>
      </c>
      <c r="E54" s="51" t="s">
        <v>1152</v>
      </c>
    </row>
    <row r="55" spans="2:18" s="26" customFormat="1" ht="17" x14ac:dyDescent="0.2">
      <c r="B55" s="167">
        <v>16</v>
      </c>
      <c r="C55" s="46" t="s">
        <v>461</v>
      </c>
      <c r="D55" s="50" t="s">
        <v>742</v>
      </c>
      <c r="E55" s="51" t="s">
        <v>1210</v>
      </c>
    </row>
    <row r="56" spans="2:18" s="26" customFormat="1" ht="17" x14ac:dyDescent="0.2">
      <c r="B56" s="167">
        <v>17</v>
      </c>
      <c r="C56" s="46" t="s">
        <v>461</v>
      </c>
      <c r="D56" s="50" t="s">
        <v>743</v>
      </c>
      <c r="E56" s="51" t="s">
        <v>1212</v>
      </c>
    </row>
    <row r="57" spans="2:18" s="26" customFormat="1" ht="17" x14ac:dyDescent="0.2">
      <c r="B57" s="167">
        <v>18</v>
      </c>
      <c r="C57" s="46" t="s">
        <v>461</v>
      </c>
      <c r="D57" s="50" t="s">
        <v>744</v>
      </c>
      <c r="E57" s="51" t="s">
        <v>1211</v>
      </c>
    </row>
    <row r="58" spans="2:18" s="26" customFormat="1" ht="17" x14ac:dyDescent="0.2">
      <c r="B58" s="167">
        <v>19</v>
      </c>
      <c r="C58" s="46" t="s">
        <v>461</v>
      </c>
      <c r="D58" s="50" t="s">
        <v>745</v>
      </c>
      <c r="E58" s="51" t="s">
        <v>1217</v>
      </c>
    </row>
    <row r="59" spans="2:18" s="26" customFormat="1" ht="17" x14ac:dyDescent="0.2">
      <c r="B59" s="167">
        <v>20</v>
      </c>
      <c r="C59" s="46" t="s">
        <v>461</v>
      </c>
      <c r="D59" s="50" t="s">
        <v>746</v>
      </c>
      <c r="E59" s="51" t="s">
        <v>1216</v>
      </c>
    </row>
    <row r="60" spans="2:18" s="26" customFormat="1" ht="17" x14ac:dyDescent="0.2">
      <c r="B60" s="167">
        <v>21</v>
      </c>
      <c r="C60" s="46" t="s">
        <v>461</v>
      </c>
      <c r="D60" s="50" t="s">
        <v>747</v>
      </c>
      <c r="E60" s="51" t="s">
        <v>1215</v>
      </c>
    </row>
    <row r="61" spans="2:18" s="26" customFormat="1" ht="17" x14ac:dyDescent="0.2">
      <c r="B61" s="167">
        <v>22</v>
      </c>
      <c r="C61" s="46" t="s">
        <v>461</v>
      </c>
      <c r="D61" s="50" t="s">
        <v>1134</v>
      </c>
      <c r="E61" s="51" t="s">
        <v>1214</v>
      </c>
    </row>
    <row r="62" spans="2:18" s="26" customFormat="1" ht="17" x14ac:dyDescent="0.2">
      <c r="B62" s="167">
        <v>23</v>
      </c>
      <c r="C62" s="46" t="s">
        <v>461</v>
      </c>
      <c r="D62" s="50" t="s">
        <v>1135</v>
      </c>
      <c r="E62" s="51" t="s">
        <v>1213</v>
      </c>
    </row>
    <row r="63" spans="2:18" s="26" customFormat="1" ht="17" x14ac:dyDescent="0.2">
      <c r="B63" s="167">
        <v>24</v>
      </c>
      <c r="C63" s="46" t="s">
        <v>461</v>
      </c>
      <c r="D63" s="46" t="s">
        <v>1108</v>
      </c>
      <c r="E63" s="47" t="s">
        <v>801</v>
      </c>
    </row>
    <row r="64" spans="2:18" s="26" customFormat="1" ht="17" x14ac:dyDescent="0.2">
      <c r="B64" s="167">
        <v>25</v>
      </c>
      <c r="C64" s="46" t="s">
        <v>461</v>
      </c>
      <c r="D64" s="46" t="s">
        <v>4</v>
      </c>
      <c r="E64" s="47" t="s">
        <v>804</v>
      </c>
    </row>
    <row r="65" spans="2:5" s="26" customFormat="1" ht="17" x14ac:dyDescent="0.2">
      <c r="B65" s="167">
        <v>26</v>
      </c>
      <c r="C65" s="46" t="s">
        <v>461</v>
      </c>
      <c r="D65" s="46" t="s">
        <v>1109</v>
      </c>
      <c r="E65" s="47" t="s">
        <v>802</v>
      </c>
    </row>
    <row r="66" spans="2:5" s="26" customFormat="1" ht="17" x14ac:dyDescent="0.2">
      <c r="B66" s="167">
        <v>27</v>
      </c>
      <c r="C66" s="46" t="s">
        <v>461</v>
      </c>
      <c r="D66" s="46" t="s">
        <v>1127</v>
      </c>
      <c r="E66" s="47" t="s">
        <v>803</v>
      </c>
    </row>
    <row r="67" spans="2:5" s="26" customFormat="1" ht="17" x14ac:dyDescent="0.2">
      <c r="B67" s="167">
        <v>28</v>
      </c>
      <c r="C67" s="46" t="s">
        <v>461</v>
      </c>
      <c r="D67" s="46" t="s">
        <v>1128</v>
      </c>
      <c r="E67" s="47" t="s">
        <v>1129</v>
      </c>
    </row>
    <row r="68" spans="2:5" s="26" customFormat="1" ht="17" x14ac:dyDescent="0.2">
      <c r="B68" s="167">
        <v>29</v>
      </c>
      <c r="C68" s="46" t="s">
        <v>461</v>
      </c>
      <c r="D68" s="46" t="s">
        <v>6</v>
      </c>
      <c r="E68" s="47" t="s">
        <v>805</v>
      </c>
    </row>
    <row r="69" spans="2:5" s="26" customFormat="1" ht="17" x14ac:dyDescent="0.2">
      <c r="B69" s="168">
        <v>30</v>
      </c>
      <c r="C69" s="52" t="s">
        <v>461</v>
      </c>
      <c r="D69" s="52" t="s">
        <v>1113</v>
      </c>
      <c r="E69" s="164" t="s">
        <v>1130</v>
      </c>
    </row>
    <row r="70" spans="2:5" s="26" customFormat="1" ht="17" hidden="1" x14ac:dyDescent="0.2">
      <c r="B70" s="166">
        <v>1</v>
      </c>
      <c r="C70" s="46" t="s">
        <v>12</v>
      </c>
      <c r="D70" s="43" t="s">
        <v>28</v>
      </c>
      <c r="E70" s="44" t="s">
        <v>806</v>
      </c>
    </row>
    <row r="71" spans="2:5" s="26" customFormat="1" ht="17" hidden="1" x14ac:dyDescent="0.2">
      <c r="B71" s="167">
        <v>2</v>
      </c>
      <c r="C71" s="46" t="s">
        <v>12</v>
      </c>
      <c r="D71" s="46" t="s">
        <v>32</v>
      </c>
      <c r="E71" s="47" t="s">
        <v>1119</v>
      </c>
    </row>
    <row r="72" spans="2:5" s="26" customFormat="1" ht="17" hidden="1" x14ac:dyDescent="0.2">
      <c r="B72" s="167">
        <v>3</v>
      </c>
      <c r="C72" s="46" t="s">
        <v>12</v>
      </c>
      <c r="D72" s="46" t="s">
        <v>522</v>
      </c>
      <c r="E72" s="47" t="s">
        <v>41</v>
      </c>
    </row>
    <row r="73" spans="2:5" s="26" customFormat="1" ht="17" hidden="1" x14ac:dyDescent="0.2">
      <c r="B73" s="167">
        <v>4</v>
      </c>
      <c r="C73" s="46" t="s">
        <v>12</v>
      </c>
      <c r="D73" s="46" t="s">
        <v>477</v>
      </c>
      <c r="E73" s="47" t="s">
        <v>799</v>
      </c>
    </row>
    <row r="74" spans="2:5" s="26" customFormat="1" ht="17" hidden="1" x14ac:dyDescent="0.2">
      <c r="B74" s="167">
        <v>5</v>
      </c>
      <c r="C74" s="46" t="s">
        <v>12</v>
      </c>
      <c r="D74" s="46" t="s">
        <v>523</v>
      </c>
      <c r="E74" s="47" t="s">
        <v>1124</v>
      </c>
    </row>
    <row r="75" spans="2:5" s="26" customFormat="1" ht="17" hidden="1" x14ac:dyDescent="0.2">
      <c r="B75" s="167">
        <v>6</v>
      </c>
      <c r="C75" s="46" t="s">
        <v>12</v>
      </c>
      <c r="D75" s="46" t="s">
        <v>524</v>
      </c>
      <c r="E75" s="47" t="s">
        <v>1125</v>
      </c>
    </row>
    <row r="76" spans="2:5" s="26" customFormat="1" ht="17" hidden="1" x14ac:dyDescent="0.2">
      <c r="B76" s="167">
        <v>7</v>
      </c>
      <c r="C76" s="46" t="s">
        <v>12</v>
      </c>
      <c r="D76" s="46" t="s">
        <v>1138</v>
      </c>
      <c r="E76" s="47" t="s">
        <v>1146</v>
      </c>
    </row>
    <row r="77" spans="2:5" s="26" customFormat="1" ht="17" hidden="1" x14ac:dyDescent="0.2">
      <c r="B77" s="167">
        <v>8</v>
      </c>
      <c r="C77" s="46" t="s">
        <v>12</v>
      </c>
      <c r="D77" s="46" t="s">
        <v>1136</v>
      </c>
      <c r="E77" s="47" t="s">
        <v>1144</v>
      </c>
    </row>
    <row r="78" spans="2:5" s="26" customFormat="1" ht="17" hidden="1" x14ac:dyDescent="0.2">
      <c r="B78" s="167">
        <v>9</v>
      </c>
      <c r="C78" s="46" t="s">
        <v>12</v>
      </c>
      <c r="D78" s="46" t="s">
        <v>1137</v>
      </c>
      <c r="E78" s="47" t="s">
        <v>1145</v>
      </c>
    </row>
    <row r="79" spans="2:5" s="26" customFormat="1" hidden="1" x14ac:dyDescent="0.2">
      <c r="B79" s="167">
        <v>10</v>
      </c>
      <c r="C79" s="46" t="s">
        <v>12</v>
      </c>
      <c r="D79" s="46" t="s">
        <v>531</v>
      </c>
      <c r="E79" s="47"/>
    </row>
    <row r="80" spans="2:5" s="26" customFormat="1" ht="17" hidden="1" x14ac:dyDescent="0.2">
      <c r="B80" s="167">
        <v>11</v>
      </c>
      <c r="C80" s="46" t="s">
        <v>12</v>
      </c>
      <c r="D80" s="51" t="s">
        <v>526</v>
      </c>
      <c r="E80" s="47"/>
    </row>
    <row r="81" spans="2:5" s="26" customFormat="1" hidden="1" x14ac:dyDescent="0.2">
      <c r="B81" s="167">
        <v>12</v>
      </c>
      <c r="C81" s="46" t="s">
        <v>12</v>
      </c>
      <c r="D81" s="46" t="s">
        <v>30</v>
      </c>
      <c r="E81" s="47"/>
    </row>
    <row r="82" spans="2:5" s="26" customFormat="1" hidden="1" x14ac:dyDescent="0.2">
      <c r="B82" s="167">
        <v>13</v>
      </c>
      <c r="C82" s="46" t="s">
        <v>12</v>
      </c>
      <c r="D82" s="46" t="s">
        <v>530</v>
      </c>
      <c r="E82" s="47"/>
    </row>
    <row r="83" spans="2:5" s="26" customFormat="1" hidden="1" x14ac:dyDescent="0.2">
      <c r="B83" s="167">
        <v>14</v>
      </c>
      <c r="C83" s="46" t="s">
        <v>12</v>
      </c>
      <c r="D83" s="46" t="s">
        <v>527</v>
      </c>
      <c r="E83" s="47"/>
    </row>
    <row r="84" spans="2:5" s="26" customFormat="1" hidden="1" x14ac:dyDescent="0.2">
      <c r="B84" s="167">
        <v>15</v>
      </c>
      <c r="C84" s="46" t="s">
        <v>12</v>
      </c>
      <c r="D84" s="46" t="s">
        <v>529</v>
      </c>
      <c r="E84" s="47"/>
    </row>
    <row r="85" spans="2:5" s="26" customFormat="1" hidden="1" x14ac:dyDescent="0.2">
      <c r="B85" s="167">
        <v>16</v>
      </c>
      <c r="C85" s="46" t="s">
        <v>12</v>
      </c>
      <c r="D85" s="46" t="s">
        <v>528</v>
      </c>
      <c r="E85" s="47"/>
    </row>
    <row r="86" spans="2:5" s="26" customFormat="1" hidden="1" x14ac:dyDescent="0.2">
      <c r="B86" s="167">
        <v>17</v>
      </c>
      <c r="C86" s="46" t="s">
        <v>12</v>
      </c>
      <c r="D86" s="46" t="s">
        <v>729</v>
      </c>
      <c r="E86" s="47"/>
    </row>
    <row r="87" spans="2:5" s="26" customFormat="1" hidden="1" x14ac:dyDescent="0.2">
      <c r="B87" s="167">
        <v>18</v>
      </c>
      <c r="C87" s="46" t="s">
        <v>12</v>
      </c>
      <c r="D87" s="46" t="s">
        <v>730</v>
      </c>
      <c r="E87" s="47"/>
    </row>
    <row r="88" spans="2:5" s="26" customFormat="1" hidden="1" x14ac:dyDescent="0.2">
      <c r="B88" s="167">
        <v>19</v>
      </c>
      <c r="C88" s="46" t="s">
        <v>12</v>
      </c>
      <c r="D88" s="46" t="s">
        <v>733</v>
      </c>
      <c r="E88" s="47"/>
    </row>
    <row r="89" spans="2:5" s="26" customFormat="1" hidden="1" x14ac:dyDescent="0.2">
      <c r="B89" s="167">
        <v>20</v>
      </c>
      <c r="C89" s="46" t="s">
        <v>12</v>
      </c>
      <c r="D89" s="46" t="s">
        <v>732</v>
      </c>
      <c r="E89" s="47"/>
    </row>
    <row r="90" spans="2:5" s="26" customFormat="1" hidden="1" x14ac:dyDescent="0.2">
      <c r="B90" s="167">
        <v>21</v>
      </c>
      <c r="C90" s="46" t="s">
        <v>12</v>
      </c>
      <c r="D90" s="46" t="s">
        <v>731</v>
      </c>
      <c r="E90" s="47"/>
    </row>
    <row r="91" spans="2:5" s="26" customFormat="1" hidden="1" x14ac:dyDescent="0.2">
      <c r="B91" s="167">
        <v>22</v>
      </c>
      <c r="C91" s="46" t="s">
        <v>12</v>
      </c>
      <c r="D91" s="46" t="s">
        <v>753</v>
      </c>
      <c r="E91" s="47"/>
    </row>
    <row r="92" spans="2:5" s="26" customFormat="1" hidden="1" x14ac:dyDescent="0.2">
      <c r="B92" s="167">
        <v>23</v>
      </c>
      <c r="C92" s="46" t="s">
        <v>12</v>
      </c>
      <c r="D92" s="46" t="s">
        <v>754</v>
      </c>
      <c r="E92" s="47"/>
    </row>
    <row r="93" spans="2:5" s="26" customFormat="1" hidden="1" x14ac:dyDescent="0.2">
      <c r="B93" s="167">
        <v>24</v>
      </c>
      <c r="C93" s="46" t="s">
        <v>12</v>
      </c>
      <c r="D93" s="46" t="s">
        <v>755</v>
      </c>
      <c r="E93" s="47"/>
    </row>
    <row r="94" spans="2:5" s="26" customFormat="1" hidden="1" x14ac:dyDescent="0.2">
      <c r="B94" s="167">
        <v>25</v>
      </c>
      <c r="C94" s="46" t="s">
        <v>12</v>
      </c>
      <c r="D94" s="46" t="s">
        <v>756</v>
      </c>
      <c r="E94" s="47"/>
    </row>
    <row r="95" spans="2:5" s="26" customFormat="1" hidden="1" x14ac:dyDescent="0.2">
      <c r="B95" s="167">
        <v>26</v>
      </c>
      <c r="C95" s="46" t="s">
        <v>12</v>
      </c>
      <c r="D95" s="46" t="s">
        <v>808</v>
      </c>
      <c r="E95" s="47"/>
    </row>
    <row r="96" spans="2:5" s="26" customFormat="1" hidden="1" x14ac:dyDescent="0.2">
      <c r="B96" s="167">
        <v>27</v>
      </c>
      <c r="C96" s="46" t="s">
        <v>12</v>
      </c>
      <c r="D96" s="46" t="s">
        <v>757</v>
      </c>
      <c r="E96" s="47"/>
    </row>
    <row r="97" spans="2:5" s="26" customFormat="1" hidden="1" x14ac:dyDescent="0.2">
      <c r="B97" s="167">
        <v>28</v>
      </c>
      <c r="C97" s="46" t="s">
        <v>12</v>
      </c>
      <c r="D97" s="46" t="s">
        <v>734</v>
      </c>
      <c r="E97" s="47"/>
    </row>
    <row r="98" spans="2:5" s="26" customFormat="1" hidden="1" x14ac:dyDescent="0.2">
      <c r="B98" s="167">
        <v>29</v>
      </c>
      <c r="C98" s="46" t="s">
        <v>12</v>
      </c>
      <c r="D98" s="46" t="s">
        <v>1148</v>
      </c>
      <c r="E98" s="47"/>
    </row>
    <row r="99" spans="2:5" s="26" customFormat="1" hidden="1" x14ac:dyDescent="0.2">
      <c r="B99" s="167">
        <v>30</v>
      </c>
      <c r="C99" s="46" t="s">
        <v>12</v>
      </c>
      <c r="D99" s="46" t="s">
        <v>735</v>
      </c>
      <c r="E99" s="47"/>
    </row>
    <row r="100" spans="2:5" s="26" customFormat="1" hidden="1" x14ac:dyDescent="0.2">
      <c r="B100" s="167">
        <v>31</v>
      </c>
      <c r="C100" s="46" t="s">
        <v>12</v>
      </c>
      <c r="D100" s="46" t="s">
        <v>1201</v>
      </c>
      <c r="E100" s="47"/>
    </row>
    <row r="101" spans="2:5" s="26" customFormat="1" ht="17" hidden="1" x14ac:dyDescent="0.2">
      <c r="B101" s="167">
        <v>32</v>
      </c>
      <c r="C101" s="46" t="s">
        <v>12</v>
      </c>
      <c r="D101" s="51" t="s">
        <v>1206</v>
      </c>
      <c r="E101" s="47"/>
    </row>
    <row r="102" spans="2:5" s="26" customFormat="1" hidden="1" x14ac:dyDescent="0.2">
      <c r="B102" s="167">
        <v>33</v>
      </c>
      <c r="C102" s="46" t="s">
        <v>12</v>
      </c>
      <c r="D102" s="46" t="s">
        <v>736</v>
      </c>
      <c r="E102" s="47"/>
    </row>
    <row r="103" spans="2:5" s="26" customFormat="1" ht="17" hidden="1" x14ac:dyDescent="0.2">
      <c r="B103" s="167">
        <v>34</v>
      </c>
      <c r="C103" s="46" t="s">
        <v>12</v>
      </c>
      <c r="D103" s="51" t="s">
        <v>739</v>
      </c>
      <c r="E103" s="47"/>
    </row>
    <row r="104" spans="2:5" s="26" customFormat="1" hidden="1" x14ac:dyDescent="0.2">
      <c r="B104" s="167">
        <v>35</v>
      </c>
      <c r="C104" s="46" t="s">
        <v>12</v>
      </c>
      <c r="D104" s="46" t="s">
        <v>748</v>
      </c>
      <c r="E104" s="47"/>
    </row>
    <row r="105" spans="2:5" s="26" customFormat="1" hidden="1" x14ac:dyDescent="0.2">
      <c r="B105" s="167">
        <v>36</v>
      </c>
      <c r="C105" s="46" t="s">
        <v>12</v>
      </c>
      <c r="D105" s="46" t="s">
        <v>749</v>
      </c>
      <c r="E105" s="47"/>
    </row>
    <row r="106" spans="2:5" s="26" customFormat="1" hidden="1" x14ac:dyDescent="0.2">
      <c r="B106" s="167">
        <v>37</v>
      </c>
      <c r="C106" s="46" t="s">
        <v>12</v>
      </c>
      <c r="D106" s="46" t="s">
        <v>750</v>
      </c>
      <c r="E106" s="47"/>
    </row>
    <row r="107" spans="2:5" s="26" customFormat="1" hidden="1" x14ac:dyDescent="0.2">
      <c r="B107" s="167">
        <v>38</v>
      </c>
      <c r="C107" s="46" t="s">
        <v>12</v>
      </c>
      <c r="D107" s="46" t="s">
        <v>1147</v>
      </c>
      <c r="E107" s="47"/>
    </row>
    <row r="108" spans="2:5" s="26" customFormat="1" hidden="1" x14ac:dyDescent="0.2">
      <c r="B108" s="167">
        <v>39</v>
      </c>
      <c r="C108" s="46" t="s">
        <v>12</v>
      </c>
      <c r="D108" s="46" t="s">
        <v>738</v>
      </c>
      <c r="E108" s="47"/>
    </row>
    <row r="109" spans="2:5" s="26" customFormat="1" hidden="1" x14ac:dyDescent="0.2">
      <c r="B109" s="167">
        <v>40</v>
      </c>
      <c r="C109" s="46" t="s">
        <v>12</v>
      </c>
      <c r="D109" s="46" t="s">
        <v>741</v>
      </c>
      <c r="E109" s="47"/>
    </row>
    <row r="110" spans="2:5" s="26" customFormat="1" hidden="1" x14ac:dyDescent="0.2">
      <c r="B110" s="167">
        <v>41</v>
      </c>
      <c r="C110" s="46" t="s">
        <v>12</v>
      </c>
      <c r="D110" s="46" t="s">
        <v>740</v>
      </c>
      <c r="E110" s="47"/>
    </row>
    <row r="111" spans="2:5" s="26" customFormat="1" ht="17" hidden="1" x14ac:dyDescent="0.2">
      <c r="B111" s="168">
        <v>42</v>
      </c>
      <c r="C111" s="52" t="s">
        <v>12</v>
      </c>
      <c r="D111" s="52" t="s">
        <v>737</v>
      </c>
      <c r="E111" s="164" t="s">
        <v>36</v>
      </c>
    </row>
    <row r="112" spans="2:5" s="26" customFormat="1" x14ac:dyDescent="0.2">
      <c r="E112" s="39"/>
    </row>
    <row r="113" spans="5:5" s="26" customFormat="1" x14ac:dyDescent="0.2">
      <c r="E113" s="39"/>
    </row>
    <row r="114" spans="5:5" s="26" customFormat="1" x14ac:dyDescent="0.2">
      <c r="E114" s="39"/>
    </row>
    <row r="115" spans="5:5" s="26" customFormat="1" x14ac:dyDescent="0.2">
      <c r="E115" s="39"/>
    </row>
    <row r="116" spans="5:5" s="26" customFormat="1" x14ac:dyDescent="0.2">
      <c r="E116" s="39"/>
    </row>
    <row r="117" spans="5:5" s="26" customFormat="1" x14ac:dyDescent="0.2">
      <c r="E117" s="39"/>
    </row>
    <row r="118" spans="5:5" s="26" customFormat="1" x14ac:dyDescent="0.2">
      <c r="E118" s="39"/>
    </row>
    <row r="119" spans="5:5" s="26" customFormat="1" x14ac:dyDescent="0.2">
      <c r="E119" s="39"/>
    </row>
    <row r="120" spans="5:5" s="26" customFormat="1" x14ac:dyDescent="0.2">
      <c r="E120" s="39"/>
    </row>
    <row r="121" spans="5:5" s="26" customFormat="1" x14ac:dyDescent="0.2">
      <c r="E121" s="39"/>
    </row>
    <row r="122" spans="5:5" s="26" customFormat="1" x14ac:dyDescent="0.2">
      <c r="E122" s="39"/>
    </row>
    <row r="123" spans="5:5" s="26" customFormat="1" x14ac:dyDescent="0.2">
      <c r="E123" s="39"/>
    </row>
    <row r="124" spans="5:5" s="26" customFormat="1" x14ac:dyDescent="0.2">
      <c r="E124" s="39"/>
    </row>
    <row r="125" spans="5:5" s="26" customFormat="1" x14ac:dyDescent="0.2">
      <c r="E125" s="39"/>
    </row>
    <row r="126" spans="5:5" s="26" customFormat="1" x14ac:dyDescent="0.2">
      <c r="E126" s="39"/>
    </row>
    <row r="127" spans="5:5" s="26" customFormat="1" x14ac:dyDescent="0.2">
      <c r="E127" s="39"/>
    </row>
    <row r="128" spans="5:5" s="26" customFormat="1" x14ac:dyDescent="0.2">
      <c r="E128" s="39"/>
    </row>
    <row r="129" spans="5:12" s="26" customFormat="1" x14ac:dyDescent="0.2">
      <c r="E129" s="39"/>
    </row>
    <row r="130" spans="5:12" s="26" customFormat="1" x14ac:dyDescent="0.2">
      <c r="E130" s="39"/>
    </row>
    <row r="131" spans="5:12" s="26" customFormat="1" x14ac:dyDescent="0.2">
      <c r="E131" s="39"/>
    </row>
    <row r="132" spans="5:12" s="26" customFormat="1" x14ac:dyDescent="0.2">
      <c r="E132" s="39"/>
    </row>
    <row r="133" spans="5:12" s="26" customFormat="1" x14ac:dyDescent="0.2">
      <c r="E133" s="39"/>
    </row>
    <row r="134" spans="5:12" s="26" customFormat="1" x14ac:dyDescent="0.2">
      <c r="E134" s="39"/>
    </row>
    <row r="135" spans="5:12" s="26" customFormat="1" x14ac:dyDescent="0.2">
      <c r="E135" s="39"/>
    </row>
    <row r="136" spans="5:12" s="26" customFormat="1" x14ac:dyDescent="0.2">
      <c r="E136" s="39"/>
    </row>
    <row r="137" spans="5:12" x14ac:dyDescent="0.2">
      <c r="L137" s="26"/>
    </row>
    <row r="138" spans="5:12" x14ac:dyDescent="0.2">
      <c r="L138" s="26"/>
    </row>
    <row r="139" spans="5:12" x14ac:dyDescent="0.2">
      <c r="L139" s="26"/>
    </row>
    <row r="140" spans="5:12" x14ac:dyDescent="0.2">
      <c r="L140" s="26"/>
    </row>
    <row r="141" spans="5:12" x14ac:dyDescent="0.2">
      <c r="L141" s="26"/>
    </row>
    <row r="142" spans="5:12" x14ac:dyDescent="0.2">
      <c r="L142" s="26"/>
    </row>
    <row r="143" spans="5:12" x14ac:dyDescent="0.2">
      <c r="L143" s="26"/>
    </row>
    <row r="155" spans="7:7" x14ac:dyDescent="0.2">
      <c r="G155" s="17"/>
    </row>
    <row r="156" spans="7:7" x14ac:dyDescent="0.2">
      <c r="G156" s="17"/>
    </row>
    <row r="157" spans="7:7" x14ac:dyDescent="0.2">
      <c r="G157" s="17"/>
    </row>
    <row r="158" spans="7:7" x14ac:dyDescent="0.2">
      <c r="G158" s="17"/>
    </row>
    <row r="159" spans="7:7" x14ac:dyDescent="0.2">
      <c r="G159" s="17"/>
    </row>
    <row r="160" spans="7:7" x14ac:dyDescent="0.2">
      <c r="G160" s="17"/>
    </row>
  </sheetData>
  <mergeCells count="3">
    <mergeCell ref="C8:E8"/>
    <mergeCell ref="C6:E6"/>
    <mergeCell ref="C5:E5"/>
  </mergeCells>
  <phoneticPr fontId="9"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3AC7B-294E-234F-968F-5CC936E61A65}">
  <sheetPr>
    <tabColor theme="4" tint="0.79998168889431442"/>
  </sheetPr>
  <dimension ref="A1:AB864"/>
  <sheetViews>
    <sheetView zoomScale="90" zoomScaleNormal="90" workbookViewId="0">
      <pane xSplit="9" topLeftCell="O1" activePane="topRight" state="frozen"/>
      <selection pane="topRight" activeCell="F11" sqref="F11"/>
    </sheetView>
  </sheetViews>
  <sheetFormatPr baseColWidth="10" defaultRowHeight="16" x14ac:dyDescent="0.2"/>
  <cols>
    <col min="1" max="1" width="7.6640625" customWidth="1"/>
    <col min="2" max="2" width="9.5" customWidth="1"/>
    <col min="3" max="3" width="8.83203125" customWidth="1"/>
    <col min="4" max="4" width="8.1640625" customWidth="1"/>
    <col min="5" max="5" width="25.1640625" customWidth="1"/>
    <col min="6" max="6" width="54.1640625" customWidth="1"/>
    <col min="7" max="7" width="10.1640625" customWidth="1"/>
    <col min="8" max="8" width="0.1640625" customWidth="1"/>
    <col min="9" max="9" width="18.33203125" customWidth="1"/>
    <col min="10" max="10" width="12.1640625" customWidth="1"/>
    <col min="11" max="11" width="8.5" customWidth="1"/>
    <col min="12" max="12" width="10.5" customWidth="1"/>
    <col min="13" max="13" width="8.33203125" customWidth="1"/>
    <col min="14" max="14" width="8.33203125" style="10" customWidth="1"/>
    <col min="15" max="15" width="14.33203125" style="10" bestFit="1" customWidth="1"/>
    <col min="16" max="16" width="12.6640625" bestFit="1" customWidth="1"/>
    <col min="17" max="17" width="12.83203125" bestFit="1" customWidth="1"/>
    <col min="18" max="18" width="15.1640625" customWidth="1"/>
    <col min="19" max="19" width="12.33203125" customWidth="1"/>
    <col min="20" max="20" width="12.1640625" customWidth="1"/>
    <col min="21" max="21" width="18.1640625" customWidth="1"/>
    <col min="22" max="22" width="14.83203125" customWidth="1"/>
    <col min="23" max="23" width="18.1640625" customWidth="1"/>
    <col min="24" max="24" width="12.83203125" customWidth="1"/>
    <col min="25" max="25" width="15.5" customWidth="1"/>
    <col min="26" max="26" width="46.6640625" customWidth="1"/>
    <col min="27" max="27" width="11.6640625" customWidth="1"/>
  </cols>
  <sheetData>
    <row r="1" spans="1:27" s="1" customFormat="1" x14ac:dyDescent="0.2">
      <c r="A1" s="1" t="s">
        <v>0</v>
      </c>
      <c r="B1" s="1" t="s">
        <v>1</v>
      </c>
      <c r="C1" s="1" t="s">
        <v>37</v>
      </c>
      <c r="D1" s="1" t="s">
        <v>2</v>
      </c>
      <c r="E1" s="1" t="s">
        <v>3</v>
      </c>
      <c r="F1" s="1" t="s">
        <v>61</v>
      </c>
      <c r="G1" s="1" t="s">
        <v>32</v>
      </c>
      <c r="H1" s="1" t="s">
        <v>31</v>
      </c>
      <c r="I1" s="1" t="s">
        <v>27</v>
      </c>
      <c r="J1" s="1" t="s">
        <v>1114</v>
      </c>
      <c r="K1" s="1" t="s">
        <v>1117</v>
      </c>
      <c r="L1" s="1" t="s">
        <v>1115</v>
      </c>
      <c r="M1" s="1" t="s">
        <v>1118</v>
      </c>
      <c r="N1" s="21" t="s">
        <v>23</v>
      </c>
      <c r="O1" s="21" t="s">
        <v>1116</v>
      </c>
      <c r="P1" s="33" t="s">
        <v>765</v>
      </c>
      <c r="Q1" s="33" t="s">
        <v>791</v>
      </c>
      <c r="R1" s="33" t="s">
        <v>792</v>
      </c>
      <c r="S1" s="33" t="s">
        <v>764</v>
      </c>
      <c r="T1" s="33" t="s">
        <v>1110</v>
      </c>
      <c r="U1" s="1" t="s">
        <v>1108</v>
      </c>
      <c r="V1" s="1" t="s">
        <v>4</v>
      </c>
      <c r="W1" s="1" t="s">
        <v>1109</v>
      </c>
      <c r="X1" s="1" t="s">
        <v>5</v>
      </c>
      <c r="Y1" s="1" t="s">
        <v>1111</v>
      </c>
      <c r="Z1" s="1" t="s">
        <v>1112</v>
      </c>
      <c r="AA1" s="1" t="s">
        <v>1113</v>
      </c>
    </row>
    <row r="2" spans="1:27" x14ac:dyDescent="0.2">
      <c r="A2" s="225" t="s">
        <v>33</v>
      </c>
      <c r="B2" t="s">
        <v>63</v>
      </c>
      <c r="C2" t="s">
        <v>67</v>
      </c>
      <c r="D2" t="s">
        <v>66</v>
      </c>
      <c r="E2" t="s">
        <v>65</v>
      </c>
      <c r="F2" s="226" t="s">
        <v>64</v>
      </c>
      <c r="G2" t="str">
        <f>_xlfn.XLOOKUP(FMECA[[#This Row],[HazardRisk_name]],categories[HazardRisk_Name],categories[HazardRisk])</f>
        <v>Hazard</v>
      </c>
      <c r="H2" t="str">
        <f>_xlfn.XLOOKUP(FMECA[[#This Row],[HazardRisk_name]],categories[HazardRisk_Name],categories[Category])</f>
        <v>Pollutants</v>
      </c>
      <c r="I2" t="s">
        <v>636</v>
      </c>
      <c r="J2" s="10">
        <v>5</v>
      </c>
      <c r="K2" t="s">
        <v>1158</v>
      </c>
      <c r="L2" s="10">
        <v>10</v>
      </c>
      <c r="M2" t="s">
        <v>1158</v>
      </c>
      <c r="N2" s="10">
        <f>FMECA[[#This Row],[probability_value]]*FMECA[[#This Row],[consequence_value]]</f>
        <v>50</v>
      </c>
      <c r="O2"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2" s="10" t="s">
        <v>777</v>
      </c>
      <c r="Q2" t="s">
        <v>778</v>
      </c>
      <c r="R2" t="s">
        <v>780</v>
      </c>
      <c r="S2" t="s">
        <v>1153</v>
      </c>
      <c r="U2" t="s">
        <v>1159</v>
      </c>
      <c r="V2" t="s">
        <v>470</v>
      </c>
      <c r="W2" t="s">
        <v>1160</v>
      </c>
      <c r="X2" t="s">
        <v>470</v>
      </c>
      <c r="Y2" t="s">
        <v>1161</v>
      </c>
      <c r="Z2" t="s">
        <v>1163</v>
      </c>
      <c r="AA2" t="s">
        <v>1162</v>
      </c>
    </row>
    <row r="3" spans="1:27" x14ac:dyDescent="0.2">
      <c r="A3" s="225" t="s">
        <v>33</v>
      </c>
      <c r="B3" t="s">
        <v>63</v>
      </c>
      <c r="C3" t="s">
        <v>67</v>
      </c>
      <c r="D3" t="s">
        <v>66</v>
      </c>
      <c r="E3" t="s">
        <v>65</v>
      </c>
      <c r="F3" s="226" t="s">
        <v>64</v>
      </c>
      <c r="G3" t="str">
        <f>_xlfn.XLOOKUP(FMECA[[#This Row],[HazardRisk_name]],categories[HazardRisk_Name],categories[HazardRisk])</f>
        <v>Risk</v>
      </c>
      <c r="H3" t="str">
        <f>_xlfn.XLOOKUP(FMECA[[#This Row],[HazardRisk_name]],categories[HazardRisk_Name],categories[Category])</f>
        <v>Pollutants</v>
      </c>
      <c r="I3" t="s">
        <v>716</v>
      </c>
      <c r="J3" s="10">
        <v>5</v>
      </c>
      <c r="K3" t="s">
        <v>1158</v>
      </c>
      <c r="L3" s="10">
        <v>10</v>
      </c>
      <c r="M3" t="s">
        <v>1158</v>
      </c>
      <c r="N3" s="10">
        <f>FMECA[[#This Row],[probability_value]]*FMECA[[#This Row],[consequence_value]]</f>
        <v>50</v>
      </c>
      <c r="O3"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3" s="10" t="s">
        <v>777</v>
      </c>
      <c r="Q3" t="s">
        <v>778</v>
      </c>
      <c r="R3" t="s">
        <v>780</v>
      </c>
      <c r="S3" t="s">
        <v>1153</v>
      </c>
      <c r="U3" t="s">
        <v>1159</v>
      </c>
      <c r="V3" t="s">
        <v>470</v>
      </c>
      <c r="W3" t="s">
        <v>1160</v>
      </c>
      <c r="X3" t="s">
        <v>470</v>
      </c>
      <c r="Y3" t="s">
        <v>1161</v>
      </c>
      <c r="Z3" t="s">
        <v>1163</v>
      </c>
      <c r="AA3" t="s">
        <v>1162</v>
      </c>
    </row>
    <row r="4" spans="1:27" x14ac:dyDescent="0.2">
      <c r="A4" s="225" t="s">
        <v>33</v>
      </c>
      <c r="B4" t="s">
        <v>63</v>
      </c>
      <c r="C4" t="s">
        <v>67</v>
      </c>
      <c r="D4" t="s">
        <v>66</v>
      </c>
      <c r="E4" t="s">
        <v>65</v>
      </c>
      <c r="F4" s="226" t="s">
        <v>64</v>
      </c>
      <c r="G4" t="str">
        <f>_xlfn.XLOOKUP(FMECA[[#This Row],[HazardRisk_name]],categories[HazardRisk_Name],categories[HazardRisk])</f>
        <v>Risk</v>
      </c>
      <c r="H4" t="str">
        <f>_xlfn.XLOOKUP(FMECA[[#This Row],[HazardRisk_name]],categories[HazardRisk_Name],categories[Category])</f>
        <v>Political</v>
      </c>
      <c r="I4" t="s">
        <v>629</v>
      </c>
      <c r="J4" s="10">
        <v>3</v>
      </c>
      <c r="K4" t="s">
        <v>1154</v>
      </c>
      <c r="L4" s="10">
        <v>7</v>
      </c>
      <c r="M4" t="s">
        <v>1154</v>
      </c>
      <c r="N4" s="10">
        <f>FMECA[[#This Row],[probability_value]]*FMECA[[#This Row],[consequence_value]]</f>
        <v>21</v>
      </c>
      <c r="O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 s="10" t="s">
        <v>777</v>
      </c>
      <c r="Q4" t="s">
        <v>778</v>
      </c>
      <c r="R4" t="s">
        <v>780</v>
      </c>
      <c r="S4" t="s">
        <v>1153</v>
      </c>
      <c r="U4" t="s">
        <v>1155</v>
      </c>
      <c r="V4" t="s">
        <v>449</v>
      </c>
      <c r="W4" t="s">
        <v>1156</v>
      </c>
      <c r="X4" t="s">
        <v>466</v>
      </c>
      <c r="Y4" t="s">
        <v>1153</v>
      </c>
      <c r="Z4" t="s">
        <v>1157</v>
      </c>
      <c r="AA4" t="s">
        <v>1132</v>
      </c>
    </row>
    <row r="5" spans="1:27" x14ac:dyDescent="0.2">
      <c r="A5" s="225" t="s">
        <v>33</v>
      </c>
      <c r="B5" t="s">
        <v>63</v>
      </c>
      <c r="C5" t="s">
        <v>67</v>
      </c>
      <c r="D5" t="s">
        <v>66</v>
      </c>
      <c r="E5" t="s">
        <v>65</v>
      </c>
      <c r="F5" s="226" t="s">
        <v>64</v>
      </c>
      <c r="G5" t="str">
        <f>_xlfn.XLOOKUP(FMECA[[#This Row],[HazardRisk_name]],categories[HazardRisk_Name],categories[HazardRisk])</f>
        <v>Hazard</v>
      </c>
      <c r="H5" t="str">
        <f>_xlfn.XLOOKUP(FMECA[[#This Row],[HazardRisk_name]],categories[HazardRisk_Name],categories[Category])</f>
        <v>Environmental</v>
      </c>
      <c r="I5" t="s">
        <v>1164</v>
      </c>
      <c r="J5" s="10">
        <v>5</v>
      </c>
      <c r="K5" t="s">
        <v>1166</v>
      </c>
      <c r="L5" s="10">
        <v>7</v>
      </c>
      <c r="M5" t="s">
        <v>1166</v>
      </c>
      <c r="N5" s="10">
        <f>FMECA[[#This Row],[probability_value]]*FMECA[[#This Row],[consequence_value]]</f>
        <v>35</v>
      </c>
      <c r="O5" s="10" t="str">
        <f>IF(AND(FMECA[[#This Row],[Score]]&gt;=0, 9&gt;=FMECA[[#This Row],[Score]]), "UNDETECTABLE", IF(AND(FMECA[[#This Row],[Score]]&gt;=10, 24&gt;=FMECA[[#This Row],[Score]]), "MODERATE", IF(AND(FMECA[[#This Row],[Score]]&gt;=25, 35&gt;=FMECA[[#This Row],[Score]]), "HIGH", IF(AND(FMECA[[#This Row],[Score]]&gt;=36, 50&gt;=FMECA[[#This Row],[Score]]), "VERY HIGH", "Check Formula"))))</f>
        <v>HIGH</v>
      </c>
      <c r="P5" s="10" t="s">
        <v>777</v>
      </c>
      <c r="Q5" t="s">
        <v>778</v>
      </c>
      <c r="R5" t="s">
        <v>780</v>
      </c>
      <c r="S5" t="s">
        <v>1153</v>
      </c>
      <c r="U5" t="s">
        <v>1167</v>
      </c>
      <c r="V5" t="s">
        <v>466</v>
      </c>
      <c r="W5" t="s">
        <v>1168</v>
      </c>
      <c r="X5" t="s">
        <v>449</v>
      </c>
      <c r="AA5" t="s">
        <v>1162</v>
      </c>
    </row>
    <row r="6" spans="1:27" x14ac:dyDescent="0.2">
      <c r="A6" s="225" t="s">
        <v>33</v>
      </c>
      <c r="B6" t="s">
        <v>63</v>
      </c>
      <c r="C6" t="s">
        <v>67</v>
      </c>
      <c r="D6" t="s">
        <v>66</v>
      </c>
      <c r="E6" t="s">
        <v>65</v>
      </c>
      <c r="F6" s="226" t="s">
        <v>64</v>
      </c>
      <c r="G6" t="str">
        <f>_xlfn.XLOOKUP(FMECA[[#This Row],[HazardRisk_name]],categories[HazardRisk_Name],categories[HazardRisk])</f>
        <v>Hazard</v>
      </c>
      <c r="H6" t="str">
        <f>_xlfn.XLOOKUP(FMECA[[#This Row],[HazardRisk_name]],categories[HazardRisk_Name],categories[Category])</f>
        <v>Social</v>
      </c>
      <c r="I6" t="s">
        <v>1165</v>
      </c>
      <c r="J6" s="10">
        <v>5</v>
      </c>
      <c r="K6" t="s">
        <v>1166</v>
      </c>
      <c r="L6" s="10">
        <v>7</v>
      </c>
      <c r="M6" t="s">
        <v>1170</v>
      </c>
      <c r="N6" s="10">
        <f>FMECA[[#This Row],[probability_value]]*FMECA[[#This Row],[consequence_value]]</f>
        <v>35</v>
      </c>
      <c r="O6" s="10" t="str">
        <f>IF(AND(FMECA[[#This Row],[Score]]&gt;=0, 9&gt;=FMECA[[#This Row],[Score]]), "UNDETECTABLE", IF(AND(FMECA[[#This Row],[Score]]&gt;=10, 24&gt;=FMECA[[#This Row],[Score]]), "MODERATE", IF(AND(FMECA[[#This Row],[Score]]&gt;=25, 35&gt;=FMECA[[#This Row],[Score]]), "HIGH", IF(AND(FMECA[[#This Row],[Score]]&gt;=36, 50&gt;=FMECA[[#This Row],[Score]]), "VERY HIGH", "Check Formula"))))</f>
        <v>HIGH</v>
      </c>
      <c r="P6" s="10" t="s">
        <v>777</v>
      </c>
      <c r="Q6" t="s">
        <v>778</v>
      </c>
      <c r="R6" t="s">
        <v>780</v>
      </c>
      <c r="S6" t="s">
        <v>1153</v>
      </c>
      <c r="U6" t="s">
        <v>1167</v>
      </c>
      <c r="V6" t="s">
        <v>466</v>
      </c>
      <c r="W6" t="s">
        <v>1169</v>
      </c>
      <c r="X6" t="s">
        <v>449</v>
      </c>
      <c r="AA6" t="s">
        <v>1162</v>
      </c>
    </row>
    <row r="7" spans="1:27" x14ac:dyDescent="0.2">
      <c r="A7" s="225" t="s">
        <v>33</v>
      </c>
      <c r="B7" t="s">
        <v>63</v>
      </c>
      <c r="C7" t="s">
        <v>67</v>
      </c>
      <c r="D7" t="s">
        <v>66</v>
      </c>
      <c r="E7" t="s">
        <v>65</v>
      </c>
      <c r="F7" s="226" t="s">
        <v>64</v>
      </c>
      <c r="G7" t="str">
        <f>_xlfn.XLOOKUP(FMECA[[#This Row],[HazardRisk_name]],categories[HazardRisk_Name],categories[HazardRisk])</f>
        <v>Risk</v>
      </c>
      <c r="H7" t="str">
        <f>_xlfn.XLOOKUP(FMECA[[#This Row],[HazardRisk_name]],categories[HazardRisk_Name],categories[Category])</f>
        <v>Community</v>
      </c>
      <c r="I7" t="s">
        <v>562</v>
      </c>
      <c r="J7" s="10">
        <v>4</v>
      </c>
      <c r="K7" t="s">
        <v>1173</v>
      </c>
      <c r="L7" s="10">
        <v>10</v>
      </c>
      <c r="M7" t="s">
        <v>1173</v>
      </c>
      <c r="N7" s="10">
        <f>FMECA[[#This Row],[probability_value]]*FMECA[[#This Row],[consequence_value]]</f>
        <v>40</v>
      </c>
      <c r="O7"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7" s="10" t="s">
        <v>777</v>
      </c>
      <c r="Q7" t="s">
        <v>778</v>
      </c>
      <c r="R7" t="s">
        <v>780</v>
      </c>
      <c r="S7" t="s">
        <v>1153</v>
      </c>
      <c r="U7" t="s">
        <v>1171</v>
      </c>
      <c r="V7" t="s">
        <v>466</v>
      </c>
      <c r="W7" t="s">
        <v>1172</v>
      </c>
      <c r="X7" t="s">
        <v>470</v>
      </c>
      <c r="AA7" t="s">
        <v>1162</v>
      </c>
    </row>
    <row r="8" spans="1:27" x14ac:dyDescent="0.2">
      <c r="A8" s="225" t="s">
        <v>33</v>
      </c>
      <c r="B8" t="s">
        <v>63</v>
      </c>
      <c r="C8" t="s">
        <v>67</v>
      </c>
      <c r="D8" t="s">
        <v>66</v>
      </c>
      <c r="E8" t="s">
        <v>65</v>
      </c>
      <c r="F8" s="226" t="s">
        <v>64</v>
      </c>
      <c r="G8" t="str">
        <f>_xlfn.XLOOKUP(FMECA[[#This Row],[HazardRisk_name]],categories[HazardRisk_Name],categories[HazardRisk])</f>
        <v>Hazard</v>
      </c>
      <c r="H8" t="str">
        <f>_xlfn.XLOOKUP(FMECA[[#This Row],[HazardRisk_name]],categories[HazardRisk_Name],categories[Category])</f>
        <v>Pollutants</v>
      </c>
      <c r="I8" t="s">
        <v>630</v>
      </c>
      <c r="J8" s="10">
        <v>5</v>
      </c>
      <c r="K8" t="s">
        <v>1182</v>
      </c>
      <c r="L8" s="10">
        <v>4</v>
      </c>
      <c r="M8" t="s">
        <v>1182</v>
      </c>
      <c r="N8" s="10">
        <f>FMECA[[#This Row],[probability_value]]*FMECA[[#This Row],[consequence_value]]</f>
        <v>20</v>
      </c>
      <c r="O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 s="10" t="s">
        <v>777</v>
      </c>
      <c r="Q8" t="s">
        <v>778</v>
      </c>
      <c r="R8" t="s">
        <v>780</v>
      </c>
      <c r="S8" t="s">
        <v>1153</v>
      </c>
      <c r="U8" t="s">
        <v>1181</v>
      </c>
      <c r="V8" t="s">
        <v>449</v>
      </c>
      <c r="W8" t="s">
        <v>1180</v>
      </c>
      <c r="X8" t="s">
        <v>449</v>
      </c>
      <c r="Y8" t="s">
        <v>1178</v>
      </c>
      <c r="Z8" t="s">
        <v>1179</v>
      </c>
      <c r="AA8" t="s">
        <v>1132</v>
      </c>
    </row>
    <row r="9" spans="1:27" x14ac:dyDescent="0.2">
      <c r="A9" s="225" t="s">
        <v>33</v>
      </c>
      <c r="B9" t="s">
        <v>63</v>
      </c>
      <c r="C9" t="s">
        <v>67</v>
      </c>
      <c r="D9" t="s">
        <v>66</v>
      </c>
      <c r="E9" t="s">
        <v>65</v>
      </c>
      <c r="F9" s="226" t="s">
        <v>64</v>
      </c>
      <c r="G9" t="str">
        <f>_xlfn.XLOOKUP(FMECA[[#This Row],[HazardRisk_name]],categories[HazardRisk_Name],categories[HazardRisk])</f>
        <v>Risk</v>
      </c>
      <c r="H9" t="str">
        <f>_xlfn.XLOOKUP(FMECA[[#This Row],[HazardRisk_name]],categories[HazardRisk_Name],categories[Category])</f>
        <v>Environmental</v>
      </c>
      <c r="I9" t="s">
        <v>625</v>
      </c>
      <c r="J9" s="10">
        <v>3</v>
      </c>
      <c r="K9" t="s">
        <v>1174</v>
      </c>
      <c r="L9" s="10">
        <v>10</v>
      </c>
      <c r="M9" t="s">
        <v>1174</v>
      </c>
      <c r="N9" s="10">
        <f>FMECA[[#This Row],[probability_value]]*FMECA[[#This Row],[consequence_value]]</f>
        <v>30</v>
      </c>
      <c r="O9" s="10" t="str">
        <f>IF(AND(FMECA[[#This Row],[Score]]&gt;=0, 9&gt;=FMECA[[#This Row],[Score]]), "UNDETECTABLE", IF(AND(FMECA[[#This Row],[Score]]&gt;=10, 24&gt;=FMECA[[#This Row],[Score]]), "MODERATE", IF(AND(FMECA[[#This Row],[Score]]&gt;=25, 35&gt;=FMECA[[#This Row],[Score]]), "HIGH", IF(AND(FMECA[[#This Row],[Score]]&gt;=36, 50&gt;=FMECA[[#This Row],[Score]]), "VERY HIGH", "Check Formula"))))</f>
        <v>HIGH</v>
      </c>
      <c r="P9" s="10" t="s">
        <v>777</v>
      </c>
      <c r="Q9" t="s">
        <v>778</v>
      </c>
      <c r="R9" t="s">
        <v>780</v>
      </c>
      <c r="S9" t="s">
        <v>1153</v>
      </c>
      <c r="U9" t="s">
        <v>1175</v>
      </c>
      <c r="V9" t="s">
        <v>449</v>
      </c>
      <c r="W9" t="s">
        <v>1176</v>
      </c>
      <c r="X9" t="s">
        <v>470</v>
      </c>
      <c r="Y9" t="s">
        <v>1153</v>
      </c>
      <c r="Z9" t="s">
        <v>1177</v>
      </c>
      <c r="AA9" t="s">
        <v>1132</v>
      </c>
    </row>
    <row r="10" spans="1:27" x14ac:dyDescent="0.2">
      <c r="A10" s="225" t="s">
        <v>44</v>
      </c>
      <c r="B10" t="s">
        <v>63</v>
      </c>
      <c r="C10" t="s">
        <v>73</v>
      </c>
      <c r="D10" s="9" t="s">
        <v>71</v>
      </c>
      <c r="E10" t="s">
        <v>238</v>
      </c>
      <c r="F10" t="s">
        <v>68</v>
      </c>
      <c r="G10" t="str">
        <f>_xlfn.XLOOKUP(FMECA[[#This Row],[HazardRisk_name]],categories[HazardRisk_Name],categories[HazardRisk])</f>
        <v>Hazard</v>
      </c>
      <c r="H10" t="str">
        <f>_xlfn.XLOOKUP(FMECA[[#This Row],[HazardRisk_name]],categories[HazardRisk_Name],categories[Category])</f>
        <v>Sea Ice</v>
      </c>
      <c r="I10" t="s">
        <v>448</v>
      </c>
      <c r="J10" s="10">
        <v>4</v>
      </c>
      <c r="K10" t="s">
        <v>1189</v>
      </c>
      <c r="L10" s="10">
        <v>4</v>
      </c>
      <c r="M10" t="s">
        <v>1189</v>
      </c>
      <c r="N10" s="10">
        <f>FMECA[[#This Row],[probability_value]]*FMECA[[#This Row],[consequence_value]]</f>
        <v>16</v>
      </c>
      <c r="O1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0" s="10" t="s">
        <v>770</v>
      </c>
      <c r="Q10" t="s">
        <v>1162</v>
      </c>
      <c r="R10" t="s">
        <v>771</v>
      </c>
      <c r="S10" t="s">
        <v>1193</v>
      </c>
      <c r="U10" t="s">
        <v>1184</v>
      </c>
      <c r="V10" t="s">
        <v>466</v>
      </c>
      <c r="W10" t="s">
        <v>1186</v>
      </c>
      <c r="X10" t="s">
        <v>466</v>
      </c>
      <c r="Y10" t="s">
        <v>1183</v>
      </c>
      <c r="Z10" t="s">
        <v>1187</v>
      </c>
      <c r="AA10" t="s">
        <v>1132</v>
      </c>
    </row>
    <row r="11" spans="1:27" x14ac:dyDescent="0.2">
      <c r="A11" s="225" t="s">
        <v>44</v>
      </c>
      <c r="B11" t="s">
        <v>63</v>
      </c>
      <c r="C11" t="s">
        <v>73</v>
      </c>
      <c r="D11" s="9" t="s">
        <v>71</v>
      </c>
      <c r="E11" t="s">
        <v>238</v>
      </c>
      <c r="F11" t="s">
        <v>68</v>
      </c>
      <c r="G11" t="str">
        <f>_xlfn.XLOOKUP(FMECA[[#This Row],[HazardRisk_name]],categories[HazardRisk_Name],categories[HazardRisk])</f>
        <v>Hazard</v>
      </c>
      <c r="H11" t="str">
        <f>_xlfn.XLOOKUP(FMECA[[#This Row],[HazardRisk_name]],categories[HazardRisk_Name],categories[Category])</f>
        <v>Sea Ice</v>
      </c>
      <c r="I11" t="s">
        <v>447</v>
      </c>
      <c r="J11" s="10">
        <v>4</v>
      </c>
      <c r="K11" t="s">
        <v>1188</v>
      </c>
      <c r="L11" s="10">
        <v>7</v>
      </c>
      <c r="M11" t="s">
        <v>1190</v>
      </c>
      <c r="N11" s="10">
        <f>FMECA[[#This Row],[probability_value]]*FMECA[[#This Row],[consequence_value]]</f>
        <v>28</v>
      </c>
      <c r="O11" s="10" t="str">
        <f>IF(AND(FMECA[[#This Row],[Score]]&gt;=0, 9&gt;=FMECA[[#This Row],[Score]]), "UNDETECTABLE", IF(AND(FMECA[[#This Row],[Score]]&gt;=10, 24&gt;=FMECA[[#This Row],[Score]]), "MODERATE", IF(AND(FMECA[[#This Row],[Score]]&gt;=25, 35&gt;=FMECA[[#This Row],[Score]]), "HIGH", IF(AND(FMECA[[#This Row],[Score]]&gt;=36, 50&gt;=FMECA[[#This Row],[Score]]), "VERY HIGH", "Check Formula"))))</f>
        <v>HIGH</v>
      </c>
      <c r="P11" s="10" t="s">
        <v>770</v>
      </c>
      <c r="Q11" t="s">
        <v>1162</v>
      </c>
      <c r="R11" t="s">
        <v>771</v>
      </c>
      <c r="S11" t="s">
        <v>1193</v>
      </c>
      <c r="U11" t="s">
        <v>1184</v>
      </c>
      <c r="V11" t="s">
        <v>466</v>
      </c>
      <c r="W11" t="s">
        <v>1185</v>
      </c>
      <c r="X11" t="s">
        <v>466</v>
      </c>
      <c r="Y11" t="s">
        <v>1183</v>
      </c>
      <c r="Z11" t="s">
        <v>1187</v>
      </c>
      <c r="AA11" t="s">
        <v>1132</v>
      </c>
    </row>
    <row r="12" spans="1:27" x14ac:dyDescent="0.2">
      <c r="A12" s="225" t="s">
        <v>44</v>
      </c>
      <c r="B12" t="s">
        <v>63</v>
      </c>
      <c r="C12" t="s">
        <v>73</v>
      </c>
      <c r="D12" s="9" t="s">
        <v>71</v>
      </c>
      <c r="E12" t="s">
        <v>238</v>
      </c>
      <c r="F12" t="s">
        <v>68</v>
      </c>
      <c r="G12" t="str">
        <f>_xlfn.XLOOKUP(FMECA[[#This Row],[HazardRisk_name]],categories[HazardRisk_Name],categories[HazardRisk])</f>
        <v>Risk</v>
      </c>
      <c r="H12" t="str">
        <f>_xlfn.XLOOKUP(FMECA[[#This Row],[HazardRisk_name]],categories[HazardRisk_Name],categories[Category])</f>
        <v>Navigational</v>
      </c>
      <c r="I12" t="s">
        <v>587</v>
      </c>
      <c r="J12" s="10">
        <v>3</v>
      </c>
      <c r="K12" t="s">
        <v>1192</v>
      </c>
      <c r="L12" s="10">
        <v>7</v>
      </c>
      <c r="M12" t="s">
        <v>1192</v>
      </c>
      <c r="N12" s="10">
        <f>FMECA[[#This Row],[probability_value]]*FMECA[[#This Row],[consequence_value]]</f>
        <v>21</v>
      </c>
      <c r="O1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2" s="10" t="s">
        <v>770</v>
      </c>
      <c r="Q12" t="s">
        <v>1162</v>
      </c>
      <c r="R12" t="s">
        <v>771</v>
      </c>
      <c r="S12" t="s">
        <v>1193</v>
      </c>
      <c r="U12" t="s">
        <v>1195</v>
      </c>
      <c r="V12" t="s">
        <v>470</v>
      </c>
      <c r="W12" t="s">
        <v>1194</v>
      </c>
      <c r="X12" t="s">
        <v>466</v>
      </c>
      <c r="AA12" t="s">
        <v>1162</v>
      </c>
    </row>
    <row r="13" spans="1:27" x14ac:dyDescent="0.2">
      <c r="A13" s="225" t="s">
        <v>44</v>
      </c>
      <c r="B13" t="s">
        <v>63</v>
      </c>
      <c r="C13" t="s">
        <v>73</v>
      </c>
      <c r="D13" s="9" t="s">
        <v>71</v>
      </c>
      <c r="E13" t="s">
        <v>238</v>
      </c>
      <c r="F13" t="s">
        <v>68</v>
      </c>
      <c r="G13" t="str">
        <f>_xlfn.XLOOKUP(FMECA[[#This Row],[HazardRisk_name]],categories[HazardRisk_Name],categories[HazardRisk])</f>
        <v>Hazard</v>
      </c>
      <c r="H13" t="str">
        <f>_xlfn.XLOOKUP(FMECA[[#This Row],[HazardRisk_name]],categories[HazardRisk_Name],categories[Category])</f>
        <v>Environmental</v>
      </c>
      <c r="I13" t="s">
        <v>671</v>
      </c>
      <c r="J13" s="10">
        <v>3</v>
      </c>
      <c r="K13" t="s">
        <v>1198</v>
      </c>
      <c r="L13" s="10">
        <v>4</v>
      </c>
      <c r="M13" t="s">
        <v>1198</v>
      </c>
      <c r="N13" s="10">
        <f>FMECA[[#This Row],[probability_value]]*FMECA[[#This Row],[consequence_value]]</f>
        <v>12</v>
      </c>
      <c r="O1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3" s="10" t="s">
        <v>770</v>
      </c>
      <c r="Q13" t="s">
        <v>1162</v>
      </c>
      <c r="R13" t="s">
        <v>771</v>
      </c>
      <c r="S13" t="s">
        <v>1193</v>
      </c>
      <c r="U13" t="s">
        <v>1197</v>
      </c>
      <c r="V13" t="s">
        <v>449</v>
      </c>
      <c r="W13" t="s">
        <v>1196</v>
      </c>
      <c r="X13" t="s">
        <v>470</v>
      </c>
      <c r="AA13" t="s">
        <v>1162</v>
      </c>
    </row>
    <row r="14" spans="1:27" ht="17" customHeight="1" x14ac:dyDescent="0.2">
      <c r="A14" s="225" t="s">
        <v>45</v>
      </c>
      <c r="B14" t="s">
        <v>63</v>
      </c>
      <c r="C14" t="s">
        <v>73</v>
      </c>
      <c r="D14" s="9" t="s">
        <v>72</v>
      </c>
      <c r="E14" s="9" t="s">
        <v>70</v>
      </c>
      <c r="F14" t="s">
        <v>69</v>
      </c>
      <c r="G14" t="str">
        <f>_xlfn.XLOOKUP(FMECA[[#This Row],[HazardRisk_name]],categories[HazardRisk_Name],categories[HazardRisk])</f>
        <v>Risk</v>
      </c>
      <c r="H14" t="str">
        <f>_xlfn.XLOOKUP(FMECA[[#This Row],[HazardRisk_name]],categories[HazardRisk_Name],categories[Category])</f>
        <v>Political</v>
      </c>
      <c r="I14" t="s">
        <v>476</v>
      </c>
      <c r="J14" s="10">
        <v>5</v>
      </c>
      <c r="K14" t="s">
        <v>1221</v>
      </c>
      <c r="L14" s="10">
        <v>7</v>
      </c>
      <c r="M14" t="s">
        <v>1221</v>
      </c>
      <c r="N14" s="10">
        <f>FMECA[[#This Row],[probability_value]]*FMECA[[#This Row],[consequence_value]]</f>
        <v>35</v>
      </c>
      <c r="O14" s="10" t="str">
        <f>IF(AND(FMECA[[#This Row],[Score]]&gt;=0, 9&gt;=FMECA[[#This Row],[Score]]), "UNDETECTABLE", IF(AND(FMECA[[#This Row],[Score]]&gt;=10, 24&gt;=FMECA[[#This Row],[Score]]), "MODERATE", IF(AND(FMECA[[#This Row],[Score]]&gt;=25, 35&gt;=FMECA[[#This Row],[Score]]), "HIGH", IF(AND(FMECA[[#This Row],[Score]]&gt;=36, 50&gt;=FMECA[[#This Row],[Score]]), "VERY HIGH", "Check Formula"))))</f>
        <v>HIGH</v>
      </c>
      <c r="P14" s="10" t="s">
        <v>777</v>
      </c>
      <c r="Q14" t="s">
        <v>778</v>
      </c>
      <c r="R14" t="s">
        <v>771</v>
      </c>
      <c r="S14" t="s">
        <v>1162</v>
      </c>
      <c r="T14" t="s">
        <v>1132</v>
      </c>
      <c r="U14" t="s">
        <v>1223</v>
      </c>
      <c r="V14" t="s">
        <v>470</v>
      </c>
      <c r="W14" t="s">
        <v>1224</v>
      </c>
      <c r="X14" t="s">
        <v>470</v>
      </c>
      <c r="Y14" t="s">
        <v>1153</v>
      </c>
      <c r="Z14" t="s">
        <v>1222</v>
      </c>
      <c r="AA14" t="s">
        <v>1162</v>
      </c>
    </row>
    <row r="15" spans="1:27" ht="17" customHeight="1" x14ac:dyDescent="0.2">
      <c r="A15" s="225" t="s">
        <v>45</v>
      </c>
      <c r="B15" t="s">
        <v>63</v>
      </c>
      <c r="C15" t="s">
        <v>73</v>
      </c>
      <c r="D15" s="9" t="s">
        <v>72</v>
      </c>
      <c r="E15" s="9" t="s">
        <v>70</v>
      </c>
      <c r="F15" t="s">
        <v>69</v>
      </c>
      <c r="G15" t="str">
        <f>_xlfn.XLOOKUP(FMECA[[#This Row],[HazardRisk_name]],categories[HazardRisk_Name],categories[HazardRisk])</f>
        <v>Risk</v>
      </c>
      <c r="H15" t="str">
        <f>_xlfn.XLOOKUP(FMECA[[#This Row],[HazardRisk_name]],categories[HazardRisk_Name],categories[Category])</f>
        <v>Environmental</v>
      </c>
      <c r="I15" t="s">
        <v>1219</v>
      </c>
      <c r="J15" s="10">
        <v>5</v>
      </c>
      <c r="K15" t="s">
        <v>1226</v>
      </c>
      <c r="L15" s="10">
        <v>7</v>
      </c>
      <c r="M15" t="s">
        <v>1225</v>
      </c>
      <c r="N15" s="10">
        <f>FMECA[[#This Row],[probability_value]]*FMECA[[#This Row],[consequence_value]]</f>
        <v>35</v>
      </c>
      <c r="O15" s="10" t="str">
        <f>IF(AND(FMECA[[#This Row],[Score]]&gt;=0, 9&gt;=FMECA[[#This Row],[Score]]), "UNDETECTABLE", IF(AND(FMECA[[#This Row],[Score]]&gt;=10, 24&gt;=FMECA[[#This Row],[Score]]), "MODERATE", IF(AND(FMECA[[#This Row],[Score]]&gt;=25, 35&gt;=FMECA[[#This Row],[Score]]), "HIGH", IF(AND(FMECA[[#This Row],[Score]]&gt;=36, 50&gt;=FMECA[[#This Row],[Score]]), "VERY HIGH", "Check Formula"))))</f>
        <v>HIGH</v>
      </c>
      <c r="P15" s="10" t="s">
        <v>777</v>
      </c>
      <c r="Q15" t="s">
        <v>778</v>
      </c>
      <c r="R15" t="s">
        <v>771</v>
      </c>
      <c r="S15" t="s">
        <v>1162</v>
      </c>
      <c r="U15" t="s">
        <v>1227</v>
      </c>
      <c r="V15" t="s">
        <v>470</v>
      </c>
      <c r="W15" t="s">
        <v>1228</v>
      </c>
      <c r="X15" t="s">
        <v>470</v>
      </c>
      <c r="AA15" t="s">
        <v>1162</v>
      </c>
    </row>
    <row r="16" spans="1:27" ht="17" customHeight="1" x14ac:dyDescent="0.2">
      <c r="A16" s="225" t="s">
        <v>45</v>
      </c>
      <c r="B16" t="s">
        <v>63</v>
      </c>
      <c r="C16" t="s">
        <v>73</v>
      </c>
      <c r="D16" s="9" t="s">
        <v>72</v>
      </c>
      <c r="E16" s="9" t="s">
        <v>70</v>
      </c>
      <c r="F16" t="s">
        <v>69</v>
      </c>
      <c r="G16" t="str">
        <f>_xlfn.XLOOKUP(FMECA[[#This Row],[HazardRisk_name]],categories[HazardRisk_Name],categories[HazardRisk])</f>
        <v>Hazard</v>
      </c>
      <c r="H16" t="str">
        <f>_xlfn.XLOOKUP(FMECA[[#This Row],[HazardRisk_name]],categories[HazardRisk_Name],categories[Category])</f>
        <v>Pollutants</v>
      </c>
      <c r="I16" t="s">
        <v>1200</v>
      </c>
      <c r="J16" s="10">
        <v>2</v>
      </c>
      <c r="K16" t="s">
        <v>1229</v>
      </c>
      <c r="L16" s="10">
        <v>10</v>
      </c>
      <c r="M16" t="s">
        <v>1229</v>
      </c>
      <c r="N16" s="10">
        <f>FMECA[[#This Row],[probability_value]]*FMECA[[#This Row],[consequence_value]]</f>
        <v>20</v>
      </c>
      <c r="O1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6" s="10" t="s">
        <v>777</v>
      </c>
      <c r="Q16" t="s">
        <v>778</v>
      </c>
      <c r="R16" t="s">
        <v>771</v>
      </c>
      <c r="S16" t="s">
        <v>1162</v>
      </c>
      <c r="U16" t="s">
        <v>1230</v>
      </c>
      <c r="V16" t="s">
        <v>470</v>
      </c>
      <c r="W16" t="s">
        <v>1231</v>
      </c>
      <c r="X16" t="s">
        <v>470</v>
      </c>
      <c r="AA16" t="s">
        <v>1162</v>
      </c>
    </row>
    <row r="17" spans="1:27" ht="17" customHeight="1" x14ac:dyDescent="0.2">
      <c r="A17" s="225" t="s">
        <v>45</v>
      </c>
      <c r="B17" t="s">
        <v>63</v>
      </c>
      <c r="C17" t="s">
        <v>73</v>
      </c>
      <c r="D17" s="9" t="s">
        <v>72</v>
      </c>
      <c r="E17" s="9" t="s">
        <v>70</v>
      </c>
      <c r="F17" t="s">
        <v>69</v>
      </c>
      <c r="G17" t="str">
        <f>_xlfn.XLOOKUP(FMECA[[#This Row],[HazardRisk_name]],categories[HazardRisk_Name],categories[HazardRisk])</f>
        <v>Risk</v>
      </c>
      <c r="H17" t="str">
        <f>_xlfn.XLOOKUP(FMECA[[#This Row],[HazardRisk_name]],categories[HazardRisk_Name],categories[Category])</f>
        <v>Political</v>
      </c>
      <c r="I17" t="s">
        <v>629</v>
      </c>
      <c r="J17" s="10">
        <v>4</v>
      </c>
      <c r="K17" t="s">
        <v>1235</v>
      </c>
      <c r="L17" s="10">
        <v>3</v>
      </c>
      <c r="M17" t="s">
        <v>1235</v>
      </c>
      <c r="N17" s="10">
        <f>FMECA[[#This Row],[probability_value]]*FMECA[[#This Row],[consequence_value]]</f>
        <v>12</v>
      </c>
      <c r="O1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7" s="10" t="s">
        <v>777</v>
      </c>
      <c r="Q17" t="s">
        <v>778</v>
      </c>
      <c r="R17" t="s">
        <v>771</v>
      </c>
      <c r="S17" t="s">
        <v>1162</v>
      </c>
      <c r="U17" t="s">
        <v>1236</v>
      </c>
      <c r="V17" t="s">
        <v>449</v>
      </c>
      <c r="W17" t="s">
        <v>1237</v>
      </c>
      <c r="X17" t="s">
        <v>470</v>
      </c>
      <c r="Y17" t="s">
        <v>1153</v>
      </c>
      <c r="Z17" t="s">
        <v>1238</v>
      </c>
      <c r="AA17" t="s">
        <v>793</v>
      </c>
    </row>
    <row r="18" spans="1:27" ht="17" customHeight="1" x14ac:dyDescent="0.2">
      <c r="A18" s="225" t="s">
        <v>45</v>
      </c>
      <c r="B18" t="s">
        <v>63</v>
      </c>
      <c r="C18" t="s">
        <v>73</v>
      </c>
      <c r="D18" s="9" t="s">
        <v>72</v>
      </c>
      <c r="E18" s="9" t="s">
        <v>70</v>
      </c>
      <c r="F18" t="s">
        <v>69</v>
      </c>
      <c r="G18" t="str">
        <f>_xlfn.XLOOKUP(FMECA[[#This Row],[HazardRisk_name]],categories[HazardRisk_Name],categories[HazardRisk])</f>
        <v>Risk</v>
      </c>
      <c r="H18" t="str">
        <f>_xlfn.XLOOKUP(FMECA[[#This Row],[HazardRisk_name]],categories[HazardRisk_Name],categories[Category])</f>
        <v>Political</v>
      </c>
      <c r="I18" t="s">
        <v>536</v>
      </c>
      <c r="J18" s="10">
        <v>3</v>
      </c>
      <c r="K18" t="s">
        <v>1232</v>
      </c>
      <c r="L18" s="10">
        <v>4</v>
      </c>
      <c r="M18" t="s">
        <v>1232</v>
      </c>
      <c r="N18" s="10">
        <f>FMECA[[#This Row],[probability_value]]*FMECA[[#This Row],[consequence_value]]</f>
        <v>12</v>
      </c>
      <c r="O1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8" s="10" t="s">
        <v>777</v>
      </c>
      <c r="Q18" t="s">
        <v>778</v>
      </c>
      <c r="R18" t="s">
        <v>771</v>
      </c>
      <c r="S18" t="s">
        <v>1162</v>
      </c>
      <c r="U18" t="s">
        <v>1234</v>
      </c>
      <c r="V18" t="s">
        <v>470</v>
      </c>
      <c r="W18" s="3" t="s">
        <v>1233</v>
      </c>
      <c r="X18" t="s">
        <v>466</v>
      </c>
      <c r="AA18" t="s">
        <v>1162</v>
      </c>
    </row>
    <row r="19" spans="1:27" x14ac:dyDescent="0.2">
      <c r="A19" s="225" t="s">
        <v>46</v>
      </c>
      <c r="B19" t="s">
        <v>63</v>
      </c>
      <c r="C19" t="s">
        <v>73</v>
      </c>
      <c r="D19" t="s">
        <v>76</v>
      </c>
      <c r="E19" t="s">
        <v>74</v>
      </c>
      <c r="F19" s="226" t="s">
        <v>75</v>
      </c>
      <c r="G19" t="str">
        <f>_xlfn.XLOOKUP(FMECA[[#This Row],[HazardRisk_name]],categories[HazardRisk_Name],categories[HazardRisk])</f>
        <v>Risk</v>
      </c>
      <c r="H19" t="str">
        <f>_xlfn.XLOOKUP(FMECA[[#This Row],[HazardRisk_name]],categories[HazardRisk_Name],categories[Category])</f>
        <v>Economic</v>
      </c>
      <c r="I19" t="s">
        <v>463</v>
      </c>
      <c r="J19" s="10">
        <v>4</v>
      </c>
      <c r="K19" t="s">
        <v>1240</v>
      </c>
      <c r="L19" s="10">
        <v>4</v>
      </c>
      <c r="M19" t="s">
        <v>1240</v>
      </c>
      <c r="N19" s="10">
        <f>FMECA[[#This Row],[probability_value]]*FMECA[[#This Row],[consequence_value]]</f>
        <v>16</v>
      </c>
      <c r="O1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9" s="10" t="s">
        <v>770</v>
      </c>
      <c r="Q19" t="s">
        <v>1162</v>
      </c>
      <c r="R19" t="s">
        <v>795</v>
      </c>
      <c r="S19" t="s">
        <v>794</v>
      </c>
      <c r="T19" t="s">
        <v>1132</v>
      </c>
      <c r="U19" t="s">
        <v>469</v>
      </c>
      <c r="V19" t="s">
        <v>470</v>
      </c>
      <c r="W19" t="s">
        <v>467</v>
      </c>
      <c r="X19" t="s">
        <v>466</v>
      </c>
      <c r="Y19" t="s">
        <v>1218</v>
      </c>
      <c r="Z19" t="s">
        <v>468</v>
      </c>
      <c r="AA19" t="s">
        <v>1132</v>
      </c>
    </row>
    <row r="20" spans="1:27" x14ac:dyDescent="0.2">
      <c r="A20" s="225" t="s">
        <v>46</v>
      </c>
      <c r="B20" t="s">
        <v>63</v>
      </c>
      <c r="C20" t="s">
        <v>73</v>
      </c>
      <c r="D20" t="s">
        <v>76</v>
      </c>
      <c r="E20" t="s">
        <v>74</v>
      </c>
      <c r="F20" s="226" t="s">
        <v>75</v>
      </c>
      <c r="G20" t="str">
        <f>_xlfn.XLOOKUP(FMECA[[#This Row],[HazardRisk_name]],categories[HazardRisk_Name],categories[HazardRisk])</f>
        <v>Risk</v>
      </c>
      <c r="H20" t="str">
        <f>_xlfn.XLOOKUP(FMECA[[#This Row],[HazardRisk_name]],categories[HazardRisk_Name],categories[Category])</f>
        <v>Economic</v>
      </c>
      <c r="I20" t="s">
        <v>464</v>
      </c>
      <c r="J20" s="10">
        <v>5</v>
      </c>
      <c r="K20" t="s">
        <v>1241</v>
      </c>
      <c r="L20" s="10">
        <v>4</v>
      </c>
      <c r="M20" t="s">
        <v>1241</v>
      </c>
      <c r="N20" s="10">
        <f>FMECA[[#This Row],[probability_value]]*FMECA[[#This Row],[consequence_value]]</f>
        <v>20</v>
      </c>
      <c r="O2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0" s="10" t="s">
        <v>770</v>
      </c>
      <c r="Q20" t="s">
        <v>1162</v>
      </c>
      <c r="R20" t="s">
        <v>795</v>
      </c>
      <c r="S20" t="s">
        <v>794</v>
      </c>
      <c r="T20" t="s">
        <v>1132</v>
      </c>
      <c r="U20" t="s">
        <v>465</v>
      </c>
      <c r="V20" t="s">
        <v>466</v>
      </c>
      <c r="W20" t="s">
        <v>467</v>
      </c>
      <c r="X20" t="s">
        <v>466</v>
      </c>
      <c r="Y20" t="s">
        <v>1218</v>
      </c>
      <c r="Z20" t="s">
        <v>468</v>
      </c>
      <c r="AA20" t="s">
        <v>1132</v>
      </c>
    </row>
    <row r="21" spans="1:27" x14ac:dyDescent="0.2">
      <c r="A21" s="225" t="s">
        <v>46</v>
      </c>
      <c r="B21" t="s">
        <v>63</v>
      </c>
      <c r="C21" t="s">
        <v>73</v>
      </c>
      <c r="D21" t="s">
        <v>76</v>
      </c>
      <c r="E21" t="s">
        <v>74</v>
      </c>
      <c r="F21" s="226" t="s">
        <v>75</v>
      </c>
      <c r="G21" t="str">
        <f>_xlfn.XLOOKUP(FMECA[[#This Row],[HazardRisk_name]],categories[HazardRisk_Name],categories[HazardRisk])</f>
        <v>Risk</v>
      </c>
      <c r="H21" t="str">
        <f>_xlfn.XLOOKUP(FMECA[[#This Row],[HazardRisk_name]],categories[HazardRisk_Name],categories[Category])</f>
        <v>Economic</v>
      </c>
      <c r="I21" t="s">
        <v>701</v>
      </c>
      <c r="J21" s="10">
        <v>5</v>
      </c>
      <c r="K21" t="s">
        <v>1242</v>
      </c>
      <c r="L21" s="10">
        <v>4</v>
      </c>
      <c r="M21" t="s">
        <v>1242</v>
      </c>
      <c r="N21" s="10">
        <f>FMECA[[#This Row],[probability_value]]*FMECA[[#This Row],[consequence_value]]</f>
        <v>20</v>
      </c>
      <c r="O2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1" s="10" t="s">
        <v>770</v>
      </c>
      <c r="Q21" t="s">
        <v>1162</v>
      </c>
      <c r="R21" t="s">
        <v>795</v>
      </c>
      <c r="S21" t="s">
        <v>794</v>
      </c>
      <c r="T21" t="s">
        <v>1132</v>
      </c>
      <c r="U21" t="s">
        <v>465</v>
      </c>
      <c r="V21" t="s">
        <v>466</v>
      </c>
      <c r="W21" t="s">
        <v>467</v>
      </c>
      <c r="X21" t="s">
        <v>466</v>
      </c>
      <c r="Y21" t="s">
        <v>1218</v>
      </c>
      <c r="Z21" t="s">
        <v>468</v>
      </c>
      <c r="AA21" t="s">
        <v>1132</v>
      </c>
    </row>
    <row r="22" spans="1:27" x14ac:dyDescent="0.2">
      <c r="A22" s="225" t="s">
        <v>46</v>
      </c>
      <c r="B22" t="s">
        <v>63</v>
      </c>
      <c r="C22" t="s">
        <v>73</v>
      </c>
      <c r="D22" t="s">
        <v>76</v>
      </c>
      <c r="E22" t="s">
        <v>74</v>
      </c>
      <c r="F22" s="226" t="s">
        <v>75</v>
      </c>
      <c r="G22" t="str">
        <f>_xlfn.XLOOKUP(FMECA[[#This Row],[HazardRisk_name]],categories[HazardRisk_Name],categories[HazardRisk])</f>
        <v>Risk</v>
      </c>
      <c r="H22" t="str">
        <f>_xlfn.XLOOKUP(FMECA[[#This Row],[HazardRisk_name]],categories[HazardRisk_Name],categories[Category])</f>
        <v>Assessment</v>
      </c>
      <c r="I22" t="s">
        <v>667</v>
      </c>
      <c r="J22" s="10">
        <v>5</v>
      </c>
      <c r="K22" t="s">
        <v>1243</v>
      </c>
      <c r="L22" s="10">
        <v>4</v>
      </c>
      <c r="M22" t="s">
        <v>1243</v>
      </c>
      <c r="N22" s="10">
        <f>FMECA[[#This Row],[probability_value]]*FMECA[[#This Row],[consequence_value]]</f>
        <v>20</v>
      </c>
      <c r="O2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2" s="10" t="s">
        <v>770</v>
      </c>
      <c r="Q22" t="s">
        <v>1162</v>
      </c>
      <c r="R22" t="s">
        <v>795</v>
      </c>
      <c r="S22" t="s">
        <v>794</v>
      </c>
      <c r="T22" t="s">
        <v>1132</v>
      </c>
      <c r="U22" t="s">
        <v>1244</v>
      </c>
      <c r="V22" t="s">
        <v>449</v>
      </c>
      <c r="W22" t="s">
        <v>1247</v>
      </c>
      <c r="X22" t="s">
        <v>449</v>
      </c>
      <c r="Y22" t="s">
        <v>1245</v>
      </c>
      <c r="Z22" t="s">
        <v>1246</v>
      </c>
      <c r="AA22" t="s">
        <v>793</v>
      </c>
    </row>
    <row r="23" spans="1:27" x14ac:dyDescent="0.2">
      <c r="A23" s="225" t="s">
        <v>46</v>
      </c>
      <c r="B23" t="s">
        <v>63</v>
      </c>
      <c r="C23" t="s">
        <v>73</v>
      </c>
      <c r="D23" t="s">
        <v>76</v>
      </c>
      <c r="E23" t="s">
        <v>74</v>
      </c>
      <c r="F23" s="226" t="s">
        <v>75</v>
      </c>
      <c r="G23" t="str">
        <f>_xlfn.XLOOKUP(FMECA[[#This Row],[HazardRisk_name]],categories[HazardRisk_Name],categories[HazardRisk])</f>
        <v>Risk</v>
      </c>
      <c r="H23" t="str">
        <f>_xlfn.XLOOKUP(FMECA[[#This Row],[HazardRisk_name]],categories[HazardRisk_Name],categories[Category])</f>
        <v>Economic</v>
      </c>
      <c r="I23" t="s">
        <v>577</v>
      </c>
      <c r="J23" s="10">
        <v>4</v>
      </c>
      <c r="K23" t="s">
        <v>1250</v>
      </c>
      <c r="L23" s="10">
        <v>4</v>
      </c>
      <c r="M23" t="s">
        <v>1250</v>
      </c>
      <c r="N23" s="10">
        <f>FMECA[[#This Row],[probability_value]]*FMECA[[#This Row],[consequence_value]]</f>
        <v>16</v>
      </c>
      <c r="O2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3" s="10" t="s">
        <v>770</v>
      </c>
      <c r="Q23" t="s">
        <v>1162</v>
      </c>
      <c r="R23" t="s">
        <v>795</v>
      </c>
      <c r="S23" t="s">
        <v>794</v>
      </c>
      <c r="T23" t="s">
        <v>1132</v>
      </c>
      <c r="U23" t="s">
        <v>1248</v>
      </c>
      <c r="V23" t="s">
        <v>470</v>
      </c>
      <c r="W23" t="s">
        <v>1249</v>
      </c>
      <c r="X23" t="s">
        <v>466</v>
      </c>
      <c r="Y23" t="s">
        <v>1218</v>
      </c>
      <c r="Z23" t="s">
        <v>468</v>
      </c>
      <c r="AA23" t="s">
        <v>1132</v>
      </c>
    </row>
    <row r="24" spans="1:27" ht="17" customHeight="1" x14ac:dyDescent="0.2">
      <c r="A24" s="225" t="s">
        <v>47</v>
      </c>
      <c r="B24" t="s">
        <v>63</v>
      </c>
      <c r="C24" t="s">
        <v>73</v>
      </c>
      <c r="D24" t="s">
        <v>79</v>
      </c>
      <c r="E24" t="s">
        <v>77</v>
      </c>
      <c r="F24" s="226" t="s">
        <v>78</v>
      </c>
      <c r="G24" t="str">
        <f>_xlfn.XLOOKUP(FMECA[[#This Row],[HazardRisk_name]],categories[HazardRisk_Name],categories[HazardRisk])</f>
        <v>Hazard</v>
      </c>
      <c r="H24" t="str">
        <f>_xlfn.XLOOKUP(FMECA[[#This Row],[HazardRisk_name]],categories[HazardRisk_Name],categories[Category])</f>
        <v>Operational</v>
      </c>
      <c r="I24" t="s">
        <v>533</v>
      </c>
      <c r="J24" s="10">
        <v>3</v>
      </c>
      <c r="K24" t="s">
        <v>1255</v>
      </c>
      <c r="L24" s="10">
        <v>7</v>
      </c>
      <c r="M24" t="s">
        <v>1255</v>
      </c>
      <c r="N24" s="10">
        <f>FMECA[[#This Row],[probability_value]]*FMECA[[#This Row],[consequence_value]]</f>
        <v>21</v>
      </c>
      <c r="O2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4" s="10" t="s">
        <v>777</v>
      </c>
      <c r="Q24" t="s">
        <v>778</v>
      </c>
      <c r="R24" t="s">
        <v>795</v>
      </c>
      <c r="S24" t="s">
        <v>1162</v>
      </c>
      <c r="U24" s="3" t="s">
        <v>1256</v>
      </c>
      <c r="V24" t="s">
        <v>470</v>
      </c>
      <c r="W24" t="s">
        <v>1257</v>
      </c>
      <c r="X24" t="s">
        <v>449</v>
      </c>
      <c r="Y24" t="s">
        <v>1259</v>
      </c>
      <c r="Z24" t="s">
        <v>1258</v>
      </c>
      <c r="AA24" t="s">
        <v>1132</v>
      </c>
    </row>
    <row r="25" spans="1:27" ht="17" customHeight="1" x14ac:dyDescent="0.2">
      <c r="A25" s="225" t="s">
        <v>47</v>
      </c>
      <c r="B25" t="s">
        <v>63</v>
      </c>
      <c r="C25" t="s">
        <v>73</v>
      </c>
      <c r="D25" t="s">
        <v>79</v>
      </c>
      <c r="E25" t="s">
        <v>77</v>
      </c>
      <c r="F25" s="226" t="s">
        <v>78</v>
      </c>
      <c r="G25" t="str">
        <f>_xlfn.XLOOKUP(FMECA[[#This Row],[HazardRisk_name]],categories[HazardRisk_Name],categories[HazardRisk])</f>
        <v>Risk</v>
      </c>
      <c r="H25" t="str">
        <f>_xlfn.XLOOKUP(FMECA[[#This Row],[HazardRisk_name]],categories[HazardRisk_Name],categories[Category])</f>
        <v>Operational</v>
      </c>
      <c r="I25" t="s">
        <v>537</v>
      </c>
      <c r="J25" s="10">
        <v>5</v>
      </c>
      <c r="K25" t="s">
        <v>1251</v>
      </c>
      <c r="L25" s="10">
        <v>7</v>
      </c>
      <c r="M25" t="s">
        <v>1251</v>
      </c>
      <c r="N25" s="10">
        <f>FMECA[[#This Row],[probability_value]]*FMECA[[#This Row],[consequence_value]]</f>
        <v>35</v>
      </c>
      <c r="O25" s="10" t="str">
        <f>IF(AND(FMECA[[#This Row],[Score]]&gt;=0, 9&gt;=FMECA[[#This Row],[Score]]), "UNDETECTABLE", IF(AND(FMECA[[#This Row],[Score]]&gt;=10, 24&gt;=FMECA[[#This Row],[Score]]), "MODERATE", IF(AND(FMECA[[#This Row],[Score]]&gt;=25, 35&gt;=FMECA[[#This Row],[Score]]), "HIGH", IF(AND(FMECA[[#This Row],[Score]]&gt;=36, 50&gt;=FMECA[[#This Row],[Score]]), "VERY HIGH", "Check Formula"))))</f>
        <v>HIGH</v>
      </c>
      <c r="P25" s="10" t="s">
        <v>777</v>
      </c>
      <c r="Q25" t="s">
        <v>778</v>
      </c>
      <c r="R25" t="s">
        <v>795</v>
      </c>
      <c r="S25" t="s">
        <v>1162</v>
      </c>
      <c r="U25" t="s">
        <v>1252</v>
      </c>
      <c r="V25" t="s">
        <v>470</v>
      </c>
      <c r="W25" t="s">
        <v>1254</v>
      </c>
      <c r="X25" t="s">
        <v>470</v>
      </c>
      <c r="Y25" t="s">
        <v>1161</v>
      </c>
      <c r="Z25" t="s">
        <v>1253</v>
      </c>
      <c r="AA25" t="s">
        <v>1132</v>
      </c>
    </row>
    <row r="26" spans="1:27" ht="17" customHeight="1" x14ac:dyDescent="0.2">
      <c r="A26" s="225" t="s">
        <v>47</v>
      </c>
      <c r="B26" t="s">
        <v>63</v>
      </c>
      <c r="C26" t="s">
        <v>73</v>
      </c>
      <c r="D26" t="s">
        <v>79</v>
      </c>
      <c r="E26" t="s">
        <v>77</v>
      </c>
      <c r="F26" s="226" t="s">
        <v>78</v>
      </c>
      <c r="G26" t="str">
        <f>_xlfn.XLOOKUP(FMECA[[#This Row],[HazardRisk_name]],categories[HazardRisk_Name],categories[HazardRisk])</f>
        <v>Risk</v>
      </c>
      <c r="H26" t="str">
        <f>_xlfn.XLOOKUP(FMECA[[#This Row],[HazardRisk_name]],categories[HazardRisk_Name],categories[Category])</f>
        <v>Sea Ice</v>
      </c>
      <c r="I26" t="s">
        <v>480</v>
      </c>
      <c r="J26" s="10">
        <v>5</v>
      </c>
      <c r="K26" t="s">
        <v>1261</v>
      </c>
      <c r="L26" s="10">
        <v>7</v>
      </c>
      <c r="M26" t="s">
        <v>1261</v>
      </c>
      <c r="N26" s="10">
        <f>FMECA[[#This Row],[probability_value]]*FMECA[[#This Row],[consequence_value]]</f>
        <v>35</v>
      </c>
      <c r="O26" s="10" t="str">
        <f>IF(AND(FMECA[[#This Row],[Score]]&gt;=0, 9&gt;=FMECA[[#This Row],[Score]]), "UNDETECTABLE", IF(AND(FMECA[[#This Row],[Score]]&gt;=10, 24&gt;=FMECA[[#This Row],[Score]]), "MODERATE", IF(AND(FMECA[[#This Row],[Score]]&gt;=25, 35&gt;=FMECA[[#This Row],[Score]]), "HIGH", IF(AND(FMECA[[#This Row],[Score]]&gt;=36, 50&gt;=FMECA[[#This Row],[Score]]), "VERY HIGH", "Check Formula"))))</f>
        <v>HIGH</v>
      </c>
      <c r="P26" s="10" t="s">
        <v>777</v>
      </c>
      <c r="Q26" t="s">
        <v>778</v>
      </c>
      <c r="R26" t="s">
        <v>795</v>
      </c>
      <c r="S26" t="s">
        <v>1162</v>
      </c>
      <c r="U26" t="s">
        <v>1263</v>
      </c>
      <c r="V26" t="s">
        <v>470</v>
      </c>
      <c r="W26" t="s">
        <v>1264</v>
      </c>
      <c r="X26" t="s">
        <v>470</v>
      </c>
      <c r="Y26" t="s">
        <v>1183</v>
      </c>
      <c r="Z26" t="s">
        <v>1262</v>
      </c>
      <c r="AA26" t="s">
        <v>1132</v>
      </c>
    </row>
    <row r="27" spans="1:27" ht="17" customHeight="1" x14ac:dyDescent="0.2">
      <c r="A27" s="225" t="s">
        <v>47</v>
      </c>
      <c r="B27" t="s">
        <v>63</v>
      </c>
      <c r="C27" t="s">
        <v>73</v>
      </c>
      <c r="D27" t="s">
        <v>79</v>
      </c>
      <c r="E27" t="s">
        <v>77</v>
      </c>
      <c r="F27" s="226" t="s">
        <v>78</v>
      </c>
      <c r="G27" t="str">
        <f>_xlfn.XLOOKUP(FMECA[[#This Row],[HazardRisk_name]],categories[HazardRisk_Name],categories[HazardRisk])</f>
        <v>Hazard</v>
      </c>
      <c r="H27" t="str">
        <f>_xlfn.XLOOKUP(FMECA[[#This Row],[HazardRisk_name]],categories[HazardRisk_Name],categories[Category])</f>
        <v>Operational</v>
      </c>
      <c r="I27" t="s">
        <v>532</v>
      </c>
      <c r="J27" s="10">
        <v>4</v>
      </c>
      <c r="K27" t="s">
        <v>1260</v>
      </c>
      <c r="L27" s="10">
        <v>7</v>
      </c>
      <c r="M27" t="s">
        <v>1260</v>
      </c>
      <c r="N27" s="10">
        <f>FMECA[[#This Row],[probability_value]]*FMECA[[#This Row],[consequence_value]]</f>
        <v>28</v>
      </c>
      <c r="O27" s="10" t="str">
        <f>IF(AND(FMECA[[#This Row],[Score]]&gt;=0, 9&gt;=FMECA[[#This Row],[Score]]), "UNDETECTABLE", IF(AND(FMECA[[#This Row],[Score]]&gt;=10, 24&gt;=FMECA[[#This Row],[Score]]), "MODERATE", IF(AND(FMECA[[#This Row],[Score]]&gt;=25, 35&gt;=FMECA[[#This Row],[Score]]), "HIGH", IF(AND(FMECA[[#This Row],[Score]]&gt;=36, 50&gt;=FMECA[[#This Row],[Score]]), "VERY HIGH", "Check Formula"))))</f>
        <v>HIGH</v>
      </c>
      <c r="P27" s="10" t="s">
        <v>777</v>
      </c>
      <c r="Q27" t="s">
        <v>778</v>
      </c>
      <c r="R27" t="s">
        <v>795</v>
      </c>
      <c r="S27" t="s">
        <v>1162</v>
      </c>
      <c r="U27" t="s">
        <v>1265</v>
      </c>
      <c r="V27" t="s">
        <v>449</v>
      </c>
      <c r="W27" t="s">
        <v>1267</v>
      </c>
      <c r="X27" t="s">
        <v>470</v>
      </c>
      <c r="Y27" t="s">
        <v>1259</v>
      </c>
      <c r="Z27" t="s">
        <v>1266</v>
      </c>
      <c r="AA27" t="s">
        <v>1132</v>
      </c>
    </row>
    <row r="28" spans="1:27" ht="17" customHeight="1" x14ac:dyDescent="0.2">
      <c r="A28" s="225" t="s">
        <v>47</v>
      </c>
      <c r="B28" t="s">
        <v>63</v>
      </c>
      <c r="C28" t="s">
        <v>73</v>
      </c>
      <c r="D28" t="s">
        <v>79</v>
      </c>
      <c r="E28" t="s">
        <v>77</v>
      </c>
      <c r="F28" s="226" t="s">
        <v>78</v>
      </c>
      <c r="G28" t="str">
        <f>_xlfn.XLOOKUP(FMECA[[#This Row],[HazardRisk_name]],categories[HazardRisk_Name],categories[HazardRisk])</f>
        <v>Risk</v>
      </c>
      <c r="H28" t="str">
        <f>_xlfn.XLOOKUP(FMECA[[#This Row],[HazardRisk_name]],categories[HazardRisk_Name],categories[Category])</f>
        <v>Political</v>
      </c>
      <c r="I28" t="s">
        <v>536</v>
      </c>
      <c r="J28" s="10">
        <v>4</v>
      </c>
      <c r="K28" t="s">
        <v>1268</v>
      </c>
      <c r="L28" s="10">
        <v>4</v>
      </c>
      <c r="M28" t="s">
        <v>1268</v>
      </c>
      <c r="N28" s="10">
        <f>FMECA[[#This Row],[probability_value]]*FMECA[[#This Row],[consequence_value]]</f>
        <v>16</v>
      </c>
      <c r="O2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8" s="10" t="s">
        <v>777</v>
      </c>
      <c r="Q28" t="s">
        <v>778</v>
      </c>
      <c r="R28" t="s">
        <v>795</v>
      </c>
      <c r="S28" t="s">
        <v>1162</v>
      </c>
      <c r="U28" t="s">
        <v>1270</v>
      </c>
      <c r="V28" t="s">
        <v>449</v>
      </c>
      <c r="W28" t="s">
        <v>1271</v>
      </c>
      <c r="X28" t="s">
        <v>449</v>
      </c>
      <c r="Y28" t="s">
        <v>1153</v>
      </c>
      <c r="Z28" t="s">
        <v>1269</v>
      </c>
      <c r="AA28" t="s">
        <v>1162</v>
      </c>
    </row>
    <row r="29" spans="1:27" x14ac:dyDescent="0.2">
      <c r="A29" s="225" t="s">
        <v>48</v>
      </c>
      <c r="B29" t="s">
        <v>63</v>
      </c>
      <c r="C29" t="s">
        <v>73</v>
      </c>
      <c r="D29" t="s">
        <v>84</v>
      </c>
      <c r="E29" t="s">
        <v>80</v>
      </c>
      <c r="F29" s="226" t="s">
        <v>81</v>
      </c>
      <c r="G29" t="str">
        <f>_xlfn.XLOOKUP(FMECA[[#This Row],[HazardRisk_name]],categories[HazardRisk_Name],categories[HazardRisk])</f>
        <v>Risk</v>
      </c>
      <c r="H29" t="str">
        <f>_xlfn.XLOOKUP(FMECA[[#This Row],[HazardRisk_name]],categories[HazardRisk_Name],categories[Category])</f>
        <v>Political</v>
      </c>
      <c r="I29" t="s">
        <v>711</v>
      </c>
      <c r="J29" s="10">
        <v>5</v>
      </c>
      <c r="K29" t="s">
        <v>1273</v>
      </c>
      <c r="L29" s="10">
        <v>4</v>
      </c>
      <c r="M29" t="s">
        <v>1273</v>
      </c>
      <c r="N29" s="10">
        <f>FMECA[[#This Row],[probability_value]]*FMECA[[#This Row],[consequence_value]]</f>
        <v>20</v>
      </c>
      <c r="O2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9" s="10" t="s">
        <v>777</v>
      </c>
      <c r="Q29" t="s">
        <v>778</v>
      </c>
      <c r="R29" t="s">
        <v>780</v>
      </c>
      <c r="S29" t="s">
        <v>1272</v>
      </c>
      <c r="U29" t="s">
        <v>1275</v>
      </c>
      <c r="V29" t="s">
        <v>470</v>
      </c>
      <c r="W29" t="s">
        <v>1276</v>
      </c>
      <c r="X29" t="s">
        <v>470</v>
      </c>
      <c r="AA29" t="s">
        <v>793</v>
      </c>
    </row>
    <row r="30" spans="1:27" x14ac:dyDescent="0.2">
      <c r="A30" s="225" t="s">
        <v>48</v>
      </c>
      <c r="B30" t="s">
        <v>63</v>
      </c>
      <c r="C30" t="s">
        <v>73</v>
      </c>
      <c r="D30" t="s">
        <v>84</v>
      </c>
      <c r="E30" t="s">
        <v>80</v>
      </c>
      <c r="F30" s="226" t="s">
        <v>81</v>
      </c>
      <c r="G30" t="str">
        <f>_xlfn.XLOOKUP(FMECA[[#This Row],[HazardRisk_name]],categories[HazardRisk_Name],categories[HazardRisk])</f>
        <v>Risk</v>
      </c>
      <c r="H30" t="str">
        <f>_xlfn.XLOOKUP(FMECA[[#This Row],[HazardRisk_name]],categories[HazardRisk_Name],categories[Category])</f>
        <v>Pollutants</v>
      </c>
      <c r="I30" t="s">
        <v>547</v>
      </c>
      <c r="J30" s="10">
        <v>4</v>
      </c>
      <c r="K30" t="s">
        <v>1278</v>
      </c>
      <c r="L30" s="10">
        <v>7</v>
      </c>
      <c r="M30" t="s">
        <v>1277</v>
      </c>
      <c r="N30" s="10">
        <f>FMECA[[#This Row],[probability_value]]*FMECA[[#This Row],[consequence_value]]</f>
        <v>28</v>
      </c>
      <c r="O30" s="10" t="str">
        <f>IF(AND(FMECA[[#This Row],[Score]]&gt;=0, 9&gt;=FMECA[[#This Row],[Score]]), "UNDETECTABLE", IF(AND(FMECA[[#This Row],[Score]]&gt;=10, 24&gt;=FMECA[[#This Row],[Score]]), "MODERATE", IF(AND(FMECA[[#This Row],[Score]]&gt;=25, 35&gt;=FMECA[[#This Row],[Score]]), "HIGH", IF(AND(FMECA[[#This Row],[Score]]&gt;=36, 50&gt;=FMECA[[#This Row],[Score]]), "VERY HIGH", "Check Formula"))))</f>
        <v>HIGH</v>
      </c>
      <c r="P30" s="10" t="s">
        <v>777</v>
      </c>
      <c r="Q30" t="s">
        <v>778</v>
      </c>
      <c r="R30" t="s">
        <v>780</v>
      </c>
      <c r="S30" t="s">
        <v>1272</v>
      </c>
      <c r="U30" t="s">
        <v>1281</v>
      </c>
      <c r="V30" t="s">
        <v>449</v>
      </c>
      <c r="W30" t="s">
        <v>1280</v>
      </c>
      <c r="X30" t="s">
        <v>470</v>
      </c>
      <c r="Y30" t="s">
        <v>1153</v>
      </c>
      <c r="Z30" t="s">
        <v>1279</v>
      </c>
      <c r="AA30" t="s">
        <v>1162</v>
      </c>
    </row>
    <row r="31" spans="1:27" x14ac:dyDescent="0.2">
      <c r="A31" s="225" t="s">
        <v>48</v>
      </c>
      <c r="B31" t="s">
        <v>63</v>
      </c>
      <c r="C31" t="s">
        <v>73</v>
      </c>
      <c r="D31" t="s">
        <v>84</v>
      </c>
      <c r="E31" t="s">
        <v>80</v>
      </c>
      <c r="F31" s="226" t="s">
        <v>81</v>
      </c>
      <c r="G31" t="str">
        <f>_xlfn.XLOOKUP(FMECA[[#This Row],[HazardRisk_name]],categories[HazardRisk_Name],categories[HazardRisk])</f>
        <v>Risk</v>
      </c>
      <c r="H31" t="str">
        <f>_xlfn.XLOOKUP(FMECA[[#This Row],[HazardRisk_name]],categories[HazardRisk_Name],categories[Category])</f>
        <v>Political</v>
      </c>
      <c r="I31" t="s">
        <v>476</v>
      </c>
      <c r="J31" s="10">
        <v>4</v>
      </c>
      <c r="K31" t="s">
        <v>1282</v>
      </c>
      <c r="L31" s="10">
        <v>4</v>
      </c>
      <c r="M31" t="s">
        <v>1282</v>
      </c>
      <c r="N31" s="10">
        <f>FMECA[[#This Row],[probability_value]]*FMECA[[#This Row],[consequence_value]]</f>
        <v>16</v>
      </c>
      <c r="O3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1" s="10" t="s">
        <v>777</v>
      </c>
      <c r="Q31" t="s">
        <v>778</v>
      </c>
      <c r="R31" t="s">
        <v>780</v>
      </c>
      <c r="S31" t="s">
        <v>1272</v>
      </c>
      <c r="U31" t="s">
        <v>1283</v>
      </c>
      <c r="V31" t="s">
        <v>470</v>
      </c>
      <c r="W31" t="s">
        <v>1284</v>
      </c>
      <c r="X31" t="s">
        <v>470</v>
      </c>
      <c r="Y31" t="s">
        <v>1285</v>
      </c>
      <c r="Z31" t="s">
        <v>1286</v>
      </c>
      <c r="AA31" t="s">
        <v>1132</v>
      </c>
    </row>
    <row r="32" spans="1:27" x14ac:dyDescent="0.2">
      <c r="A32" s="225" t="s">
        <v>48</v>
      </c>
      <c r="B32" t="s">
        <v>63</v>
      </c>
      <c r="C32" t="s">
        <v>73</v>
      </c>
      <c r="D32" t="s">
        <v>84</v>
      </c>
      <c r="E32" t="s">
        <v>80</v>
      </c>
      <c r="F32" s="226" t="s">
        <v>81</v>
      </c>
      <c r="G32" t="str">
        <f>_xlfn.XLOOKUP(FMECA[[#This Row],[HazardRisk_name]],categories[HazardRisk_Name],categories[HazardRisk])</f>
        <v>Risk</v>
      </c>
      <c r="H32" t="str">
        <f>_xlfn.XLOOKUP(FMECA[[#This Row],[HazardRisk_name]],categories[HazardRisk_Name],categories[Category])</f>
        <v>Social</v>
      </c>
      <c r="I32" t="s">
        <v>569</v>
      </c>
      <c r="J32" s="10">
        <v>4</v>
      </c>
      <c r="K32" t="s">
        <v>1288</v>
      </c>
      <c r="L32" s="10">
        <v>7</v>
      </c>
      <c r="M32" t="s">
        <v>1288</v>
      </c>
      <c r="N32" s="10">
        <f>FMECA[[#This Row],[probability_value]]*FMECA[[#This Row],[consequence_value]]</f>
        <v>28</v>
      </c>
      <c r="O32" s="10" t="str">
        <f>IF(AND(FMECA[[#This Row],[Score]]&gt;=0, 9&gt;=FMECA[[#This Row],[Score]]), "UNDETECTABLE", IF(AND(FMECA[[#This Row],[Score]]&gt;=10, 24&gt;=FMECA[[#This Row],[Score]]), "MODERATE", IF(AND(FMECA[[#This Row],[Score]]&gt;=25, 35&gt;=FMECA[[#This Row],[Score]]), "HIGH", IF(AND(FMECA[[#This Row],[Score]]&gt;=36, 50&gt;=FMECA[[#This Row],[Score]]), "VERY HIGH", "Check Formula"))))</f>
        <v>HIGH</v>
      </c>
      <c r="P32" s="10" t="s">
        <v>777</v>
      </c>
      <c r="Q32" t="s">
        <v>778</v>
      </c>
      <c r="R32" t="s">
        <v>780</v>
      </c>
      <c r="S32" t="s">
        <v>1272</v>
      </c>
      <c r="U32" t="s">
        <v>1289</v>
      </c>
      <c r="V32" t="s">
        <v>449</v>
      </c>
      <c r="W32" t="s">
        <v>1290</v>
      </c>
      <c r="X32" t="s">
        <v>470</v>
      </c>
      <c r="AA32" t="s">
        <v>1162</v>
      </c>
    </row>
    <row r="33" spans="1:27" x14ac:dyDescent="0.2">
      <c r="A33" s="225" t="s">
        <v>48</v>
      </c>
      <c r="B33" t="s">
        <v>63</v>
      </c>
      <c r="C33" t="s">
        <v>73</v>
      </c>
      <c r="D33" t="s">
        <v>84</v>
      </c>
      <c r="E33" t="s">
        <v>80</v>
      </c>
      <c r="F33" s="226" t="s">
        <v>81</v>
      </c>
      <c r="G33" t="str">
        <f>_xlfn.XLOOKUP(FMECA[[#This Row],[HazardRisk_name]],categories[HazardRisk_Name],categories[HazardRisk])</f>
        <v>Risk</v>
      </c>
      <c r="H33" t="str">
        <f>_xlfn.XLOOKUP(FMECA[[#This Row],[HazardRisk_name]],categories[HazardRisk_Name],categories[Category])</f>
        <v>Navigational</v>
      </c>
      <c r="I33" t="s">
        <v>474</v>
      </c>
      <c r="J33" s="10">
        <v>5</v>
      </c>
      <c r="K33" t="s">
        <v>1293</v>
      </c>
      <c r="L33" s="10">
        <v>7</v>
      </c>
      <c r="M33" t="s">
        <v>1293</v>
      </c>
      <c r="N33" s="10">
        <f>FMECA[[#This Row],[probability_value]]*FMECA[[#This Row],[consequence_value]]</f>
        <v>35</v>
      </c>
      <c r="O33" s="10" t="str">
        <f>IF(AND(FMECA[[#This Row],[Score]]&gt;=0, 9&gt;=FMECA[[#This Row],[Score]]), "UNDETECTABLE", IF(AND(FMECA[[#This Row],[Score]]&gt;=10, 24&gt;=FMECA[[#This Row],[Score]]), "MODERATE", IF(AND(FMECA[[#This Row],[Score]]&gt;=25, 35&gt;=FMECA[[#This Row],[Score]]), "HIGH", IF(AND(FMECA[[#This Row],[Score]]&gt;=36, 50&gt;=FMECA[[#This Row],[Score]]), "VERY HIGH", "Check Formula"))))</f>
        <v>HIGH</v>
      </c>
      <c r="P33" s="10" t="s">
        <v>777</v>
      </c>
      <c r="Q33" t="s">
        <v>778</v>
      </c>
      <c r="R33" t="s">
        <v>780</v>
      </c>
      <c r="S33" t="s">
        <v>1272</v>
      </c>
      <c r="U33" t="s">
        <v>1294</v>
      </c>
      <c r="V33" t="s">
        <v>470</v>
      </c>
      <c r="W33" t="s">
        <v>1295</v>
      </c>
      <c r="X33" t="s">
        <v>470</v>
      </c>
      <c r="AA33" t="s">
        <v>1162</v>
      </c>
    </row>
    <row r="34" spans="1:27" x14ac:dyDescent="0.2">
      <c r="A34" s="225" t="s">
        <v>48</v>
      </c>
      <c r="B34" t="s">
        <v>63</v>
      </c>
      <c r="C34" t="s">
        <v>73</v>
      </c>
      <c r="D34" t="s">
        <v>84</v>
      </c>
      <c r="E34" t="s">
        <v>80</v>
      </c>
      <c r="F34" s="226" t="s">
        <v>81</v>
      </c>
      <c r="G34" t="str">
        <f>_xlfn.XLOOKUP(FMECA[[#This Row],[HazardRisk_name]],categories[HazardRisk_Name],categories[HazardRisk])</f>
        <v>Risk</v>
      </c>
      <c r="H34" t="str">
        <f>_xlfn.XLOOKUP(FMECA[[#This Row],[HazardRisk_name]],categories[HazardRisk_Name],categories[Category])</f>
        <v>Community</v>
      </c>
      <c r="I34" t="s">
        <v>562</v>
      </c>
      <c r="J34" s="10">
        <v>4</v>
      </c>
      <c r="K34" t="s">
        <v>1292</v>
      </c>
      <c r="L34" s="10">
        <v>7</v>
      </c>
      <c r="M34" t="s">
        <v>1292</v>
      </c>
      <c r="N34" s="10">
        <f>FMECA[[#This Row],[probability_value]]*FMECA[[#This Row],[consequence_value]]</f>
        <v>28</v>
      </c>
      <c r="O34" s="10" t="str">
        <f>IF(AND(FMECA[[#This Row],[Score]]&gt;=0, 9&gt;=FMECA[[#This Row],[Score]]), "UNDETECTABLE", IF(AND(FMECA[[#This Row],[Score]]&gt;=10, 24&gt;=FMECA[[#This Row],[Score]]), "MODERATE", IF(AND(FMECA[[#This Row],[Score]]&gt;=25, 35&gt;=FMECA[[#This Row],[Score]]), "HIGH", IF(AND(FMECA[[#This Row],[Score]]&gt;=36, 50&gt;=FMECA[[#This Row],[Score]]), "VERY HIGH", "Check Formula"))))</f>
        <v>HIGH</v>
      </c>
      <c r="P34" s="10" t="s">
        <v>777</v>
      </c>
      <c r="Q34" t="s">
        <v>778</v>
      </c>
      <c r="R34" t="s">
        <v>780</v>
      </c>
      <c r="S34" t="s">
        <v>1272</v>
      </c>
      <c r="U34" t="s">
        <v>1296</v>
      </c>
      <c r="V34" t="s">
        <v>470</v>
      </c>
      <c r="W34" t="s">
        <v>1297</v>
      </c>
      <c r="X34" t="s">
        <v>470</v>
      </c>
      <c r="AA34" t="s">
        <v>1162</v>
      </c>
    </row>
    <row r="35" spans="1:27" x14ac:dyDescent="0.2">
      <c r="A35" s="225" t="s">
        <v>49</v>
      </c>
      <c r="B35" t="s">
        <v>63</v>
      </c>
      <c r="C35" t="s">
        <v>73</v>
      </c>
      <c r="D35" t="s">
        <v>85</v>
      </c>
      <c r="E35" t="s">
        <v>82</v>
      </c>
      <c r="F35" s="226" t="s">
        <v>83</v>
      </c>
      <c r="G35" t="str">
        <f>_xlfn.XLOOKUP(FMECA[[#This Row],[HazardRisk_name]],categories[HazardRisk_Name],categories[HazardRisk])</f>
        <v>Risk</v>
      </c>
      <c r="H35" t="str">
        <f>_xlfn.XLOOKUP(FMECA[[#This Row],[HazardRisk_name]],categories[HazardRisk_Name],categories[Category])</f>
        <v>Political</v>
      </c>
      <c r="I35" t="s">
        <v>540</v>
      </c>
      <c r="J35" s="10">
        <v>5</v>
      </c>
      <c r="K35" t="s">
        <v>1656</v>
      </c>
      <c r="L35" s="10">
        <v>4</v>
      </c>
      <c r="M35" t="s">
        <v>1656</v>
      </c>
      <c r="N35" s="10">
        <f>FMECA[[#This Row],[probability_value]]*FMECA[[#This Row],[consequence_value]]</f>
        <v>20</v>
      </c>
      <c r="O3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5" s="10" t="s">
        <v>777</v>
      </c>
      <c r="Q35" t="s">
        <v>778</v>
      </c>
      <c r="R35" t="s">
        <v>780</v>
      </c>
      <c r="S35" t="s">
        <v>1272</v>
      </c>
      <c r="Y35" t="s">
        <v>1153</v>
      </c>
      <c r="Z35" t="s">
        <v>1657</v>
      </c>
      <c r="AA35" t="s">
        <v>1132</v>
      </c>
    </row>
    <row r="36" spans="1:27" x14ac:dyDescent="0.2">
      <c r="A36" s="225" t="s">
        <v>49</v>
      </c>
      <c r="B36" t="s">
        <v>63</v>
      </c>
      <c r="C36" t="s">
        <v>73</v>
      </c>
      <c r="D36" t="s">
        <v>85</v>
      </c>
      <c r="E36" t="s">
        <v>82</v>
      </c>
      <c r="F36" s="226" t="s">
        <v>83</v>
      </c>
      <c r="G36" t="str">
        <f>_xlfn.XLOOKUP(FMECA[[#This Row],[HazardRisk_name]],categories[HazardRisk_Name],categories[HazardRisk])</f>
        <v>Risk</v>
      </c>
      <c r="H36" t="str">
        <f>_xlfn.XLOOKUP(FMECA[[#This Row],[HazardRisk_name]],categories[HazardRisk_Name],categories[Category])</f>
        <v>Navigational</v>
      </c>
      <c r="I36" t="s">
        <v>704</v>
      </c>
      <c r="J36" s="10">
        <v>3</v>
      </c>
      <c r="K36" t="s">
        <v>1653</v>
      </c>
      <c r="L36" s="10">
        <v>7</v>
      </c>
      <c r="M36" t="s">
        <v>1653</v>
      </c>
      <c r="N36" s="10">
        <f>FMECA[[#This Row],[probability_value]]*FMECA[[#This Row],[consequence_value]]</f>
        <v>21</v>
      </c>
      <c r="O3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6" s="10" t="s">
        <v>777</v>
      </c>
      <c r="Q36" t="s">
        <v>778</v>
      </c>
      <c r="R36" t="s">
        <v>780</v>
      </c>
      <c r="S36" t="s">
        <v>1272</v>
      </c>
      <c r="T36" t="s">
        <v>1132</v>
      </c>
      <c r="U36" t="s">
        <v>1654</v>
      </c>
      <c r="V36" t="s">
        <v>449</v>
      </c>
      <c r="Y36" t="s">
        <v>1153</v>
      </c>
      <c r="Z36" t="s">
        <v>1655</v>
      </c>
      <c r="AA36" t="s">
        <v>1162</v>
      </c>
    </row>
    <row r="37" spans="1:27" x14ac:dyDescent="0.2">
      <c r="A37" s="225" t="s">
        <v>49</v>
      </c>
      <c r="B37" t="s">
        <v>63</v>
      </c>
      <c r="C37" t="s">
        <v>73</v>
      </c>
      <c r="D37" t="s">
        <v>85</v>
      </c>
      <c r="E37" t="s">
        <v>82</v>
      </c>
      <c r="F37" s="226" t="s">
        <v>83</v>
      </c>
      <c r="G37" t="str">
        <f>_xlfn.XLOOKUP(FMECA[[#This Row],[HazardRisk_name]],categories[HazardRisk_Name],categories[HazardRisk])</f>
        <v>Hazard</v>
      </c>
      <c r="H37" t="str">
        <f>_xlfn.XLOOKUP(FMECA[[#This Row],[HazardRisk_name]],categories[HazardRisk_Name],categories[Category])</f>
        <v>Sea Ice</v>
      </c>
      <c r="I37" t="s">
        <v>673</v>
      </c>
      <c r="J37" s="10">
        <v>4</v>
      </c>
      <c r="K37" t="s">
        <v>1658</v>
      </c>
      <c r="L37" s="10">
        <v>4</v>
      </c>
      <c r="M37" t="s">
        <v>1658</v>
      </c>
      <c r="N37" s="10">
        <f>FMECA[[#This Row],[probability_value]]*FMECA[[#This Row],[consequence_value]]</f>
        <v>16</v>
      </c>
      <c r="O3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7" s="10" t="s">
        <v>777</v>
      </c>
      <c r="Q37" t="s">
        <v>778</v>
      </c>
      <c r="R37" t="s">
        <v>780</v>
      </c>
      <c r="S37" t="s">
        <v>1272</v>
      </c>
      <c r="AA37" t="s">
        <v>1162</v>
      </c>
    </row>
    <row r="38" spans="1:27" x14ac:dyDescent="0.2">
      <c r="A38" s="225" t="s">
        <v>49</v>
      </c>
      <c r="B38" t="s">
        <v>63</v>
      </c>
      <c r="C38" t="s">
        <v>73</v>
      </c>
      <c r="D38" t="s">
        <v>85</v>
      </c>
      <c r="E38" t="s">
        <v>82</v>
      </c>
      <c r="F38" s="226" t="s">
        <v>83</v>
      </c>
      <c r="G38" t="str">
        <f>_xlfn.XLOOKUP(FMECA[[#This Row],[HazardRisk_name]],categories[HazardRisk_Name],categories[HazardRisk])</f>
        <v>Hazard</v>
      </c>
      <c r="H38" t="str">
        <f>_xlfn.XLOOKUP(FMECA[[#This Row],[HazardRisk_name]],categories[HazardRisk_Name],categories[Category])</f>
        <v>Environmental</v>
      </c>
      <c r="I38" t="s">
        <v>718</v>
      </c>
      <c r="J38" s="10">
        <v>5</v>
      </c>
      <c r="K38" t="s">
        <v>1659</v>
      </c>
      <c r="L38" s="10">
        <v>4</v>
      </c>
      <c r="M38" t="s">
        <v>1659</v>
      </c>
      <c r="N38" s="10">
        <f>FMECA[[#This Row],[probability_value]]*FMECA[[#This Row],[consequence_value]]</f>
        <v>20</v>
      </c>
      <c r="O3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8" s="10" t="s">
        <v>777</v>
      </c>
      <c r="Q38" t="s">
        <v>778</v>
      </c>
      <c r="R38" t="s">
        <v>780</v>
      </c>
      <c r="S38" t="s">
        <v>1272</v>
      </c>
      <c r="U38" t="s">
        <v>1660</v>
      </c>
      <c r="V38" t="s">
        <v>449</v>
      </c>
      <c r="W38" t="s">
        <v>1661</v>
      </c>
      <c r="X38" t="s">
        <v>466</v>
      </c>
      <c r="AA38" t="s">
        <v>1162</v>
      </c>
    </row>
    <row r="39" spans="1:27" x14ac:dyDescent="0.2">
      <c r="A39" s="225" t="s">
        <v>49</v>
      </c>
      <c r="B39" t="s">
        <v>63</v>
      </c>
      <c r="C39" t="s">
        <v>73</v>
      </c>
      <c r="D39" t="s">
        <v>85</v>
      </c>
      <c r="E39" t="s">
        <v>82</v>
      </c>
      <c r="F39" s="226" t="s">
        <v>83</v>
      </c>
      <c r="G39" t="str">
        <f>_xlfn.XLOOKUP(FMECA[[#This Row],[HazardRisk_name]],categories[HazardRisk_Name],categories[HazardRisk])</f>
        <v>Risk</v>
      </c>
      <c r="H39" t="str">
        <f>_xlfn.XLOOKUP(FMECA[[#This Row],[HazardRisk_name]],categories[HazardRisk_Name],categories[Category])</f>
        <v>Political</v>
      </c>
      <c r="I39" t="s">
        <v>711</v>
      </c>
      <c r="J39" s="10">
        <v>5</v>
      </c>
      <c r="K39" t="s">
        <v>1662</v>
      </c>
      <c r="L39" s="10">
        <v>1</v>
      </c>
      <c r="M39" t="s">
        <v>1662</v>
      </c>
      <c r="N39" s="10">
        <f>FMECA[[#This Row],[probability_value]]*FMECA[[#This Row],[consequence_value]]</f>
        <v>5</v>
      </c>
      <c r="O39"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39" s="10" t="s">
        <v>777</v>
      </c>
      <c r="Q39" t="s">
        <v>778</v>
      </c>
      <c r="R39" t="s">
        <v>780</v>
      </c>
      <c r="S39" t="s">
        <v>1272</v>
      </c>
      <c r="U39" t="s">
        <v>1663</v>
      </c>
      <c r="V39" t="s">
        <v>449</v>
      </c>
      <c r="W39" t="s">
        <v>1664</v>
      </c>
      <c r="X39" t="s">
        <v>466</v>
      </c>
      <c r="Y39" t="s">
        <v>1153</v>
      </c>
      <c r="Z39" t="s">
        <v>1665</v>
      </c>
      <c r="AA39" t="s">
        <v>1162</v>
      </c>
    </row>
    <row r="40" spans="1:27" x14ac:dyDescent="0.2">
      <c r="A40" s="225" t="s">
        <v>49</v>
      </c>
      <c r="B40" t="s">
        <v>63</v>
      </c>
      <c r="C40" t="s">
        <v>73</v>
      </c>
      <c r="D40" t="s">
        <v>85</v>
      </c>
      <c r="E40" t="s">
        <v>82</v>
      </c>
      <c r="F40" s="226" t="s">
        <v>83</v>
      </c>
      <c r="G40" t="str">
        <f>_xlfn.XLOOKUP(FMECA[[#This Row],[HazardRisk_name]],categories[HazardRisk_Name],categories[HazardRisk])</f>
        <v>Risk</v>
      </c>
      <c r="H40" t="str">
        <f>_xlfn.XLOOKUP(FMECA[[#This Row],[HazardRisk_name]],categories[HazardRisk_Name],categories[Category])</f>
        <v>Operational</v>
      </c>
      <c r="I40" t="s">
        <v>537</v>
      </c>
      <c r="J40" s="10">
        <v>5</v>
      </c>
      <c r="K40" t="s">
        <v>1666</v>
      </c>
      <c r="L40" s="10">
        <v>4</v>
      </c>
      <c r="M40" t="s">
        <v>1666</v>
      </c>
      <c r="N40" s="10">
        <f>FMECA[[#This Row],[probability_value]]*FMECA[[#This Row],[consequence_value]]</f>
        <v>20</v>
      </c>
      <c r="O4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0" s="10" t="s">
        <v>777</v>
      </c>
      <c r="Q40" t="s">
        <v>778</v>
      </c>
      <c r="R40" t="s">
        <v>780</v>
      </c>
      <c r="S40" t="s">
        <v>1272</v>
      </c>
      <c r="U40" t="s">
        <v>1667</v>
      </c>
      <c r="V40" t="s">
        <v>466</v>
      </c>
      <c r="Y40" t="s">
        <v>1161</v>
      </c>
      <c r="Z40" t="s">
        <v>1668</v>
      </c>
      <c r="AA40" t="s">
        <v>1132</v>
      </c>
    </row>
    <row r="41" spans="1:27" x14ac:dyDescent="0.2">
      <c r="A41" s="225" t="s">
        <v>49</v>
      </c>
      <c r="B41" t="s">
        <v>63</v>
      </c>
      <c r="C41" t="s">
        <v>73</v>
      </c>
      <c r="D41" t="s">
        <v>85</v>
      </c>
      <c r="E41" t="s">
        <v>82</v>
      </c>
      <c r="F41" s="226" t="s">
        <v>83</v>
      </c>
      <c r="G41" t="str">
        <f>_xlfn.XLOOKUP(FMECA[[#This Row],[HazardRisk_name]],categories[HazardRisk_Name],categories[HazardRisk])</f>
        <v>Risk</v>
      </c>
      <c r="H41" t="str">
        <f>_xlfn.XLOOKUP(FMECA[[#This Row],[HazardRisk_name]],categories[HazardRisk_Name],categories[Category])</f>
        <v>Social</v>
      </c>
      <c r="I41" t="s">
        <v>555</v>
      </c>
      <c r="J41" s="10">
        <v>5</v>
      </c>
      <c r="K41" t="s">
        <v>1669</v>
      </c>
      <c r="L41" s="10">
        <v>7</v>
      </c>
      <c r="M41" t="s">
        <v>1669</v>
      </c>
      <c r="N41" s="10">
        <f>FMECA[[#This Row],[probability_value]]*FMECA[[#This Row],[consequence_value]]</f>
        <v>35</v>
      </c>
      <c r="O41" s="10" t="str">
        <f>IF(AND(FMECA[[#This Row],[Score]]&gt;=0, 9&gt;=FMECA[[#This Row],[Score]]), "UNDETECTABLE", IF(AND(FMECA[[#This Row],[Score]]&gt;=10, 24&gt;=FMECA[[#This Row],[Score]]), "MODERATE", IF(AND(FMECA[[#This Row],[Score]]&gt;=25, 35&gt;=FMECA[[#This Row],[Score]]), "HIGH", IF(AND(FMECA[[#This Row],[Score]]&gt;=36, 50&gt;=FMECA[[#This Row],[Score]]), "VERY HIGH", "Check Formula"))))</f>
        <v>HIGH</v>
      </c>
      <c r="P41" s="10" t="s">
        <v>777</v>
      </c>
      <c r="Q41" t="s">
        <v>778</v>
      </c>
      <c r="R41" t="s">
        <v>780</v>
      </c>
      <c r="S41" t="s">
        <v>1272</v>
      </c>
      <c r="U41" t="s">
        <v>1670</v>
      </c>
      <c r="V41" t="s">
        <v>470</v>
      </c>
      <c r="W41" t="s">
        <v>1671</v>
      </c>
      <c r="X41" t="s">
        <v>470</v>
      </c>
      <c r="AA41" t="s">
        <v>1162</v>
      </c>
    </row>
    <row r="42" spans="1:27" x14ac:dyDescent="0.2">
      <c r="A42" s="225" t="s">
        <v>49</v>
      </c>
      <c r="B42" t="s">
        <v>63</v>
      </c>
      <c r="C42" t="s">
        <v>73</v>
      </c>
      <c r="D42" t="s">
        <v>85</v>
      </c>
      <c r="E42" t="s">
        <v>82</v>
      </c>
      <c r="F42" s="226" t="s">
        <v>83</v>
      </c>
      <c r="G42" t="str">
        <f>_xlfn.XLOOKUP(FMECA[[#This Row],[HazardRisk_name]],categories[HazardRisk_Name],categories[HazardRisk])</f>
        <v>Risk</v>
      </c>
      <c r="H42" t="str">
        <f>_xlfn.XLOOKUP(FMECA[[#This Row],[HazardRisk_name]],categories[HazardRisk_Name],categories[Category])</f>
        <v>Sea Ice</v>
      </c>
      <c r="I42" t="s">
        <v>480</v>
      </c>
      <c r="J42" s="10">
        <v>4</v>
      </c>
      <c r="K42" t="s">
        <v>1672</v>
      </c>
      <c r="L42" s="10">
        <v>10</v>
      </c>
      <c r="M42" t="s">
        <v>1672</v>
      </c>
      <c r="N42" s="10">
        <f>FMECA[[#This Row],[probability_value]]*FMECA[[#This Row],[consequence_value]]</f>
        <v>40</v>
      </c>
      <c r="O42"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42" s="10" t="s">
        <v>777</v>
      </c>
      <c r="Q42" t="s">
        <v>778</v>
      </c>
      <c r="R42" t="s">
        <v>780</v>
      </c>
      <c r="S42" t="s">
        <v>1272</v>
      </c>
      <c r="AA42" t="s">
        <v>1162</v>
      </c>
    </row>
    <row r="43" spans="1:27" x14ac:dyDescent="0.2">
      <c r="A43" s="225" t="s">
        <v>49</v>
      </c>
      <c r="B43" t="s">
        <v>63</v>
      </c>
      <c r="C43" t="s">
        <v>73</v>
      </c>
      <c r="D43" t="s">
        <v>85</v>
      </c>
      <c r="E43" t="s">
        <v>82</v>
      </c>
      <c r="F43" s="226" t="s">
        <v>83</v>
      </c>
      <c r="G43" t="str">
        <f>_xlfn.XLOOKUP(FMECA[[#This Row],[HazardRisk_name]],categories[HazardRisk_Name],categories[HazardRisk])</f>
        <v>Risk</v>
      </c>
      <c r="H43" t="str">
        <f>_xlfn.XLOOKUP(FMECA[[#This Row],[HazardRisk_name]],categories[HazardRisk_Name],categories[Category])</f>
        <v>Environmental</v>
      </c>
      <c r="I43" t="s">
        <v>539</v>
      </c>
      <c r="J43" s="10">
        <v>4</v>
      </c>
      <c r="K43" t="s">
        <v>1673</v>
      </c>
      <c r="L43" s="10">
        <v>7</v>
      </c>
      <c r="M43" t="s">
        <v>1673</v>
      </c>
      <c r="N43" s="10">
        <f>FMECA[[#This Row],[probability_value]]*FMECA[[#This Row],[consequence_value]]</f>
        <v>28</v>
      </c>
      <c r="O43" s="10" t="str">
        <f>IF(AND(FMECA[[#This Row],[Score]]&gt;=0, 9&gt;=FMECA[[#This Row],[Score]]), "UNDETECTABLE", IF(AND(FMECA[[#This Row],[Score]]&gt;=10, 24&gt;=FMECA[[#This Row],[Score]]), "MODERATE", IF(AND(FMECA[[#This Row],[Score]]&gt;=25, 35&gt;=FMECA[[#This Row],[Score]]), "HIGH", IF(AND(FMECA[[#This Row],[Score]]&gt;=36, 50&gt;=FMECA[[#This Row],[Score]]), "VERY HIGH", "Check Formula"))))</f>
        <v>HIGH</v>
      </c>
      <c r="P43" s="10" t="s">
        <v>777</v>
      </c>
      <c r="Q43" t="s">
        <v>778</v>
      </c>
      <c r="R43" t="s">
        <v>780</v>
      </c>
      <c r="S43" t="s">
        <v>1272</v>
      </c>
      <c r="Y43" t="s">
        <v>1674</v>
      </c>
      <c r="Z43" t="s">
        <v>1675</v>
      </c>
      <c r="AA43" t="s">
        <v>1132</v>
      </c>
    </row>
    <row r="44" spans="1:27" x14ac:dyDescent="0.2">
      <c r="A44" s="225" t="s">
        <v>50</v>
      </c>
      <c r="B44" t="s">
        <v>63</v>
      </c>
      <c r="C44" t="s">
        <v>73</v>
      </c>
      <c r="D44" t="s">
        <v>88</v>
      </c>
      <c r="E44" s="9" t="s">
        <v>86</v>
      </c>
      <c r="F44" s="9" t="s">
        <v>87</v>
      </c>
      <c r="G44" t="str">
        <f>_xlfn.XLOOKUP(FMECA[[#This Row],[HazardRisk_name]],categories[HazardRisk_Name],categories[HazardRisk])</f>
        <v>Risk</v>
      </c>
      <c r="H44" t="str">
        <f>_xlfn.XLOOKUP(FMECA[[#This Row],[HazardRisk_name]],categories[HazardRisk_Name],categories[Category])</f>
        <v>Community</v>
      </c>
      <c r="I44" t="s">
        <v>562</v>
      </c>
      <c r="J44" s="10">
        <v>4</v>
      </c>
      <c r="K44" t="s">
        <v>1701</v>
      </c>
      <c r="L44" s="10">
        <v>7</v>
      </c>
      <c r="M44" t="s">
        <v>1701</v>
      </c>
      <c r="N44" s="10">
        <f>FMECA[[#This Row],[probability_value]]*FMECA[[#This Row],[consequence_value]]</f>
        <v>28</v>
      </c>
      <c r="O44" s="10" t="str">
        <f>IF(AND(FMECA[[#This Row],[Score]]&gt;=0, 9&gt;=FMECA[[#This Row],[Score]]), "UNDETECTABLE", IF(AND(FMECA[[#This Row],[Score]]&gt;=10, 24&gt;=FMECA[[#This Row],[Score]]), "MODERATE", IF(AND(FMECA[[#This Row],[Score]]&gt;=25, 35&gt;=FMECA[[#This Row],[Score]]), "HIGH", IF(AND(FMECA[[#This Row],[Score]]&gt;=36, 50&gt;=FMECA[[#This Row],[Score]]), "VERY HIGH", "Check Formula"))))</f>
        <v>HIGH</v>
      </c>
      <c r="P44" s="10" t="s">
        <v>777</v>
      </c>
      <c r="Q44" t="s">
        <v>778</v>
      </c>
      <c r="R44" t="s">
        <v>780</v>
      </c>
      <c r="S44" t="s">
        <v>1702</v>
      </c>
      <c r="AA44" t="s">
        <v>1162</v>
      </c>
    </row>
    <row r="45" spans="1:27" x14ac:dyDescent="0.2">
      <c r="A45" s="225" t="s">
        <v>50</v>
      </c>
      <c r="B45" t="s">
        <v>63</v>
      </c>
      <c r="C45" t="s">
        <v>73</v>
      </c>
      <c r="D45" t="s">
        <v>88</v>
      </c>
      <c r="E45" s="9" t="s">
        <v>86</v>
      </c>
      <c r="F45" s="9" t="s">
        <v>87</v>
      </c>
      <c r="G45" t="str">
        <f>_xlfn.XLOOKUP(FMECA[[#This Row],[HazardRisk_name]],categories[HazardRisk_Name],categories[HazardRisk])</f>
        <v>Risk</v>
      </c>
      <c r="H45" t="str">
        <f>_xlfn.XLOOKUP(FMECA[[#This Row],[HazardRisk_name]],categories[HazardRisk_Name],categories[Category])</f>
        <v>Environmental</v>
      </c>
      <c r="I45" t="s">
        <v>625</v>
      </c>
      <c r="J45" s="10">
        <v>4</v>
      </c>
      <c r="K45" t="s">
        <v>1720</v>
      </c>
      <c r="L45" s="10">
        <v>7</v>
      </c>
      <c r="M45" t="s">
        <v>1720</v>
      </c>
      <c r="N45" s="10">
        <f>FMECA[[#This Row],[probability_value]]*FMECA[[#This Row],[consequence_value]]</f>
        <v>28</v>
      </c>
      <c r="O45" s="10" t="str">
        <f>IF(AND(FMECA[[#This Row],[Score]]&gt;=0, 9&gt;=FMECA[[#This Row],[Score]]), "UNDETECTABLE", IF(AND(FMECA[[#This Row],[Score]]&gt;=10, 24&gt;=FMECA[[#This Row],[Score]]), "MODERATE", IF(AND(FMECA[[#This Row],[Score]]&gt;=25, 35&gt;=FMECA[[#This Row],[Score]]), "HIGH", IF(AND(FMECA[[#This Row],[Score]]&gt;=36, 50&gt;=FMECA[[#This Row],[Score]]), "VERY HIGH", "Check Formula"))))</f>
        <v>HIGH</v>
      </c>
      <c r="P45" s="10" t="s">
        <v>777</v>
      </c>
      <c r="Q45" t="s">
        <v>778</v>
      </c>
      <c r="R45" t="s">
        <v>780</v>
      </c>
      <c r="S45" t="s">
        <v>1702</v>
      </c>
      <c r="U45" t="s">
        <v>1721</v>
      </c>
      <c r="V45" t="s">
        <v>466</v>
      </c>
      <c r="W45" t="s">
        <v>1722</v>
      </c>
      <c r="X45" t="s">
        <v>449</v>
      </c>
      <c r="AA45" t="s">
        <v>1162</v>
      </c>
    </row>
    <row r="46" spans="1:27" x14ac:dyDescent="0.2">
      <c r="A46" s="225" t="s">
        <v>50</v>
      </c>
      <c r="B46" t="s">
        <v>63</v>
      </c>
      <c r="C46" t="s">
        <v>73</v>
      </c>
      <c r="D46" t="s">
        <v>88</v>
      </c>
      <c r="E46" s="9" t="s">
        <v>86</v>
      </c>
      <c r="F46" s="9" t="s">
        <v>87</v>
      </c>
      <c r="G46" t="str">
        <f>_xlfn.XLOOKUP(FMECA[[#This Row],[HazardRisk_name]],categories[HazardRisk_Name],categories[HazardRisk])</f>
        <v>Hazard</v>
      </c>
      <c r="H46" t="str">
        <f>_xlfn.XLOOKUP(FMECA[[#This Row],[HazardRisk_name]],categories[HazardRisk_Name],categories[Category])</f>
        <v>Environmental</v>
      </c>
      <c r="I46" t="s">
        <v>671</v>
      </c>
      <c r="J46" s="10">
        <v>3</v>
      </c>
      <c r="K46" t="s">
        <v>1739</v>
      </c>
      <c r="L46" s="10">
        <v>10</v>
      </c>
      <c r="M46" t="s">
        <v>1739</v>
      </c>
      <c r="N46" s="10">
        <f>FMECA[[#This Row],[probability_value]]*FMECA[[#This Row],[consequence_value]]</f>
        <v>30</v>
      </c>
      <c r="O46" s="10" t="str">
        <f>IF(AND(FMECA[[#This Row],[Score]]&gt;=0, 9&gt;=FMECA[[#This Row],[Score]]), "UNDETECTABLE", IF(AND(FMECA[[#This Row],[Score]]&gt;=10, 24&gt;=FMECA[[#This Row],[Score]]), "MODERATE", IF(AND(FMECA[[#This Row],[Score]]&gt;=25, 35&gt;=FMECA[[#This Row],[Score]]), "HIGH", IF(AND(FMECA[[#This Row],[Score]]&gt;=36, 50&gt;=FMECA[[#This Row],[Score]]), "VERY HIGH", "Check Formula"))))</f>
        <v>HIGH</v>
      </c>
      <c r="P46" s="10" t="s">
        <v>777</v>
      </c>
      <c r="Q46" t="s">
        <v>778</v>
      </c>
      <c r="R46" t="s">
        <v>780</v>
      </c>
      <c r="S46" t="s">
        <v>1702</v>
      </c>
      <c r="U46" t="s">
        <v>1740</v>
      </c>
      <c r="V46" t="s">
        <v>466</v>
      </c>
      <c r="W46" t="s">
        <v>1741</v>
      </c>
      <c r="X46" t="s">
        <v>470</v>
      </c>
      <c r="AA46" t="s">
        <v>1162</v>
      </c>
    </row>
    <row r="47" spans="1:27" x14ac:dyDescent="0.2">
      <c r="A47" s="225" t="s">
        <v>50</v>
      </c>
      <c r="B47" t="s">
        <v>63</v>
      </c>
      <c r="C47" t="s">
        <v>73</v>
      </c>
      <c r="D47" t="s">
        <v>88</v>
      </c>
      <c r="E47" s="9" t="s">
        <v>86</v>
      </c>
      <c r="F47" s="9" t="s">
        <v>87</v>
      </c>
      <c r="G47" t="str">
        <f>_xlfn.XLOOKUP(FMECA[[#This Row],[HazardRisk_name]],categories[HazardRisk_Name],categories[HazardRisk])</f>
        <v>Risk</v>
      </c>
      <c r="H47" t="str">
        <f>_xlfn.XLOOKUP(FMECA[[#This Row],[HazardRisk_name]],categories[HazardRisk_Name],categories[Category])</f>
        <v>Navigational</v>
      </c>
      <c r="I47" t="s">
        <v>720</v>
      </c>
      <c r="J47" s="10">
        <v>3</v>
      </c>
      <c r="K47" t="s">
        <v>1746</v>
      </c>
      <c r="L47" s="10">
        <v>7</v>
      </c>
      <c r="M47" t="s">
        <v>1746</v>
      </c>
      <c r="N47" s="10">
        <f>FMECA[[#This Row],[probability_value]]*FMECA[[#This Row],[consequence_value]]</f>
        <v>21</v>
      </c>
      <c r="O4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7" s="10" t="s">
        <v>777</v>
      </c>
      <c r="Q47" t="s">
        <v>778</v>
      </c>
      <c r="R47" t="s">
        <v>780</v>
      </c>
      <c r="S47" t="s">
        <v>1702</v>
      </c>
      <c r="AA47" t="s">
        <v>1162</v>
      </c>
    </row>
    <row r="48" spans="1:27" x14ac:dyDescent="0.2">
      <c r="A48" s="225" t="s">
        <v>50</v>
      </c>
      <c r="B48" t="s">
        <v>63</v>
      </c>
      <c r="C48" t="s">
        <v>73</v>
      </c>
      <c r="D48" t="s">
        <v>88</v>
      </c>
      <c r="E48" s="9" t="s">
        <v>86</v>
      </c>
      <c r="F48" s="9" t="s">
        <v>87</v>
      </c>
      <c r="G48" t="str">
        <f>_xlfn.XLOOKUP(FMECA[[#This Row],[HazardRisk_name]],categories[HazardRisk_Name],categories[HazardRisk])</f>
        <v>Risk</v>
      </c>
      <c r="H48" t="str">
        <f>_xlfn.XLOOKUP(FMECA[[#This Row],[HazardRisk_name]],categories[HazardRisk_Name],categories[Category])</f>
        <v>Political</v>
      </c>
      <c r="I48" t="s">
        <v>629</v>
      </c>
      <c r="J48" s="10">
        <v>3</v>
      </c>
      <c r="K48" t="s">
        <v>1744</v>
      </c>
      <c r="L48" s="10">
        <v>4</v>
      </c>
      <c r="M48" t="s">
        <v>1744</v>
      </c>
      <c r="N48" s="10">
        <f>FMECA[[#This Row],[probability_value]]*FMECA[[#This Row],[consequence_value]]</f>
        <v>12</v>
      </c>
      <c r="O4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8" s="10" t="s">
        <v>777</v>
      </c>
      <c r="Q48" t="s">
        <v>778</v>
      </c>
      <c r="R48" t="s">
        <v>780</v>
      </c>
      <c r="S48" t="s">
        <v>1702</v>
      </c>
      <c r="W48" t="s">
        <v>1745</v>
      </c>
      <c r="X48" t="s">
        <v>466</v>
      </c>
      <c r="AA48" t="s">
        <v>1162</v>
      </c>
    </row>
    <row r="49" spans="1:27" x14ac:dyDescent="0.2">
      <c r="A49" s="225" t="s">
        <v>50</v>
      </c>
      <c r="B49" t="s">
        <v>63</v>
      </c>
      <c r="C49" t="s">
        <v>73</v>
      </c>
      <c r="D49" t="s">
        <v>88</v>
      </c>
      <c r="E49" s="9" t="s">
        <v>86</v>
      </c>
      <c r="F49" s="9" t="s">
        <v>87</v>
      </c>
      <c r="G49" t="str">
        <f>_xlfn.XLOOKUP(FMECA[[#This Row],[HazardRisk_name]],categories[HazardRisk_Name],categories[HazardRisk])</f>
        <v>Risk</v>
      </c>
      <c r="H49" t="str">
        <f>_xlfn.XLOOKUP(FMECA[[#This Row],[HazardRisk_name]],categories[HazardRisk_Name],categories[Category])</f>
        <v>Pollutants</v>
      </c>
      <c r="I49" t="s">
        <v>627</v>
      </c>
      <c r="J49" s="10">
        <v>3</v>
      </c>
      <c r="K49" t="s">
        <v>1743</v>
      </c>
      <c r="L49" s="10">
        <v>10</v>
      </c>
      <c r="M49" t="s">
        <v>1743</v>
      </c>
      <c r="N49" s="10">
        <f>FMECA[[#This Row],[probability_value]]*FMECA[[#This Row],[consequence_value]]</f>
        <v>30</v>
      </c>
      <c r="O49" s="10" t="str">
        <f>IF(AND(FMECA[[#This Row],[Score]]&gt;=0, 9&gt;=FMECA[[#This Row],[Score]]), "UNDETECTABLE", IF(AND(FMECA[[#This Row],[Score]]&gt;=10, 24&gt;=FMECA[[#This Row],[Score]]), "MODERATE", IF(AND(FMECA[[#This Row],[Score]]&gt;=25, 35&gt;=FMECA[[#This Row],[Score]]), "HIGH", IF(AND(FMECA[[#This Row],[Score]]&gt;=36, 50&gt;=FMECA[[#This Row],[Score]]), "VERY HIGH", "Check Formula"))))</f>
        <v>HIGH</v>
      </c>
      <c r="P49" s="10" t="s">
        <v>777</v>
      </c>
      <c r="Q49" t="s">
        <v>778</v>
      </c>
      <c r="R49" t="s">
        <v>780</v>
      </c>
      <c r="S49" t="s">
        <v>1702</v>
      </c>
      <c r="AA49" t="s">
        <v>1162</v>
      </c>
    </row>
    <row r="50" spans="1:27" x14ac:dyDescent="0.2">
      <c r="A50" s="225" t="s">
        <v>50</v>
      </c>
      <c r="B50" t="s">
        <v>63</v>
      </c>
      <c r="C50" t="s">
        <v>73</v>
      </c>
      <c r="D50" t="s">
        <v>88</v>
      </c>
      <c r="E50" s="9" t="s">
        <v>86</v>
      </c>
      <c r="F50" s="9" t="s">
        <v>87</v>
      </c>
      <c r="G50" t="str">
        <f>_xlfn.XLOOKUP(FMECA[[#This Row],[HazardRisk_name]],categories[HazardRisk_Name],categories[HazardRisk])</f>
        <v>Risk</v>
      </c>
      <c r="H50" t="str">
        <f>_xlfn.XLOOKUP(FMECA[[#This Row],[HazardRisk_name]],categories[HazardRisk_Name],categories[Category])</f>
        <v>Political</v>
      </c>
      <c r="I50" t="s">
        <v>540</v>
      </c>
      <c r="J50" s="10">
        <v>3</v>
      </c>
      <c r="K50" t="s">
        <v>1742</v>
      </c>
      <c r="L50" s="10">
        <v>7</v>
      </c>
      <c r="M50" t="s">
        <v>1742</v>
      </c>
      <c r="N50" s="10">
        <f>FMECA[[#This Row],[probability_value]]*FMECA[[#This Row],[consequence_value]]</f>
        <v>21</v>
      </c>
      <c r="O5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0" s="10" t="s">
        <v>777</v>
      </c>
      <c r="Q50" t="s">
        <v>778</v>
      </c>
      <c r="R50" t="s">
        <v>780</v>
      </c>
      <c r="S50" t="s">
        <v>1702</v>
      </c>
      <c r="AA50" t="s">
        <v>1162</v>
      </c>
    </row>
    <row r="51" spans="1:27" x14ac:dyDescent="0.2">
      <c r="A51" s="225" t="s">
        <v>50</v>
      </c>
      <c r="B51" t="s">
        <v>63</v>
      </c>
      <c r="C51" t="s">
        <v>73</v>
      </c>
      <c r="D51" t="s">
        <v>88</v>
      </c>
      <c r="E51" s="9" t="s">
        <v>86</v>
      </c>
      <c r="F51" s="9" t="s">
        <v>87</v>
      </c>
      <c r="G51" t="str">
        <f>_xlfn.XLOOKUP(FMECA[[#This Row],[HazardRisk_name]],categories[HazardRisk_Name],categories[HazardRisk])</f>
        <v>Risk</v>
      </c>
      <c r="H51" t="str">
        <f>_xlfn.XLOOKUP(FMECA[[#This Row],[HazardRisk_name]],categories[HazardRisk_Name],categories[Category])</f>
        <v>Social</v>
      </c>
      <c r="I51" t="s">
        <v>569</v>
      </c>
      <c r="J51" s="10">
        <v>3</v>
      </c>
      <c r="K51" t="s">
        <v>1732</v>
      </c>
      <c r="L51" s="10">
        <v>7</v>
      </c>
      <c r="M51" t="s">
        <v>1732</v>
      </c>
      <c r="N51" s="10">
        <f>FMECA[[#This Row],[probability_value]]*FMECA[[#This Row],[consequence_value]]</f>
        <v>21</v>
      </c>
      <c r="O5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1" s="10" t="s">
        <v>777</v>
      </c>
      <c r="Q51" t="s">
        <v>778</v>
      </c>
      <c r="R51" t="s">
        <v>780</v>
      </c>
      <c r="S51" t="s">
        <v>1702</v>
      </c>
      <c r="AA51" t="s">
        <v>1162</v>
      </c>
    </row>
    <row r="52" spans="1:27" x14ac:dyDescent="0.2">
      <c r="A52" s="225" t="s">
        <v>50</v>
      </c>
      <c r="B52" t="s">
        <v>63</v>
      </c>
      <c r="C52" t="s">
        <v>73</v>
      </c>
      <c r="D52" t="s">
        <v>88</v>
      </c>
      <c r="E52" s="9" t="s">
        <v>86</v>
      </c>
      <c r="F52" s="9" t="s">
        <v>87</v>
      </c>
      <c r="G52" t="str">
        <f>_xlfn.XLOOKUP(FMECA[[#This Row],[HazardRisk_name]],categories[HazardRisk_Name],categories[HazardRisk])</f>
        <v>Risk</v>
      </c>
      <c r="H52" t="str">
        <f>_xlfn.XLOOKUP(FMECA[[#This Row],[HazardRisk_name]],categories[HazardRisk_Name],categories[Category])</f>
        <v>Economic</v>
      </c>
      <c r="I52" t="s">
        <v>1239</v>
      </c>
      <c r="J52" s="10">
        <v>5</v>
      </c>
      <c r="K52" t="s">
        <v>1736</v>
      </c>
      <c r="L52" s="10">
        <v>7</v>
      </c>
      <c r="M52" t="s">
        <v>1736</v>
      </c>
      <c r="N52" s="10">
        <f>FMECA[[#This Row],[probability_value]]*FMECA[[#This Row],[consequence_value]]</f>
        <v>35</v>
      </c>
      <c r="O52" s="10" t="str">
        <f>IF(AND(FMECA[[#This Row],[Score]]&gt;=0, 9&gt;=FMECA[[#This Row],[Score]]), "UNDETECTABLE", IF(AND(FMECA[[#This Row],[Score]]&gt;=10, 24&gt;=FMECA[[#This Row],[Score]]), "MODERATE", IF(AND(FMECA[[#This Row],[Score]]&gt;=25, 35&gt;=FMECA[[#This Row],[Score]]), "HIGH", IF(AND(FMECA[[#This Row],[Score]]&gt;=36, 50&gt;=FMECA[[#This Row],[Score]]), "VERY HIGH", "Check Formula"))))</f>
        <v>HIGH</v>
      </c>
      <c r="P52" s="10" t="s">
        <v>777</v>
      </c>
      <c r="Q52" t="s">
        <v>778</v>
      </c>
      <c r="R52" t="s">
        <v>780</v>
      </c>
      <c r="S52" t="s">
        <v>1702</v>
      </c>
      <c r="U52" t="s">
        <v>1737</v>
      </c>
      <c r="V52" t="s">
        <v>470</v>
      </c>
      <c r="W52" t="s">
        <v>1738</v>
      </c>
      <c r="X52" t="s">
        <v>470</v>
      </c>
      <c r="AA52" t="s">
        <v>1162</v>
      </c>
    </row>
    <row r="53" spans="1:27" x14ac:dyDescent="0.2">
      <c r="A53" s="225" t="s">
        <v>50</v>
      </c>
      <c r="B53" t="s">
        <v>63</v>
      </c>
      <c r="C53" t="s">
        <v>73</v>
      </c>
      <c r="D53" t="s">
        <v>88</v>
      </c>
      <c r="E53" s="9" t="s">
        <v>86</v>
      </c>
      <c r="F53" s="9" t="s">
        <v>87</v>
      </c>
      <c r="G53" t="str">
        <f>_xlfn.XLOOKUP(FMECA[[#This Row],[HazardRisk_name]],categories[HazardRisk_Name],categories[HazardRisk])</f>
        <v>Risk</v>
      </c>
      <c r="H53" t="str">
        <f>_xlfn.XLOOKUP(FMECA[[#This Row],[HazardRisk_name]],categories[HazardRisk_Name],categories[Category])</f>
        <v>Technological</v>
      </c>
      <c r="I53" t="s">
        <v>692</v>
      </c>
      <c r="J53" s="10">
        <v>4</v>
      </c>
      <c r="K53" t="s">
        <v>1733</v>
      </c>
      <c r="L53" s="10">
        <v>4</v>
      </c>
      <c r="M53" t="s">
        <v>1733</v>
      </c>
      <c r="N53" s="10">
        <f>FMECA[[#This Row],[probability_value]]*FMECA[[#This Row],[consequence_value]]</f>
        <v>16</v>
      </c>
      <c r="O5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3" s="10" t="s">
        <v>777</v>
      </c>
      <c r="Q53" t="s">
        <v>778</v>
      </c>
      <c r="R53" t="s">
        <v>780</v>
      </c>
      <c r="S53" t="s">
        <v>1702</v>
      </c>
      <c r="U53" t="s">
        <v>1735</v>
      </c>
      <c r="V53" t="s">
        <v>470</v>
      </c>
      <c r="W53" t="s">
        <v>1734</v>
      </c>
      <c r="X53" t="s">
        <v>466</v>
      </c>
      <c r="AA53" t="s">
        <v>1162</v>
      </c>
    </row>
    <row r="54" spans="1:27" x14ac:dyDescent="0.2">
      <c r="A54" s="225" t="s">
        <v>50</v>
      </c>
      <c r="B54" t="s">
        <v>63</v>
      </c>
      <c r="C54" t="s">
        <v>73</v>
      </c>
      <c r="D54" t="s">
        <v>88</v>
      </c>
      <c r="E54" s="9" t="s">
        <v>86</v>
      </c>
      <c r="F54" s="9" t="s">
        <v>87</v>
      </c>
      <c r="G54" t="str">
        <f>_xlfn.XLOOKUP(FMECA[[#This Row],[HazardRisk_name]],categories[HazardRisk_Name],categories[HazardRisk])</f>
        <v>Hazard</v>
      </c>
      <c r="H54" t="str">
        <f>_xlfn.XLOOKUP(FMECA[[#This Row],[HazardRisk_name]],categories[HazardRisk_Name],categories[Category])</f>
        <v>Sea Ice</v>
      </c>
      <c r="I54" t="s">
        <v>563</v>
      </c>
      <c r="J54" s="10">
        <v>4</v>
      </c>
      <c r="K54" t="s">
        <v>1718</v>
      </c>
      <c r="L54" s="10">
        <v>7</v>
      </c>
      <c r="M54" t="s">
        <v>1718</v>
      </c>
      <c r="N54" s="10">
        <f>FMECA[[#This Row],[probability_value]]*FMECA[[#This Row],[consequence_value]]</f>
        <v>28</v>
      </c>
      <c r="O54" s="10" t="str">
        <f>IF(AND(FMECA[[#This Row],[Score]]&gt;=0, 9&gt;=FMECA[[#This Row],[Score]]), "UNDETECTABLE", IF(AND(FMECA[[#This Row],[Score]]&gt;=10, 24&gt;=FMECA[[#This Row],[Score]]), "MODERATE", IF(AND(FMECA[[#This Row],[Score]]&gt;=25, 35&gt;=FMECA[[#This Row],[Score]]), "HIGH", IF(AND(FMECA[[#This Row],[Score]]&gt;=36, 50&gt;=FMECA[[#This Row],[Score]]), "VERY HIGH", "Check Formula"))))</f>
        <v>HIGH</v>
      </c>
      <c r="P54" s="10" t="s">
        <v>777</v>
      </c>
      <c r="Q54" t="s">
        <v>778</v>
      </c>
      <c r="R54" t="s">
        <v>780</v>
      </c>
      <c r="S54" t="s">
        <v>1702</v>
      </c>
      <c r="W54" t="s">
        <v>1719</v>
      </c>
      <c r="X54" t="s">
        <v>470</v>
      </c>
      <c r="AA54" t="s">
        <v>1162</v>
      </c>
    </row>
    <row r="55" spans="1:27" x14ac:dyDescent="0.2">
      <c r="A55" s="225" t="s">
        <v>50</v>
      </c>
      <c r="B55" t="s">
        <v>63</v>
      </c>
      <c r="C55" t="s">
        <v>73</v>
      </c>
      <c r="D55" t="s">
        <v>88</v>
      </c>
      <c r="E55" s="9" t="s">
        <v>86</v>
      </c>
      <c r="F55" s="9" t="s">
        <v>87</v>
      </c>
      <c r="G55" t="str">
        <f>_xlfn.XLOOKUP(FMECA[[#This Row],[HazardRisk_name]],categories[HazardRisk_Name],categories[HazardRisk])</f>
        <v>Risk</v>
      </c>
      <c r="H55" t="str">
        <f>_xlfn.XLOOKUP(FMECA[[#This Row],[HazardRisk_name]],categories[HazardRisk_Name],categories[Category])</f>
        <v>Political</v>
      </c>
      <c r="I55" t="s">
        <v>564</v>
      </c>
      <c r="J55" s="10">
        <v>3</v>
      </c>
      <c r="K55" t="s">
        <v>1732</v>
      </c>
      <c r="L55" s="10">
        <v>7</v>
      </c>
      <c r="M55" t="s">
        <v>1732</v>
      </c>
      <c r="N55" s="10">
        <f>FMECA[[#This Row],[probability_value]]*FMECA[[#This Row],[consequence_value]]</f>
        <v>21</v>
      </c>
      <c r="O5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5" s="10" t="s">
        <v>777</v>
      </c>
      <c r="Q55" t="s">
        <v>778</v>
      </c>
      <c r="R55" t="s">
        <v>780</v>
      </c>
      <c r="S55" t="s">
        <v>1702</v>
      </c>
      <c r="AA55" t="s">
        <v>1162</v>
      </c>
    </row>
    <row r="56" spans="1:27" x14ac:dyDescent="0.2">
      <c r="A56" s="225" t="s">
        <v>50</v>
      </c>
      <c r="B56" t="s">
        <v>63</v>
      </c>
      <c r="C56" t="s">
        <v>73</v>
      </c>
      <c r="D56" t="s">
        <v>88</v>
      </c>
      <c r="E56" s="9" t="s">
        <v>86</v>
      </c>
      <c r="F56" s="9" t="s">
        <v>87</v>
      </c>
      <c r="G56" t="str">
        <f>_xlfn.XLOOKUP(FMECA[[#This Row],[HazardRisk_name]],categories[HazardRisk_Name],categories[HazardRisk])</f>
        <v>Risk</v>
      </c>
      <c r="H56" t="str">
        <f>_xlfn.XLOOKUP(FMECA[[#This Row],[HazardRisk_name]],categories[HazardRisk_Name],categories[Category])</f>
        <v>Community</v>
      </c>
      <c r="I56" t="s">
        <v>728</v>
      </c>
      <c r="J56" s="10">
        <v>5</v>
      </c>
      <c r="K56" t="s">
        <v>1728</v>
      </c>
      <c r="L56" s="10">
        <v>4</v>
      </c>
      <c r="M56" t="s">
        <v>1728</v>
      </c>
      <c r="N56" s="10">
        <f>FMECA[[#This Row],[probability_value]]*FMECA[[#This Row],[consequence_value]]</f>
        <v>20</v>
      </c>
      <c r="O5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6" s="10" t="s">
        <v>777</v>
      </c>
      <c r="Q56" t="s">
        <v>778</v>
      </c>
      <c r="R56" t="s">
        <v>780</v>
      </c>
      <c r="S56" t="s">
        <v>1702</v>
      </c>
      <c r="U56" t="s">
        <v>1730</v>
      </c>
      <c r="V56" t="s">
        <v>470</v>
      </c>
      <c r="W56" t="s">
        <v>1731</v>
      </c>
      <c r="X56" t="s">
        <v>470</v>
      </c>
      <c r="Y56" t="s">
        <v>1285</v>
      </c>
      <c r="Z56" t="s">
        <v>1729</v>
      </c>
      <c r="AA56" t="s">
        <v>1132</v>
      </c>
    </row>
    <row r="57" spans="1:27" x14ac:dyDescent="0.2">
      <c r="A57" s="225" t="s">
        <v>50</v>
      </c>
      <c r="B57" t="s">
        <v>63</v>
      </c>
      <c r="C57" t="s">
        <v>73</v>
      </c>
      <c r="D57" t="s">
        <v>88</v>
      </c>
      <c r="E57" s="9" t="s">
        <v>86</v>
      </c>
      <c r="F57" s="9" t="s">
        <v>87</v>
      </c>
      <c r="G57" t="str">
        <f>_xlfn.XLOOKUP(FMECA[[#This Row],[HazardRisk_name]],categories[HazardRisk_Name],categories[HazardRisk])</f>
        <v>Risk</v>
      </c>
      <c r="H57" t="str">
        <f>_xlfn.XLOOKUP(FMECA[[#This Row],[HazardRisk_name]],categories[HazardRisk_Name],categories[Category])</f>
        <v>Environmental</v>
      </c>
      <c r="I57" t="s">
        <v>567</v>
      </c>
      <c r="J57" s="10">
        <v>3</v>
      </c>
      <c r="K57" t="s">
        <v>1723</v>
      </c>
      <c r="L57" s="10">
        <v>4</v>
      </c>
      <c r="M57" t="s">
        <v>1723</v>
      </c>
      <c r="N57" s="10">
        <f>FMECA[[#This Row],[probability_value]]*FMECA[[#This Row],[consequence_value]]</f>
        <v>12</v>
      </c>
      <c r="O5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7" s="10" t="s">
        <v>777</v>
      </c>
      <c r="Q57" t="s">
        <v>778</v>
      </c>
      <c r="R57" t="s">
        <v>780</v>
      </c>
      <c r="S57" t="s">
        <v>1702</v>
      </c>
      <c r="U57" t="s">
        <v>1725</v>
      </c>
      <c r="V57" t="s">
        <v>470</v>
      </c>
      <c r="W57" t="s">
        <v>1726</v>
      </c>
      <c r="X57" t="s">
        <v>470</v>
      </c>
      <c r="Y57" t="s">
        <v>1153</v>
      </c>
      <c r="Z57" t="s">
        <v>1724</v>
      </c>
      <c r="AA57" t="s">
        <v>1132</v>
      </c>
    </row>
    <row r="58" spans="1:27" x14ac:dyDescent="0.2">
      <c r="A58" s="225" t="s">
        <v>50</v>
      </c>
      <c r="B58" t="s">
        <v>63</v>
      </c>
      <c r="C58" t="s">
        <v>73</v>
      </c>
      <c r="D58" t="s">
        <v>88</v>
      </c>
      <c r="E58" s="9" t="s">
        <v>86</v>
      </c>
      <c r="F58" s="9" t="s">
        <v>87</v>
      </c>
      <c r="G58" t="str">
        <f>_xlfn.XLOOKUP(FMECA[[#This Row],[HazardRisk_name]],categories[HazardRisk_Name],categories[HazardRisk])</f>
        <v>Risk</v>
      </c>
      <c r="H58" t="str">
        <f>_xlfn.XLOOKUP(FMECA[[#This Row],[HazardRisk_name]],categories[HazardRisk_Name],categories[Category])</f>
        <v>Community</v>
      </c>
      <c r="I58" t="s">
        <v>562</v>
      </c>
      <c r="J58" s="10">
        <v>5</v>
      </c>
      <c r="K58" t="s">
        <v>1723</v>
      </c>
      <c r="L58" s="10">
        <v>7</v>
      </c>
      <c r="M58" t="s">
        <v>1723</v>
      </c>
      <c r="N58" s="10">
        <f>FMECA[[#This Row],[probability_value]]*FMECA[[#This Row],[consequence_value]]</f>
        <v>35</v>
      </c>
      <c r="O58" s="10" t="str">
        <f>IF(AND(FMECA[[#This Row],[Score]]&gt;=0, 9&gt;=FMECA[[#This Row],[Score]]), "UNDETECTABLE", IF(AND(FMECA[[#This Row],[Score]]&gt;=10, 24&gt;=FMECA[[#This Row],[Score]]), "MODERATE", IF(AND(FMECA[[#This Row],[Score]]&gt;=25, 35&gt;=FMECA[[#This Row],[Score]]), "HIGH", IF(AND(FMECA[[#This Row],[Score]]&gt;=36, 50&gt;=FMECA[[#This Row],[Score]]), "VERY HIGH", "Check Formula"))))</f>
        <v>HIGH</v>
      </c>
      <c r="P58" s="10" t="s">
        <v>777</v>
      </c>
      <c r="Q58" t="s">
        <v>778</v>
      </c>
      <c r="R58" t="s">
        <v>780</v>
      </c>
      <c r="S58" t="s">
        <v>1702</v>
      </c>
      <c r="U58" t="s">
        <v>1725</v>
      </c>
      <c r="V58" t="s">
        <v>470</v>
      </c>
      <c r="W58" t="s">
        <v>1727</v>
      </c>
      <c r="X58" t="s">
        <v>470</v>
      </c>
      <c r="Y58" t="s">
        <v>1153</v>
      </c>
      <c r="Z58" t="s">
        <v>1724</v>
      </c>
      <c r="AA58" t="s">
        <v>1132</v>
      </c>
    </row>
    <row r="59" spans="1:27" x14ac:dyDescent="0.2">
      <c r="A59" s="225" t="s">
        <v>51</v>
      </c>
      <c r="B59" t="s">
        <v>63</v>
      </c>
      <c r="C59" t="s">
        <v>73</v>
      </c>
      <c r="D59" t="s">
        <v>95</v>
      </c>
      <c r="E59" t="s">
        <v>89</v>
      </c>
      <c r="F59" s="226" t="s">
        <v>90</v>
      </c>
      <c r="G59" t="str">
        <f>_xlfn.XLOOKUP(FMECA[[#This Row],[HazardRisk_name]],categories[HazardRisk_Name],categories[HazardRisk])</f>
        <v>Hazard</v>
      </c>
      <c r="H59" t="str">
        <f>_xlfn.XLOOKUP(FMECA[[#This Row],[HazardRisk_name]],categories[HazardRisk_Name],categories[Category])</f>
        <v>Pollutants</v>
      </c>
      <c r="I59" t="s">
        <v>568</v>
      </c>
      <c r="J59" s="10">
        <v>4</v>
      </c>
      <c r="K59" t="s">
        <v>1691</v>
      </c>
      <c r="L59" s="10">
        <v>10</v>
      </c>
      <c r="M59" t="s">
        <v>1691</v>
      </c>
      <c r="N59" s="10">
        <f>FMECA[[#This Row],[probability_value]]*FMECA[[#This Row],[consequence_value]]</f>
        <v>40</v>
      </c>
      <c r="O59"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9" s="10" t="s">
        <v>777</v>
      </c>
      <c r="Q59" t="s">
        <v>778</v>
      </c>
      <c r="R59" t="s">
        <v>780</v>
      </c>
      <c r="S59" t="s">
        <v>1162</v>
      </c>
      <c r="T59" t="s">
        <v>1132</v>
      </c>
      <c r="U59" t="s">
        <v>1692</v>
      </c>
      <c r="V59" t="s">
        <v>449</v>
      </c>
      <c r="W59" t="s">
        <v>1693</v>
      </c>
      <c r="X59" t="s">
        <v>466</v>
      </c>
      <c r="AA59" t="s">
        <v>1162</v>
      </c>
    </row>
    <row r="60" spans="1:27" x14ac:dyDescent="0.2">
      <c r="A60" s="225" t="s">
        <v>51</v>
      </c>
      <c r="B60" t="s">
        <v>63</v>
      </c>
      <c r="C60" t="s">
        <v>73</v>
      </c>
      <c r="D60" t="s">
        <v>95</v>
      </c>
      <c r="E60" t="s">
        <v>89</v>
      </c>
      <c r="F60" s="226" t="s">
        <v>90</v>
      </c>
      <c r="G60" t="str">
        <f>_xlfn.XLOOKUP(FMECA[[#This Row],[HazardRisk_name]],categories[HazardRisk_Name],categories[HazardRisk])</f>
        <v>Risk</v>
      </c>
      <c r="H60" t="str">
        <f>_xlfn.XLOOKUP(FMECA[[#This Row],[HazardRisk_name]],categories[HazardRisk_Name],categories[Category])</f>
        <v>Environmental</v>
      </c>
      <c r="I60" t="s">
        <v>625</v>
      </c>
      <c r="J60" s="10">
        <v>4</v>
      </c>
      <c r="K60" t="s">
        <v>1694</v>
      </c>
      <c r="L60" s="10">
        <v>7</v>
      </c>
      <c r="M60" t="s">
        <v>1694</v>
      </c>
      <c r="N60" s="10">
        <f>FMECA[[#This Row],[probability_value]]*FMECA[[#This Row],[consequence_value]]</f>
        <v>28</v>
      </c>
      <c r="O60" s="10" t="str">
        <f>IF(AND(FMECA[[#This Row],[Score]]&gt;=0, 9&gt;=FMECA[[#This Row],[Score]]), "UNDETECTABLE", IF(AND(FMECA[[#This Row],[Score]]&gt;=10, 24&gt;=FMECA[[#This Row],[Score]]), "MODERATE", IF(AND(FMECA[[#This Row],[Score]]&gt;=25, 35&gt;=FMECA[[#This Row],[Score]]), "HIGH", IF(AND(FMECA[[#This Row],[Score]]&gt;=36, 50&gt;=FMECA[[#This Row],[Score]]), "VERY HIGH", "Check Formula"))))</f>
        <v>HIGH</v>
      </c>
      <c r="P60" s="10" t="s">
        <v>777</v>
      </c>
      <c r="Q60" t="s">
        <v>778</v>
      </c>
      <c r="R60" t="s">
        <v>780</v>
      </c>
      <c r="S60" t="s">
        <v>1162</v>
      </c>
      <c r="T60" t="s">
        <v>1132</v>
      </c>
      <c r="AA60" t="s">
        <v>1162</v>
      </c>
    </row>
    <row r="61" spans="1:27" x14ac:dyDescent="0.2">
      <c r="A61" s="225" t="s">
        <v>51</v>
      </c>
      <c r="B61" t="s">
        <v>63</v>
      </c>
      <c r="C61" t="s">
        <v>73</v>
      </c>
      <c r="D61" t="s">
        <v>95</v>
      </c>
      <c r="E61" t="s">
        <v>89</v>
      </c>
      <c r="F61" s="226" t="s">
        <v>90</v>
      </c>
      <c r="G61" t="str">
        <f>_xlfn.XLOOKUP(FMECA[[#This Row],[HazardRisk_name]],categories[HazardRisk_Name],categories[HazardRisk])</f>
        <v>Hazard</v>
      </c>
      <c r="H61" t="str">
        <f>_xlfn.XLOOKUP(FMECA[[#This Row],[HazardRisk_name]],categories[HazardRisk_Name],categories[Category])</f>
        <v>Operational</v>
      </c>
      <c r="I61" t="s">
        <v>1533</v>
      </c>
      <c r="J61" s="10">
        <v>5</v>
      </c>
      <c r="K61" t="s">
        <v>1695</v>
      </c>
      <c r="L61" s="10">
        <v>10</v>
      </c>
      <c r="M61" t="s">
        <v>1695</v>
      </c>
      <c r="N61" s="10">
        <f>FMECA[[#This Row],[probability_value]]*FMECA[[#This Row],[consequence_value]]</f>
        <v>50</v>
      </c>
      <c r="O61"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61" s="10" t="s">
        <v>777</v>
      </c>
      <c r="Q61" t="s">
        <v>778</v>
      </c>
      <c r="R61" t="s">
        <v>780</v>
      </c>
      <c r="S61" t="s">
        <v>1162</v>
      </c>
      <c r="T61" t="s">
        <v>1132</v>
      </c>
      <c r="AA61" t="s">
        <v>1162</v>
      </c>
    </row>
    <row r="62" spans="1:27" x14ac:dyDescent="0.2">
      <c r="A62" s="225" t="s">
        <v>51</v>
      </c>
      <c r="B62" t="s">
        <v>63</v>
      </c>
      <c r="C62" t="s">
        <v>73</v>
      </c>
      <c r="D62" t="s">
        <v>95</v>
      </c>
      <c r="E62" t="s">
        <v>89</v>
      </c>
      <c r="F62" s="226" t="s">
        <v>90</v>
      </c>
      <c r="G62" t="str">
        <f>_xlfn.XLOOKUP(FMECA[[#This Row],[HazardRisk_name]],categories[HazardRisk_Name],categories[HazardRisk])</f>
        <v>Hazard</v>
      </c>
      <c r="H62" t="str">
        <f>_xlfn.XLOOKUP(FMECA[[#This Row],[HazardRisk_name]],categories[HazardRisk_Name],categories[Category])</f>
        <v>Pollutants</v>
      </c>
      <c r="I62" t="s">
        <v>630</v>
      </c>
      <c r="J62" s="10">
        <v>5</v>
      </c>
      <c r="K62" t="s">
        <v>1695</v>
      </c>
      <c r="L62" s="10">
        <v>10</v>
      </c>
      <c r="M62" t="s">
        <v>1695</v>
      </c>
      <c r="N62" s="10">
        <f>FMECA[[#This Row],[probability_value]]*FMECA[[#This Row],[consequence_value]]</f>
        <v>50</v>
      </c>
      <c r="O62"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62" s="10" t="s">
        <v>777</v>
      </c>
      <c r="Q62" t="s">
        <v>778</v>
      </c>
      <c r="R62" t="s">
        <v>780</v>
      </c>
      <c r="S62" t="s">
        <v>1162</v>
      </c>
      <c r="T62" t="s">
        <v>1132</v>
      </c>
      <c r="W62" t="s">
        <v>1700</v>
      </c>
      <c r="X62" t="s">
        <v>470</v>
      </c>
      <c r="AA62" t="s">
        <v>1162</v>
      </c>
    </row>
    <row r="63" spans="1:27" x14ac:dyDescent="0.2">
      <c r="A63" s="225" t="s">
        <v>51</v>
      </c>
      <c r="B63" t="s">
        <v>63</v>
      </c>
      <c r="C63" t="s">
        <v>73</v>
      </c>
      <c r="D63" t="s">
        <v>95</v>
      </c>
      <c r="E63" t="s">
        <v>89</v>
      </c>
      <c r="F63" s="226" t="s">
        <v>90</v>
      </c>
      <c r="G63" t="str">
        <f>_xlfn.XLOOKUP(FMECA[[#This Row],[HazardRisk_name]],categories[HazardRisk_Name],categories[HazardRisk])</f>
        <v>Risk</v>
      </c>
      <c r="H63" t="str">
        <f>_xlfn.XLOOKUP(FMECA[[#This Row],[HazardRisk_name]],categories[HazardRisk_Name],categories[Category])</f>
        <v>Operational</v>
      </c>
      <c r="I63" t="s">
        <v>725</v>
      </c>
      <c r="J63" s="10">
        <v>4</v>
      </c>
      <c r="K63" t="s">
        <v>1696</v>
      </c>
      <c r="L63" s="10">
        <v>4</v>
      </c>
      <c r="M63" t="s">
        <v>1696</v>
      </c>
      <c r="N63" s="10">
        <f>FMECA[[#This Row],[probability_value]]*FMECA[[#This Row],[consequence_value]]</f>
        <v>16</v>
      </c>
      <c r="O6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3" s="10" t="s">
        <v>777</v>
      </c>
      <c r="Q63" t="s">
        <v>778</v>
      </c>
      <c r="R63" t="s">
        <v>780</v>
      </c>
      <c r="S63" t="s">
        <v>1162</v>
      </c>
      <c r="T63" t="s">
        <v>1132</v>
      </c>
      <c r="W63" t="s">
        <v>1697</v>
      </c>
      <c r="X63" t="s">
        <v>449</v>
      </c>
      <c r="AA63" t="s">
        <v>1162</v>
      </c>
    </row>
    <row r="64" spans="1:27" x14ac:dyDescent="0.2">
      <c r="A64" s="225" t="s">
        <v>51</v>
      </c>
      <c r="B64" t="s">
        <v>63</v>
      </c>
      <c r="C64" t="s">
        <v>73</v>
      </c>
      <c r="D64" t="s">
        <v>95</v>
      </c>
      <c r="E64" t="s">
        <v>89</v>
      </c>
      <c r="F64" s="226" t="s">
        <v>90</v>
      </c>
      <c r="G64" t="str">
        <f>_xlfn.XLOOKUP(FMECA[[#This Row],[HazardRisk_name]],categories[HazardRisk_Name],categories[HazardRisk])</f>
        <v>Risk</v>
      </c>
      <c r="H64" t="str">
        <f>_xlfn.XLOOKUP(FMECA[[#This Row],[HazardRisk_name]],categories[HazardRisk_Name],categories[Category])</f>
        <v>Political</v>
      </c>
      <c r="I64" t="s">
        <v>540</v>
      </c>
      <c r="J64" s="10">
        <v>3</v>
      </c>
      <c r="K64" t="s">
        <v>1698</v>
      </c>
      <c r="L64" s="10">
        <v>4</v>
      </c>
      <c r="M64" t="s">
        <v>1698</v>
      </c>
      <c r="N64" s="10">
        <f>FMECA[[#This Row],[probability_value]]*FMECA[[#This Row],[consequence_value]]</f>
        <v>12</v>
      </c>
      <c r="O6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4" s="10" t="s">
        <v>777</v>
      </c>
      <c r="Q64" t="s">
        <v>778</v>
      </c>
      <c r="R64" t="s">
        <v>780</v>
      </c>
      <c r="S64" t="s">
        <v>1162</v>
      </c>
      <c r="T64" t="s">
        <v>1132</v>
      </c>
      <c r="W64" t="s">
        <v>1700</v>
      </c>
      <c r="X64" t="s">
        <v>470</v>
      </c>
      <c r="AA64" t="s">
        <v>1162</v>
      </c>
    </row>
    <row r="65" spans="1:27" x14ac:dyDescent="0.2">
      <c r="A65" s="225" t="s">
        <v>51</v>
      </c>
      <c r="B65" t="s">
        <v>63</v>
      </c>
      <c r="C65" t="s">
        <v>73</v>
      </c>
      <c r="D65" t="s">
        <v>95</v>
      </c>
      <c r="E65" t="s">
        <v>89</v>
      </c>
      <c r="F65" s="226" t="s">
        <v>90</v>
      </c>
      <c r="G65" t="str">
        <f>_xlfn.XLOOKUP(FMECA[[#This Row],[HazardRisk_name]],categories[HazardRisk_Name],categories[HazardRisk])</f>
        <v>Risk</v>
      </c>
      <c r="H65" t="str">
        <f>_xlfn.XLOOKUP(FMECA[[#This Row],[HazardRisk_name]],categories[HazardRisk_Name],categories[Category])</f>
        <v>Social</v>
      </c>
      <c r="I65" t="s">
        <v>569</v>
      </c>
      <c r="J65" s="10">
        <v>4</v>
      </c>
      <c r="K65" t="s">
        <v>1699</v>
      </c>
      <c r="L65" s="10">
        <v>4</v>
      </c>
      <c r="M65" t="s">
        <v>1699</v>
      </c>
      <c r="N65" s="10">
        <f>FMECA[[#This Row],[probability_value]]*FMECA[[#This Row],[consequence_value]]</f>
        <v>16</v>
      </c>
      <c r="O6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5" s="10" t="s">
        <v>777</v>
      </c>
      <c r="Q65" t="s">
        <v>778</v>
      </c>
      <c r="R65" t="s">
        <v>780</v>
      </c>
      <c r="S65" t="s">
        <v>1162</v>
      </c>
      <c r="T65" t="s">
        <v>1132</v>
      </c>
      <c r="W65" t="s">
        <v>1700</v>
      </c>
      <c r="X65" t="s">
        <v>470</v>
      </c>
      <c r="AA65" t="s">
        <v>1162</v>
      </c>
    </row>
    <row r="66" spans="1:27" x14ac:dyDescent="0.2">
      <c r="A66" s="225" t="s">
        <v>51</v>
      </c>
      <c r="B66" t="s">
        <v>63</v>
      </c>
      <c r="C66" t="s">
        <v>73</v>
      </c>
      <c r="D66" t="s">
        <v>95</v>
      </c>
      <c r="E66" t="s">
        <v>89</v>
      </c>
      <c r="F66" s="226" t="s">
        <v>90</v>
      </c>
      <c r="G66" t="str">
        <f>_xlfn.XLOOKUP(FMECA[[#This Row],[HazardRisk_name]],categories[HazardRisk_Name],categories[HazardRisk])</f>
        <v>Risk</v>
      </c>
      <c r="H66" t="str">
        <f>_xlfn.XLOOKUP(FMECA[[#This Row],[HazardRisk_name]],categories[HazardRisk_Name],categories[Category])</f>
        <v>Navigational</v>
      </c>
      <c r="I66" t="s">
        <v>474</v>
      </c>
      <c r="J66" s="10">
        <v>4</v>
      </c>
      <c r="K66" t="s">
        <v>1699</v>
      </c>
      <c r="L66" s="10">
        <v>1</v>
      </c>
      <c r="M66" t="s">
        <v>1699</v>
      </c>
      <c r="N66" s="10">
        <f>FMECA[[#This Row],[probability_value]]*FMECA[[#This Row],[consequence_value]]</f>
        <v>4</v>
      </c>
      <c r="O66"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66" s="10" t="s">
        <v>777</v>
      </c>
      <c r="Q66" t="s">
        <v>778</v>
      </c>
      <c r="R66" t="s">
        <v>780</v>
      </c>
      <c r="S66" t="s">
        <v>1162</v>
      </c>
      <c r="T66" t="s">
        <v>1132</v>
      </c>
      <c r="W66" t="s">
        <v>1700</v>
      </c>
      <c r="X66" t="s">
        <v>470</v>
      </c>
      <c r="AA66" t="s">
        <v>1162</v>
      </c>
    </row>
    <row r="67" spans="1:27" x14ac:dyDescent="0.2">
      <c r="A67" s="225" t="s">
        <v>51</v>
      </c>
      <c r="B67" t="s">
        <v>63</v>
      </c>
      <c r="C67" t="s">
        <v>73</v>
      </c>
      <c r="D67" t="s">
        <v>95</v>
      </c>
      <c r="E67" t="s">
        <v>89</v>
      </c>
      <c r="F67" s="226" t="s">
        <v>90</v>
      </c>
      <c r="G67" t="str">
        <f>_xlfn.XLOOKUP(FMECA[[#This Row],[HazardRisk_name]],categories[HazardRisk_Name],categories[HazardRisk])</f>
        <v>Hazard</v>
      </c>
      <c r="H67" t="str">
        <f>_xlfn.XLOOKUP(FMECA[[#This Row],[HazardRisk_name]],categories[HazardRisk_Name],categories[Category])</f>
        <v>Sea Ice</v>
      </c>
      <c r="I67" t="s">
        <v>563</v>
      </c>
      <c r="J67" s="10">
        <v>4</v>
      </c>
      <c r="K67" t="s">
        <v>1732</v>
      </c>
      <c r="L67" s="10">
        <v>7</v>
      </c>
      <c r="M67" t="s">
        <v>1732</v>
      </c>
      <c r="N67" s="10">
        <f>FMECA[[#This Row],[probability_value]]*FMECA[[#This Row],[consequence_value]]</f>
        <v>28</v>
      </c>
      <c r="O67" s="10" t="str">
        <f>IF(AND(FMECA[[#This Row],[Score]]&gt;=0, 9&gt;=FMECA[[#This Row],[Score]]), "UNDETECTABLE", IF(AND(FMECA[[#This Row],[Score]]&gt;=10, 24&gt;=FMECA[[#This Row],[Score]]), "MODERATE", IF(AND(FMECA[[#This Row],[Score]]&gt;=25, 35&gt;=FMECA[[#This Row],[Score]]), "HIGH", IF(AND(FMECA[[#This Row],[Score]]&gt;=36, 50&gt;=FMECA[[#This Row],[Score]]), "VERY HIGH", "Check Formula"))))</f>
        <v>HIGH</v>
      </c>
      <c r="P67" s="10" t="s">
        <v>777</v>
      </c>
      <c r="Q67" t="s">
        <v>778</v>
      </c>
      <c r="R67" t="s">
        <v>780</v>
      </c>
      <c r="S67" t="s">
        <v>1162</v>
      </c>
      <c r="T67" t="s">
        <v>1132</v>
      </c>
      <c r="AA67" t="s">
        <v>1162</v>
      </c>
    </row>
    <row r="68" spans="1:27" x14ac:dyDescent="0.2">
      <c r="A68" s="225" t="s">
        <v>52</v>
      </c>
      <c r="B68" t="s">
        <v>63</v>
      </c>
      <c r="C68" t="s">
        <v>73</v>
      </c>
      <c r="D68" t="s">
        <v>96</v>
      </c>
      <c r="E68" t="s">
        <v>91</v>
      </c>
      <c r="F68" s="226" t="s">
        <v>92</v>
      </c>
      <c r="G68" t="str">
        <f>_xlfn.XLOOKUP(FMECA[[#This Row],[HazardRisk_name]],categories[HazardRisk_Name],categories[HazardRisk])</f>
        <v>Risk</v>
      </c>
      <c r="H68" t="str">
        <f>_xlfn.XLOOKUP(FMECA[[#This Row],[HazardRisk_name]],categories[HazardRisk_Name],categories[Category])</f>
        <v>Navigational</v>
      </c>
      <c r="I68" t="s">
        <v>474</v>
      </c>
      <c r="J68" s="10">
        <v>4</v>
      </c>
      <c r="K68" t="s">
        <v>1687</v>
      </c>
      <c r="L68" s="10">
        <v>7</v>
      </c>
      <c r="M68" t="s">
        <v>1687</v>
      </c>
      <c r="N68" s="10">
        <f>FMECA[[#This Row],[probability_value]]*FMECA[[#This Row],[consequence_value]]</f>
        <v>28</v>
      </c>
      <c r="O68" s="10" t="str">
        <f>IF(AND(FMECA[[#This Row],[Score]]&gt;=0, 9&gt;=FMECA[[#This Row],[Score]]), "UNDETECTABLE", IF(AND(FMECA[[#This Row],[Score]]&gt;=10, 24&gt;=FMECA[[#This Row],[Score]]), "MODERATE", IF(AND(FMECA[[#This Row],[Score]]&gt;=25, 35&gt;=FMECA[[#This Row],[Score]]), "HIGH", IF(AND(FMECA[[#This Row],[Score]]&gt;=36, 50&gt;=FMECA[[#This Row],[Score]]), "VERY HIGH", "Check Formula"))))</f>
        <v>HIGH</v>
      </c>
      <c r="P68" s="10" t="s">
        <v>767</v>
      </c>
      <c r="Q68" t="s">
        <v>1132</v>
      </c>
      <c r="R68" t="s">
        <v>780</v>
      </c>
      <c r="S68" t="s">
        <v>1677</v>
      </c>
      <c r="T68" t="s">
        <v>793</v>
      </c>
      <c r="U68" t="s">
        <v>1679</v>
      </c>
      <c r="V68" t="s">
        <v>449</v>
      </c>
      <c r="W68" t="s">
        <v>1680</v>
      </c>
      <c r="X68" t="s">
        <v>466</v>
      </c>
      <c r="AA68" t="s">
        <v>1162</v>
      </c>
    </row>
    <row r="69" spans="1:27" x14ac:dyDescent="0.2">
      <c r="A69" s="225" t="s">
        <v>52</v>
      </c>
      <c r="B69" t="s">
        <v>63</v>
      </c>
      <c r="C69" t="s">
        <v>73</v>
      </c>
      <c r="D69" t="s">
        <v>96</v>
      </c>
      <c r="E69" t="s">
        <v>91</v>
      </c>
      <c r="F69" s="226" t="s">
        <v>92</v>
      </c>
      <c r="G69" t="str">
        <f>_xlfn.XLOOKUP(FMECA[[#This Row],[HazardRisk_name]],categories[HazardRisk_Name],categories[HazardRisk])</f>
        <v>Risk</v>
      </c>
      <c r="H69" t="str">
        <f>_xlfn.XLOOKUP(FMECA[[#This Row],[HazardRisk_name]],categories[HazardRisk_Name],categories[Category])</f>
        <v>Pollutants</v>
      </c>
      <c r="I69" t="s">
        <v>640</v>
      </c>
      <c r="J69" s="10">
        <v>4</v>
      </c>
      <c r="K69" t="s">
        <v>1681</v>
      </c>
      <c r="L69" s="10">
        <v>10</v>
      </c>
      <c r="M69" t="s">
        <v>1681</v>
      </c>
      <c r="N69" s="10">
        <f>FMECA[[#This Row],[probability_value]]*FMECA[[#This Row],[consequence_value]]</f>
        <v>40</v>
      </c>
      <c r="O69"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69" s="10" t="s">
        <v>767</v>
      </c>
      <c r="Q69" t="s">
        <v>1132</v>
      </c>
      <c r="R69" t="s">
        <v>780</v>
      </c>
      <c r="S69" t="s">
        <v>1677</v>
      </c>
      <c r="T69" t="s">
        <v>793</v>
      </c>
      <c r="U69" t="s">
        <v>1682</v>
      </c>
      <c r="V69" t="s">
        <v>466</v>
      </c>
      <c r="W69" t="s">
        <v>1683</v>
      </c>
      <c r="X69" t="s">
        <v>466</v>
      </c>
      <c r="AA69" t="s">
        <v>1162</v>
      </c>
    </row>
    <row r="70" spans="1:27" x14ac:dyDescent="0.2">
      <c r="A70" s="225" t="s">
        <v>52</v>
      </c>
      <c r="B70" t="s">
        <v>63</v>
      </c>
      <c r="C70" t="s">
        <v>73</v>
      </c>
      <c r="D70" t="s">
        <v>96</v>
      </c>
      <c r="E70" t="s">
        <v>91</v>
      </c>
      <c r="F70" s="226" t="s">
        <v>92</v>
      </c>
      <c r="G70" t="str">
        <f>_xlfn.XLOOKUP(FMECA[[#This Row],[HazardRisk_name]],categories[HazardRisk_Name],categories[HazardRisk])</f>
        <v>Risk</v>
      </c>
      <c r="H70" t="str">
        <f>_xlfn.XLOOKUP(FMECA[[#This Row],[HazardRisk_name]],categories[HazardRisk_Name],categories[Category])</f>
        <v>Assessment</v>
      </c>
      <c r="I70" t="s">
        <v>667</v>
      </c>
      <c r="J70" s="10">
        <v>3</v>
      </c>
      <c r="K70" t="s">
        <v>1684</v>
      </c>
      <c r="L70" s="10">
        <v>4</v>
      </c>
      <c r="M70" t="s">
        <v>1684</v>
      </c>
      <c r="N70" s="10">
        <f>FMECA[[#This Row],[probability_value]]*FMECA[[#This Row],[consequence_value]]</f>
        <v>12</v>
      </c>
      <c r="O7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0" s="10" t="s">
        <v>767</v>
      </c>
      <c r="Q70" t="s">
        <v>1132</v>
      </c>
      <c r="R70" t="s">
        <v>780</v>
      </c>
      <c r="S70" t="s">
        <v>1677</v>
      </c>
      <c r="T70" t="s">
        <v>793</v>
      </c>
      <c r="U70" t="s">
        <v>1685</v>
      </c>
      <c r="V70" t="s">
        <v>449</v>
      </c>
      <c r="W70" t="s">
        <v>1686</v>
      </c>
      <c r="X70" t="s">
        <v>449</v>
      </c>
      <c r="AA70" t="s">
        <v>1162</v>
      </c>
    </row>
    <row r="71" spans="1:27" x14ac:dyDescent="0.2">
      <c r="A71" s="225" t="s">
        <v>52</v>
      </c>
      <c r="B71" t="s">
        <v>63</v>
      </c>
      <c r="C71" t="s">
        <v>73</v>
      </c>
      <c r="D71" t="s">
        <v>96</v>
      </c>
      <c r="E71" t="s">
        <v>91</v>
      </c>
      <c r="F71" s="226" t="s">
        <v>92</v>
      </c>
      <c r="G71" t="str">
        <f>_xlfn.XLOOKUP(FMECA[[#This Row],[HazardRisk_name]],categories[HazardRisk_Name],categories[HazardRisk])</f>
        <v>Risk</v>
      </c>
      <c r="H71" t="str">
        <f>_xlfn.XLOOKUP(FMECA[[#This Row],[HazardRisk_name]],categories[HazardRisk_Name],categories[Category])</f>
        <v>Pollutants</v>
      </c>
      <c r="I71" t="s">
        <v>547</v>
      </c>
      <c r="J71" s="10">
        <v>4</v>
      </c>
      <c r="K71" t="s">
        <v>1688</v>
      </c>
      <c r="L71" s="10">
        <v>10</v>
      </c>
      <c r="M71" t="s">
        <v>1688</v>
      </c>
      <c r="N71" s="10">
        <f>FMECA[[#This Row],[probability_value]]*FMECA[[#This Row],[consequence_value]]</f>
        <v>40</v>
      </c>
      <c r="O71"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71" s="10" t="s">
        <v>767</v>
      </c>
      <c r="Q71" t="s">
        <v>1132</v>
      </c>
      <c r="R71" t="s">
        <v>780</v>
      </c>
      <c r="S71" t="s">
        <v>1677</v>
      </c>
      <c r="T71" t="s">
        <v>793</v>
      </c>
      <c r="U71" t="s">
        <v>1294</v>
      </c>
      <c r="V71" t="s">
        <v>449</v>
      </c>
      <c r="W71" t="s">
        <v>1690</v>
      </c>
      <c r="X71" t="s">
        <v>466</v>
      </c>
      <c r="Y71" t="s">
        <v>1674</v>
      </c>
      <c r="Z71" t="s">
        <v>1689</v>
      </c>
      <c r="AA71" t="s">
        <v>1132</v>
      </c>
    </row>
    <row r="72" spans="1:27" x14ac:dyDescent="0.2">
      <c r="A72" s="225" t="s">
        <v>52</v>
      </c>
      <c r="B72" t="s">
        <v>63</v>
      </c>
      <c r="C72" t="s">
        <v>73</v>
      </c>
      <c r="D72" t="s">
        <v>96</v>
      </c>
      <c r="E72" t="s">
        <v>91</v>
      </c>
      <c r="F72" s="226" t="s">
        <v>92</v>
      </c>
      <c r="G72" t="str">
        <f>_xlfn.XLOOKUP(FMECA[[#This Row],[HazardRisk_name]],categories[HazardRisk_Name],categories[HazardRisk])</f>
        <v>Hazard</v>
      </c>
      <c r="H72" t="str">
        <f>_xlfn.XLOOKUP(FMECA[[#This Row],[HazardRisk_name]],categories[HazardRisk_Name],categories[Category])</f>
        <v>Pollutants</v>
      </c>
      <c r="I72" t="s">
        <v>636</v>
      </c>
      <c r="J72" s="10">
        <v>4</v>
      </c>
      <c r="K72" t="s">
        <v>1676</v>
      </c>
      <c r="L72" s="10">
        <v>7</v>
      </c>
      <c r="M72" t="s">
        <v>1676</v>
      </c>
      <c r="N72" s="10">
        <f>FMECA[[#This Row],[probability_value]]*FMECA[[#This Row],[consequence_value]]</f>
        <v>28</v>
      </c>
      <c r="O72" s="10" t="str">
        <f>IF(AND(FMECA[[#This Row],[Score]]&gt;=0, 9&gt;=FMECA[[#This Row],[Score]]), "UNDETECTABLE", IF(AND(FMECA[[#This Row],[Score]]&gt;=10, 24&gt;=FMECA[[#This Row],[Score]]), "MODERATE", IF(AND(FMECA[[#This Row],[Score]]&gt;=25, 35&gt;=FMECA[[#This Row],[Score]]), "HIGH", IF(AND(FMECA[[#This Row],[Score]]&gt;=36, 50&gt;=FMECA[[#This Row],[Score]]), "VERY HIGH", "Check Formula"))))</f>
        <v>HIGH</v>
      </c>
      <c r="P72" s="10" t="s">
        <v>767</v>
      </c>
      <c r="Q72" t="s">
        <v>1132</v>
      </c>
      <c r="R72" t="s">
        <v>780</v>
      </c>
      <c r="S72" t="s">
        <v>1677</v>
      </c>
      <c r="T72" t="s">
        <v>793</v>
      </c>
      <c r="U72" t="s">
        <v>1171</v>
      </c>
      <c r="V72" t="s">
        <v>466</v>
      </c>
      <c r="W72" t="s">
        <v>1678</v>
      </c>
      <c r="X72" t="s">
        <v>466</v>
      </c>
      <c r="AA72" t="s">
        <v>1162</v>
      </c>
    </row>
    <row r="73" spans="1:27" x14ac:dyDescent="0.2">
      <c r="A73" s="225" t="s">
        <v>53</v>
      </c>
      <c r="B73" t="s">
        <v>63</v>
      </c>
      <c r="C73" t="s">
        <v>73</v>
      </c>
      <c r="D73" t="s">
        <v>97</v>
      </c>
      <c r="E73" t="s">
        <v>93</v>
      </c>
      <c r="F73" s="226" t="s">
        <v>94</v>
      </c>
      <c r="G73" t="str">
        <f>_xlfn.XLOOKUP(FMECA[[#This Row],[HazardRisk_name]],categories[HazardRisk_Name],categories[HazardRisk])</f>
        <v>Risk</v>
      </c>
      <c r="H73" t="str">
        <f>_xlfn.XLOOKUP(FMECA[[#This Row],[HazardRisk_name]],categories[HazardRisk_Name],categories[Category])</f>
        <v>Environmental</v>
      </c>
      <c r="I73" t="s">
        <v>625</v>
      </c>
      <c r="J73" s="10">
        <v>4</v>
      </c>
      <c r="K73" t="s">
        <v>1755</v>
      </c>
      <c r="L73" s="10">
        <v>10</v>
      </c>
      <c r="M73" t="s">
        <v>1755</v>
      </c>
      <c r="N73" s="10">
        <f>FMECA[[#This Row],[probability_value]]*FMECA[[#This Row],[consequence_value]]</f>
        <v>40</v>
      </c>
      <c r="O73"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73" s="10" t="s">
        <v>785</v>
      </c>
      <c r="Q73" t="s">
        <v>1162</v>
      </c>
      <c r="R73" t="s">
        <v>780</v>
      </c>
      <c r="S73" t="s">
        <v>1751</v>
      </c>
      <c r="AA73" t="s">
        <v>1162</v>
      </c>
    </row>
    <row r="74" spans="1:27" x14ac:dyDescent="0.2">
      <c r="A74" s="225" t="s">
        <v>53</v>
      </c>
      <c r="B74" t="s">
        <v>63</v>
      </c>
      <c r="C74" t="s">
        <v>73</v>
      </c>
      <c r="D74" t="s">
        <v>97</v>
      </c>
      <c r="E74" t="s">
        <v>93</v>
      </c>
      <c r="F74" s="226" t="s">
        <v>94</v>
      </c>
      <c r="G74" t="str">
        <f>_xlfn.XLOOKUP(FMECA[[#This Row],[HazardRisk_name]],categories[HazardRisk_Name],categories[HazardRisk])</f>
        <v>Risk</v>
      </c>
      <c r="H74" t="str">
        <f>_xlfn.XLOOKUP(FMECA[[#This Row],[HazardRisk_name]],categories[HazardRisk_Name],categories[Category])</f>
        <v>Pollutants</v>
      </c>
      <c r="I74" t="s">
        <v>546</v>
      </c>
      <c r="J74" s="10">
        <v>4</v>
      </c>
      <c r="K74" t="s">
        <v>1763</v>
      </c>
      <c r="L74" s="10">
        <v>7</v>
      </c>
      <c r="M74" t="s">
        <v>1763</v>
      </c>
      <c r="N74" s="10">
        <f>FMECA[[#This Row],[probability_value]]*FMECA[[#This Row],[consequence_value]]</f>
        <v>28</v>
      </c>
      <c r="O74" s="10" t="str">
        <f>IF(AND(FMECA[[#This Row],[Score]]&gt;=0, 9&gt;=FMECA[[#This Row],[Score]]), "UNDETECTABLE", IF(AND(FMECA[[#This Row],[Score]]&gt;=10, 24&gt;=FMECA[[#This Row],[Score]]), "MODERATE", IF(AND(FMECA[[#This Row],[Score]]&gt;=25, 35&gt;=FMECA[[#This Row],[Score]]), "HIGH", IF(AND(FMECA[[#This Row],[Score]]&gt;=36, 50&gt;=FMECA[[#This Row],[Score]]), "VERY HIGH", "Check Formula"))))</f>
        <v>HIGH</v>
      </c>
      <c r="P74" s="10" t="s">
        <v>785</v>
      </c>
      <c r="Q74" t="s">
        <v>1162</v>
      </c>
      <c r="R74" t="s">
        <v>780</v>
      </c>
      <c r="S74" t="s">
        <v>1751</v>
      </c>
      <c r="W74" t="s">
        <v>1764</v>
      </c>
      <c r="X74" t="s">
        <v>466</v>
      </c>
      <c r="AA74" t="s">
        <v>1162</v>
      </c>
    </row>
    <row r="75" spans="1:27" x14ac:dyDescent="0.2">
      <c r="A75" s="225" t="s">
        <v>53</v>
      </c>
      <c r="B75" t="s">
        <v>63</v>
      </c>
      <c r="C75" t="s">
        <v>73</v>
      </c>
      <c r="D75" t="s">
        <v>97</v>
      </c>
      <c r="E75" t="s">
        <v>93</v>
      </c>
      <c r="F75" s="226" t="s">
        <v>94</v>
      </c>
      <c r="G75" t="str">
        <f>_xlfn.XLOOKUP(FMECA[[#This Row],[HazardRisk_name]],categories[HazardRisk_Name],categories[HazardRisk])</f>
        <v>Risk</v>
      </c>
      <c r="H75" t="str">
        <f>_xlfn.XLOOKUP(FMECA[[#This Row],[HazardRisk_name]],categories[HazardRisk_Name],categories[Category])</f>
        <v>Pollutants</v>
      </c>
      <c r="I75" t="s">
        <v>547</v>
      </c>
      <c r="J75" s="10">
        <v>5</v>
      </c>
      <c r="K75" t="s">
        <v>1747</v>
      </c>
      <c r="L75" s="10">
        <v>7</v>
      </c>
      <c r="M75" t="s">
        <v>1747</v>
      </c>
      <c r="N75" s="10">
        <f>FMECA[[#This Row],[probability_value]]*FMECA[[#This Row],[consequence_value]]</f>
        <v>35</v>
      </c>
      <c r="O75" s="10" t="str">
        <f>IF(AND(FMECA[[#This Row],[Score]]&gt;=0, 9&gt;=FMECA[[#This Row],[Score]]), "UNDETECTABLE", IF(AND(FMECA[[#This Row],[Score]]&gt;=10, 24&gt;=FMECA[[#This Row],[Score]]), "MODERATE", IF(AND(FMECA[[#This Row],[Score]]&gt;=25, 35&gt;=FMECA[[#This Row],[Score]]), "HIGH", IF(AND(FMECA[[#This Row],[Score]]&gt;=36, 50&gt;=FMECA[[#This Row],[Score]]), "VERY HIGH", "Check Formula"))))</f>
        <v>HIGH</v>
      </c>
      <c r="P75" s="10" t="s">
        <v>785</v>
      </c>
      <c r="Q75" t="s">
        <v>1162</v>
      </c>
      <c r="R75" t="s">
        <v>780</v>
      </c>
      <c r="S75" t="s">
        <v>1751</v>
      </c>
      <c r="AA75" t="s">
        <v>1162</v>
      </c>
    </row>
    <row r="76" spans="1:27" x14ac:dyDescent="0.2">
      <c r="A76" s="225" t="s">
        <v>53</v>
      </c>
      <c r="B76" t="s">
        <v>63</v>
      </c>
      <c r="C76" t="s">
        <v>73</v>
      </c>
      <c r="D76" t="s">
        <v>97</v>
      </c>
      <c r="E76" t="s">
        <v>93</v>
      </c>
      <c r="F76" s="226" t="s">
        <v>94</v>
      </c>
      <c r="G76" t="str">
        <f>_xlfn.XLOOKUP(FMECA[[#This Row],[HazardRisk_name]],categories[HazardRisk_Name],categories[HazardRisk])</f>
        <v>Hazard</v>
      </c>
      <c r="H76" t="str">
        <f>_xlfn.XLOOKUP(FMECA[[#This Row],[HazardRisk_name]],categories[HazardRisk_Name],categories[Category])</f>
        <v>Pollutants</v>
      </c>
      <c r="I76" t="s">
        <v>630</v>
      </c>
      <c r="J76" s="10">
        <v>3</v>
      </c>
      <c r="K76" t="s">
        <v>1748</v>
      </c>
      <c r="L76" s="10">
        <v>4</v>
      </c>
      <c r="M76" t="s">
        <v>1748</v>
      </c>
      <c r="N76" s="10">
        <f>FMECA[[#This Row],[probability_value]]*FMECA[[#This Row],[consequence_value]]</f>
        <v>12</v>
      </c>
      <c r="O7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6" s="10" t="s">
        <v>785</v>
      </c>
      <c r="Q76" t="s">
        <v>1162</v>
      </c>
      <c r="R76" t="s">
        <v>780</v>
      </c>
      <c r="S76" t="s">
        <v>1751</v>
      </c>
      <c r="U76" t="s">
        <v>1749</v>
      </c>
      <c r="V76" t="s">
        <v>466</v>
      </c>
      <c r="W76" t="s">
        <v>1750</v>
      </c>
      <c r="X76" t="s">
        <v>466</v>
      </c>
      <c r="AA76" t="s">
        <v>1162</v>
      </c>
    </row>
    <row r="77" spans="1:27" x14ac:dyDescent="0.2">
      <c r="A77" s="225" t="s">
        <v>53</v>
      </c>
      <c r="B77" t="s">
        <v>63</v>
      </c>
      <c r="C77" t="s">
        <v>73</v>
      </c>
      <c r="D77" t="s">
        <v>97</v>
      </c>
      <c r="E77" t="s">
        <v>93</v>
      </c>
      <c r="F77" s="226" t="s">
        <v>94</v>
      </c>
      <c r="G77" t="str">
        <f>_xlfn.XLOOKUP(FMECA[[#This Row],[HazardRisk_name]],categories[HazardRisk_Name],categories[HazardRisk])</f>
        <v>Risk</v>
      </c>
      <c r="H77" t="str">
        <f>_xlfn.XLOOKUP(FMECA[[#This Row],[HazardRisk_name]],categories[HazardRisk_Name],categories[Category])</f>
        <v>Navigational</v>
      </c>
      <c r="I77" t="s">
        <v>635</v>
      </c>
      <c r="J77" s="10">
        <v>4</v>
      </c>
      <c r="K77" t="s">
        <v>1752</v>
      </c>
      <c r="L77" s="10">
        <v>4</v>
      </c>
      <c r="M77" t="s">
        <v>1752</v>
      </c>
      <c r="N77" s="10">
        <f>FMECA[[#This Row],[probability_value]]*FMECA[[#This Row],[consequence_value]]</f>
        <v>16</v>
      </c>
      <c r="O7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7" s="10" t="s">
        <v>785</v>
      </c>
      <c r="Q77" t="s">
        <v>1162</v>
      </c>
      <c r="R77" t="s">
        <v>780</v>
      </c>
      <c r="S77" t="s">
        <v>1751</v>
      </c>
      <c r="U77" t="s">
        <v>1753</v>
      </c>
      <c r="V77" t="s">
        <v>466</v>
      </c>
      <c r="W77" t="s">
        <v>1754</v>
      </c>
      <c r="X77" t="s">
        <v>470</v>
      </c>
      <c r="AA77" t="s">
        <v>1162</v>
      </c>
    </row>
    <row r="78" spans="1:27" x14ac:dyDescent="0.2">
      <c r="A78" s="225" t="s">
        <v>53</v>
      </c>
      <c r="B78" t="s">
        <v>63</v>
      </c>
      <c r="C78" t="s">
        <v>73</v>
      </c>
      <c r="D78" t="s">
        <v>97</v>
      </c>
      <c r="E78" t="s">
        <v>93</v>
      </c>
      <c r="F78" s="226" t="s">
        <v>94</v>
      </c>
      <c r="G78" t="str">
        <f>_xlfn.XLOOKUP(FMECA[[#This Row],[HazardRisk_name]],categories[HazardRisk_Name],categories[HazardRisk])</f>
        <v>Hazard</v>
      </c>
      <c r="H78" t="str">
        <f>_xlfn.XLOOKUP(FMECA[[#This Row],[HazardRisk_name]],categories[HazardRisk_Name],categories[Category])</f>
        <v>Sea Ice</v>
      </c>
      <c r="I78" t="s">
        <v>673</v>
      </c>
      <c r="J78" s="10">
        <v>4</v>
      </c>
      <c r="K78" t="s">
        <v>1756</v>
      </c>
      <c r="L78" s="10">
        <v>7</v>
      </c>
      <c r="M78" t="s">
        <v>1756</v>
      </c>
      <c r="N78" s="10">
        <f>FMECA[[#This Row],[probability_value]]*FMECA[[#This Row],[consequence_value]]</f>
        <v>28</v>
      </c>
      <c r="O78" s="10" t="str">
        <f>IF(AND(FMECA[[#This Row],[Score]]&gt;=0, 9&gt;=FMECA[[#This Row],[Score]]), "UNDETECTABLE", IF(AND(FMECA[[#This Row],[Score]]&gt;=10, 24&gt;=FMECA[[#This Row],[Score]]), "MODERATE", IF(AND(FMECA[[#This Row],[Score]]&gt;=25, 35&gt;=FMECA[[#This Row],[Score]]), "HIGH", IF(AND(FMECA[[#This Row],[Score]]&gt;=36, 50&gt;=FMECA[[#This Row],[Score]]), "VERY HIGH", "Check Formula"))))</f>
        <v>HIGH</v>
      </c>
      <c r="P78" s="10" t="s">
        <v>785</v>
      </c>
      <c r="Q78" t="s">
        <v>1162</v>
      </c>
      <c r="R78" t="s">
        <v>780</v>
      </c>
      <c r="S78" t="s">
        <v>1751</v>
      </c>
      <c r="AA78" t="s">
        <v>1162</v>
      </c>
    </row>
    <row r="79" spans="1:27" x14ac:dyDescent="0.2">
      <c r="A79" s="225" t="s">
        <v>53</v>
      </c>
      <c r="B79" t="s">
        <v>63</v>
      </c>
      <c r="C79" t="s">
        <v>73</v>
      </c>
      <c r="D79" t="s">
        <v>97</v>
      </c>
      <c r="E79" t="s">
        <v>93</v>
      </c>
      <c r="F79" s="226" t="s">
        <v>94</v>
      </c>
      <c r="G79" t="str">
        <f>_xlfn.XLOOKUP(FMECA[[#This Row],[HazardRisk_name]],categories[HazardRisk_Name],categories[HazardRisk])</f>
        <v>Hazard</v>
      </c>
      <c r="H79" t="str">
        <f>_xlfn.XLOOKUP(FMECA[[#This Row],[HazardRisk_name]],categories[HazardRisk_Name],categories[Category])</f>
        <v>Sea Ice</v>
      </c>
      <c r="I79" t="s">
        <v>563</v>
      </c>
      <c r="J79" s="10">
        <v>5</v>
      </c>
      <c r="K79" t="s">
        <v>1756</v>
      </c>
      <c r="L79" s="10">
        <v>7</v>
      </c>
      <c r="M79" t="s">
        <v>1756</v>
      </c>
      <c r="N79" s="10">
        <f>FMECA[[#This Row],[probability_value]]*FMECA[[#This Row],[consequence_value]]</f>
        <v>35</v>
      </c>
      <c r="O79" s="10" t="str">
        <f>IF(AND(FMECA[[#This Row],[Score]]&gt;=0, 9&gt;=FMECA[[#This Row],[Score]]), "UNDETECTABLE", IF(AND(FMECA[[#This Row],[Score]]&gt;=10, 24&gt;=FMECA[[#This Row],[Score]]), "MODERATE", IF(AND(FMECA[[#This Row],[Score]]&gt;=25, 35&gt;=FMECA[[#This Row],[Score]]), "HIGH", IF(AND(FMECA[[#This Row],[Score]]&gt;=36, 50&gt;=FMECA[[#This Row],[Score]]), "VERY HIGH", "Check Formula"))))</f>
        <v>HIGH</v>
      </c>
      <c r="P79" s="10" t="s">
        <v>785</v>
      </c>
      <c r="Q79" t="s">
        <v>1162</v>
      </c>
      <c r="R79" t="s">
        <v>780</v>
      </c>
      <c r="S79" t="s">
        <v>1751</v>
      </c>
      <c r="AA79" t="s">
        <v>1162</v>
      </c>
    </row>
    <row r="80" spans="1:27" x14ac:dyDescent="0.2">
      <c r="A80" s="225" t="s">
        <v>53</v>
      </c>
      <c r="B80" t="s">
        <v>63</v>
      </c>
      <c r="C80" t="s">
        <v>73</v>
      </c>
      <c r="D80" t="s">
        <v>97</v>
      </c>
      <c r="E80" t="s">
        <v>93</v>
      </c>
      <c r="F80" s="226" t="s">
        <v>94</v>
      </c>
      <c r="G80" t="str">
        <f>_xlfn.XLOOKUP(FMECA[[#This Row],[HazardRisk_name]],categories[HazardRisk_Name],categories[HazardRisk])</f>
        <v>Hazard</v>
      </c>
      <c r="H80" t="str">
        <f>_xlfn.XLOOKUP(FMECA[[#This Row],[HazardRisk_name]],categories[HazardRisk_Name],categories[Category])</f>
        <v>Environmental</v>
      </c>
      <c r="I80" t="s">
        <v>671</v>
      </c>
      <c r="J80" s="10">
        <v>5</v>
      </c>
      <c r="K80" t="s">
        <v>1757</v>
      </c>
      <c r="L80" s="10">
        <v>7</v>
      </c>
      <c r="M80" t="s">
        <v>1757</v>
      </c>
      <c r="N80" s="10">
        <f>FMECA[[#This Row],[probability_value]]*FMECA[[#This Row],[consequence_value]]</f>
        <v>35</v>
      </c>
      <c r="O80" s="10" t="str">
        <f>IF(AND(FMECA[[#This Row],[Score]]&gt;=0, 9&gt;=FMECA[[#This Row],[Score]]), "UNDETECTABLE", IF(AND(FMECA[[#This Row],[Score]]&gt;=10, 24&gt;=FMECA[[#This Row],[Score]]), "MODERATE", IF(AND(FMECA[[#This Row],[Score]]&gt;=25, 35&gt;=FMECA[[#This Row],[Score]]), "HIGH", IF(AND(FMECA[[#This Row],[Score]]&gt;=36, 50&gt;=FMECA[[#This Row],[Score]]), "VERY HIGH", "Check Formula"))))</f>
        <v>HIGH</v>
      </c>
      <c r="P80" s="10" t="s">
        <v>785</v>
      </c>
      <c r="Q80" t="s">
        <v>1162</v>
      </c>
      <c r="R80" t="s">
        <v>780</v>
      </c>
      <c r="S80" t="s">
        <v>1751</v>
      </c>
      <c r="U80" t="s">
        <v>1758</v>
      </c>
      <c r="V80" t="s">
        <v>466</v>
      </c>
      <c r="W80" t="s">
        <v>1759</v>
      </c>
      <c r="X80" t="s">
        <v>470</v>
      </c>
      <c r="AA80" t="s">
        <v>1162</v>
      </c>
    </row>
    <row r="81" spans="1:27" x14ac:dyDescent="0.2">
      <c r="A81" s="225" t="s">
        <v>53</v>
      </c>
      <c r="B81" t="s">
        <v>63</v>
      </c>
      <c r="C81" t="s">
        <v>73</v>
      </c>
      <c r="D81" t="s">
        <v>97</v>
      </c>
      <c r="E81" t="s">
        <v>93</v>
      </c>
      <c r="F81" s="226" t="s">
        <v>94</v>
      </c>
      <c r="G81" t="str">
        <f>_xlfn.XLOOKUP(FMECA[[#This Row],[HazardRisk_name]],categories[HazardRisk_Name],categories[HazardRisk])</f>
        <v>Hazard</v>
      </c>
      <c r="H81" t="str">
        <f>_xlfn.XLOOKUP(FMECA[[#This Row],[HazardRisk_name]],categories[HazardRisk_Name],categories[Category])</f>
        <v>Sea Ice</v>
      </c>
      <c r="I81" t="s">
        <v>447</v>
      </c>
      <c r="J81" s="10">
        <v>5</v>
      </c>
      <c r="K81" t="s">
        <v>1760</v>
      </c>
      <c r="L81" s="10">
        <v>10</v>
      </c>
      <c r="M81" t="s">
        <v>1760</v>
      </c>
      <c r="N81" s="10">
        <f>FMECA[[#This Row],[probability_value]]*FMECA[[#This Row],[consequence_value]]</f>
        <v>50</v>
      </c>
      <c r="O81"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81" s="10" t="s">
        <v>785</v>
      </c>
      <c r="Q81" t="s">
        <v>1162</v>
      </c>
      <c r="R81" t="s">
        <v>780</v>
      </c>
      <c r="S81" t="s">
        <v>1751</v>
      </c>
      <c r="U81" t="s">
        <v>1761</v>
      </c>
      <c r="V81" t="s">
        <v>466</v>
      </c>
      <c r="W81" t="s">
        <v>1762</v>
      </c>
      <c r="X81" t="s">
        <v>470</v>
      </c>
      <c r="AA81" t="s">
        <v>1162</v>
      </c>
    </row>
    <row r="82" spans="1:27" x14ac:dyDescent="0.2">
      <c r="A82" s="225" t="s">
        <v>54</v>
      </c>
      <c r="B82" t="s">
        <v>63</v>
      </c>
      <c r="C82" t="s">
        <v>73</v>
      </c>
      <c r="D82" t="s">
        <v>100</v>
      </c>
      <c r="E82" t="s">
        <v>98</v>
      </c>
      <c r="F82" s="226" t="s">
        <v>99</v>
      </c>
      <c r="G82" t="str">
        <f>_xlfn.XLOOKUP(FMECA[[#This Row],[HazardRisk_name]],categories[HazardRisk_Name],categories[HazardRisk])</f>
        <v>Risk</v>
      </c>
      <c r="H82" t="str">
        <f>_xlfn.XLOOKUP(FMECA[[#This Row],[HazardRisk_name]],categories[HazardRisk_Name],categories[Category])</f>
        <v>Operational</v>
      </c>
      <c r="I82" t="s">
        <v>572</v>
      </c>
      <c r="J82" s="10">
        <v>4</v>
      </c>
      <c r="K82" t="s">
        <v>1787</v>
      </c>
      <c r="L82" s="10">
        <v>7</v>
      </c>
      <c r="M82" t="s">
        <v>1787</v>
      </c>
      <c r="N82" s="10">
        <f>FMECA[[#This Row],[probability_value]]*FMECA[[#This Row],[consequence_value]]</f>
        <v>28</v>
      </c>
      <c r="O82" s="10" t="str">
        <f>IF(AND(FMECA[[#This Row],[Score]]&gt;=0, 9&gt;=FMECA[[#This Row],[Score]]), "UNDETECTABLE", IF(AND(FMECA[[#This Row],[Score]]&gt;=10, 24&gt;=FMECA[[#This Row],[Score]]), "MODERATE", IF(AND(FMECA[[#This Row],[Score]]&gt;=25, 35&gt;=FMECA[[#This Row],[Score]]), "HIGH", IF(AND(FMECA[[#This Row],[Score]]&gt;=36, 50&gt;=FMECA[[#This Row],[Score]]), "VERY HIGH", "Check Formula"))))</f>
        <v>HIGH</v>
      </c>
      <c r="P82" s="10" t="s">
        <v>777</v>
      </c>
      <c r="Q82" t="s">
        <v>778</v>
      </c>
      <c r="R82" t="s">
        <v>771</v>
      </c>
      <c r="S82" t="s">
        <v>1788</v>
      </c>
      <c r="T82" t="s">
        <v>793</v>
      </c>
      <c r="U82" t="s">
        <v>1789</v>
      </c>
      <c r="V82" t="s">
        <v>466</v>
      </c>
      <c r="W82" t="s">
        <v>1790</v>
      </c>
      <c r="X82" t="s">
        <v>470</v>
      </c>
      <c r="Y82" t="s">
        <v>1791</v>
      </c>
      <c r="Z82" t="s">
        <v>1792</v>
      </c>
      <c r="AA82" t="s">
        <v>1162</v>
      </c>
    </row>
    <row r="83" spans="1:27" x14ac:dyDescent="0.2">
      <c r="A83" s="225" t="s">
        <v>54</v>
      </c>
      <c r="B83" t="s">
        <v>63</v>
      </c>
      <c r="C83" t="s">
        <v>73</v>
      </c>
      <c r="D83" t="s">
        <v>100</v>
      </c>
      <c r="E83" t="s">
        <v>98</v>
      </c>
      <c r="F83" s="226" t="s">
        <v>99</v>
      </c>
      <c r="G83" t="str">
        <f>_xlfn.XLOOKUP(FMECA[[#This Row],[HazardRisk_name]],categories[HazardRisk_Name],categories[HazardRisk])</f>
        <v>Risk</v>
      </c>
      <c r="H83" t="str">
        <f>_xlfn.XLOOKUP(FMECA[[#This Row],[HazardRisk_name]],categories[HazardRisk_Name],categories[Category])</f>
        <v>Sea Ice</v>
      </c>
      <c r="I83" t="s">
        <v>480</v>
      </c>
      <c r="J83" s="10">
        <v>4</v>
      </c>
      <c r="K83" t="s">
        <v>1813</v>
      </c>
      <c r="L83" s="10">
        <v>7</v>
      </c>
      <c r="M83" t="s">
        <v>1813</v>
      </c>
      <c r="N83" s="10">
        <f>FMECA[[#This Row],[probability_value]]*FMECA[[#This Row],[consequence_value]]</f>
        <v>28</v>
      </c>
      <c r="O83" s="10" t="str">
        <f>IF(AND(FMECA[[#This Row],[Score]]&gt;=0, 9&gt;=FMECA[[#This Row],[Score]]), "UNDETECTABLE", IF(AND(FMECA[[#This Row],[Score]]&gt;=10, 24&gt;=FMECA[[#This Row],[Score]]), "MODERATE", IF(AND(FMECA[[#This Row],[Score]]&gt;=25, 35&gt;=FMECA[[#This Row],[Score]]), "HIGH", IF(AND(FMECA[[#This Row],[Score]]&gt;=36, 50&gt;=FMECA[[#This Row],[Score]]), "VERY HIGH", "Check Formula"))))</f>
        <v>HIGH</v>
      </c>
      <c r="P83" s="10" t="s">
        <v>777</v>
      </c>
      <c r="Q83" t="s">
        <v>778</v>
      </c>
      <c r="R83" t="s">
        <v>771</v>
      </c>
      <c r="S83" t="s">
        <v>1788</v>
      </c>
      <c r="T83" t="s">
        <v>793</v>
      </c>
      <c r="AA83" t="s">
        <v>1162</v>
      </c>
    </row>
    <row r="84" spans="1:27" x14ac:dyDescent="0.2">
      <c r="A84" s="225" t="s">
        <v>54</v>
      </c>
      <c r="B84" t="s">
        <v>63</v>
      </c>
      <c r="C84" t="s">
        <v>73</v>
      </c>
      <c r="D84" t="s">
        <v>100</v>
      </c>
      <c r="E84" t="s">
        <v>98</v>
      </c>
      <c r="F84" s="226" t="s">
        <v>99</v>
      </c>
      <c r="G84" t="str">
        <f>_xlfn.XLOOKUP(FMECA[[#This Row],[HazardRisk_name]],categories[HazardRisk_Name],categories[HazardRisk])</f>
        <v>Risk</v>
      </c>
      <c r="H84" t="str">
        <f>_xlfn.XLOOKUP(FMECA[[#This Row],[HazardRisk_name]],categories[HazardRisk_Name],categories[Category])</f>
        <v>Community</v>
      </c>
      <c r="I84" t="s">
        <v>643</v>
      </c>
      <c r="J84" s="10">
        <v>4</v>
      </c>
      <c r="K84" t="s">
        <v>1793</v>
      </c>
      <c r="L84" s="10">
        <v>7</v>
      </c>
      <c r="M84" t="s">
        <v>1793</v>
      </c>
      <c r="N84" s="10">
        <f>FMECA[[#This Row],[probability_value]]*FMECA[[#This Row],[consequence_value]]</f>
        <v>28</v>
      </c>
      <c r="O84" s="10" t="str">
        <f>IF(AND(FMECA[[#This Row],[Score]]&gt;=0, 9&gt;=FMECA[[#This Row],[Score]]), "UNDETECTABLE", IF(AND(FMECA[[#This Row],[Score]]&gt;=10, 24&gt;=FMECA[[#This Row],[Score]]), "MODERATE", IF(AND(FMECA[[#This Row],[Score]]&gt;=25, 35&gt;=FMECA[[#This Row],[Score]]), "HIGH", IF(AND(FMECA[[#This Row],[Score]]&gt;=36, 50&gt;=FMECA[[#This Row],[Score]]), "VERY HIGH", "Check Formula"))))</f>
        <v>HIGH</v>
      </c>
      <c r="P84" s="10" t="s">
        <v>777</v>
      </c>
      <c r="Q84" t="s">
        <v>778</v>
      </c>
      <c r="R84" t="s">
        <v>771</v>
      </c>
      <c r="S84" t="s">
        <v>1788</v>
      </c>
      <c r="T84" t="s">
        <v>793</v>
      </c>
      <c r="AA84" t="s">
        <v>1162</v>
      </c>
    </row>
    <row r="85" spans="1:27" x14ac:dyDescent="0.2">
      <c r="A85" s="225" t="s">
        <v>54</v>
      </c>
      <c r="B85" t="s">
        <v>63</v>
      </c>
      <c r="C85" t="s">
        <v>73</v>
      </c>
      <c r="D85" t="s">
        <v>100</v>
      </c>
      <c r="E85" t="s">
        <v>98</v>
      </c>
      <c r="F85" s="226" t="s">
        <v>99</v>
      </c>
      <c r="G85" t="str">
        <f>_xlfn.XLOOKUP(FMECA[[#This Row],[HazardRisk_name]],categories[HazardRisk_Name],categories[HazardRisk])</f>
        <v>Risk</v>
      </c>
      <c r="H85" t="str">
        <f>_xlfn.XLOOKUP(FMECA[[#This Row],[HazardRisk_name]],categories[HazardRisk_Name],categories[Category])</f>
        <v>Social</v>
      </c>
      <c r="I85" t="s">
        <v>686</v>
      </c>
      <c r="J85" s="10">
        <v>4</v>
      </c>
      <c r="K85" t="s">
        <v>1793</v>
      </c>
      <c r="L85" s="10">
        <v>7</v>
      </c>
      <c r="M85" t="s">
        <v>1793</v>
      </c>
      <c r="N85" s="10">
        <f>FMECA[[#This Row],[probability_value]]*FMECA[[#This Row],[consequence_value]]</f>
        <v>28</v>
      </c>
      <c r="O85" s="10" t="str">
        <f>IF(AND(FMECA[[#This Row],[Score]]&gt;=0, 9&gt;=FMECA[[#This Row],[Score]]), "UNDETECTABLE", IF(AND(FMECA[[#This Row],[Score]]&gt;=10, 24&gt;=FMECA[[#This Row],[Score]]), "MODERATE", IF(AND(FMECA[[#This Row],[Score]]&gt;=25, 35&gt;=FMECA[[#This Row],[Score]]), "HIGH", IF(AND(FMECA[[#This Row],[Score]]&gt;=36, 50&gt;=FMECA[[#This Row],[Score]]), "VERY HIGH", "Check Formula"))))</f>
        <v>HIGH</v>
      </c>
      <c r="P85" s="10" t="s">
        <v>777</v>
      </c>
      <c r="Q85" t="s">
        <v>778</v>
      </c>
      <c r="R85" t="s">
        <v>771</v>
      </c>
      <c r="S85" t="s">
        <v>1788</v>
      </c>
      <c r="T85" t="s">
        <v>793</v>
      </c>
      <c r="U85" t="s">
        <v>1802</v>
      </c>
      <c r="V85" t="s">
        <v>470</v>
      </c>
      <c r="W85" t="s">
        <v>1803</v>
      </c>
      <c r="X85" t="s">
        <v>470</v>
      </c>
      <c r="AA85" t="s">
        <v>1162</v>
      </c>
    </row>
    <row r="86" spans="1:27" x14ac:dyDescent="0.2">
      <c r="A86" s="225" t="s">
        <v>54</v>
      </c>
      <c r="B86" t="s">
        <v>63</v>
      </c>
      <c r="C86" t="s">
        <v>73</v>
      </c>
      <c r="D86" t="s">
        <v>100</v>
      </c>
      <c r="E86" t="s">
        <v>98</v>
      </c>
      <c r="F86" s="226" t="s">
        <v>99</v>
      </c>
      <c r="G86" t="str">
        <f>_xlfn.XLOOKUP(FMECA[[#This Row],[HazardRisk_name]],categories[HazardRisk_Name],categories[HazardRisk])</f>
        <v>Risk</v>
      </c>
      <c r="H86" t="str">
        <f>_xlfn.XLOOKUP(FMECA[[#This Row],[HazardRisk_name]],categories[HazardRisk_Name],categories[Category])</f>
        <v>Social</v>
      </c>
      <c r="I86" t="s">
        <v>569</v>
      </c>
      <c r="J86" s="10">
        <v>3</v>
      </c>
      <c r="K86" t="s">
        <v>1799</v>
      </c>
      <c r="L86" s="10">
        <v>7</v>
      </c>
      <c r="M86" t="s">
        <v>1799</v>
      </c>
      <c r="N86" s="10">
        <f>FMECA[[#This Row],[probability_value]]*FMECA[[#This Row],[consequence_value]]</f>
        <v>21</v>
      </c>
      <c r="O8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6" s="10" t="s">
        <v>777</v>
      </c>
      <c r="Q86" t="s">
        <v>778</v>
      </c>
      <c r="R86" t="s">
        <v>771</v>
      </c>
      <c r="S86" t="s">
        <v>1788</v>
      </c>
      <c r="T86" t="s">
        <v>793</v>
      </c>
      <c r="U86" t="s">
        <v>1800</v>
      </c>
      <c r="V86" t="s">
        <v>466</v>
      </c>
      <c r="W86" t="s">
        <v>1801</v>
      </c>
      <c r="X86" t="s">
        <v>470</v>
      </c>
      <c r="AA86" t="s">
        <v>1162</v>
      </c>
    </row>
    <row r="87" spans="1:27" x14ac:dyDescent="0.2">
      <c r="A87" s="225" t="s">
        <v>54</v>
      </c>
      <c r="B87" t="s">
        <v>63</v>
      </c>
      <c r="C87" t="s">
        <v>73</v>
      </c>
      <c r="D87" t="s">
        <v>100</v>
      </c>
      <c r="E87" t="s">
        <v>98</v>
      </c>
      <c r="F87" s="226" t="s">
        <v>99</v>
      </c>
      <c r="G87" t="str">
        <f>_xlfn.XLOOKUP(FMECA[[#This Row],[HazardRisk_name]],categories[HazardRisk_Name],categories[HazardRisk])</f>
        <v>Risk</v>
      </c>
      <c r="H87" t="str">
        <f>_xlfn.XLOOKUP(FMECA[[#This Row],[HazardRisk_name]],categories[HazardRisk_Name],categories[Category])</f>
        <v>Operational</v>
      </c>
      <c r="I87" t="s">
        <v>725</v>
      </c>
      <c r="J87" s="10">
        <v>4</v>
      </c>
      <c r="K87" t="s">
        <v>1810</v>
      </c>
      <c r="L87" s="10">
        <v>7</v>
      </c>
      <c r="M87" t="s">
        <v>1810</v>
      </c>
      <c r="N87" s="10">
        <f>FMECA[[#This Row],[probability_value]]*FMECA[[#This Row],[consequence_value]]</f>
        <v>28</v>
      </c>
      <c r="O87" s="10" t="str">
        <f>IF(AND(FMECA[[#This Row],[Score]]&gt;=0, 9&gt;=FMECA[[#This Row],[Score]]), "UNDETECTABLE", IF(AND(FMECA[[#This Row],[Score]]&gt;=10, 24&gt;=FMECA[[#This Row],[Score]]), "MODERATE", IF(AND(FMECA[[#This Row],[Score]]&gt;=25, 35&gt;=FMECA[[#This Row],[Score]]), "HIGH", IF(AND(FMECA[[#This Row],[Score]]&gt;=36, 50&gt;=FMECA[[#This Row],[Score]]), "VERY HIGH", "Check Formula"))))</f>
        <v>HIGH</v>
      </c>
      <c r="P87" s="10" t="s">
        <v>777</v>
      </c>
      <c r="Q87" t="s">
        <v>778</v>
      </c>
      <c r="R87" t="s">
        <v>771</v>
      </c>
      <c r="S87" t="s">
        <v>1788</v>
      </c>
      <c r="T87" t="s">
        <v>793</v>
      </c>
      <c r="U87" t="s">
        <v>1812</v>
      </c>
      <c r="V87" t="s">
        <v>466</v>
      </c>
      <c r="W87" t="s">
        <v>1811</v>
      </c>
      <c r="X87" t="s">
        <v>470</v>
      </c>
      <c r="AA87" t="s">
        <v>1162</v>
      </c>
    </row>
    <row r="88" spans="1:27" x14ac:dyDescent="0.2">
      <c r="A88" s="225" t="s">
        <v>54</v>
      </c>
      <c r="B88" t="s">
        <v>63</v>
      </c>
      <c r="C88" t="s">
        <v>73</v>
      </c>
      <c r="D88" t="s">
        <v>100</v>
      </c>
      <c r="E88" t="s">
        <v>98</v>
      </c>
      <c r="F88" s="226" t="s">
        <v>99</v>
      </c>
      <c r="G88" t="str">
        <f>_xlfn.XLOOKUP(FMECA[[#This Row],[HazardRisk_name]],categories[HazardRisk_Name],categories[HazardRisk])</f>
        <v>Risk</v>
      </c>
      <c r="H88" t="str">
        <f>_xlfn.XLOOKUP(FMECA[[#This Row],[HazardRisk_name]],categories[HazardRisk_Name],categories[Category])</f>
        <v>Operational</v>
      </c>
      <c r="I88" t="s">
        <v>1313</v>
      </c>
      <c r="J88" s="10">
        <v>2</v>
      </c>
      <c r="K88" t="s">
        <v>1804</v>
      </c>
      <c r="L88" s="10">
        <v>7</v>
      </c>
      <c r="M88" t="s">
        <v>1804</v>
      </c>
      <c r="N88" s="10">
        <f>FMECA[[#This Row],[probability_value]]*FMECA[[#This Row],[consequence_value]]</f>
        <v>14</v>
      </c>
      <c r="O8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8" s="10" t="s">
        <v>777</v>
      </c>
      <c r="Q88" t="s">
        <v>778</v>
      </c>
      <c r="R88" t="s">
        <v>771</v>
      </c>
      <c r="S88" t="s">
        <v>1788</v>
      </c>
      <c r="T88" t="s">
        <v>793</v>
      </c>
      <c r="U88" t="s">
        <v>1805</v>
      </c>
      <c r="V88" t="s">
        <v>470</v>
      </c>
      <c r="W88" t="s">
        <v>1806</v>
      </c>
      <c r="X88" t="s">
        <v>470</v>
      </c>
      <c r="AA88" t="s">
        <v>1162</v>
      </c>
    </row>
    <row r="89" spans="1:27" x14ac:dyDescent="0.2">
      <c r="A89" s="225" t="s">
        <v>54</v>
      </c>
      <c r="B89" t="s">
        <v>63</v>
      </c>
      <c r="C89" t="s">
        <v>73</v>
      </c>
      <c r="D89" t="s">
        <v>100</v>
      </c>
      <c r="E89" t="s">
        <v>98</v>
      </c>
      <c r="F89" s="226" t="s">
        <v>99</v>
      </c>
      <c r="G89" t="str">
        <f>_xlfn.XLOOKUP(FMECA[[#This Row],[HazardRisk_name]],categories[HazardRisk_Name],categories[HazardRisk])</f>
        <v>Risk</v>
      </c>
      <c r="H89" t="str">
        <f>_xlfn.XLOOKUP(FMECA[[#This Row],[HazardRisk_name]],categories[HazardRisk_Name],categories[Category])</f>
        <v>Social</v>
      </c>
      <c r="I89" t="s">
        <v>621</v>
      </c>
      <c r="J89" s="10">
        <v>4</v>
      </c>
      <c r="K89" t="s">
        <v>1807</v>
      </c>
      <c r="L89" s="10">
        <v>7</v>
      </c>
      <c r="M89" t="s">
        <v>1807</v>
      </c>
      <c r="N89" s="10">
        <f>FMECA[[#This Row],[probability_value]]*FMECA[[#This Row],[consequence_value]]</f>
        <v>28</v>
      </c>
      <c r="O89" s="10" t="str">
        <f>IF(AND(FMECA[[#This Row],[Score]]&gt;=0, 9&gt;=FMECA[[#This Row],[Score]]), "UNDETECTABLE", IF(AND(FMECA[[#This Row],[Score]]&gt;=10, 24&gt;=FMECA[[#This Row],[Score]]), "MODERATE", IF(AND(FMECA[[#This Row],[Score]]&gt;=25, 35&gt;=FMECA[[#This Row],[Score]]), "HIGH", IF(AND(FMECA[[#This Row],[Score]]&gt;=36, 50&gt;=FMECA[[#This Row],[Score]]), "VERY HIGH", "Check Formula"))))</f>
        <v>HIGH</v>
      </c>
      <c r="P89" s="10" t="s">
        <v>777</v>
      </c>
      <c r="Q89" t="s">
        <v>778</v>
      </c>
      <c r="R89" t="s">
        <v>771</v>
      </c>
      <c r="S89" t="s">
        <v>1788</v>
      </c>
      <c r="T89" t="s">
        <v>793</v>
      </c>
      <c r="U89" t="s">
        <v>1808</v>
      </c>
      <c r="V89" t="s">
        <v>470</v>
      </c>
      <c r="W89" t="s">
        <v>1809</v>
      </c>
      <c r="X89" t="s">
        <v>470</v>
      </c>
      <c r="AA89" t="s">
        <v>1162</v>
      </c>
    </row>
    <row r="90" spans="1:27" x14ac:dyDescent="0.2">
      <c r="A90" s="225" t="s">
        <v>54</v>
      </c>
      <c r="B90" t="s">
        <v>63</v>
      </c>
      <c r="C90" t="s">
        <v>73</v>
      </c>
      <c r="D90" t="s">
        <v>100</v>
      </c>
      <c r="E90" t="s">
        <v>98</v>
      </c>
      <c r="F90" s="226" t="s">
        <v>99</v>
      </c>
      <c r="G90" t="str">
        <f>_xlfn.XLOOKUP(FMECA[[#This Row],[HazardRisk_name]],categories[HazardRisk_Name],categories[HazardRisk])</f>
        <v>Risk</v>
      </c>
      <c r="H90" t="str">
        <f>_xlfn.XLOOKUP(FMECA[[#This Row],[HazardRisk_name]],categories[HazardRisk_Name],categories[Category])</f>
        <v>Environmental</v>
      </c>
      <c r="I90" t="s">
        <v>1219</v>
      </c>
      <c r="J90" s="10">
        <v>4</v>
      </c>
      <c r="K90" t="s">
        <v>1796</v>
      </c>
      <c r="L90" s="10">
        <v>10</v>
      </c>
      <c r="M90" t="s">
        <v>1796</v>
      </c>
      <c r="N90" s="10">
        <f>FMECA[[#This Row],[probability_value]]*FMECA[[#This Row],[consequence_value]]</f>
        <v>40</v>
      </c>
      <c r="O90"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90" s="10" t="s">
        <v>777</v>
      </c>
      <c r="Q90" t="s">
        <v>778</v>
      </c>
      <c r="R90" t="s">
        <v>771</v>
      </c>
      <c r="S90" t="s">
        <v>1788</v>
      </c>
      <c r="T90" t="s">
        <v>793</v>
      </c>
      <c r="U90" t="s">
        <v>1797</v>
      </c>
      <c r="V90" t="s">
        <v>466</v>
      </c>
      <c r="W90" t="s">
        <v>1798</v>
      </c>
      <c r="X90" t="s">
        <v>470</v>
      </c>
      <c r="AA90" t="s">
        <v>1162</v>
      </c>
    </row>
    <row r="91" spans="1:27" x14ac:dyDescent="0.2">
      <c r="A91" s="225" t="s">
        <v>54</v>
      </c>
      <c r="B91" t="s">
        <v>63</v>
      </c>
      <c r="C91" t="s">
        <v>73</v>
      </c>
      <c r="D91" t="s">
        <v>100</v>
      </c>
      <c r="E91" t="s">
        <v>98</v>
      </c>
      <c r="F91" s="226" t="s">
        <v>99</v>
      </c>
      <c r="G91" t="str">
        <f>_xlfn.XLOOKUP(FMECA[[#This Row],[HazardRisk_name]],categories[HazardRisk_Name],categories[HazardRisk])</f>
        <v>Risk</v>
      </c>
      <c r="H91" t="str">
        <f>_xlfn.XLOOKUP(FMECA[[#This Row],[HazardRisk_name]],categories[HazardRisk_Name],categories[Category])</f>
        <v>Pollutants</v>
      </c>
      <c r="I91" t="s">
        <v>627</v>
      </c>
      <c r="J91" s="10">
        <v>3</v>
      </c>
      <c r="K91" t="s">
        <v>1795</v>
      </c>
      <c r="L91" s="10">
        <v>10</v>
      </c>
      <c r="M91" t="s">
        <v>1795</v>
      </c>
      <c r="N91" s="10">
        <f>FMECA[[#This Row],[probability_value]]*FMECA[[#This Row],[consequence_value]]</f>
        <v>30</v>
      </c>
      <c r="O91" s="10" t="str">
        <f>IF(AND(FMECA[[#This Row],[Score]]&gt;=0, 9&gt;=FMECA[[#This Row],[Score]]), "UNDETECTABLE", IF(AND(FMECA[[#This Row],[Score]]&gt;=10, 24&gt;=FMECA[[#This Row],[Score]]), "MODERATE", IF(AND(FMECA[[#This Row],[Score]]&gt;=25, 35&gt;=FMECA[[#This Row],[Score]]), "HIGH", IF(AND(FMECA[[#This Row],[Score]]&gt;=36, 50&gt;=FMECA[[#This Row],[Score]]), "VERY HIGH", "Check Formula"))))</f>
        <v>HIGH</v>
      </c>
      <c r="P91" s="10" t="s">
        <v>777</v>
      </c>
      <c r="Q91" t="s">
        <v>778</v>
      </c>
      <c r="R91" t="s">
        <v>771</v>
      </c>
      <c r="S91" t="s">
        <v>1788</v>
      </c>
      <c r="T91" t="s">
        <v>793</v>
      </c>
      <c r="AA91" t="s">
        <v>1162</v>
      </c>
    </row>
    <row r="92" spans="1:27" x14ac:dyDescent="0.2">
      <c r="A92" s="225" t="s">
        <v>54</v>
      </c>
      <c r="B92" t="s">
        <v>63</v>
      </c>
      <c r="C92" t="s">
        <v>73</v>
      </c>
      <c r="D92" t="s">
        <v>100</v>
      </c>
      <c r="E92" t="s">
        <v>98</v>
      </c>
      <c r="F92" s="226" t="s">
        <v>99</v>
      </c>
      <c r="G92" t="str">
        <f>_xlfn.XLOOKUP(FMECA[[#This Row],[HazardRisk_name]],categories[HazardRisk_Name],categories[HazardRisk])</f>
        <v>Risk</v>
      </c>
      <c r="H92" t="str">
        <f>_xlfn.XLOOKUP(FMECA[[#This Row],[HazardRisk_name]],categories[HazardRisk_Name],categories[Category])</f>
        <v>Environmental</v>
      </c>
      <c r="I92" t="s">
        <v>553</v>
      </c>
      <c r="J92" s="10">
        <v>4</v>
      </c>
      <c r="K92" t="s">
        <v>1794</v>
      </c>
      <c r="L92" s="10">
        <v>7</v>
      </c>
      <c r="M92" t="s">
        <v>1794</v>
      </c>
      <c r="N92" s="10">
        <f>FMECA[[#This Row],[probability_value]]*FMECA[[#This Row],[consequence_value]]</f>
        <v>28</v>
      </c>
      <c r="O92" s="10" t="str">
        <f>IF(AND(FMECA[[#This Row],[Score]]&gt;=0, 9&gt;=FMECA[[#This Row],[Score]]), "UNDETECTABLE", IF(AND(FMECA[[#This Row],[Score]]&gt;=10, 24&gt;=FMECA[[#This Row],[Score]]), "MODERATE", IF(AND(FMECA[[#This Row],[Score]]&gt;=25, 35&gt;=FMECA[[#This Row],[Score]]), "HIGH", IF(AND(FMECA[[#This Row],[Score]]&gt;=36, 50&gt;=FMECA[[#This Row],[Score]]), "VERY HIGH", "Check Formula"))))</f>
        <v>HIGH</v>
      </c>
      <c r="P92" s="10" t="s">
        <v>777</v>
      </c>
      <c r="Q92" t="s">
        <v>778</v>
      </c>
      <c r="R92" t="s">
        <v>771</v>
      </c>
      <c r="S92" t="s">
        <v>1788</v>
      </c>
      <c r="T92" t="s">
        <v>793</v>
      </c>
      <c r="AA92" t="s">
        <v>1162</v>
      </c>
    </row>
    <row r="93" spans="1:27" x14ac:dyDescent="0.2">
      <c r="A93" s="225" t="s">
        <v>55</v>
      </c>
      <c r="B93" t="s">
        <v>63</v>
      </c>
      <c r="C93" t="s">
        <v>73</v>
      </c>
      <c r="D93" s="9" t="s">
        <v>106</v>
      </c>
      <c r="E93" t="s">
        <v>101</v>
      </c>
      <c r="F93" s="226" t="s">
        <v>102</v>
      </c>
      <c r="G93" t="str">
        <f>_xlfn.XLOOKUP(FMECA[[#This Row],[HazardRisk_name]],categories[HazardRisk_Name],categories[HazardRisk])</f>
        <v>Risk</v>
      </c>
      <c r="H93" t="str">
        <f>_xlfn.XLOOKUP(FMECA[[#This Row],[HazardRisk_name]],categories[HazardRisk_Name],categories[Category])</f>
        <v>Assessment</v>
      </c>
      <c r="I93" t="s">
        <v>623</v>
      </c>
      <c r="J93" s="10">
        <v>5</v>
      </c>
      <c r="K93" t="s">
        <v>1817</v>
      </c>
      <c r="L93" s="10">
        <v>4</v>
      </c>
      <c r="M93" t="s">
        <v>1817</v>
      </c>
      <c r="N93" s="10">
        <f>FMECA[[#This Row],[probability_value]]*FMECA[[#This Row],[consequence_value]]</f>
        <v>20</v>
      </c>
      <c r="O9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93" s="10" t="s">
        <v>770</v>
      </c>
      <c r="Q93" t="s">
        <v>1162</v>
      </c>
      <c r="R93" t="s">
        <v>780</v>
      </c>
      <c r="S93" t="s">
        <v>1814</v>
      </c>
      <c r="T93" t="s">
        <v>793</v>
      </c>
      <c r="U93" t="s">
        <v>1820</v>
      </c>
      <c r="V93" t="s">
        <v>466</v>
      </c>
      <c r="AA93" t="s">
        <v>1162</v>
      </c>
    </row>
    <row r="94" spans="1:27" x14ac:dyDescent="0.2">
      <c r="A94" s="225" t="s">
        <v>55</v>
      </c>
      <c r="B94" t="s">
        <v>63</v>
      </c>
      <c r="C94" t="s">
        <v>73</v>
      </c>
      <c r="D94" s="9" t="s">
        <v>106</v>
      </c>
      <c r="E94" t="s">
        <v>101</v>
      </c>
      <c r="F94" s="226" t="s">
        <v>102</v>
      </c>
      <c r="G94" t="str">
        <f>_xlfn.XLOOKUP(FMECA[[#This Row],[HazardRisk_name]],categories[HazardRisk_Name],categories[HazardRisk])</f>
        <v>Risk</v>
      </c>
      <c r="H94" t="str">
        <f>_xlfn.XLOOKUP(FMECA[[#This Row],[HazardRisk_name]],categories[HazardRisk_Name],categories[Category])</f>
        <v>Political</v>
      </c>
      <c r="I94" t="s">
        <v>711</v>
      </c>
      <c r="J94" s="10">
        <v>3</v>
      </c>
      <c r="K94" s="9" t="s">
        <v>1815</v>
      </c>
      <c r="L94" s="10">
        <v>3</v>
      </c>
      <c r="M94" s="9" t="s">
        <v>1815</v>
      </c>
      <c r="N94" s="10">
        <f>FMECA[[#This Row],[probability_value]]*FMECA[[#This Row],[consequence_value]]</f>
        <v>9</v>
      </c>
      <c r="O94"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94" s="10" t="s">
        <v>770</v>
      </c>
      <c r="Q94" t="s">
        <v>1162</v>
      </c>
      <c r="R94" t="s">
        <v>780</v>
      </c>
      <c r="S94" t="s">
        <v>1814</v>
      </c>
      <c r="T94" t="s">
        <v>793</v>
      </c>
      <c r="U94" t="s">
        <v>1822</v>
      </c>
      <c r="V94" t="s">
        <v>470</v>
      </c>
      <c r="W94" t="s">
        <v>1821</v>
      </c>
      <c r="X94" t="s">
        <v>470</v>
      </c>
      <c r="AA94" t="s">
        <v>1162</v>
      </c>
    </row>
    <row r="95" spans="1:27" x14ac:dyDescent="0.2">
      <c r="A95" s="225" t="s">
        <v>55</v>
      </c>
      <c r="B95" t="s">
        <v>63</v>
      </c>
      <c r="C95" t="s">
        <v>73</v>
      </c>
      <c r="D95" s="9" t="s">
        <v>106</v>
      </c>
      <c r="E95" t="s">
        <v>101</v>
      </c>
      <c r="F95" s="226" t="s">
        <v>102</v>
      </c>
      <c r="G95" t="str">
        <f>_xlfn.XLOOKUP(FMECA[[#This Row],[HazardRisk_name]],categories[HazardRisk_Name],categories[HazardRisk])</f>
        <v>Risk</v>
      </c>
      <c r="H95" t="str">
        <f>_xlfn.XLOOKUP(FMECA[[#This Row],[HazardRisk_name]],categories[HazardRisk_Name],categories[Category])</f>
        <v>Social</v>
      </c>
      <c r="I95" t="s">
        <v>569</v>
      </c>
      <c r="J95" s="10">
        <v>5</v>
      </c>
      <c r="K95" s="9" t="s">
        <v>1815</v>
      </c>
      <c r="L95" s="10">
        <v>7</v>
      </c>
      <c r="M95" s="9" t="s">
        <v>1815</v>
      </c>
      <c r="N95" s="10">
        <f>FMECA[[#This Row],[probability_value]]*FMECA[[#This Row],[consequence_value]]</f>
        <v>35</v>
      </c>
      <c r="O95" s="10" t="str">
        <f>IF(AND(FMECA[[#This Row],[Score]]&gt;=0, 9&gt;=FMECA[[#This Row],[Score]]), "UNDETECTABLE", IF(AND(FMECA[[#This Row],[Score]]&gt;=10, 24&gt;=FMECA[[#This Row],[Score]]), "MODERATE", IF(AND(FMECA[[#This Row],[Score]]&gt;=25, 35&gt;=FMECA[[#This Row],[Score]]), "HIGH", IF(AND(FMECA[[#This Row],[Score]]&gt;=36, 50&gt;=FMECA[[#This Row],[Score]]), "VERY HIGH", "Check Formula"))))</f>
        <v>HIGH</v>
      </c>
      <c r="P95" s="10" t="s">
        <v>770</v>
      </c>
      <c r="Q95" t="s">
        <v>1162</v>
      </c>
      <c r="R95" t="s">
        <v>780</v>
      </c>
      <c r="S95" t="s">
        <v>1814</v>
      </c>
      <c r="T95" t="s">
        <v>793</v>
      </c>
      <c r="U95" t="s">
        <v>1822</v>
      </c>
      <c r="V95" t="s">
        <v>470</v>
      </c>
      <c r="W95" t="s">
        <v>1821</v>
      </c>
      <c r="X95" t="s">
        <v>470</v>
      </c>
      <c r="AA95" t="s">
        <v>1162</v>
      </c>
    </row>
    <row r="96" spans="1:27" x14ac:dyDescent="0.2">
      <c r="A96" s="225" t="s">
        <v>55</v>
      </c>
      <c r="B96" t="s">
        <v>63</v>
      </c>
      <c r="C96" t="s">
        <v>73</v>
      </c>
      <c r="D96" s="9" t="s">
        <v>106</v>
      </c>
      <c r="E96" t="s">
        <v>101</v>
      </c>
      <c r="F96" s="226" t="s">
        <v>102</v>
      </c>
      <c r="G96" t="str">
        <f>_xlfn.XLOOKUP(FMECA[[#This Row],[HazardRisk_name]],categories[HazardRisk_Name],categories[HazardRisk])</f>
        <v>Hazard</v>
      </c>
      <c r="H96" t="str">
        <f>_xlfn.XLOOKUP(FMECA[[#This Row],[HazardRisk_name]],categories[HazardRisk_Name],categories[Category])</f>
        <v>Sea Ice</v>
      </c>
      <c r="I96" t="s">
        <v>563</v>
      </c>
      <c r="J96" s="10">
        <v>3</v>
      </c>
      <c r="K96" t="s">
        <v>1816</v>
      </c>
      <c r="L96" s="10">
        <v>5</v>
      </c>
      <c r="M96" t="s">
        <v>1816</v>
      </c>
      <c r="N96" s="10">
        <f>FMECA[[#This Row],[probability_value]]*FMECA[[#This Row],[consequence_value]]</f>
        <v>15</v>
      </c>
      <c r="O9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96" s="10" t="s">
        <v>770</v>
      </c>
      <c r="Q96" t="s">
        <v>1162</v>
      </c>
      <c r="R96" t="s">
        <v>780</v>
      </c>
      <c r="S96" t="s">
        <v>1814</v>
      </c>
      <c r="T96" t="s">
        <v>793</v>
      </c>
      <c r="AA96" t="s">
        <v>1162</v>
      </c>
    </row>
    <row r="97" spans="1:27" x14ac:dyDescent="0.2">
      <c r="A97" s="225" t="s">
        <v>55</v>
      </c>
      <c r="B97" t="s">
        <v>63</v>
      </c>
      <c r="C97" t="s">
        <v>73</v>
      </c>
      <c r="D97" s="9" t="s">
        <v>106</v>
      </c>
      <c r="E97" t="s">
        <v>101</v>
      </c>
      <c r="F97" s="226" t="s">
        <v>102</v>
      </c>
      <c r="G97" t="str">
        <f>_xlfn.XLOOKUP(FMECA[[#This Row],[HazardRisk_name]],categories[HazardRisk_Name],categories[HazardRisk])</f>
        <v>Risk</v>
      </c>
      <c r="H97" t="str">
        <f>_xlfn.XLOOKUP(FMECA[[#This Row],[HazardRisk_name]],categories[HazardRisk_Name],categories[Category])</f>
        <v>Economic</v>
      </c>
      <c r="I97" t="s">
        <v>463</v>
      </c>
      <c r="J97" s="10">
        <v>5</v>
      </c>
      <c r="K97" t="s">
        <v>1815</v>
      </c>
      <c r="L97" s="10">
        <v>4</v>
      </c>
      <c r="M97" t="s">
        <v>1815</v>
      </c>
      <c r="N97" s="10">
        <f>FMECA[[#This Row],[probability_value]]*FMECA[[#This Row],[consequence_value]]</f>
        <v>20</v>
      </c>
      <c r="O9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97" s="10" t="s">
        <v>770</v>
      </c>
      <c r="Q97" t="s">
        <v>1162</v>
      </c>
      <c r="R97" t="s">
        <v>780</v>
      </c>
      <c r="S97" t="s">
        <v>1814</v>
      </c>
      <c r="T97" t="s">
        <v>793</v>
      </c>
      <c r="U97" t="s">
        <v>1822</v>
      </c>
      <c r="V97" t="s">
        <v>470</v>
      </c>
      <c r="W97" t="s">
        <v>1821</v>
      </c>
      <c r="X97" t="s">
        <v>470</v>
      </c>
      <c r="AA97" t="s">
        <v>1162</v>
      </c>
    </row>
    <row r="98" spans="1:27" x14ac:dyDescent="0.2">
      <c r="A98" s="225" t="s">
        <v>55</v>
      </c>
      <c r="B98" t="s">
        <v>63</v>
      </c>
      <c r="C98" t="s">
        <v>73</v>
      </c>
      <c r="D98" s="9" t="s">
        <v>106</v>
      </c>
      <c r="E98" t="s">
        <v>101</v>
      </c>
      <c r="F98" s="226" t="s">
        <v>102</v>
      </c>
      <c r="G98" t="str">
        <f>_xlfn.XLOOKUP(FMECA[[#This Row],[HazardRisk_name]],categories[HazardRisk_Name],categories[HazardRisk])</f>
        <v>Risk</v>
      </c>
      <c r="H98" t="str">
        <f>_xlfn.XLOOKUP(FMECA[[#This Row],[HazardRisk_name]],categories[HazardRisk_Name],categories[Category])</f>
        <v>Political</v>
      </c>
      <c r="I98" t="s">
        <v>622</v>
      </c>
      <c r="J98" s="10">
        <v>3</v>
      </c>
      <c r="K98" t="s">
        <v>1818</v>
      </c>
      <c r="L98" s="10">
        <v>7</v>
      </c>
      <c r="M98" t="s">
        <v>1818</v>
      </c>
      <c r="N98" s="10">
        <f>FMECA[[#This Row],[probability_value]]*FMECA[[#This Row],[consequence_value]]</f>
        <v>21</v>
      </c>
      <c r="O9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98" s="10" t="s">
        <v>770</v>
      </c>
      <c r="Q98" t="s">
        <v>1162</v>
      </c>
      <c r="R98" t="s">
        <v>780</v>
      </c>
      <c r="S98" t="s">
        <v>1814</v>
      </c>
      <c r="T98" t="s">
        <v>793</v>
      </c>
      <c r="W98" t="s">
        <v>1823</v>
      </c>
      <c r="X98" t="s">
        <v>470</v>
      </c>
      <c r="AA98" t="s">
        <v>1162</v>
      </c>
    </row>
    <row r="99" spans="1:27" x14ac:dyDescent="0.2">
      <c r="A99" s="225" t="s">
        <v>55</v>
      </c>
      <c r="B99" t="s">
        <v>63</v>
      </c>
      <c r="C99" t="s">
        <v>73</v>
      </c>
      <c r="D99" s="9" t="s">
        <v>106</v>
      </c>
      <c r="E99" t="s">
        <v>101</v>
      </c>
      <c r="F99" s="226" t="s">
        <v>102</v>
      </c>
      <c r="G99" t="str">
        <f>_xlfn.XLOOKUP(FMECA[[#This Row],[HazardRisk_name]],categories[HazardRisk_Name],categories[HazardRisk])</f>
        <v>Risk</v>
      </c>
      <c r="H99" t="str">
        <f>_xlfn.XLOOKUP(FMECA[[#This Row],[HazardRisk_name]],categories[HazardRisk_Name],categories[Category])</f>
        <v>Navigational</v>
      </c>
      <c r="I99" t="s">
        <v>474</v>
      </c>
      <c r="J99" s="10">
        <v>3</v>
      </c>
      <c r="K99" t="s">
        <v>1819</v>
      </c>
      <c r="L99" s="10">
        <v>4</v>
      </c>
      <c r="M99" t="s">
        <v>1819</v>
      </c>
      <c r="N99" s="10">
        <f>FMECA[[#This Row],[probability_value]]*FMECA[[#This Row],[consequence_value]]</f>
        <v>12</v>
      </c>
      <c r="O9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99" s="10" t="s">
        <v>770</v>
      </c>
      <c r="Q99" t="s">
        <v>1162</v>
      </c>
      <c r="R99" t="s">
        <v>780</v>
      </c>
      <c r="S99" t="s">
        <v>1814</v>
      </c>
      <c r="T99" t="s">
        <v>1132</v>
      </c>
      <c r="U99" t="s">
        <v>1824</v>
      </c>
      <c r="V99" t="s">
        <v>470</v>
      </c>
      <c r="AA99" t="s">
        <v>1162</v>
      </c>
    </row>
    <row r="100" spans="1:27" x14ac:dyDescent="0.2">
      <c r="A100" s="225" t="s">
        <v>56</v>
      </c>
      <c r="B100" t="s">
        <v>63</v>
      </c>
      <c r="C100" t="s">
        <v>73</v>
      </c>
      <c r="D100" s="9" t="s">
        <v>107</v>
      </c>
      <c r="E100" t="s">
        <v>103</v>
      </c>
      <c r="F100" s="226" t="s">
        <v>545</v>
      </c>
      <c r="G100" t="str">
        <f>_xlfn.XLOOKUP(FMECA[[#This Row],[HazardRisk_name]],categories[HazardRisk_Name],categories[HazardRisk])</f>
        <v>Hazard</v>
      </c>
      <c r="H100" t="str">
        <f>_xlfn.XLOOKUP(FMECA[[#This Row],[HazardRisk_name]],categories[HazardRisk_Name],categories[Category])</f>
        <v>Sea Ice</v>
      </c>
      <c r="I100" t="s">
        <v>563</v>
      </c>
      <c r="J100" s="10">
        <v>5</v>
      </c>
      <c r="K100" t="s">
        <v>1765</v>
      </c>
      <c r="L100" s="10">
        <v>7</v>
      </c>
      <c r="M100" t="s">
        <v>1765</v>
      </c>
      <c r="N100" s="10">
        <f>FMECA[[#This Row],[probability_value]]*FMECA[[#This Row],[consequence_value]]</f>
        <v>35</v>
      </c>
      <c r="O100" s="10" t="str">
        <f>IF(AND(FMECA[[#This Row],[Score]]&gt;=0, 9&gt;=FMECA[[#This Row],[Score]]), "UNDETECTABLE", IF(AND(FMECA[[#This Row],[Score]]&gt;=10, 24&gt;=FMECA[[#This Row],[Score]]), "MODERATE", IF(AND(FMECA[[#This Row],[Score]]&gt;=25, 35&gt;=FMECA[[#This Row],[Score]]), "HIGH", IF(AND(FMECA[[#This Row],[Score]]&gt;=36, 50&gt;=FMECA[[#This Row],[Score]]), "VERY HIGH", "Check Formula"))))</f>
        <v>HIGH</v>
      </c>
      <c r="P100" s="10" t="s">
        <v>785</v>
      </c>
      <c r="Q100" t="s">
        <v>1162</v>
      </c>
      <c r="R100" t="s">
        <v>780</v>
      </c>
      <c r="S100" t="s">
        <v>1162</v>
      </c>
      <c r="W100" t="s">
        <v>1767</v>
      </c>
      <c r="X100" t="s">
        <v>466</v>
      </c>
      <c r="AA100" t="s">
        <v>1162</v>
      </c>
    </row>
    <row r="101" spans="1:27" x14ac:dyDescent="0.2">
      <c r="A101" s="225" t="s">
        <v>56</v>
      </c>
      <c r="B101" t="s">
        <v>63</v>
      </c>
      <c r="C101" t="s">
        <v>73</v>
      </c>
      <c r="D101" s="9" t="s">
        <v>107</v>
      </c>
      <c r="E101" t="s">
        <v>103</v>
      </c>
      <c r="F101" s="226" t="s">
        <v>545</v>
      </c>
      <c r="G101" t="str">
        <f>_xlfn.XLOOKUP(FMECA[[#This Row],[HazardRisk_name]],categories[HazardRisk_Name],categories[HazardRisk])</f>
        <v>Risk</v>
      </c>
      <c r="H101" t="str">
        <f>_xlfn.XLOOKUP(FMECA[[#This Row],[HazardRisk_name]],categories[HazardRisk_Name],categories[Category])</f>
        <v>Pollutants</v>
      </c>
      <c r="I101" t="s">
        <v>546</v>
      </c>
      <c r="J101" s="10">
        <v>4</v>
      </c>
      <c r="K101" t="s">
        <v>1766</v>
      </c>
      <c r="L101" s="10">
        <v>7</v>
      </c>
      <c r="M101" t="s">
        <v>1766</v>
      </c>
      <c r="N101" s="10">
        <f>FMECA[[#This Row],[probability_value]]*FMECA[[#This Row],[consequence_value]]</f>
        <v>28</v>
      </c>
      <c r="O101" s="10" t="str">
        <f>IF(AND(FMECA[[#This Row],[Score]]&gt;=0, 9&gt;=FMECA[[#This Row],[Score]]), "UNDETECTABLE", IF(AND(FMECA[[#This Row],[Score]]&gt;=10, 24&gt;=FMECA[[#This Row],[Score]]), "MODERATE", IF(AND(FMECA[[#This Row],[Score]]&gt;=25, 35&gt;=FMECA[[#This Row],[Score]]), "HIGH", IF(AND(FMECA[[#This Row],[Score]]&gt;=36, 50&gt;=FMECA[[#This Row],[Score]]), "VERY HIGH", "Check Formula"))))</f>
        <v>HIGH</v>
      </c>
      <c r="P101" s="10" t="s">
        <v>785</v>
      </c>
      <c r="Q101" t="s">
        <v>1162</v>
      </c>
      <c r="R101" t="s">
        <v>780</v>
      </c>
      <c r="S101" t="s">
        <v>1162</v>
      </c>
      <c r="W101" t="s">
        <v>1768</v>
      </c>
      <c r="X101" t="s">
        <v>466</v>
      </c>
      <c r="AA101" t="s">
        <v>1162</v>
      </c>
    </row>
    <row r="102" spans="1:27" x14ac:dyDescent="0.2">
      <c r="A102" s="225" t="s">
        <v>56</v>
      </c>
      <c r="B102" t="s">
        <v>63</v>
      </c>
      <c r="C102" t="s">
        <v>73</v>
      </c>
      <c r="D102" s="9" t="s">
        <v>107</v>
      </c>
      <c r="E102" t="s">
        <v>103</v>
      </c>
      <c r="F102" s="226" t="s">
        <v>545</v>
      </c>
      <c r="G102" t="str">
        <f>_xlfn.XLOOKUP(FMECA[[#This Row],[HazardRisk_name]],categories[HazardRisk_Name],categories[HazardRisk])</f>
        <v>Risk</v>
      </c>
      <c r="H102" t="str">
        <f>_xlfn.XLOOKUP(FMECA[[#This Row],[HazardRisk_name]],categories[HazardRisk_Name],categories[Category])</f>
        <v>Sea Ice</v>
      </c>
      <c r="I102" t="s">
        <v>480</v>
      </c>
      <c r="J102" s="10">
        <v>4</v>
      </c>
      <c r="K102" t="s">
        <v>1769</v>
      </c>
      <c r="L102" s="10">
        <v>10</v>
      </c>
      <c r="M102" t="s">
        <v>1769</v>
      </c>
      <c r="N102" s="10">
        <f>FMECA[[#This Row],[probability_value]]*FMECA[[#This Row],[consequence_value]]</f>
        <v>40</v>
      </c>
      <c r="O102"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102" s="10" t="s">
        <v>785</v>
      </c>
      <c r="Q102" t="s">
        <v>1162</v>
      </c>
      <c r="R102" t="s">
        <v>780</v>
      </c>
      <c r="S102" t="s">
        <v>1162</v>
      </c>
      <c r="W102" t="s">
        <v>1770</v>
      </c>
      <c r="X102" t="s">
        <v>466</v>
      </c>
      <c r="AA102" t="s">
        <v>1162</v>
      </c>
    </row>
    <row r="103" spans="1:27" x14ac:dyDescent="0.2">
      <c r="A103" s="225" t="s">
        <v>56</v>
      </c>
      <c r="B103" t="s">
        <v>63</v>
      </c>
      <c r="C103" t="s">
        <v>73</v>
      </c>
      <c r="D103" s="9" t="s">
        <v>107</v>
      </c>
      <c r="E103" t="s">
        <v>103</v>
      </c>
      <c r="F103" s="226" t="s">
        <v>545</v>
      </c>
      <c r="G103" t="str">
        <f>_xlfn.XLOOKUP(FMECA[[#This Row],[HazardRisk_name]],categories[HazardRisk_Name],categories[HazardRisk])</f>
        <v>Risk</v>
      </c>
      <c r="H103" t="str">
        <f>_xlfn.XLOOKUP(FMECA[[#This Row],[HazardRisk_name]],categories[HazardRisk_Name],categories[Category])</f>
        <v>Pollutants</v>
      </c>
      <c r="I103" t="s">
        <v>547</v>
      </c>
      <c r="J103" s="10">
        <v>4</v>
      </c>
      <c r="K103" t="s">
        <v>1771</v>
      </c>
      <c r="L103" s="10">
        <v>4</v>
      </c>
      <c r="M103" t="s">
        <v>1771</v>
      </c>
      <c r="N103" s="10">
        <f>FMECA[[#This Row],[probability_value]]*FMECA[[#This Row],[consequence_value]]</f>
        <v>16</v>
      </c>
      <c r="O10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03" s="10" t="s">
        <v>785</v>
      </c>
      <c r="Q103" t="s">
        <v>1162</v>
      </c>
      <c r="R103" t="s">
        <v>780</v>
      </c>
      <c r="S103" t="s">
        <v>1162</v>
      </c>
      <c r="W103" t="s">
        <v>1770</v>
      </c>
      <c r="X103" t="s">
        <v>466</v>
      </c>
      <c r="AA103" t="s">
        <v>1162</v>
      </c>
    </row>
    <row r="104" spans="1:27" x14ac:dyDescent="0.2">
      <c r="A104" s="225" t="s">
        <v>57</v>
      </c>
      <c r="B104" t="s">
        <v>63</v>
      </c>
      <c r="C104" t="s">
        <v>73</v>
      </c>
      <c r="D104" s="9" t="s">
        <v>108</v>
      </c>
      <c r="E104" t="s">
        <v>104</v>
      </c>
      <c r="F104" s="226" t="s">
        <v>105</v>
      </c>
      <c r="G104" t="str">
        <f>_xlfn.XLOOKUP(FMECA[[#This Row],[HazardRisk_name]],categories[HazardRisk_Name],categories[HazardRisk])</f>
        <v>Risk</v>
      </c>
      <c r="H104" t="str">
        <f>_xlfn.XLOOKUP(FMECA[[#This Row],[HazardRisk_name]],categories[HazardRisk_Name],categories[Category])</f>
        <v>Environmental</v>
      </c>
      <c r="I104" t="s">
        <v>1219</v>
      </c>
      <c r="J104" s="10">
        <v>5</v>
      </c>
      <c r="K104" t="s">
        <v>1843</v>
      </c>
      <c r="L104" s="10">
        <v>7</v>
      </c>
      <c r="M104" t="s">
        <v>1843</v>
      </c>
      <c r="N104" s="10">
        <f>FMECA[[#This Row],[probability_value]]*FMECA[[#This Row],[consequence_value]]</f>
        <v>35</v>
      </c>
      <c r="O104" s="10" t="str">
        <f>IF(AND(FMECA[[#This Row],[Score]]&gt;=0, 9&gt;=FMECA[[#This Row],[Score]]), "UNDETECTABLE", IF(AND(FMECA[[#This Row],[Score]]&gt;=10, 24&gt;=FMECA[[#This Row],[Score]]), "MODERATE", IF(AND(FMECA[[#This Row],[Score]]&gt;=25, 35&gt;=FMECA[[#This Row],[Score]]), "HIGH", IF(AND(FMECA[[#This Row],[Score]]&gt;=36, 50&gt;=FMECA[[#This Row],[Score]]), "VERY HIGH", "Check Formula"))))</f>
        <v>HIGH</v>
      </c>
      <c r="P104" s="10" t="s">
        <v>777</v>
      </c>
      <c r="Q104" t="s">
        <v>778</v>
      </c>
      <c r="R104" t="s">
        <v>780</v>
      </c>
      <c r="S104" t="s">
        <v>1788</v>
      </c>
      <c r="T104" t="s">
        <v>793</v>
      </c>
      <c r="U104" t="s">
        <v>1845</v>
      </c>
      <c r="V104" t="s">
        <v>466</v>
      </c>
      <c r="W104" t="s">
        <v>1844</v>
      </c>
      <c r="X104" t="s">
        <v>466</v>
      </c>
      <c r="AA104" t="s">
        <v>1162</v>
      </c>
    </row>
    <row r="105" spans="1:27" x14ac:dyDescent="0.2">
      <c r="A105" s="225" t="s">
        <v>57</v>
      </c>
      <c r="B105" t="s">
        <v>63</v>
      </c>
      <c r="C105" t="s">
        <v>73</v>
      </c>
      <c r="D105" s="9" t="s">
        <v>108</v>
      </c>
      <c r="E105" t="s">
        <v>104</v>
      </c>
      <c r="F105" s="226" t="s">
        <v>105</v>
      </c>
      <c r="G105" t="str">
        <f>_xlfn.XLOOKUP(FMECA[[#This Row],[HazardRisk_name]],categories[HazardRisk_Name],categories[HazardRisk])</f>
        <v>Risk</v>
      </c>
      <c r="H105" t="str">
        <f>_xlfn.XLOOKUP(FMECA[[#This Row],[HazardRisk_name]],categories[HazardRisk_Name],categories[Category])</f>
        <v>Navigational</v>
      </c>
      <c r="I105" t="s">
        <v>635</v>
      </c>
      <c r="J105" s="10">
        <v>3</v>
      </c>
      <c r="K105" t="s">
        <v>1834</v>
      </c>
      <c r="L105" s="10">
        <v>7</v>
      </c>
      <c r="M105" t="s">
        <v>1834</v>
      </c>
      <c r="N105" s="10">
        <f>FMECA[[#This Row],[probability_value]]*FMECA[[#This Row],[consequence_value]]</f>
        <v>21</v>
      </c>
      <c r="O10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05" s="10" t="s">
        <v>777</v>
      </c>
      <c r="Q105" t="s">
        <v>778</v>
      </c>
      <c r="R105" t="s">
        <v>780</v>
      </c>
      <c r="S105" t="s">
        <v>1788</v>
      </c>
      <c r="T105" t="s">
        <v>793</v>
      </c>
      <c r="U105" t="s">
        <v>1835</v>
      </c>
      <c r="V105" t="s">
        <v>470</v>
      </c>
      <c r="W105" t="s">
        <v>1836</v>
      </c>
      <c r="X105" t="s">
        <v>470</v>
      </c>
      <c r="AA105" t="s">
        <v>1162</v>
      </c>
    </row>
    <row r="106" spans="1:27" x14ac:dyDescent="0.2">
      <c r="A106" s="225" t="s">
        <v>57</v>
      </c>
      <c r="B106" t="s">
        <v>63</v>
      </c>
      <c r="C106" t="s">
        <v>73</v>
      </c>
      <c r="D106" s="9" t="s">
        <v>108</v>
      </c>
      <c r="E106" t="s">
        <v>104</v>
      </c>
      <c r="F106" s="226" t="s">
        <v>105</v>
      </c>
      <c r="G106" t="str">
        <f>_xlfn.XLOOKUP(FMECA[[#This Row],[HazardRisk_name]],categories[HazardRisk_Name],categories[HazardRisk])</f>
        <v>Risk</v>
      </c>
      <c r="H106" t="str">
        <f>_xlfn.XLOOKUP(FMECA[[#This Row],[HazardRisk_name]],categories[HazardRisk_Name],categories[Category])</f>
        <v>Social</v>
      </c>
      <c r="I106" t="s">
        <v>621</v>
      </c>
      <c r="J106" s="10">
        <v>3</v>
      </c>
      <c r="K106" t="s">
        <v>1837</v>
      </c>
      <c r="L106" s="10">
        <v>4</v>
      </c>
      <c r="M106" t="s">
        <v>1837</v>
      </c>
      <c r="N106" s="10">
        <f>FMECA[[#This Row],[probability_value]]*FMECA[[#This Row],[consequence_value]]</f>
        <v>12</v>
      </c>
      <c r="O10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06" s="10" t="s">
        <v>777</v>
      </c>
      <c r="Q106" t="s">
        <v>778</v>
      </c>
      <c r="R106" t="s">
        <v>780</v>
      </c>
      <c r="S106" t="s">
        <v>1788</v>
      </c>
      <c r="T106" t="s">
        <v>793</v>
      </c>
      <c r="U106" t="s">
        <v>1835</v>
      </c>
      <c r="V106" t="s">
        <v>470</v>
      </c>
      <c r="W106" t="s">
        <v>1838</v>
      </c>
      <c r="X106" t="s">
        <v>449</v>
      </c>
      <c r="AA106" t="s">
        <v>1162</v>
      </c>
    </row>
    <row r="107" spans="1:27" x14ac:dyDescent="0.2">
      <c r="A107" s="225" t="s">
        <v>57</v>
      </c>
      <c r="B107" t="s">
        <v>63</v>
      </c>
      <c r="C107" t="s">
        <v>73</v>
      </c>
      <c r="D107" s="9" t="s">
        <v>108</v>
      </c>
      <c r="E107" t="s">
        <v>104</v>
      </c>
      <c r="F107" s="226" t="s">
        <v>105</v>
      </c>
      <c r="G107" t="str">
        <f>_xlfn.XLOOKUP(FMECA[[#This Row],[HazardRisk_name]],categories[HazardRisk_Name],categories[HazardRisk])</f>
        <v>Hazard</v>
      </c>
      <c r="H107" t="str">
        <f>_xlfn.XLOOKUP(FMECA[[#This Row],[HazardRisk_name]],categories[HazardRisk_Name],categories[Category])</f>
        <v>Sea Ice</v>
      </c>
      <c r="I107" t="s">
        <v>563</v>
      </c>
      <c r="J107" s="10">
        <v>4</v>
      </c>
      <c r="K107" t="s">
        <v>1839</v>
      </c>
      <c r="L107" s="10">
        <v>7</v>
      </c>
      <c r="M107" t="s">
        <v>1839</v>
      </c>
      <c r="N107" s="10">
        <f>FMECA[[#This Row],[probability_value]]*FMECA[[#This Row],[consequence_value]]</f>
        <v>28</v>
      </c>
      <c r="O107" s="10" t="str">
        <f>IF(AND(FMECA[[#This Row],[Score]]&gt;=0, 9&gt;=FMECA[[#This Row],[Score]]), "UNDETECTABLE", IF(AND(FMECA[[#This Row],[Score]]&gt;=10, 24&gt;=FMECA[[#This Row],[Score]]), "MODERATE", IF(AND(FMECA[[#This Row],[Score]]&gt;=25, 35&gt;=FMECA[[#This Row],[Score]]), "HIGH", IF(AND(FMECA[[#This Row],[Score]]&gt;=36, 50&gt;=FMECA[[#This Row],[Score]]), "VERY HIGH", "Check Formula"))))</f>
        <v>HIGH</v>
      </c>
      <c r="P107" s="10" t="s">
        <v>777</v>
      </c>
      <c r="Q107" t="s">
        <v>778</v>
      </c>
      <c r="R107" t="s">
        <v>780</v>
      </c>
      <c r="S107" t="s">
        <v>1788</v>
      </c>
      <c r="T107" t="s">
        <v>793</v>
      </c>
      <c r="U107" t="s">
        <v>1840</v>
      </c>
      <c r="V107" t="s">
        <v>470</v>
      </c>
      <c r="W107" t="s">
        <v>1841</v>
      </c>
      <c r="X107" t="s">
        <v>466</v>
      </c>
      <c r="AA107" t="s">
        <v>1162</v>
      </c>
    </row>
    <row r="108" spans="1:27" x14ac:dyDescent="0.2">
      <c r="A108" s="225" t="s">
        <v>57</v>
      </c>
      <c r="B108" t="s">
        <v>63</v>
      </c>
      <c r="C108" t="s">
        <v>73</v>
      </c>
      <c r="D108" s="9" t="s">
        <v>108</v>
      </c>
      <c r="E108" t="s">
        <v>104</v>
      </c>
      <c r="F108" s="226" t="s">
        <v>105</v>
      </c>
      <c r="G108" t="str">
        <f>_xlfn.XLOOKUP(FMECA[[#This Row],[HazardRisk_name]],categories[HazardRisk_Name],categories[HazardRisk])</f>
        <v>Hazard</v>
      </c>
      <c r="H108" t="str">
        <f>_xlfn.XLOOKUP(FMECA[[#This Row],[HazardRisk_name]],categories[HazardRisk_Name],categories[Category])</f>
        <v>Environmental</v>
      </c>
      <c r="I108" t="s">
        <v>724</v>
      </c>
      <c r="J108" s="10">
        <v>4</v>
      </c>
      <c r="K108" t="s">
        <v>1842</v>
      </c>
      <c r="L108" s="10">
        <v>10</v>
      </c>
      <c r="M108" t="s">
        <v>1842</v>
      </c>
      <c r="N108" s="10">
        <f>FMECA[[#This Row],[probability_value]]*FMECA[[#This Row],[consequence_value]]</f>
        <v>40</v>
      </c>
      <c r="O108"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108" s="10" t="s">
        <v>777</v>
      </c>
      <c r="Q108" t="s">
        <v>778</v>
      </c>
      <c r="R108" t="s">
        <v>780</v>
      </c>
      <c r="S108" t="s">
        <v>1788</v>
      </c>
      <c r="T108" t="s">
        <v>793</v>
      </c>
      <c r="AA108" t="s">
        <v>1162</v>
      </c>
    </row>
    <row r="109" spans="1:27" x14ac:dyDescent="0.2">
      <c r="A109" s="225" t="s">
        <v>57</v>
      </c>
      <c r="B109" t="s">
        <v>63</v>
      </c>
      <c r="C109" t="s">
        <v>73</v>
      </c>
      <c r="D109" s="9" t="s">
        <v>108</v>
      </c>
      <c r="E109" t="s">
        <v>104</v>
      </c>
      <c r="F109" s="226" t="s">
        <v>105</v>
      </c>
      <c r="G109" t="str">
        <f>_xlfn.XLOOKUP(FMECA[[#This Row],[HazardRisk_name]],categories[HazardRisk_Name],categories[HazardRisk])</f>
        <v>Risk</v>
      </c>
      <c r="H109" t="str">
        <f>_xlfn.XLOOKUP(FMECA[[#This Row],[HazardRisk_name]],categories[HazardRisk_Name],categories[Category])</f>
        <v>Political</v>
      </c>
      <c r="I109" t="s">
        <v>624</v>
      </c>
      <c r="J109" s="10">
        <v>5</v>
      </c>
      <c r="K109" t="s">
        <v>1853</v>
      </c>
      <c r="L109" s="10">
        <v>4</v>
      </c>
      <c r="M109" t="s">
        <v>1853</v>
      </c>
      <c r="N109" s="10">
        <f>FMECA[[#This Row],[probability_value]]*FMECA[[#This Row],[consequence_value]]</f>
        <v>20</v>
      </c>
      <c r="O10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09" s="10" t="s">
        <v>777</v>
      </c>
      <c r="Q109" t="s">
        <v>778</v>
      </c>
      <c r="R109" t="s">
        <v>780</v>
      </c>
      <c r="S109" t="s">
        <v>1788</v>
      </c>
      <c r="T109" t="s">
        <v>793</v>
      </c>
      <c r="U109" t="s">
        <v>1854</v>
      </c>
      <c r="V109" t="s">
        <v>470</v>
      </c>
      <c r="W109" t="s">
        <v>1855</v>
      </c>
      <c r="X109" t="s">
        <v>470</v>
      </c>
      <c r="AA109" t="s">
        <v>1162</v>
      </c>
    </row>
    <row r="110" spans="1:27" x14ac:dyDescent="0.2">
      <c r="A110" s="225" t="s">
        <v>57</v>
      </c>
      <c r="B110" t="s">
        <v>63</v>
      </c>
      <c r="C110" t="s">
        <v>73</v>
      </c>
      <c r="D110" s="9" t="s">
        <v>108</v>
      </c>
      <c r="E110" t="s">
        <v>104</v>
      </c>
      <c r="F110" s="226" t="s">
        <v>105</v>
      </c>
      <c r="G110" t="str">
        <f>_xlfn.XLOOKUP(FMECA[[#This Row],[HazardRisk_name]],categories[HazardRisk_Name],categories[HazardRisk])</f>
        <v>Risk</v>
      </c>
      <c r="H110" t="str">
        <f>_xlfn.XLOOKUP(FMECA[[#This Row],[HazardRisk_name]],categories[HazardRisk_Name],categories[Category])</f>
        <v>Political</v>
      </c>
      <c r="I110" t="s">
        <v>711</v>
      </c>
      <c r="J110" s="10">
        <v>5</v>
      </c>
      <c r="K110" t="s">
        <v>1849</v>
      </c>
      <c r="L110" s="10">
        <v>4</v>
      </c>
      <c r="M110" t="s">
        <v>1849</v>
      </c>
      <c r="N110" s="10">
        <f>FMECA[[#This Row],[probability_value]]*FMECA[[#This Row],[consequence_value]]</f>
        <v>20</v>
      </c>
      <c r="O11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10" s="10" t="s">
        <v>777</v>
      </c>
      <c r="Q110" t="s">
        <v>778</v>
      </c>
      <c r="R110" t="s">
        <v>780</v>
      </c>
      <c r="S110" t="s">
        <v>1788</v>
      </c>
      <c r="T110" t="s">
        <v>793</v>
      </c>
      <c r="U110" t="s">
        <v>1851</v>
      </c>
      <c r="V110" t="s">
        <v>466</v>
      </c>
      <c r="W110" t="s">
        <v>1852</v>
      </c>
      <c r="X110" t="s">
        <v>470</v>
      </c>
      <c r="Y110" t="s">
        <v>1674</v>
      </c>
      <c r="Z110" t="s">
        <v>1850</v>
      </c>
      <c r="AA110" t="s">
        <v>1162</v>
      </c>
    </row>
    <row r="111" spans="1:27" x14ac:dyDescent="0.2">
      <c r="A111" s="225" t="s">
        <v>57</v>
      </c>
      <c r="B111" t="s">
        <v>63</v>
      </c>
      <c r="C111" t="s">
        <v>73</v>
      </c>
      <c r="D111" s="9" t="s">
        <v>108</v>
      </c>
      <c r="E111" t="s">
        <v>104</v>
      </c>
      <c r="F111" s="226" t="s">
        <v>105</v>
      </c>
      <c r="G111" t="str">
        <f>_xlfn.XLOOKUP(FMECA[[#This Row],[HazardRisk_name]],categories[HazardRisk_Name],categories[HazardRisk])</f>
        <v>Risk</v>
      </c>
      <c r="H111" t="str">
        <f>_xlfn.XLOOKUP(FMECA[[#This Row],[HazardRisk_name]],categories[HazardRisk_Name],categories[Category])</f>
        <v>Environmental</v>
      </c>
      <c r="I111" t="s">
        <v>554</v>
      </c>
      <c r="J111" s="10">
        <v>4</v>
      </c>
      <c r="K111" t="s">
        <v>1846</v>
      </c>
      <c r="L111" s="10">
        <v>10</v>
      </c>
      <c r="M111" t="s">
        <v>1846</v>
      </c>
      <c r="N111" s="10">
        <f>FMECA[[#This Row],[probability_value]]*FMECA[[#This Row],[consequence_value]]</f>
        <v>40</v>
      </c>
      <c r="O111"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111" s="10" t="s">
        <v>777</v>
      </c>
      <c r="Q111" t="s">
        <v>778</v>
      </c>
      <c r="R111" t="s">
        <v>780</v>
      </c>
      <c r="S111" t="s">
        <v>1788</v>
      </c>
      <c r="T111" t="s">
        <v>793</v>
      </c>
      <c r="U111" t="s">
        <v>1848</v>
      </c>
      <c r="V111" t="s">
        <v>470</v>
      </c>
      <c r="W111" t="s">
        <v>1847</v>
      </c>
      <c r="X111" t="s">
        <v>466</v>
      </c>
      <c r="AA111" t="s">
        <v>1162</v>
      </c>
    </row>
    <row r="112" spans="1:27" x14ac:dyDescent="0.2">
      <c r="A112" s="225" t="s">
        <v>57</v>
      </c>
      <c r="B112" t="s">
        <v>63</v>
      </c>
      <c r="C112" t="s">
        <v>73</v>
      </c>
      <c r="D112" s="9" t="s">
        <v>108</v>
      </c>
      <c r="E112" t="s">
        <v>104</v>
      </c>
      <c r="F112" s="226" t="s">
        <v>105</v>
      </c>
      <c r="G112" t="str">
        <f>_xlfn.XLOOKUP(FMECA[[#This Row],[HazardRisk_name]],categories[HazardRisk_Name],categories[HazardRisk])</f>
        <v>Risk</v>
      </c>
      <c r="H112" t="str">
        <f>_xlfn.XLOOKUP(FMECA[[#This Row],[HazardRisk_name]],categories[HazardRisk_Name],categories[Category])</f>
        <v>Political</v>
      </c>
      <c r="I112" t="s">
        <v>540</v>
      </c>
      <c r="J112" s="10">
        <v>5</v>
      </c>
      <c r="K112" t="s">
        <v>1856</v>
      </c>
      <c r="L112" s="10">
        <v>7</v>
      </c>
      <c r="M112" t="s">
        <v>1856</v>
      </c>
      <c r="N112" s="10">
        <f>FMECA[[#This Row],[probability_value]]*FMECA[[#This Row],[consequence_value]]</f>
        <v>35</v>
      </c>
      <c r="O112" s="10" t="str">
        <f>IF(AND(FMECA[[#This Row],[Score]]&gt;=0, 9&gt;=FMECA[[#This Row],[Score]]), "UNDETECTABLE", IF(AND(FMECA[[#This Row],[Score]]&gt;=10, 24&gt;=FMECA[[#This Row],[Score]]), "MODERATE", IF(AND(FMECA[[#This Row],[Score]]&gt;=25, 35&gt;=FMECA[[#This Row],[Score]]), "HIGH", IF(AND(FMECA[[#This Row],[Score]]&gt;=36, 50&gt;=FMECA[[#This Row],[Score]]), "VERY HIGH", "Check Formula"))))</f>
        <v>HIGH</v>
      </c>
      <c r="P112" s="10" t="s">
        <v>777</v>
      </c>
      <c r="Q112" t="s">
        <v>778</v>
      </c>
      <c r="R112" t="s">
        <v>780</v>
      </c>
      <c r="S112" t="s">
        <v>1788</v>
      </c>
      <c r="T112" t="s">
        <v>793</v>
      </c>
      <c r="U112" t="s">
        <v>1857</v>
      </c>
      <c r="V112" t="s">
        <v>470</v>
      </c>
      <c r="W112" t="s">
        <v>1859</v>
      </c>
      <c r="X112" t="s">
        <v>466</v>
      </c>
      <c r="Y112" t="s">
        <v>1674</v>
      </c>
      <c r="Z112" t="s">
        <v>1858</v>
      </c>
      <c r="AA112" t="s">
        <v>1162</v>
      </c>
    </row>
    <row r="113" spans="1:27" x14ac:dyDescent="0.2">
      <c r="A113" s="225" t="s">
        <v>57</v>
      </c>
      <c r="B113" t="s">
        <v>63</v>
      </c>
      <c r="C113" t="s">
        <v>73</v>
      </c>
      <c r="D113" s="9" t="s">
        <v>108</v>
      </c>
      <c r="E113" t="s">
        <v>104</v>
      </c>
      <c r="F113" s="226" t="s">
        <v>105</v>
      </c>
      <c r="G113" t="str">
        <f>_xlfn.XLOOKUP(FMECA[[#This Row],[HazardRisk_name]],categories[HazardRisk_Name],categories[HazardRisk])</f>
        <v>Risk</v>
      </c>
      <c r="H113" t="str">
        <f>_xlfn.XLOOKUP(FMECA[[#This Row],[HazardRisk_name]],categories[HazardRisk_Name],categories[Category])</f>
        <v>Political</v>
      </c>
      <c r="I113" t="s">
        <v>622</v>
      </c>
      <c r="J113" s="10">
        <v>3</v>
      </c>
      <c r="K113" t="s">
        <v>1860</v>
      </c>
      <c r="L113" s="10">
        <v>4</v>
      </c>
      <c r="M113" t="s">
        <v>1860</v>
      </c>
      <c r="N113" s="10">
        <f>FMECA[[#This Row],[probability_value]]*FMECA[[#This Row],[consequence_value]]</f>
        <v>12</v>
      </c>
      <c r="O11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13" s="10" t="s">
        <v>777</v>
      </c>
      <c r="Q113" t="s">
        <v>778</v>
      </c>
      <c r="R113" t="s">
        <v>780</v>
      </c>
      <c r="S113" t="s">
        <v>1788</v>
      </c>
      <c r="T113" t="s">
        <v>793</v>
      </c>
      <c r="U113" t="s">
        <v>1861</v>
      </c>
      <c r="V113" t="s">
        <v>470</v>
      </c>
      <c r="W113" t="s">
        <v>1863</v>
      </c>
      <c r="X113" t="s">
        <v>466</v>
      </c>
      <c r="Y113" t="s">
        <v>1153</v>
      </c>
      <c r="Z113" t="s">
        <v>1862</v>
      </c>
      <c r="AA113" t="s">
        <v>1162</v>
      </c>
    </row>
    <row r="114" spans="1:27" x14ac:dyDescent="0.2">
      <c r="A114" s="225" t="s">
        <v>58</v>
      </c>
      <c r="B114" t="s">
        <v>63</v>
      </c>
      <c r="C114" t="s">
        <v>73</v>
      </c>
      <c r="D114" t="s">
        <v>111</v>
      </c>
      <c r="E114" t="s">
        <v>109</v>
      </c>
      <c r="F114" s="226" t="s">
        <v>110</v>
      </c>
      <c r="G114" t="str">
        <f>_xlfn.XLOOKUP(FMECA[[#This Row],[HazardRisk_name]],categories[HazardRisk_Name],categories[HazardRisk])</f>
        <v>Hazard</v>
      </c>
      <c r="H114" t="str">
        <f>_xlfn.XLOOKUP(FMECA[[#This Row],[HazardRisk_name]],categories[HazardRisk_Name],categories[Category])</f>
        <v>Sea Ice</v>
      </c>
      <c r="I114" t="s">
        <v>563</v>
      </c>
      <c r="J114" s="10">
        <v>4</v>
      </c>
      <c r="K114" t="s">
        <v>1776</v>
      </c>
      <c r="L114" s="10">
        <v>4</v>
      </c>
      <c r="M114" t="s">
        <v>1776</v>
      </c>
      <c r="N114" s="10">
        <f>FMECA[[#This Row],[probability_value]]*FMECA[[#This Row],[consequence_value]]</f>
        <v>16</v>
      </c>
      <c r="O11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14" s="10" t="s">
        <v>767</v>
      </c>
      <c r="Q114" t="s">
        <v>793</v>
      </c>
      <c r="R114" t="s">
        <v>768</v>
      </c>
      <c r="S114" t="s">
        <v>1162</v>
      </c>
      <c r="U114" t="s">
        <v>1777</v>
      </c>
      <c r="V114" t="s">
        <v>466</v>
      </c>
      <c r="W114" t="s">
        <v>1778</v>
      </c>
      <c r="X114" t="s">
        <v>466</v>
      </c>
      <c r="AA114" t="s">
        <v>1162</v>
      </c>
    </row>
    <row r="115" spans="1:27" x14ac:dyDescent="0.2">
      <c r="A115" s="225" t="s">
        <v>58</v>
      </c>
      <c r="B115" t="s">
        <v>63</v>
      </c>
      <c r="C115" t="s">
        <v>73</v>
      </c>
      <c r="D115" t="s">
        <v>111</v>
      </c>
      <c r="E115" t="s">
        <v>109</v>
      </c>
      <c r="F115" s="226" t="s">
        <v>110</v>
      </c>
      <c r="G115" t="str">
        <f>_xlfn.XLOOKUP(FMECA[[#This Row],[HazardRisk_name]],categories[HazardRisk_Name],categories[HazardRisk])</f>
        <v>Risk</v>
      </c>
      <c r="H115" t="str">
        <f>_xlfn.XLOOKUP(FMECA[[#This Row],[HazardRisk_name]],categories[HazardRisk_Name],categories[Category])</f>
        <v>Environmental</v>
      </c>
      <c r="I115" t="s">
        <v>625</v>
      </c>
      <c r="J115" s="10">
        <v>4</v>
      </c>
      <c r="L115" s="10">
        <v>7</v>
      </c>
      <c r="N115" s="10">
        <f>FMECA[[#This Row],[probability_value]]*FMECA[[#This Row],[consequence_value]]</f>
        <v>28</v>
      </c>
      <c r="O115" s="10" t="str">
        <f>IF(AND(FMECA[[#This Row],[Score]]&gt;=0, 9&gt;=FMECA[[#This Row],[Score]]), "UNDETECTABLE", IF(AND(FMECA[[#This Row],[Score]]&gt;=10, 24&gt;=FMECA[[#This Row],[Score]]), "MODERATE", IF(AND(FMECA[[#This Row],[Score]]&gt;=25, 35&gt;=FMECA[[#This Row],[Score]]), "HIGH", IF(AND(FMECA[[#This Row],[Score]]&gt;=36, 50&gt;=FMECA[[#This Row],[Score]]), "VERY HIGH", "Check Formula"))))</f>
        <v>HIGH</v>
      </c>
      <c r="P115" s="10" t="s">
        <v>767</v>
      </c>
      <c r="Q115" t="s">
        <v>793</v>
      </c>
      <c r="R115" t="s">
        <v>768</v>
      </c>
      <c r="S115" t="s">
        <v>1162</v>
      </c>
      <c r="AA115" t="s">
        <v>1162</v>
      </c>
    </row>
    <row r="116" spans="1:27" x14ac:dyDescent="0.2">
      <c r="A116" s="225" t="s">
        <v>58</v>
      </c>
      <c r="B116" t="s">
        <v>63</v>
      </c>
      <c r="C116" t="s">
        <v>73</v>
      </c>
      <c r="D116" t="s">
        <v>111</v>
      </c>
      <c r="E116" t="s">
        <v>109</v>
      </c>
      <c r="F116" s="226" t="s">
        <v>110</v>
      </c>
      <c r="G116" t="str">
        <f>_xlfn.XLOOKUP(FMECA[[#This Row],[HazardRisk_name]],categories[HazardRisk_Name],categories[HazardRisk])</f>
        <v>Risk</v>
      </c>
      <c r="H116" t="str">
        <f>_xlfn.XLOOKUP(FMECA[[#This Row],[HazardRisk_name]],categories[HazardRisk_Name],categories[Category])</f>
        <v>Environmental</v>
      </c>
      <c r="I116" t="s">
        <v>602</v>
      </c>
      <c r="J116" s="10">
        <v>5</v>
      </c>
      <c r="K116" t="s">
        <v>1773</v>
      </c>
      <c r="L116" s="10">
        <v>7</v>
      </c>
      <c r="M116" t="s">
        <v>1773</v>
      </c>
      <c r="N116" s="10">
        <f>FMECA[[#This Row],[probability_value]]*FMECA[[#This Row],[consequence_value]]</f>
        <v>35</v>
      </c>
      <c r="O116" s="10" t="str">
        <f>IF(AND(FMECA[[#This Row],[Score]]&gt;=0, 9&gt;=FMECA[[#This Row],[Score]]), "UNDETECTABLE", IF(AND(FMECA[[#This Row],[Score]]&gt;=10, 24&gt;=FMECA[[#This Row],[Score]]), "MODERATE", IF(AND(FMECA[[#This Row],[Score]]&gt;=25, 35&gt;=FMECA[[#This Row],[Score]]), "HIGH", IF(AND(FMECA[[#This Row],[Score]]&gt;=36, 50&gt;=FMECA[[#This Row],[Score]]), "VERY HIGH", "Check Formula"))))</f>
        <v>HIGH</v>
      </c>
      <c r="P116" s="10" t="s">
        <v>767</v>
      </c>
      <c r="Q116" t="s">
        <v>793</v>
      </c>
      <c r="R116" t="s">
        <v>768</v>
      </c>
      <c r="S116" t="s">
        <v>1162</v>
      </c>
      <c r="U116" t="s">
        <v>1774</v>
      </c>
      <c r="V116" t="s">
        <v>466</v>
      </c>
      <c r="W116" t="s">
        <v>1775</v>
      </c>
      <c r="X116" t="s">
        <v>466</v>
      </c>
      <c r="AA116" t="s">
        <v>1162</v>
      </c>
    </row>
    <row r="117" spans="1:27" x14ac:dyDescent="0.2">
      <c r="A117" s="225" t="s">
        <v>58</v>
      </c>
      <c r="B117" t="s">
        <v>63</v>
      </c>
      <c r="C117" t="s">
        <v>73</v>
      </c>
      <c r="D117" t="s">
        <v>111</v>
      </c>
      <c r="E117" t="s">
        <v>109</v>
      </c>
      <c r="F117" s="226" t="s">
        <v>110</v>
      </c>
      <c r="G117" t="str">
        <f>_xlfn.XLOOKUP(FMECA[[#This Row],[HazardRisk_name]],categories[HazardRisk_Name],categories[HazardRisk])</f>
        <v>Risk</v>
      </c>
      <c r="H117" t="str">
        <f>_xlfn.XLOOKUP(FMECA[[#This Row],[HazardRisk_name]],categories[HazardRisk_Name],categories[Category])</f>
        <v>Social</v>
      </c>
      <c r="I117" t="s">
        <v>555</v>
      </c>
      <c r="J117" s="10">
        <v>4</v>
      </c>
      <c r="K117" t="s">
        <v>1779</v>
      </c>
      <c r="L117" s="10">
        <v>7</v>
      </c>
      <c r="M117" t="s">
        <v>1779</v>
      </c>
      <c r="N117" s="10">
        <f>FMECA[[#This Row],[probability_value]]*FMECA[[#This Row],[consequence_value]]</f>
        <v>28</v>
      </c>
      <c r="O117" s="10" t="str">
        <f>IF(AND(FMECA[[#This Row],[Score]]&gt;=0, 9&gt;=FMECA[[#This Row],[Score]]), "UNDETECTABLE", IF(AND(FMECA[[#This Row],[Score]]&gt;=10, 24&gt;=FMECA[[#This Row],[Score]]), "MODERATE", IF(AND(FMECA[[#This Row],[Score]]&gt;=25, 35&gt;=FMECA[[#This Row],[Score]]), "HIGH", IF(AND(FMECA[[#This Row],[Score]]&gt;=36, 50&gt;=FMECA[[#This Row],[Score]]), "VERY HIGH", "Check Formula"))))</f>
        <v>HIGH</v>
      </c>
      <c r="P117" s="10" t="s">
        <v>767</v>
      </c>
      <c r="Q117" t="s">
        <v>793</v>
      </c>
      <c r="R117" t="s">
        <v>768</v>
      </c>
      <c r="S117" t="s">
        <v>1162</v>
      </c>
      <c r="U117" t="s">
        <v>1780</v>
      </c>
      <c r="V117" t="s">
        <v>466</v>
      </c>
      <c r="W117" t="s">
        <v>1781</v>
      </c>
      <c r="X117" t="s">
        <v>470</v>
      </c>
      <c r="AA117" t="s">
        <v>1162</v>
      </c>
    </row>
    <row r="118" spans="1:27" x14ac:dyDescent="0.2">
      <c r="A118" s="225" t="s">
        <v>58</v>
      </c>
      <c r="B118" t="s">
        <v>63</v>
      </c>
      <c r="C118" t="s">
        <v>73</v>
      </c>
      <c r="D118" t="s">
        <v>111</v>
      </c>
      <c r="E118" t="s">
        <v>109</v>
      </c>
      <c r="F118" s="226" t="s">
        <v>110</v>
      </c>
      <c r="G118" t="str">
        <f>_xlfn.XLOOKUP(FMECA[[#This Row],[HazardRisk_name]],categories[HazardRisk_Name],categories[HazardRisk])</f>
        <v>Risk</v>
      </c>
      <c r="H118" t="str">
        <f>_xlfn.XLOOKUP(FMECA[[#This Row],[HazardRisk_name]],categories[HazardRisk_Name],categories[Category])</f>
        <v>Environmental</v>
      </c>
      <c r="I118" t="s">
        <v>625</v>
      </c>
      <c r="J118" s="10">
        <v>3</v>
      </c>
      <c r="K118" t="s">
        <v>1779</v>
      </c>
      <c r="L118" s="10">
        <v>10</v>
      </c>
      <c r="M118" t="s">
        <v>1779</v>
      </c>
      <c r="N118" s="10">
        <f>FMECA[[#This Row],[probability_value]]*FMECA[[#This Row],[consequence_value]]</f>
        <v>30</v>
      </c>
      <c r="O118" s="10" t="str">
        <f>IF(AND(FMECA[[#This Row],[Score]]&gt;=0, 9&gt;=FMECA[[#This Row],[Score]]), "UNDETECTABLE", IF(AND(FMECA[[#This Row],[Score]]&gt;=10, 24&gt;=FMECA[[#This Row],[Score]]), "MODERATE", IF(AND(FMECA[[#This Row],[Score]]&gt;=25, 35&gt;=FMECA[[#This Row],[Score]]), "HIGH", IF(AND(FMECA[[#This Row],[Score]]&gt;=36, 50&gt;=FMECA[[#This Row],[Score]]), "VERY HIGH", "Check Formula"))))</f>
        <v>HIGH</v>
      </c>
      <c r="P118" s="10" t="s">
        <v>767</v>
      </c>
      <c r="Q118" t="s">
        <v>793</v>
      </c>
      <c r="R118" t="s">
        <v>768</v>
      </c>
      <c r="S118" t="s">
        <v>1162</v>
      </c>
      <c r="U118" t="s">
        <v>1782</v>
      </c>
      <c r="V118" t="s">
        <v>466</v>
      </c>
      <c r="W118" t="s">
        <v>1783</v>
      </c>
      <c r="X118" t="s">
        <v>470</v>
      </c>
      <c r="AA118" t="s">
        <v>1162</v>
      </c>
    </row>
    <row r="119" spans="1:27" x14ac:dyDescent="0.2">
      <c r="A119" s="225" t="s">
        <v>58</v>
      </c>
      <c r="B119" t="s">
        <v>63</v>
      </c>
      <c r="C119" t="s">
        <v>73</v>
      </c>
      <c r="D119" t="s">
        <v>111</v>
      </c>
      <c r="E119" t="s">
        <v>109</v>
      </c>
      <c r="F119" s="226" t="s">
        <v>110</v>
      </c>
      <c r="G119" t="str">
        <f>_xlfn.XLOOKUP(FMECA[[#This Row],[HazardRisk_name]],categories[HazardRisk_Name],categories[HazardRisk])</f>
        <v>Risk</v>
      </c>
      <c r="H119" t="str">
        <f>_xlfn.XLOOKUP(FMECA[[#This Row],[HazardRisk_name]],categories[HazardRisk_Name],categories[Category])</f>
        <v>Political</v>
      </c>
      <c r="I119" t="s">
        <v>689</v>
      </c>
      <c r="J119" s="10">
        <v>4</v>
      </c>
      <c r="K119" t="s">
        <v>1784</v>
      </c>
      <c r="L119" s="10">
        <v>4</v>
      </c>
      <c r="M119" t="s">
        <v>1784</v>
      </c>
      <c r="N119" s="10">
        <f>FMECA[[#This Row],[probability_value]]*FMECA[[#This Row],[consequence_value]]</f>
        <v>16</v>
      </c>
      <c r="O11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19" s="10" t="s">
        <v>767</v>
      </c>
      <c r="Q119" t="s">
        <v>793</v>
      </c>
      <c r="R119" t="s">
        <v>768</v>
      </c>
      <c r="S119" t="s">
        <v>1162</v>
      </c>
      <c r="U119" t="s">
        <v>1785</v>
      </c>
      <c r="V119" t="s">
        <v>470</v>
      </c>
      <c r="W119" t="s">
        <v>1786</v>
      </c>
      <c r="X119" t="s">
        <v>470</v>
      </c>
      <c r="AA119" t="s">
        <v>1162</v>
      </c>
    </row>
    <row r="120" spans="1:27" x14ac:dyDescent="0.2">
      <c r="A120" s="225" t="s">
        <v>58</v>
      </c>
      <c r="B120" t="s">
        <v>63</v>
      </c>
      <c r="C120" t="s">
        <v>73</v>
      </c>
      <c r="D120" t="s">
        <v>111</v>
      </c>
      <c r="E120" t="s">
        <v>109</v>
      </c>
      <c r="F120" s="226" t="s">
        <v>110</v>
      </c>
      <c r="G120" t="str">
        <f>_xlfn.XLOOKUP(FMECA[[#This Row],[HazardRisk_name]],categories[HazardRisk_Name],categories[HazardRisk])</f>
        <v>Risk</v>
      </c>
      <c r="H120" t="str">
        <f>_xlfn.XLOOKUP(FMECA[[#This Row],[HazardRisk_name]],categories[HazardRisk_Name],categories[Category])</f>
        <v>Navigational</v>
      </c>
      <c r="I120" t="s">
        <v>474</v>
      </c>
      <c r="J120" s="10">
        <v>5</v>
      </c>
      <c r="K120" t="s">
        <v>1772</v>
      </c>
      <c r="L120" s="10">
        <v>4</v>
      </c>
      <c r="M120" t="s">
        <v>1772</v>
      </c>
      <c r="N120" s="10">
        <f>FMECA[[#This Row],[probability_value]]*FMECA[[#This Row],[consequence_value]]</f>
        <v>20</v>
      </c>
      <c r="O12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20" s="10" t="s">
        <v>767</v>
      </c>
      <c r="Q120" t="s">
        <v>793</v>
      </c>
      <c r="R120" t="s">
        <v>768</v>
      </c>
      <c r="S120" t="s">
        <v>1162</v>
      </c>
      <c r="AA120" t="s">
        <v>1162</v>
      </c>
    </row>
    <row r="121" spans="1:27" x14ac:dyDescent="0.2">
      <c r="A121" s="225" t="s">
        <v>59</v>
      </c>
      <c r="B121" t="s">
        <v>63</v>
      </c>
      <c r="C121" t="s">
        <v>73</v>
      </c>
      <c r="D121" s="9" t="s">
        <v>116</v>
      </c>
      <c r="E121" t="s">
        <v>112</v>
      </c>
      <c r="F121" s="226" t="s">
        <v>113</v>
      </c>
      <c r="G121" t="str">
        <f>_xlfn.XLOOKUP(FMECA[[#This Row],[HazardRisk_name]],categories[HazardRisk_Name],categories[HazardRisk])</f>
        <v>Risk</v>
      </c>
      <c r="H121" t="str">
        <f>_xlfn.XLOOKUP(FMECA[[#This Row],[HazardRisk_name]],categories[HazardRisk_Name],categories[Category])</f>
        <v>Navigational</v>
      </c>
      <c r="I121" t="s">
        <v>589</v>
      </c>
      <c r="J121" s="10">
        <v>4</v>
      </c>
      <c r="K121" t="s">
        <v>1864</v>
      </c>
      <c r="L121" s="10">
        <v>7</v>
      </c>
      <c r="M121" t="s">
        <v>1864</v>
      </c>
      <c r="N121" s="10">
        <f>FMECA[[#This Row],[probability_value]]*FMECA[[#This Row],[consequence_value]]</f>
        <v>28</v>
      </c>
      <c r="O121" s="10" t="str">
        <f>IF(AND(FMECA[[#This Row],[Score]]&gt;=0, 9&gt;=FMECA[[#This Row],[Score]]), "UNDETECTABLE", IF(AND(FMECA[[#This Row],[Score]]&gt;=10, 24&gt;=FMECA[[#This Row],[Score]]), "MODERATE", IF(AND(FMECA[[#This Row],[Score]]&gt;=25, 35&gt;=FMECA[[#This Row],[Score]]), "HIGH", IF(AND(FMECA[[#This Row],[Score]]&gt;=36, 50&gt;=FMECA[[#This Row],[Score]]), "VERY HIGH", "Check Formula"))))</f>
        <v>HIGH</v>
      </c>
      <c r="P121" s="10" t="s">
        <v>777</v>
      </c>
      <c r="Q121" t="s">
        <v>778</v>
      </c>
      <c r="R121" t="s">
        <v>780</v>
      </c>
      <c r="S121" t="s">
        <v>1990</v>
      </c>
      <c r="U121" t="s">
        <v>1875</v>
      </c>
      <c r="V121" t="s">
        <v>470</v>
      </c>
      <c r="W121" t="s">
        <v>1874</v>
      </c>
      <c r="X121" t="s">
        <v>466</v>
      </c>
      <c r="Y121" t="s">
        <v>697</v>
      </c>
      <c r="Z121" t="s">
        <v>1867</v>
      </c>
      <c r="AA121" t="s">
        <v>1162</v>
      </c>
    </row>
    <row r="122" spans="1:27" x14ac:dyDescent="0.2">
      <c r="A122" s="225" t="s">
        <v>59</v>
      </c>
      <c r="B122" t="s">
        <v>63</v>
      </c>
      <c r="C122" t="s">
        <v>73</v>
      </c>
      <c r="D122" s="9" t="s">
        <v>116</v>
      </c>
      <c r="E122" t="s">
        <v>112</v>
      </c>
      <c r="F122" s="226" t="s">
        <v>113</v>
      </c>
      <c r="G122" t="str">
        <f>_xlfn.XLOOKUP(FMECA[[#This Row],[HazardRisk_name]],categories[HazardRisk_Name],categories[HazardRisk])</f>
        <v>Hazard</v>
      </c>
      <c r="H122" t="str">
        <f>_xlfn.XLOOKUP(FMECA[[#This Row],[HazardRisk_name]],categories[HazardRisk_Name],categories[Category])</f>
        <v>Navigational</v>
      </c>
      <c r="I122" t="s">
        <v>484</v>
      </c>
      <c r="J122" s="10">
        <v>4</v>
      </c>
      <c r="K122" t="s">
        <v>1864</v>
      </c>
      <c r="L122" s="10">
        <v>7</v>
      </c>
      <c r="M122" t="s">
        <v>1864</v>
      </c>
      <c r="N122" s="10">
        <f>FMECA[[#This Row],[probability_value]]*FMECA[[#This Row],[consequence_value]]</f>
        <v>28</v>
      </c>
      <c r="O122" s="10" t="str">
        <f>IF(AND(FMECA[[#This Row],[Score]]&gt;=0, 9&gt;=FMECA[[#This Row],[Score]]), "UNDETECTABLE", IF(AND(FMECA[[#This Row],[Score]]&gt;=10, 24&gt;=FMECA[[#This Row],[Score]]), "MODERATE", IF(AND(FMECA[[#This Row],[Score]]&gt;=25, 35&gt;=FMECA[[#This Row],[Score]]), "HIGH", IF(AND(FMECA[[#This Row],[Score]]&gt;=36, 50&gt;=FMECA[[#This Row],[Score]]), "VERY HIGH", "Check Formula"))))</f>
        <v>HIGH</v>
      </c>
      <c r="P122" s="10" t="s">
        <v>777</v>
      </c>
      <c r="Q122" t="s">
        <v>778</v>
      </c>
      <c r="R122" t="s">
        <v>780</v>
      </c>
      <c r="S122" t="s">
        <v>1990</v>
      </c>
      <c r="U122" t="s">
        <v>1876</v>
      </c>
      <c r="V122" t="s">
        <v>470</v>
      </c>
      <c r="W122" t="s">
        <v>1874</v>
      </c>
      <c r="X122" t="s">
        <v>466</v>
      </c>
      <c r="Y122" t="s">
        <v>697</v>
      </c>
      <c r="Z122" t="s">
        <v>1867</v>
      </c>
      <c r="AA122" t="s">
        <v>1162</v>
      </c>
    </row>
    <row r="123" spans="1:27" x14ac:dyDescent="0.2">
      <c r="A123" s="225" t="s">
        <v>59</v>
      </c>
      <c r="B123" t="s">
        <v>63</v>
      </c>
      <c r="C123" t="s">
        <v>73</v>
      </c>
      <c r="D123" s="9" t="s">
        <v>116</v>
      </c>
      <c r="E123" t="s">
        <v>112</v>
      </c>
      <c r="F123" s="226" t="s">
        <v>113</v>
      </c>
      <c r="G123" t="str">
        <f>_xlfn.XLOOKUP(FMECA[[#This Row],[HazardRisk_name]],categories[HazardRisk_Name],categories[HazardRisk])</f>
        <v>Hazard</v>
      </c>
      <c r="H123" t="str">
        <f>_xlfn.XLOOKUP(FMECA[[#This Row],[HazardRisk_name]],categories[HazardRisk_Name],categories[Category])</f>
        <v>Operational</v>
      </c>
      <c r="I123" t="s">
        <v>533</v>
      </c>
      <c r="J123" s="10">
        <v>5</v>
      </c>
      <c r="K123" t="s">
        <v>1869</v>
      </c>
      <c r="L123" s="10">
        <v>4</v>
      </c>
      <c r="M123" t="s">
        <v>1869</v>
      </c>
      <c r="N123" s="10">
        <f>FMECA[[#This Row],[probability_value]]*FMECA[[#This Row],[consequence_value]]</f>
        <v>20</v>
      </c>
      <c r="O12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23" s="10" t="s">
        <v>777</v>
      </c>
      <c r="Q123" t="s">
        <v>778</v>
      </c>
      <c r="R123" t="s">
        <v>780</v>
      </c>
      <c r="S123" t="s">
        <v>1990</v>
      </c>
      <c r="Y123" t="s">
        <v>697</v>
      </c>
      <c r="Z123" t="s">
        <v>1867</v>
      </c>
      <c r="AA123" t="s">
        <v>1162</v>
      </c>
    </row>
    <row r="124" spans="1:27" x14ac:dyDescent="0.2">
      <c r="A124" s="225" t="s">
        <v>59</v>
      </c>
      <c r="B124" t="s">
        <v>63</v>
      </c>
      <c r="C124" t="s">
        <v>73</v>
      </c>
      <c r="D124" s="9" t="s">
        <v>116</v>
      </c>
      <c r="E124" t="s">
        <v>112</v>
      </c>
      <c r="F124" s="226" t="s">
        <v>113</v>
      </c>
      <c r="G124" t="str">
        <f>_xlfn.XLOOKUP(FMECA[[#This Row],[HazardRisk_name]],categories[HazardRisk_Name],categories[HazardRisk])</f>
        <v>Risk</v>
      </c>
      <c r="H124" t="str">
        <f>_xlfn.XLOOKUP(FMECA[[#This Row],[HazardRisk_name]],categories[HazardRisk_Name],categories[Category])</f>
        <v>Assessment</v>
      </c>
      <c r="I124" t="s">
        <v>708</v>
      </c>
      <c r="J124" s="10">
        <v>5</v>
      </c>
      <c r="K124" t="s">
        <v>1869</v>
      </c>
      <c r="L124" s="10">
        <v>7</v>
      </c>
      <c r="M124" t="s">
        <v>1869</v>
      </c>
      <c r="N124" s="10">
        <f>FMECA[[#This Row],[probability_value]]*FMECA[[#This Row],[consequence_value]]</f>
        <v>35</v>
      </c>
      <c r="O124" s="10" t="str">
        <f>IF(AND(FMECA[[#This Row],[Score]]&gt;=0, 9&gt;=FMECA[[#This Row],[Score]]), "UNDETECTABLE", IF(AND(FMECA[[#This Row],[Score]]&gt;=10, 24&gt;=FMECA[[#This Row],[Score]]), "MODERATE", IF(AND(FMECA[[#This Row],[Score]]&gt;=25, 35&gt;=FMECA[[#This Row],[Score]]), "HIGH", IF(AND(FMECA[[#This Row],[Score]]&gt;=36, 50&gt;=FMECA[[#This Row],[Score]]), "VERY HIGH", "Check Formula"))))</f>
        <v>HIGH</v>
      </c>
      <c r="P124" s="10" t="s">
        <v>777</v>
      </c>
      <c r="Q124" t="s">
        <v>778</v>
      </c>
      <c r="R124" t="s">
        <v>780</v>
      </c>
      <c r="S124" t="s">
        <v>1990</v>
      </c>
      <c r="U124" t="s">
        <v>1873</v>
      </c>
      <c r="V124" t="s">
        <v>466</v>
      </c>
      <c r="W124" t="s">
        <v>1872</v>
      </c>
      <c r="X124" t="s">
        <v>466</v>
      </c>
      <c r="Y124" t="s">
        <v>697</v>
      </c>
      <c r="Z124" t="s">
        <v>1867</v>
      </c>
      <c r="AA124" t="s">
        <v>1162</v>
      </c>
    </row>
    <row r="125" spans="1:27" x14ac:dyDescent="0.2">
      <c r="A125" s="225" t="s">
        <v>59</v>
      </c>
      <c r="B125" t="s">
        <v>63</v>
      </c>
      <c r="C125" t="s">
        <v>73</v>
      </c>
      <c r="D125" s="9" t="s">
        <v>116</v>
      </c>
      <c r="E125" t="s">
        <v>112</v>
      </c>
      <c r="F125" s="226" t="s">
        <v>113</v>
      </c>
      <c r="G125" t="str">
        <f>_xlfn.XLOOKUP(FMECA[[#This Row],[HazardRisk_name]],categories[HazardRisk_Name],categories[HazardRisk])</f>
        <v>Risk</v>
      </c>
      <c r="H125" t="str">
        <f>_xlfn.XLOOKUP(FMECA[[#This Row],[HazardRisk_name]],categories[HazardRisk_Name],categories[Category])</f>
        <v>Navigational</v>
      </c>
      <c r="I125" t="s">
        <v>720</v>
      </c>
      <c r="J125" s="10">
        <v>3</v>
      </c>
      <c r="K125" t="s">
        <v>1869</v>
      </c>
      <c r="L125" s="10">
        <v>1</v>
      </c>
      <c r="M125" t="s">
        <v>1869</v>
      </c>
      <c r="N125" s="10">
        <f>FMECA[[#This Row],[probability_value]]*FMECA[[#This Row],[consequence_value]]</f>
        <v>3</v>
      </c>
      <c r="O125"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125" s="10" t="s">
        <v>777</v>
      </c>
      <c r="Q125" t="s">
        <v>778</v>
      </c>
      <c r="R125" t="s">
        <v>780</v>
      </c>
      <c r="S125" t="s">
        <v>1990</v>
      </c>
      <c r="U125" t="s">
        <v>1870</v>
      </c>
      <c r="V125" t="s">
        <v>466</v>
      </c>
      <c r="W125" t="s">
        <v>1871</v>
      </c>
      <c r="X125" t="s">
        <v>470</v>
      </c>
      <c r="Y125" t="s">
        <v>697</v>
      </c>
      <c r="Z125" t="s">
        <v>1867</v>
      </c>
      <c r="AA125" t="s">
        <v>1162</v>
      </c>
    </row>
    <row r="126" spans="1:27" x14ac:dyDescent="0.2">
      <c r="A126" s="225" t="s">
        <v>59</v>
      </c>
      <c r="B126" t="s">
        <v>63</v>
      </c>
      <c r="C126" t="s">
        <v>73</v>
      </c>
      <c r="D126" s="9" t="s">
        <v>116</v>
      </c>
      <c r="E126" t="s">
        <v>112</v>
      </c>
      <c r="F126" s="226" t="s">
        <v>113</v>
      </c>
      <c r="G126" t="str">
        <f>_xlfn.XLOOKUP(FMECA[[#This Row],[HazardRisk_name]],categories[HazardRisk_Name],categories[HazardRisk])</f>
        <v>Risk</v>
      </c>
      <c r="H126" t="str">
        <f>_xlfn.XLOOKUP(FMECA[[#This Row],[HazardRisk_name]],categories[HazardRisk_Name],categories[Category])</f>
        <v>Operational</v>
      </c>
      <c r="I126" t="s">
        <v>572</v>
      </c>
      <c r="J126" s="10">
        <v>4</v>
      </c>
      <c r="K126" t="s">
        <v>1864</v>
      </c>
      <c r="L126" s="10">
        <v>7</v>
      </c>
      <c r="M126" t="s">
        <v>1864</v>
      </c>
      <c r="N126" s="10">
        <f>FMECA[[#This Row],[probability_value]]*FMECA[[#This Row],[consequence_value]]</f>
        <v>28</v>
      </c>
      <c r="O126" s="10" t="str">
        <f>IF(AND(FMECA[[#This Row],[Score]]&gt;=0, 9&gt;=FMECA[[#This Row],[Score]]), "UNDETECTABLE", IF(AND(FMECA[[#This Row],[Score]]&gt;=10, 24&gt;=FMECA[[#This Row],[Score]]), "MODERATE", IF(AND(FMECA[[#This Row],[Score]]&gt;=25, 35&gt;=FMECA[[#This Row],[Score]]), "HIGH", IF(AND(FMECA[[#This Row],[Score]]&gt;=36, 50&gt;=FMECA[[#This Row],[Score]]), "VERY HIGH", "Check Formula"))))</f>
        <v>HIGH</v>
      </c>
      <c r="P126" s="10" t="s">
        <v>777</v>
      </c>
      <c r="Q126" t="s">
        <v>778</v>
      </c>
      <c r="R126" t="s">
        <v>780</v>
      </c>
      <c r="S126" t="s">
        <v>1990</v>
      </c>
      <c r="Y126" t="s">
        <v>697</v>
      </c>
      <c r="Z126" t="s">
        <v>1867</v>
      </c>
      <c r="AA126" t="s">
        <v>1162</v>
      </c>
    </row>
    <row r="127" spans="1:27" x14ac:dyDescent="0.2">
      <c r="A127" s="225" t="s">
        <v>59</v>
      </c>
      <c r="B127" t="s">
        <v>63</v>
      </c>
      <c r="C127" t="s">
        <v>73</v>
      </c>
      <c r="D127" s="9" t="s">
        <v>116</v>
      </c>
      <c r="E127" t="s">
        <v>112</v>
      </c>
      <c r="F127" s="226" t="s">
        <v>113</v>
      </c>
      <c r="G127" t="str">
        <f>_xlfn.XLOOKUP(FMECA[[#This Row],[HazardRisk_name]],categories[HazardRisk_Name],categories[HazardRisk])</f>
        <v>Hazard</v>
      </c>
      <c r="H127" t="str">
        <f>_xlfn.XLOOKUP(FMECA[[#This Row],[HazardRisk_name]],categories[HazardRisk_Name],categories[Category])</f>
        <v>Sea Ice</v>
      </c>
      <c r="I127" t="s">
        <v>673</v>
      </c>
      <c r="J127" s="10">
        <v>4</v>
      </c>
      <c r="K127" t="s">
        <v>1865</v>
      </c>
      <c r="L127" s="10">
        <v>10</v>
      </c>
      <c r="M127" t="s">
        <v>1865</v>
      </c>
      <c r="N127" s="10">
        <f>FMECA[[#This Row],[probability_value]]*FMECA[[#This Row],[consequence_value]]</f>
        <v>40</v>
      </c>
      <c r="O127"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127" s="10" t="s">
        <v>777</v>
      </c>
      <c r="Q127" t="s">
        <v>778</v>
      </c>
      <c r="R127" t="s">
        <v>780</v>
      </c>
      <c r="S127" t="s">
        <v>1990</v>
      </c>
      <c r="U127" t="s">
        <v>1866</v>
      </c>
      <c r="V127" t="s">
        <v>466</v>
      </c>
      <c r="W127" t="s">
        <v>1868</v>
      </c>
      <c r="X127" t="s">
        <v>470</v>
      </c>
      <c r="Y127" t="s">
        <v>697</v>
      </c>
      <c r="Z127" t="s">
        <v>1867</v>
      </c>
      <c r="AA127" t="s">
        <v>1162</v>
      </c>
    </row>
    <row r="128" spans="1:27" x14ac:dyDescent="0.2">
      <c r="A128" s="225" t="s">
        <v>59</v>
      </c>
      <c r="B128" t="s">
        <v>63</v>
      </c>
      <c r="C128" t="s">
        <v>73</v>
      </c>
      <c r="D128" s="9" t="s">
        <v>116</v>
      </c>
      <c r="E128" t="s">
        <v>112</v>
      </c>
      <c r="F128" s="226" t="s">
        <v>113</v>
      </c>
      <c r="G128" t="str">
        <f>_xlfn.XLOOKUP(FMECA[[#This Row],[HazardRisk_name]],categories[HazardRisk_Name],categories[HazardRisk])</f>
        <v>Risk</v>
      </c>
      <c r="H128" t="str">
        <f>_xlfn.XLOOKUP(FMECA[[#This Row],[HazardRisk_name]],categories[HazardRisk_Name],categories[Category])</f>
        <v>Sea Ice</v>
      </c>
      <c r="I128" t="s">
        <v>480</v>
      </c>
      <c r="J128" s="10">
        <v>3</v>
      </c>
      <c r="K128" t="s">
        <v>1865</v>
      </c>
      <c r="L128" s="10">
        <v>7</v>
      </c>
      <c r="M128" t="s">
        <v>1865</v>
      </c>
      <c r="N128" s="10">
        <f>FMECA[[#This Row],[probability_value]]*FMECA[[#This Row],[consequence_value]]</f>
        <v>21</v>
      </c>
      <c r="O12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28" s="10" t="s">
        <v>777</v>
      </c>
      <c r="Q128" t="s">
        <v>778</v>
      </c>
      <c r="R128" t="s">
        <v>780</v>
      </c>
      <c r="S128" t="s">
        <v>1990</v>
      </c>
      <c r="U128" t="s">
        <v>1866</v>
      </c>
      <c r="V128" t="s">
        <v>466</v>
      </c>
      <c r="W128" t="s">
        <v>1868</v>
      </c>
      <c r="X128" t="s">
        <v>470</v>
      </c>
      <c r="Y128" t="s">
        <v>697</v>
      </c>
      <c r="Z128" t="s">
        <v>1867</v>
      </c>
      <c r="AA128" t="s">
        <v>1162</v>
      </c>
    </row>
    <row r="129" spans="1:27" x14ac:dyDescent="0.2">
      <c r="A129" s="225" t="s">
        <v>60</v>
      </c>
      <c r="B129" t="s">
        <v>63</v>
      </c>
      <c r="C129" t="s">
        <v>73</v>
      </c>
      <c r="D129" s="9" t="s">
        <v>117</v>
      </c>
      <c r="E129" t="s">
        <v>114</v>
      </c>
      <c r="F129" s="226" t="s">
        <v>115</v>
      </c>
      <c r="G129" t="str">
        <f>_xlfn.XLOOKUP(FMECA[[#This Row],[HazardRisk_name]],categories[HazardRisk_Name],categories[HazardRisk])</f>
        <v>Risk</v>
      </c>
      <c r="H129" t="str">
        <f>_xlfn.XLOOKUP(FMECA[[#This Row],[HazardRisk_name]],categories[HazardRisk_Name],categories[Category])</f>
        <v>Political</v>
      </c>
      <c r="I129" t="s">
        <v>622</v>
      </c>
      <c r="J129" s="10">
        <v>4</v>
      </c>
      <c r="K129" t="s">
        <v>1878</v>
      </c>
      <c r="L129" s="10">
        <v>7</v>
      </c>
      <c r="M129" t="s">
        <v>1878</v>
      </c>
      <c r="N129" s="10">
        <f>FMECA[[#This Row],[probability_value]]*FMECA[[#This Row],[consequence_value]]</f>
        <v>28</v>
      </c>
      <c r="O129" s="10" t="str">
        <f>IF(AND(FMECA[[#This Row],[Score]]&gt;=0, 9&gt;=FMECA[[#This Row],[Score]]), "UNDETECTABLE", IF(AND(FMECA[[#This Row],[Score]]&gt;=10, 24&gt;=FMECA[[#This Row],[Score]]), "MODERATE", IF(AND(FMECA[[#This Row],[Score]]&gt;=25, 35&gt;=FMECA[[#This Row],[Score]]), "HIGH", IF(AND(FMECA[[#This Row],[Score]]&gt;=36, 50&gt;=FMECA[[#This Row],[Score]]), "VERY HIGH", "Check Formula"))))</f>
        <v>HIGH</v>
      </c>
      <c r="P129" s="10" t="s">
        <v>767</v>
      </c>
      <c r="Q129" t="s">
        <v>778</v>
      </c>
      <c r="R129" t="s">
        <v>780</v>
      </c>
      <c r="S129" t="s">
        <v>1990</v>
      </c>
      <c r="U129" t="s">
        <v>1879</v>
      </c>
      <c r="V129" t="s">
        <v>470</v>
      </c>
      <c r="W129" t="s">
        <v>1880</v>
      </c>
      <c r="X129" t="s">
        <v>470</v>
      </c>
      <c r="AA129" t="s">
        <v>1162</v>
      </c>
    </row>
    <row r="130" spans="1:27" x14ac:dyDescent="0.2">
      <c r="A130" s="225" t="s">
        <v>60</v>
      </c>
      <c r="B130" t="s">
        <v>63</v>
      </c>
      <c r="C130" t="s">
        <v>73</v>
      </c>
      <c r="D130" s="9" t="s">
        <v>117</v>
      </c>
      <c r="E130" t="s">
        <v>114</v>
      </c>
      <c r="F130" s="226" t="s">
        <v>115</v>
      </c>
      <c r="G130" t="str">
        <f>_xlfn.XLOOKUP(FMECA[[#This Row],[HazardRisk_name]],categories[HazardRisk_Name],categories[HazardRisk])</f>
        <v>Risk</v>
      </c>
      <c r="H130" t="str">
        <f>_xlfn.XLOOKUP(FMECA[[#This Row],[HazardRisk_name]],categories[HazardRisk_Name],categories[Category])</f>
        <v>Economic</v>
      </c>
      <c r="I130" t="s">
        <v>577</v>
      </c>
      <c r="J130" s="10">
        <v>3</v>
      </c>
      <c r="K130" t="s">
        <v>1881</v>
      </c>
      <c r="L130" s="10">
        <v>7</v>
      </c>
      <c r="M130" t="s">
        <v>1881</v>
      </c>
      <c r="N130" s="10">
        <f>FMECA[[#This Row],[probability_value]]*FMECA[[#This Row],[consequence_value]]</f>
        <v>21</v>
      </c>
      <c r="O13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30" s="10" t="s">
        <v>767</v>
      </c>
      <c r="Q130" t="s">
        <v>778</v>
      </c>
      <c r="R130" t="s">
        <v>780</v>
      </c>
      <c r="S130" t="s">
        <v>1990</v>
      </c>
      <c r="U130" t="s">
        <v>1882</v>
      </c>
      <c r="V130" t="s">
        <v>470</v>
      </c>
      <c r="W130" t="s">
        <v>1883</v>
      </c>
      <c r="X130" t="s">
        <v>470</v>
      </c>
      <c r="AA130" t="s">
        <v>1162</v>
      </c>
    </row>
    <row r="131" spans="1:27" x14ac:dyDescent="0.2">
      <c r="A131" s="225" t="s">
        <v>60</v>
      </c>
      <c r="B131" t="s">
        <v>63</v>
      </c>
      <c r="C131" t="s">
        <v>73</v>
      </c>
      <c r="D131" s="9" t="s">
        <v>117</v>
      </c>
      <c r="E131" t="s">
        <v>114</v>
      </c>
      <c r="F131" s="226" t="s">
        <v>115</v>
      </c>
      <c r="G131" t="str">
        <f>_xlfn.XLOOKUP(FMECA[[#This Row],[HazardRisk_name]],categories[HazardRisk_Name],categories[HazardRisk])</f>
        <v>Risk</v>
      </c>
      <c r="H131" t="str">
        <f>_xlfn.XLOOKUP(FMECA[[#This Row],[HazardRisk_name]],categories[HazardRisk_Name],categories[Category])</f>
        <v>Economic</v>
      </c>
      <c r="I131" t="s">
        <v>592</v>
      </c>
      <c r="J131" s="10">
        <v>2</v>
      </c>
      <c r="K131" t="s">
        <v>1884</v>
      </c>
      <c r="L131" s="10">
        <v>10</v>
      </c>
      <c r="M131" t="s">
        <v>1884</v>
      </c>
      <c r="N131" s="10">
        <f>FMECA[[#This Row],[probability_value]]*FMECA[[#This Row],[consequence_value]]</f>
        <v>20</v>
      </c>
      <c r="O13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31" s="10" t="s">
        <v>767</v>
      </c>
      <c r="Q131" t="s">
        <v>778</v>
      </c>
      <c r="R131" t="s">
        <v>780</v>
      </c>
      <c r="S131" t="s">
        <v>1990</v>
      </c>
      <c r="U131" t="s">
        <v>1885</v>
      </c>
      <c r="V131" t="s">
        <v>466</v>
      </c>
      <c r="W131" t="s">
        <v>1886</v>
      </c>
      <c r="X131" t="s">
        <v>470</v>
      </c>
      <c r="AA131" t="s">
        <v>1162</v>
      </c>
    </row>
    <row r="132" spans="1:27" x14ac:dyDescent="0.2">
      <c r="A132" s="225" t="s">
        <v>60</v>
      </c>
      <c r="B132" t="s">
        <v>63</v>
      </c>
      <c r="C132" t="s">
        <v>73</v>
      </c>
      <c r="D132" s="9" t="s">
        <v>117</v>
      </c>
      <c r="E132" t="s">
        <v>114</v>
      </c>
      <c r="F132" s="226" t="s">
        <v>115</v>
      </c>
      <c r="G132" t="str">
        <f>_xlfn.XLOOKUP(FMECA[[#This Row],[HazardRisk_name]],categories[HazardRisk_Name],categories[HazardRisk])</f>
        <v>Risk</v>
      </c>
      <c r="H132" t="str">
        <f>_xlfn.XLOOKUP(FMECA[[#This Row],[HazardRisk_name]],categories[HazardRisk_Name],categories[Category])</f>
        <v>Political</v>
      </c>
      <c r="I132" t="s">
        <v>629</v>
      </c>
      <c r="J132" s="10">
        <v>3</v>
      </c>
      <c r="K132" t="s">
        <v>1887</v>
      </c>
      <c r="L132" s="10">
        <v>7</v>
      </c>
      <c r="M132" t="s">
        <v>1887</v>
      </c>
      <c r="N132" s="10">
        <f>FMECA[[#This Row],[probability_value]]*FMECA[[#This Row],[consequence_value]]</f>
        <v>21</v>
      </c>
      <c r="O13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32" s="10" t="s">
        <v>767</v>
      </c>
      <c r="Q132" t="s">
        <v>778</v>
      </c>
      <c r="R132" t="s">
        <v>780</v>
      </c>
      <c r="S132" t="s">
        <v>1990</v>
      </c>
      <c r="AA132" t="s">
        <v>1162</v>
      </c>
    </row>
    <row r="133" spans="1:27" x14ac:dyDescent="0.2">
      <c r="A133" s="225" t="s">
        <v>60</v>
      </c>
      <c r="B133" t="s">
        <v>63</v>
      </c>
      <c r="C133" t="s">
        <v>73</v>
      </c>
      <c r="D133" s="9" t="s">
        <v>117</v>
      </c>
      <c r="E133" t="s">
        <v>114</v>
      </c>
      <c r="F133" s="226" t="s">
        <v>115</v>
      </c>
      <c r="G133" t="str">
        <f>_xlfn.XLOOKUP(FMECA[[#This Row],[HazardRisk_name]],categories[HazardRisk_Name],categories[HazardRisk])</f>
        <v>Risk</v>
      </c>
      <c r="H133" t="str">
        <f>_xlfn.XLOOKUP(FMECA[[#This Row],[HazardRisk_name]],categories[HazardRisk_Name],categories[Category])</f>
        <v>Economic</v>
      </c>
      <c r="I133" t="s">
        <v>463</v>
      </c>
      <c r="J133" s="10">
        <v>4</v>
      </c>
      <c r="K133" t="s">
        <v>1877</v>
      </c>
      <c r="L133" s="10">
        <v>10</v>
      </c>
      <c r="M133" t="s">
        <v>1877</v>
      </c>
      <c r="N133" s="10">
        <f>FMECA[[#This Row],[probability_value]]*FMECA[[#This Row],[consequence_value]]</f>
        <v>40</v>
      </c>
      <c r="O133"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133" s="10" t="s">
        <v>767</v>
      </c>
      <c r="Q133" t="s">
        <v>778</v>
      </c>
      <c r="R133" t="s">
        <v>780</v>
      </c>
      <c r="S133" t="s">
        <v>1990</v>
      </c>
      <c r="AA133" t="s">
        <v>1162</v>
      </c>
    </row>
    <row r="134" spans="1:27" x14ac:dyDescent="0.2">
      <c r="A134" s="225" t="s">
        <v>60</v>
      </c>
      <c r="B134" t="s">
        <v>63</v>
      </c>
      <c r="C134" t="s">
        <v>73</v>
      </c>
      <c r="D134" s="9" t="s">
        <v>117</v>
      </c>
      <c r="E134" t="s">
        <v>114</v>
      </c>
      <c r="F134" s="226" t="s">
        <v>115</v>
      </c>
      <c r="G134" t="str">
        <f>_xlfn.XLOOKUP(FMECA[[#This Row],[HazardRisk_name]],categories[HazardRisk_Name],categories[HazardRisk])</f>
        <v>Risk</v>
      </c>
      <c r="H134" t="str">
        <f>_xlfn.XLOOKUP(FMECA[[#This Row],[HazardRisk_name]],categories[HazardRisk_Name],categories[Category])</f>
        <v>Navigational</v>
      </c>
      <c r="I134" t="s">
        <v>703</v>
      </c>
      <c r="J134" s="10">
        <v>3</v>
      </c>
      <c r="K134" t="s">
        <v>1884</v>
      </c>
      <c r="L134" s="10">
        <v>10</v>
      </c>
      <c r="M134" t="s">
        <v>1884</v>
      </c>
      <c r="N134" s="10">
        <f>FMECA[[#This Row],[probability_value]]*FMECA[[#This Row],[consequence_value]]</f>
        <v>30</v>
      </c>
      <c r="O134" s="10" t="str">
        <f>IF(AND(FMECA[[#This Row],[Score]]&gt;=0, 9&gt;=FMECA[[#This Row],[Score]]), "UNDETECTABLE", IF(AND(FMECA[[#This Row],[Score]]&gt;=10, 24&gt;=FMECA[[#This Row],[Score]]), "MODERATE", IF(AND(FMECA[[#This Row],[Score]]&gt;=25, 35&gt;=FMECA[[#This Row],[Score]]), "HIGH", IF(AND(FMECA[[#This Row],[Score]]&gt;=36, 50&gt;=FMECA[[#This Row],[Score]]), "VERY HIGH", "Check Formula"))))</f>
        <v>HIGH</v>
      </c>
      <c r="P134" s="10" t="s">
        <v>767</v>
      </c>
      <c r="Q134" t="s">
        <v>778</v>
      </c>
      <c r="R134" t="s">
        <v>780</v>
      </c>
      <c r="S134" t="s">
        <v>1990</v>
      </c>
      <c r="AA134" t="s">
        <v>1162</v>
      </c>
    </row>
    <row r="135" spans="1:27" x14ac:dyDescent="0.2">
      <c r="A135" s="225" t="s">
        <v>118</v>
      </c>
      <c r="B135" t="s">
        <v>63</v>
      </c>
      <c r="C135" t="s">
        <v>73</v>
      </c>
      <c r="D135" t="s">
        <v>128</v>
      </c>
      <c r="E135" s="9" t="s">
        <v>122</v>
      </c>
      <c r="F135" s="9" t="s">
        <v>123</v>
      </c>
      <c r="G135" t="str">
        <f>_xlfn.XLOOKUP(FMECA[[#This Row],[HazardRisk_name]],categories[HazardRisk_Name],categories[HazardRisk])</f>
        <v>Risk</v>
      </c>
      <c r="H135" t="str">
        <f>_xlfn.XLOOKUP(FMECA[[#This Row],[HazardRisk_name]],categories[HazardRisk_Name],categories[Category])</f>
        <v>Economic</v>
      </c>
      <c r="I135" t="s">
        <v>701</v>
      </c>
      <c r="J135" s="10">
        <v>3</v>
      </c>
      <c r="K135" t="s">
        <v>1902</v>
      </c>
      <c r="L135" s="10">
        <v>7</v>
      </c>
      <c r="M135" t="s">
        <v>1902</v>
      </c>
      <c r="N135" s="10">
        <f>FMECA[[#This Row],[probability_value]]*FMECA[[#This Row],[consequence_value]]</f>
        <v>21</v>
      </c>
      <c r="O13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35" s="10" t="s">
        <v>770</v>
      </c>
      <c r="Q135" t="s">
        <v>1162</v>
      </c>
      <c r="R135" t="s">
        <v>780</v>
      </c>
      <c r="S135" t="s">
        <v>1888</v>
      </c>
      <c r="T135" t="s">
        <v>793</v>
      </c>
      <c r="U135" t="s">
        <v>1904</v>
      </c>
      <c r="V135" t="s">
        <v>470</v>
      </c>
      <c r="W135" t="s">
        <v>1903</v>
      </c>
      <c r="X135" t="s">
        <v>470</v>
      </c>
      <c r="AA135" t="s">
        <v>1162</v>
      </c>
    </row>
    <row r="136" spans="1:27" x14ac:dyDescent="0.2">
      <c r="A136" s="225" t="s">
        <v>118</v>
      </c>
      <c r="B136" t="s">
        <v>63</v>
      </c>
      <c r="C136" t="s">
        <v>73</v>
      </c>
      <c r="D136" t="s">
        <v>128</v>
      </c>
      <c r="E136" s="9" t="s">
        <v>122</v>
      </c>
      <c r="F136" s="9" t="s">
        <v>123</v>
      </c>
      <c r="G136" t="str">
        <f>_xlfn.XLOOKUP(FMECA[[#This Row],[HazardRisk_name]],categories[HazardRisk_Name],categories[HazardRisk])</f>
        <v>Risk</v>
      </c>
      <c r="H136" t="str">
        <f>_xlfn.XLOOKUP(FMECA[[#This Row],[HazardRisk_name]],categories[HazardRisk_Name],categories[Category])</f>
        <v>Navigational</v>
      </c>
      <c r="I136" t="s">
        <v>719</v>
      </c>
      <c r="J136" s="10">
        <v>4</v>
      </c>
      <c r="K136" t="s">
        <v>1889</v>
      </c>
      <c r="L136" s="10">
        <v>7</v>
      </c>
      <c r="M136" t="s">
        <v>1889</v>
      </c>
      <c r="N136" s="10">
        <f>FMECA[[#This Row],[probability_value]]*FMECA[[#This Row],[consequence_value]]</f>
        <v>28</v>
      </c>
      <c r="O136" s="10" t="str">
        <f>IF(AND(FMECA[[#This Row],[Score]]&gt;=0, 9&gt;=FMECA[[#This Row],[Score]]), "UNDETECTABLE", IF(AND(FMECA[[#This Row],[Score]]&gt;=10, 24&gt;=FMECA[[#This Row],[Score]]), "MODERATE", IF(AND(FMECA[[#This Row],[Score]]&gt;=25, 35&gt;=FMECA[[#This Row],[Score]]), "HIGH", IF(AND(FMECA[[#This Row],[Score]]&gt;=36, 50&gt;=FMECA[[#This Row],[Score]]), "VERY HIGH", "Check Formula"))))</f>
        <v>HIGH</v>
      </c>
      <c r="P136" s="10" t="s">
        <v>770</v>
      </c>
      <c r="Q136" t="s">
        <v>1162</v>
      </c>
      <c r="R136" t="s">
        <v>780</v>
      </c>
      <c r="S136" t="s">
        <v>1888</v>
      </c>
      <c r="T136" t="s">
        <v>793</v>
      </c>
      <c r="AA136" t="s">
        <v>1162</v>
      </c>
    </row>
    <row r="137" spans="1:27" x14ac:dyDescent="0.2">
      <c r="A137" s="225" t="s">
        <v>118</v>
      </c>
      <c r="B137" t="s">
        <v>63</v>
      </c>
      <c r="C137" t="s">
        <v>73</v>
      </c>
      <c r="D137" t="s">
        <v>128</v>
      </c>
      <c r="E137" s="9" t="s">
        <v>122</v>
      </c>
      <c r="F137" s="9" t="s">
        <v>123</v>
      </c>
      <c r="G137" t="str">
        <f>_xlfn.XLOOKUP(FMECA[[#This Row],[HazardRisk_name]],categories[HazardRisk_Name],categories[HazardRisk])</f>
        <v>Risk</v>
      </c>
      <c r="H137" t="str">
        <f>_xlfn.XLOOKUP(FMECA[[#This Row],[HazardRisk_name]],categories[HazardRisk_Name],categories[Category])</f>
        <v>Political</v>
      </c>
      <c r="I137" t="s">
        <v>711</v>
      </c>
      <c r="J137" s="10">
        <v>3</v>
      </c>
      <c r="K137" t="s">
        <v>1890</v>
      </c>
      <c r="L137" s="10">
        <v>4</v>
      </c>
      <c r="M137" t="s">
        <v>1890</v>
      </c>
      <c r="N137" s="10">
        <f>FMECA[[#This Row],[probability_value]]*FMECA[[#This Row],[consequence_value]]</f>
        <v>12</v>
      </c>
      <c r="O13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37" s="10" t="s">
        <v>770</v>
      </c>
      <c r="Q137" t="s">
        <v>1162</v>
      </c>
      <c r="R137" t="s">
        <v>780</v>
      </c>
      <c r="S137" t="s">
        <v>1888</v>
      </c>
      <c r="T137" t="s">
        <v>793</v>
      </c>
      <c r="U137" t="s">
        <v>1892</v>
      </c>
      <c r="V137" t="s">
        <v>470</v>
      </c>
      <c r="W137" t="s">
        <v>1891</v>
      </c>
      <c r="X137" t="s">
        <v>470</v>
      </c>
      <c r="AA137" t="s">
        <v>1162</v>
      </c>
    </row>
    <row r="138" spans="1:27" x14ac:dyDescent="0.2">
      <c r="A138" s="225" t="s">
        <v>118</v>
      </c>
      <c r="B138" t="s">
        <v>63</v>
      </c>
      <c r="C138" t="s">
        <v>73</v>
      </c>
      <c r="D138" t="s">
        <v>128</v>
      </c>
      <c r="E138" s="9" t="s">
        <v>122</v>
      </c>
      <c r="F138" s="9" t="s">
        <v>123</v>
      </c>
      <c r="G138" t="str">
        <f>_xlfn.XLOOKUP(FMECA[[#This Row],[HazardRisk_name]],categories[HazardRisk_Name],categories[HazardRisk])</f>
        <v>Risk</v>
      </c>
      <c r="H138" t="str">
        <f>_xlfn.XLOOKUP(FMECA[[#This Row],[HazardRisk_name]],categories[HazardRisk_Name],categories[Category])</f>
        <v>Operational</v>
      </c>
      <c r="I138" t="s">
        <v>725</v>
      </c>
      <c r="J138" s="10">
        <v>3</v>
      </c>
      <c r="K138" t="s">
        <v>1893</v>
      </c>
      <c r="L138" s="10">
        <v>4</v>
      </c>
      <c r="M138" t="s">
        <v>1894</v>
      </c>
      <c r="N138" s="10">
        <f>FMECA[[#This Row],[probability_value]]*FMECA[[#This Row],[consequence_value]]</f>
        <v>12</v>
      </c>
      <c r="O13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38" s="10" t="s">
        <v>770</v>
      </c>
      <c r="Q138" t="s">
        <v>1162</v>
      </c>
      <c r="R138" t="s">
        <v>780</v>
      </c>
      <c r="S138" t="s">
        <v>1888</v>
      </c>
      <c r="T138" t="s">
        <v>793</v>
      </c>
      <c r="U138" t="s">
        <v>1896</v>
      </c>
      <c r="V138" t="s">
        <v>470</v>
      </c>
      <c r="W138" t="s">
        <v>1895</v>
      </c>
      <c r="X138" t="s">
        <v>470</v>
      </c>
      <c r="AA138" t="s">
        <v>1162</v>
      </c>
    </row>
    <row r="139" spans="1:27" x14ac:dyDescent="0.2">
      <c r="A139" s="225" t="s">
        <v>118</v>
      </c>
      <c r="B139" t="s">
        <v>63</v>
      </c>
      <c r="C139" t="s">
        <v>73</v>
      </c>
      <c r="D139" t="s">
        <v>128</v>
      </c>
      <c r="E139" s="9" t="s">
        <v>122</v>
      </c>
      <c r="F139" s="9" t="s">
        <v>123</v>
      </c>
      <c r="G139" t="str">
        <f>_xlfn.XLOOKUP(FMECA[[#This Row],[HazardRisk_name]],categories[HazardRisk_Name],categories[HazardRisk])</f>
        <v>Risk</v>
      </c>
      <c r="H139" t="str">
        <f>_xlfn.XLOOKUP(FMECA[[#This Row],[HazardRisk_name]],categories[HazardRisk_Name],categories[Category])</f>
        <v>Assessment</v>
      </c>
      <c r="I139" t="s">
        <v>698</v>
      </c>
      <c r="J139" s="10">
        <v>4</v>
      </c>
      <c r="K139" t="s">
        <v>1900</v>
      </c>
      <c r="L139" s="10">
        <v>7</v>
      </c>
      <c r="M139" t="s">
        <v>1900</v>
      </c>
      <c r="N139" s="10">
        <f>FMECA[[#This Row],[probability_value]]*FMECA[[#This Row],[consequence_value]]</f>
        <v>28</v>
      </c>
      <c r="O139" s="10" t="str">
        <f>IF(AND(FMECA[[#This Row],[Score]]&gt;=0, 9&gt;=FMECA[[#This Row],[Score]]), "UNDETECTABLE", IF(AND(FMECA[[#This Row],[Score]]&gt;=10, 24&gt;=FMECA[[#This Row],[Score]]), "MODERATE", IF(AND(FMECA[[#This Row],[Score]]&gt;=25, 35&gt;=FMECA[[#This Row],[Score]]), "HIGH", IF(AND(FMECA[[#This Row],[Score]]&gt;=36, 50&gt;=FMECA[[#This Row],[Score]]), "VERY HIGH", "Check Formula"))))</f>
        <v>HIGH</v>
      </c>
      <c r="P139" s="10" t="s">
        <v>770</v>
      </c>
      <c r="Q139" t="s">
        <v>1162</v>
      </c>
      <c r="R139" t="s">
        <v>780</v>
      </c>
      <c r="S139" t="s">
        <v>1888</v>
      </c>
      <c r="T139" t="s">
        <v>793</v>
      </c>
      <c r="U139" t="s">
        <v>1901</v>
      </c>
      <c r="V139" t="s">
        <v>470</v>
      </c>
      <c r="AA139" t="s">
        <v>1162</v>
      </c>
    </row>
    <row r="140" spans="1:27" x14ac:dyDescent="0.2">
      <c r="A140" s="225" t="s">
        <v>118</v>
      </c>
      <c r="B140" t="s">
        <v>63</v>
      </c>
      <c r="C140" t="s">
        <v>73</v>
      </c>
      <c r="D140" t="s">
        <v>128</v>
      </c>
      <c r="E140" s="9" t="s">
        <v>122</v>
      </c>
      <c r="F140" s="9" t="s">
        <v>123</v>
      </c>
      <c r="G140" t="str">
        <f>_xlfn.XLOOKUP(FMECA[[#This Row],[HazardRisk_name]],categories[HazardRisk_Name],categories[HazardRisk])</f>
        <v>Hazard</v>
      </c>
      <c r="H140" t="str">
        <f>_xlfn.XLOOKUP(FMECA[[#This Row],[HazardRisk_name]],categories[HazardRisk_Name],categories[Category])</f>
        <v>Sea Ice</v>
      </c>
      <c r="I140" t="s">
        <v>563</v>
      </c>
      <c r="J140" s="10">
        <v>5</v>
      </c>
      <c r="K140" t="s">
        <v>1897</v>
      </c>
      <c r="L140" s="10">
        <v>7</v>
      </c>
      <c r="M140" t="s">
        <v>1897</v>
      </c>
      <c r="N140" s="10">
        <f>FMECA[[#This Row],[probability_value]]*FMECA[[#This Row],[consequence_value]]</f>
        <v>35</v>
      </c>
      <c r="O140" s="10" t="str">
        <f>IF(AND(FMECA[[#This Row],[Score]]&gt;=0, 9&gt;=FMECA[[#This Row],[Score]]), "UNDETECTABLE", IF(AND(FMECA[[#This Row],[Score]]&gt;=10, 24&gt;=FMECA[[#This Row],[Score]]), "MODERATE", IF(AND(FMECA[[#This Row],[Score]]&gt;=25, 35&gt;=FMECA[[#This Row],[Score]]), "HIGH", IF(AND(FMECA[[#This Row],[Score]]&gt;=36, 50&gt;=FMECA[[#This Row],[Score]]), "VERY HIGH", "Check Formula"))))</f>
        <v>HIGH</v>
      </c>
      <c r="P140" s="10" t="s">
        <v>770</v>
      </c>
      <c r="Q140" t="s">
        <v>1162</v>
      </c>
      <c r="R140" t="s">
        <v>780</v>
      </c>
      <c r="S140" t="s">
        <v>1888</v>
      </c>
      <c r="T140" t="s">
        <v>793</v>
      </c>
      <c r="U140" t="s">
        <v>1899</v>
      </c>
      <c r="V140" t="s">
        <v>466</v>
      </c>
      <c r="W140" t="s">
        <v>1898</v>
      </c>
      <c r="X140" t="s">
        <v>470</v>
      </c>
      <c r="AA140" t="s">
        <v>1162</v>
      </c>
    </row>
    <row r="141" spans="1:27" x14ac:dyDescent="0.2">
      <c r="A141" s="225" t="s">
        <v>119</v>
      </c>
      <c r="B141" t="s">
        <v>63</v>
      </c>
      <c r="C141" t="s">
        <v>73</v>
      </c>
      <c r="D141" t="s">
        <v>129</v>
      </c>
      <c r="E141" s="9" t="s">
        <v>124</v>
      </c>
      <c r="F141" s="9" t="s">
        <v>125</v>
      </c>
      <c r="G141" t="str">
        <f>_xlfn.XLOOKUP(FMECA[[#This Row],[HazardRisk_name]],categories[HazardRisk_Name],categories[HazardRisk])</f>
        <v>Hazard</v>
      </c>
      <c r="H141" t="str">
        <f>_xlfn.XLOOKUP(FMECA[[#This Row],[HazardRisk_name]],categories[HazardRisk_Name],categories[Category])</f>
        <v>Operational</v>
      </c>
      <c r="I141" t="s">
        <v>533</v>
      </c>
      <c r="J141" s="10">
        <v>5</v>
      </c>
      <c r="K141" t="s">
        <v>1906</v>
      </c>
      <c r="L141" s="10">
        <v>7</v>
      </c>
      <c r="M141" t="s">
        <v>1906</v>
      </c>
      <c r="N141" s="10">
        <f>FMECA[[#This Row],[probability_value]]*FMECA[[#This Row],[consequence_value]]</f>
        <v>35</v>
      </c>
      <c r="O141" s="10" t="str">
        <f>IF(AND(FMECA[[#This Row],[Score]]&gt;=0, 9&gt;=FMECA[[#This Row],[Score]]), "UNDETECTABLE", IF(AND(FMECA[[#This Row],[Score]]&gt;=10, 24&gt;=FMECA[[#This Row],[Score]]), "MODERATE", IF(AND(FMECA[[#This Row],[Score]]&gt;=25, 35&gt;=FMECA[[#This Row],[Score]]), "HIGH", IF(AND(FMECA[[#This Row],[Score]]&gt;=36, 50&gt;=FMECA[[#This Row],[Score]]), "VERY HIGH", "Check Formula"))))</f>
        <v>HIGH</v>
      </c>
      <c r="P141" s="10" t="s">
        <v>777</v>
      </c>
      <c r="Q141" t="s">
        <v>778</v>
      </c>
      <c r="R141" t="s">
        <v>780</v>
      </c>
      <c r="S141" t="s">
        <v>1990</v>
      </c>
      <c r="U141" t="s">
        <v>1909</v>
      </c>
      <c r="V141" t="s">
        <v>466</v>
      </c>
      <c r="W141" t="s">
        <v>1908</v>
      </c>
      <c r="X141" t="s">
        <v>470</v>
      </c>
      <c r="AA141" t="s">
        <v>1162</v>
      </c>
    </row>
    <row r="142" spans="1:27" x14ac:dyDescent="0.2">
      <c r="A142" s="225" t="s">
        <v>119</v>
      </c>
      <c r="B142" t="s">
        <v>63</v>
      </c>
      <c r="C142" t="s">
        <v>73</v>
      </c>
      <c r="D142" t="s">
        <v>129</v>
      </c>
      <c r="E142" s="9" t="s">
        <v>124</v>
      </c>
      <c r="F142" s="9" t="s">
        <v>125</v>
      </c>
      <c r="G142" t="str">
        <f>_xlfn.XLOOKUP(FMECA[[#This Row],[HazardRisk_name]],categories[HazardRisk_Name],categories[HazardRisk])</f>
        <v>Hazard</v>
      </c>
      <c r="H142" t="str">
        <f>_xlfn.XLOOKUP(FMECA[[#This Row],[HazardRisk_name]],categories[HazardRisk_Name],categories[Category])</f>
        <v>Environmental</v>
      </c>
      <c r="I142" t="s">
        <v>693</v>
      </c>
      <c r="J142" s="10">
        <v>5</v>
      </c>
      <c r="K142" t="s">
        <v>1907</v>
      </c>
      <c r="L142" s="10">
        <v>10</v>
      </c>
      <c r="M142" t="s">
        <v>1907</v>
      </c>
      <c r="N142" s="10">
        <f>FMECA[[#This Row],[probability_value]]*FMECA[[#This Row],[consequence_value]]</f>
        <v>50</v>
      </c>
      <c r="O142"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142" s="10" t="s">
        <v>777</v>
      </c>
      <c r="Q142" t="s">
        <v>778</v>
      </c>
      <c r="R142" t="s">
        <v>780</v>
      </c>
      <c r="S142" t="s">
        <v>1990</v>
      </c>
      <c r="U142" t="s">
        <v>1911</v>
      </c>
      <c r="V142" t="s">
        <v>466</v>
      </c>
      <c r="W142" t="s">
        <v>1910</v>
      </c>
      <c r="X142" t="s">
        <v>470</v>
      </c>
      <c r="AA142" t="s">
        <v>1162</v>
      </c>
    </row>
    <row r="143" spans="1:27" x14ac:dyDescent="0.2">
      <c r="A143" s="225" t="s">
        <v>119</v>
      </c>
      <c r="B143" t="s">
        <v>63</v>
      </c>
      <c r="C143" t="s">
        <v>73</v>
      </c>
      <c r="D143" t="s">
        <v>129</v>
      </c>
      <c r="E143" s="9" t="s">
        <v>124</v>
      </c>
      <c r="F143" s="9" t="s">
        <v>125</v>
      </c>
      <c r="G143" t="str">
        <f>_xlfn.XLOOKUP(FMECA[[#This Row],[HazardRisk_name]],categories[HazardRisk_Name],categories[HazardRisk])</f>
        <v>Risk</v>
      </c>
      <c r="H143" t="str">
        <f>_xlfn.XLOOKUP(FMECA[[#This Row],[HazardRisk_name]],categories[HazardRisk_Name],categories[Category])</f>
        <v>Navigational</v>
      </c>
      <c r="I143" t="s">
        <v>474</v>
      </c>
      <c r="J143" s="10">
        <v>4</v>
      </c>
      <c r="K143" t="s">
        <v>1912</v>
      </c>
      <c r="L143" s="10">
        <v>7</v>
      </c>
      <c r="M143" t="s">
        <v>1912</v>
      </c>
      <c r="N143" s="10">
        <f>FMECA[[#This Row],[probability_value]]*FMECA[[#This Row],[consequence_value]]</f>
        <v>28</v>
      </c>
      <c r="O143" s="10" t="str">
        <f>IF(AND(FMECA[[#This Row],[Score]]&gt;=0, 9&gt;=FMECA[[#This Row],[Score]]), "UNDETECTABLE", IF(AND(FMECA[[#This Row],[Score]]&gt;=10, 24&gt;=FMECA[[#This Row],[Score]]), "MODERATE", IF(AND(FMECA[[#This Row],[Score]]&gt;=25, 35&gt;=FMECA[[#This Row],[Score]]), "HIGH", IF(AND(FMECA[[#This Row],[Score]]&gt;=36, 50&gt;=FMECA[[#This Row],[Score]]), "VERY HIGH", "Check Formula"))))</f>
        <v>HIGH</v>
      </c>
      <c r="P143" s="10" t="s">
        <v>777</v>
      </c>
      <c r="Q143" t="s">
        <v>778</v>
      </c>
      <c r="R143" t="s">
        <v>780</v>
      </c>
      <c r="S143" t="s">
        <v>1990</v>
      </c>
      <c r="U143" t="s">
        <v>1913</v>
      </c>
      <c r="V143" t="s">
        <v>470</v>
      </c>
      <c r="W143" t="s">
        <v>1914</v>
      </c>
      <c r="X143" t="s">
        <v>470</v>
      </c>
      <c r="Y143" t="s">
        <v>1674</v>
      </c>
      <c r="Z143" t="s">
        <v>1915</v>
      </c>
      <c r="AA143" t="s">
        <v>1132</v>
      </c>
    </row>
    <row r="144" spans="1:27" x14ac:dyDescent="0.2">
      <c r="A144" s="225" t="s">
        <v>119</v>
      </c>
      <c r="B144" t="s">
        <v>63</v>
      </c>
      <c r="C144" t="s">
        <v>73</v>
      </c>
      <c r="D144" t="s">
        <v>129</v>
      </c>
      <c r="E144" s="9" t="s">
        <v>124</v>
      </c>
      <c r="F144" s="9" t="s">
        <v>125</v>
      </c>
      <c r="G144" t="str">
        <f>_xlfn.XLOOKUP(FMECA[[#This Row],[HazardRisk_name]],categories[HazardRisk_Name],categories[HazardRisk])</f>
        <v>Risk</v>
      </c>
      <c r="H144" t="str">
        <f>_xlfn.XLOOKUP(FMECA[[#This Row],[HazardRisk_name]],categories[HazardRisk_Name],categories[Category])</f>
        <v>Operational</v>
      </c>
      <c r="I144" t="s">
        <v>1320</v>
      </c>
      <c r="J144" s="10">
        <v>3</v>
      </c>
      <c r="K144" t="s">
        <v>1916</v>
      </c>
      <c r="L144" s="10">
        <v>7</v>
      </c>
      <c r="M144" t="s">
        <v>1916</v>
      </c>
      <c r="N144" s="10">
        <f>FMECA[[#This Row],[probability_value]]*FMECA[[#This Row],[consequence_value]]</f>
        <v>21</v>
      </c>
      <c r="O14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44" s="10" t="s">
        <v>777</v>
      </c>
      <c r="Q144" t="s">
        <v>778</v>
      </c>
      <c r="R144" t="s">
        <v>780</v>
      </c>
      <c r="S144" t="s">
        <v>1990</v>
      </c>
      <c r="U144" t="s">
        <v>1917</v>
      </c>
      <c r="V144" t="s">
        <v>470</v>
      </c>
      <c r="W144" t="s">
        <v>1918</v>
      </c>
      <c r="X144" t="s">
        <v>470</v>
      </c>
      <c r="AA144" t="s">
        <v>1162</v>
      </c>
    </row>
    <row r="145" spans="1:27" x14ac:dyDescent="0.2">
      <c r="A145" s="225" t="s">
        <v>119</v>
      </c>
      <c r="B145" t="s">
        <v>63</v>
      </c>
      <c r="C145" t="s">
        <v>73</v>
      </c>
      <c r="D145" t="s">
        <v>129</v>
      </c>
      <c r="E145" s="9" t="s">
        <v>124</v>
      </c>
      <c r="F145" s="9" t="s">
        <v>125</v>
      </c>
      <c r="G145" t="str">
        <f>_xlfn.XLOOKUP(FMECA[[#This Row],[HazardRisk_name]],categories[HazardRisk_Name],categories[HazardRisk])</f>
        <v>Hazard</v>
      </c>
      <c r="H145" t="str">
        <f>_xlfn.XLOOKUP(FMECA[[#This Row],[HazardRisk_name]],categories[HazardRisk_Name],categories[Category])</f>
        <v>Sea Ice</v>
      </c>
      <c r="I145" t="s">
        <v>648</v>
      </c>
      <c r="J145" s="10">
        <v>4</v>
      </c>
      <c r="K145" t="s">
        <v>1919</v>
      </c>
      <c r="L145" s="10">
        <v>10</v>
      </c>
      <c r="M145" t="s">
        <v>1919</v>
      </c>
      <c r="N145" s="10">
        <f>FMECA[[#This Row],[probability_value]]*FMECA[[#This Row],[consequence_value]]</f>
        <v>40</v>
      </c>
      <c r="O145"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145" s="10" t="s">
        <v>777</v>
      </c>
      <c r="Q145" t="s">
        <v>778</v>
      </c>
      <c r="R145" t="s">
        <v>780</v>
      </c>
      <c r="S145" t="s">
        <v>1990</v>
      </c>
      <c r="U145" t="s">
        <v>1920</v>
      </c>
      <c r="V145" t="s">
        <v>470</v>
      </c>
      <c r="W145" t="s">
        <v>1921</v>
      </c>
      <c r="X145" t="s">
        <v>470</v>
      </c>
      <c r="AA145" t="s">
        <v>1162</v>
      </c>
    </row>
    <row r="146" spans="1:27" x14ac:dyDescent="0.2">
      <c r="A146" s="225" t="s">
        <v>119</v>
      </c>
      <c r="B146" t="s">
        <v>63</v>
      </c>
      <c r="C146" t="s">
        <v>73</v>
      </c>
      <c r="D146" t="s">
        <v>129</v>
      </c>
      <c r="E146" s="9" t="s">
        <v>124</v>
      </c>
      <c r="F146" s="9" t="s">
        <v>125</v>
      </c>
      <c r="G146" t="str">
        <f>_xlfn.XLOOKUP(FMECA[[#This Row],[HazardRisk_name]],categories[HazardRisk_Name],categories[HazardRisk])</f>
        <v>Risk</v>
      </c>
      <c r="H146" t="str">
        <f>_xlfn.XLOOKUP(FMECA[[#This Row],[HazardRisk_name]],categories[HazardRisk_Name],categories[Category])</f>
        <v>Assessment</v>
      </c>
      <c r="I146" t="s">
        <v>698</v>
      </c>
      <c r="J146" s="10">
        <v>5</v>
      </c>
      <c r="K146" t="s">
        <v>1925</v>
      </c>
      <c r="L146" s="10">
        <v>7</v>
      </c>
      <c r="M146" t="s">
        <v>1925</v>
      </c>
      <c r="N146" s="10">
        <f>FMECA[[#This Row],[probability_value]]*FMECA[[#This Row],[consequence_value]]</f>
        <v>35</v>
      </c>
      <c r="O146" s="10" t="str">
        <f>IF(AND(FMECA[[#This Row],[Score]]&gt;=0, 9&gt;=FMECA[[#This Row],[Score]]), "UNDETECTABLE", IF(AND(FMECA[[#This Row],[Score]]&gt;=10, 24&gt;=FMECA[[#This Row],[Score]]), "MODERATE", IF(AND(FMECA[[#This Row],[Score]]&gt;=25, 35&gt;=FMECA[[#This Row],[Score]]), "HIGH", IF(AND(FMECA[[#This Row],[Score]]&gt;=36, 50&gt;=FMECA[[#This Row],[Score]]), "VERY HIGH", "Check Formula"))))</f>
        <v>HIGH</v>
      </c>
      <c r="P146" s="10" t="s">
        <v>777</v>
      </c>
      <c r="Q146" t="s">
        <v>778</v>
      </c>
      <c r="R146" t="s">
        <v>780</v>
      </c>
      <c r="S146" t="s">
        <v>1990</v>
      </c>
      <c r="W146" t="s">
        <v>1927</v>
      </c>
      <c r="X146" t="s">
        <v>470</v>
      </c>
      <c r="Y146" t="s">
        <v>1153</v>
      </c>
      <c r="Z146" t="s">
        <v>1926</v>
      </c>
      <c r="AA146" t="s">
        <v>1132</v>
      </c>
    </row>
    <row r="147" spans="1:27" x14ac:dyDescent="0.2">
      <c r="A147" s="225" t="s">
        <v>119</v>
      </c>
      <c r="B147" t="s">
        <v>63</v>
      </c>
      <c r="C147" t="s">
        <v>73</v>
      </c>
      <c r="D147" t="s">
        <v>129</v>
      </c>
      <c r="E147" s="9" t="s">
        <v>124</v>
      </c>
      <c r="F147" s="9" t="s">
        <v>125</v>
      </c>
      <c r="G147" t="str">
        <f>_xlfn.XLOOKUP(FMECA[[#This Row],[HazardRisk_name]],categories[HazardRisk_Name],categories[HazardRisk])</f>
        <v>Risk</v>
      </c>
      <c r="H147" t="str">
        <f>_xlfn.XLOOKUP(FMECA[[#This Row],[HazardRisk_name]],categories[HazardRisk_Name],categories[Category])</f>
        <v>Navigational</v>
      </c>
      <c r="I147" t="s">
        <v>586</v>
      </c>
      <c r="J147" s="10">
        <v>3</v>
      </c>
      <c r="K147" t="s">
        <v>1931</v>
      </c>
      <c r="L147" s="10">
        <v>7</v>
      </c>
      <c r="M147" t="s">
        <v>1931</v>
      </c>
      <c r="N147" s="10">
        <f>FMECA[[#This Row],[probability_value]]*FMECA[[#This Row],[consequence_value]]</f>
        <v>21</v>
      </c>
      <c r="O14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47" s="10" t="s">
        <v>777</v>
      </c>
      <c r="Q147" t="s">
        <v>778</v>
      </c>
      <c r="R147" t="s">
        <v>780</v>
      </c>
      <c r="S147" t="s">
        <v>1990</v>
      </c>
      <c r="U147" t="s">
        <v>1932</v>
      </c>
      <c r="V147" t="s">
        <v>466</v>
      </c>
      <c r="W147" t="s">
        <v>1933</v>
      </c>
      <c r="X147" t="s">
        <v>470</v>
      </c>
      <c r="AA147" t="s">
        <v>1162</v>
      </c>
    </row>
    <row r="148" spans="1:27" x14ac:dyDescent="0.2">
      <c r="A148" s="225" t="s">
        <v>119</v>
      </c>
      <c r="B148" t="s">
        <v>63</v>
      </c>
      <c r="C148" t="s">
        <v>73</v>
      </c>
      <c r="D148" t="s">
        <v>129</v>
      </c>
      <c r="E148" s="9" t="s">
        <v>124</v>
      </c>
      <c r="F148" s="9" t="s">
        <v>125</v>
      </c>
      <c r="G148" t="str">
        <f>_xlfn.XLOOKUP(FMECA[[#This Row],[HazardRisk_name]],categories[HazardRisk_Name],categories[HazardRisk])</f>
        <v>Risk</v>
      </c>
      <c r="H148" t="str">
        <f>_xlfn.XLOOKUP(FMECA[[#This Row],[HazardRisk_name]],categories[HazardRisk_Name],categories[Category])</f>
        <v>Navigational</v>
      </c>
      <c r="I148" t="s">
        <v>703</v>
      </c>
      <c r="J148" s="10">
        <v>3</v>
      </c>
      <c r="K148" t="s">
        <v>1931</v>
      </c>
      <c r="L148" s="10">
        <v>7</v>
      </c>
      <c r="M148" t="s">
        <v>1931</v>
      </c>
      <c r="N148" s="10">
        <f>FMECA[[#This Row],[probability_value]]*FMECA[[#This Row],[consequence_value]]</f>
        <v>21</v>
      </c>
      <c r="O14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48" s="10" t="s">
        <v>777</v>
      </c>
      <c r="Q148" t="s">
        <v>778</v>
      </c>
      <c r="R148" t="s">
        <v>780</v>
      </c>
      <c r="S148" t="s">
        <v>1990</v>
      </c>
      <c r="U148" t="s">
        <v>1932</v>
      </c>
      <c r="V148" t="s">
        <v>466</v>
      </c>
      <c r="W148" t="s">
        <v>1933</v>
      </c>
      <c r="X148" t="s">
        <v>470</v>
      </c>
      <c r="AA148" t="s">
        <v>1162</v>
      </c>
    </row>
    <row r="149" spans="1:27" x14ac:dyDescent="0.2">
      <c r="A149" s="225" t="s">
        <v>119</v>
      </c>
      <c r="B149" t="s">
        <v>63</v>
      </c>
      <c r="C149" t="s">
        <v>73</v>
      </c>
      <c r="D149" t="s">
        <v>129</v>
      </c>
      <c r="E149" s="9" t="s">
        <v>124</v>
      </c>
      <c r="F149" s="9" t="s">
        <v>125</v>
      </c>
      <c r="G149" t="str">
        <f>_xlfn.XLOOKUP(FMECA[[#This Row],[HazardRisk_name]],categories[HazardRisk_Name],categories[HazardRisk])</f>
        <v>Risk</v>
      </c>
      <c r="H149" t="str">
        <f>_xlfn.XLOOKUP(FMECA[[#This Row],[HazardRisk_name]],categories[HazardRisk_Name],categories[Category])</f>
        <v>Navigational</v>
      </c>
      <c r="I149" t="s">
        <v>582</v>
      </c>
      <c r="J149" s="10">
        <v>3</v>
      </c>
      <c r="K149" t="s">
        <v>1931</v>
      </c>
      <c r="L149" s="10">
        <v>7</v>
      </c>
      <c r="M149" t="s">
        <v>1931</v>
      </c>
      <c r="N149" s="10">
        <f>FMECA[[#This Row],[probability_value]]*FMECA[[#This Row],[consequence_value]]</f>
        <v>21</v>
      </c>
      <c r="O14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49" s="10" t="s">
        <v>777</v>
      </c>
      <c r="Q149" t="s">
        <v>778</v>
      </c>
      <c r="R149" t="s">
        <v>780</v>
      </c>
      <c r="S149" t="s">
        <v>1990</v>
      </c>
      <c r="U149" t="s">
        <v>1932</v>
      </c>
      <c r="V149" t="s">
        <v>466</v>
      </c>
      <c r="W149" t="s">
        <v>1933</v>
      </c>
      <c r="X149" t="s">
        <v>470</v>
      </c>
      <c r="AA149" t="s">
        <v>1162</v>
      </c>
    </row>
    <row r="150" spans="1:27" x14ac:dyDescent="0.2">
      <c r="A150" s="225" t="s">
        <v>119</v>
      </c>
      <c r="B150" t="s">
        <v>63</v>
      </c>
      <c r="C150" t="s">
        <v>73</v>
      </c>
      <c r="D150" t="s">
        <v>129</v>
      </c>
      <c r="E150" s="9" t="s">
        <v>124</v>
      </c>
      <c r="F150" s="9" t="s">
        <v>125</v>
      </c>
      <c r="G150" t="str">
        <f>_xlfn.XLOOKUP(FMECA[[#This Row],[HazardRisk_name]],categories[HazardRisk_Name],categories[HazardRisk])</f>
        <v>Hazard</v>
      </c>
      <c r="H150" t="str">
        <f>_xlfn.XLOOKUP(FMECA[[#This Row],[HazardRisk_name]],categories[HazardRisk_Name],categories[Category])</f>
        <v>Operational</v>
      </c>
      <c r="I150" t="s">
        <v>685</v>
      </c>
      <c r="J150" s="10">
        <v>4</v>
      </c>
      <c r="K150" t="s">
        <v>1931</v>
      </c>
      <c r="L150" s="10">
        <v>4</v>
      </c>
      <c r="M150" t="s">
        <v>1931</v>
      </c>
      <c r="N150" s="10">
        <f>FMECA[[#This Row],[probability_value]]*FMECA[[#This Row],[consequence_value]]</f>
        <v>16</v>
      </c>
      <c r="O15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50" s="10" t="s">
        <v>777</v>
      </c>
      <c r="Q150" t="s">
        <v>778</v>
      </c>
      <c r="R150" t="s">
        <v>780</v>
      </c>
      <c r="S150" t="s">
        <v>1990</v>
      </c>
      <c r="U150" t="s">
        <v>1932</v>
      </c>
      <c r="V150" t="s">
        <v>466</v>
      </c>
      <c r="W150" t="s">
        <v>1933</v>
      </c>
      <c r="X150" t="s">
        <v>470</v>
      </c>
      <c r="AA150" t="s">
        <v>1162</v>
      </c>
    </row>
    <row r="151" spans="1:27" x14ac:dyDescent="0.2">
      <c r="A151" s="225" t="s">
        <v>119</v>
      </c>
      <c r="B151" t="s">
        <v>63</v>
      </c>
      <c r="C151" t="s">
        <v>73</v>
      </c>
      <c r="D151" t="s">
        <v>129</v>
      </c>
      <c r="E151" s="9" t="s">
        <v>124</v>
      </c>
      <c r="F151" s="9" t="s">
        <v>125</v>
      </c>
      <c r="G151" t="str">
        <f>_xlfn.XLOOKUP(FMECA[[#This Row],[HazardRisk_name]],categories[HazardRisk_Name],categories[HazardRisk])</f>
        <v>Hazard</v>
      </c>
      <c r="H151" t="str">
        <f>_xlfn.XLOOKUP(FMECA[[#This Row],[HazardRisk_name]],categories[HazardRisk_Name],categories[Category])</f>
        <v>Operational</v>
      </c>
      <c r="I151" t="s">
        <v>595</v>
      </c>
      <c r="J151" s="10">
        <v>4</v>
      </c>
      <c r="K151" t="s">
        <v>1928</v>
      </c>
      <c r="L151" s="10">
        <v>4</v>
      </c>
      <c r="M151" t="s">
        <v>1928</v>
      </c>
      <c r="N151" s="10">
        <f>FMECA[[#This Row],[probability_value]]*FMECA[[#This Row],[consequence_value]]</f>
        <v>16</v>
      </c>
      <c r="O15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51" s="10" t="s">
        <v>777</v>
      </c>
      <c r="Q151" t="s">
        <v>778</v>
      </c>
      <c r="R151" t="s">
        <v>780</v>
      </c>
      <c r="S151" t="s">
        <v>1990</v>
      </c>
      <c r="U151" t="s">
        <v>1930</v>
      </c>
      <c r="V151" t="s">
        <v>470</v>
      </c>
      <c r="W151" t="s">
        <v>1929</v>
      </c>
      <c r="AA151" t="s">
        <v>1162</v>
      </c>
    </row>
    <row r="152" spans="1:27" x14ac:dyDescent="0.2">
      <c r="A152" s="225" t="s">
        <v>119</v>
      </c>
      <c r="B152" t="s">
        <v>63</v>
      </c>
      <c r="C152" t="s">
        <v>73</v>
      </c>
      <c r="D152" t="s">
        <v>129</v>
      </c>
      <c r="E152" s="9" t="s">
        <v>124</v>
      </c>
      <c r="F152" s="9" t="s">
        <v>125</v>
      </c>
      <c r="G152" t="str">
        <f>_xlfn.XLOOKUP(FMECA[[#This Row],[HazardRisk_name]],categories[HazardRisk_Name],categories[HazardRisk])</f>
        <v>Risk</v>
      </c>
      <c r="H152" t="str">
        <f>_xlfn.XLOOKUP(FMECA[[#This Row],[HazardRisk_name]],categories[HazardRisk_Name],categories[Category])</f>
        <v>Political</v>
      </c>
      <c r="I152" t="s">
        <v>540</v>
      </c>
      <c r="J152" s="10">
        <v>4</v>
      </c>
      <c r="K152" t="s">
        <v>1957</v>
      </c>
      <c r="L152" s="10">
        <v>4</v>
      </c>
      <c r="M152" t="s">
        <v>1957</v>
      </c>
      <c r="N152" s="10">
        <f>FMECA[[#This Row],[probability_value]]*FMECA[[#This Row],[consequence_value]]</f>
        <v>16</v>
      </c>
      <c r="O15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52" s="10" t="s">
        <v>777</v>
      </c>
      <c r="Q152" t="s">
        <v>778</v>
      </c>
      <c r="R152" t="s">
        <v>780</v>
      </c>
      <c r="S152" t="s">
        <v>1990</v>
      </c>
      <c r="U152" t="s">
        <v>1958</v>
      </c>
      <c r="V152" t="s">
        <v>470</v>
      </c>
      <c r="W152" t="s">
        <v>1959</v>
      </c>
      <c r="X152" t="s">
        <v>470</v>
      </c>
      <c r="AA152" t="s">
        <v>1162</v>
      </c>
    </row>
    <row r="153" spans="1:27" x14ac:dyDescent="0.2">
      <c r="A153" s="225" t="s">
        <v>119</v>
      </c>
      <c r="B153" t="s">
        <v>63</v>
      </c>
      <c r="C153" t="s">
        <v>73</v>
      </c>
      <c r="D153" t="s">
        <v>129</v>
      </c>
      <c r="E153" s="9" t="s">
        <v>124</v>
      </c>
      <c r="F153" s="9" t="s">
        <v>125</v>
      </c>
      <c r="G153" t="str">
        <f>_xlfn.XLOOKUP(FMECA[[#This Row],[HazardRisk_name]],categories[HazardRisk_Name],categories[HazardRisk])</f>
        <v>Hazard</v>
      </c>
      <c r="H153" t="str">
        <f>_xlfn.XLOOKUP(FMECA[[#This Row],[HazardRisk_name]],categories[HazardRisk_Name],categories[Category])</f>
        <v>Environmental</v>
      </c>
      <c r="I153" t="s">
        <v>626</v>
      </c>
      <c r="J153" s="10">
        <v>3</v>
      </c>
      <c r="K153" t="s">
        <v>1950</v>
      </c>
      <c r="L153" s="10">
        <v>5</v>
      </c>
      <c r="M153" t="s">
        <v>1950</v>
      </c>
      <c r="N153" s="10">
        <f>FMECA[[#This Row],[probability_value]]*FMECA[[#This Row],[consequence_value]]</f>
        <v>15</v>
      </c>
      <c r="O15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53" s="10" t="s">
        <v>777</v>
      </c>
      <c r="Q153" t="s">
        <v>778</v>
      </c>
      <c r="R153" t="s">
        <v>780</v>
      </c>
      <c r="S153" t="s">
        <v>1990</v>
      </c>
      <c r="U153" t="s">
        <v>1956</v>
      </c>
      <c r="V153" t="s">
        <v>470</v>
      </c>
      <c r="AA153" t="s">
        <v>1162</v>
      </c>
    </row>
    <row r="154" spans="1:27" x14ac:dyDescent="0.2">
      <c r="A154" s="225" t="s">
        <v>119</v>
      </c>
      <c r="B154" t="s">
        <v>63</v>
      </c>
      <c r="C154" t="s">
        <v>73</v>
      </c>
      <c r="D154" t="s">
        <v>129</v>
      </c>
      <c r="E154" s="9" t="s">
        <v>124</v>
      </c>
      <c r="F154" s="9" t="s">
        <v>125</v>
      </c>
      <c r="G154" t="str">
        <f>_xlfn.XLOOKUP(FMECA[[#This Row],[HazardRisk_name]],categories[HazardRisk_Name],categories[HazardRisk])</f>
        <v>Risk</v>
      </c>
      <c r="H154" t="str">
        <f>_xlfn.XLOOKUP(FMECA[[#This Row],[HazardRisk_name]],categories[HazardRisk_Name],categories[Category])</f>
        <v>Pollutants</v>
      </c>
      <c r="I154" t="s">
        <v>547</v>
      </c>
      <c r="J154" s="10">
        <v>5</v>
      </c>
      <c r="K154" t="s">
        <v>1953</v>
      </c>
      <c r="L154" s="10">
        <v>7</v>
      </c>
      <c r="M154" t="s">
        <v>1953</v>
      </c>
      <c r="N154" s="10">
        <f>FMECA[[#This Row],[probability_value]]*FMECA[[#This Row],[consequence_value]]</f>
        <v>35</v>
      </c>
      <c r="O154" s="10" t="str">
        <f>IF(AND(FMECA[[#This Row],[Score]]&gt;=0, 9&gt;=FMECA[[#This Row],[Score]]), "UNDETECTABLE", IF(AND(FMECA[[#This Row],[Score]]&gt;=10, 24&gt;=FMECA[[#This Row],[Score]]), "MODERATE", IF(AND(FMECA[[#This Row],[Score]]&gt;=25, 35&gt;=FMECA[[#This Row],[Score]]), "HIGH", IF(AND(FMECA[[#This Row],[Score]]&gt;=36, 50&gt;=FMECA[[#This Row],[Score]]), "VERY HIGH", "Check Formula"))))</f>
        <v>HIGH</v>
      </c>
      <c r="P154" s="10" t="s">
        <v>777</v>
      </c>
      <c r="Q154" t="s">
        <v>778</v>
      </c>
      <c r="R154" t="s">
        <v>780</v>
      </c>
      <c r="S154" t="s">
        <v>1990</v>
      </c>
      <c r="U154" t="s">
        <v>1954</v>
      </c>
      <c r="V154" t="s">
        <v>466</v>
      </c>
      <c r="W154" t="s">
        <v>1955</v>
      </c>
      <c r="X154" t="s">
        <v>470</v>
      </c>
      <c r="AA154" t="s">
        <v>1162</v>
      </c>
    </row>
    <row r="155" spans="1:27" x14ac:dyDescent="0.2">
      <c r="A155" s="225" t="s">
        <v>119</v>
      </c>
      <c r="B155" t="s">
        <v>63</v>
      </c>
      <c r="C155" t="s">
        <v>73</v>
      </c>
      <c r="D155" t="s">
        <v>129</v>
      </c>
      <c r="E155" s="9" t="s">
        <v>124</v>
      </c>
      <c r="F155" s="9" t="s">
        <v>125</v>
      </c>
      <c r="G155" t="str">
        <f>_xlfn.XLOOKUP(FMECA[[#This Row],[HazardRisk_name]],categories[HazardRisk_Name],categories[HazardRisk])</f>
        <v>Hazard</v>
      </c>
      <c r="H155" t="str">
        <f>_xlfn.XLOOKUP(FMECA[[#This Row],[HazardRisk_name]],categories[HazardRisk_Name],categories[Category])</f>
        <v>Sea Ice</v>
      </c>
      <c r="I155" t="s">
        <v>447</v>
      </c>
      <c r="J155" s="10">
        <v>4</v>
      </c>
      <c r="K155" t="s">
        <v>1922</v>
      </c>
      <c r="L155" s="10">
        <v>7</v>
      </c>
      <c r="M155" t="s">
        <v>1922</v>
      </c>
      <c r="N155" s="10">
        <f>FMECA[[#This Row],[probability_value]]*FMECA[[#This Row],[consequence_value]]</f>
        <v>28</v>
      </c>
      <c r="O155" s="10" t="str">
        <f>IF(AND(FMECA[[#This Row],[Score]]&gt;=0, 9&gt;=FMECA[[#This Row],[Score]]), "UNDETECTABLE", IF(AND(FMECA[[#This Row],[Score]]&gt;=10, 24&gt;=FMECA[[#This Row],[Score]]), "MODERATE", IF(AND(FMECA[[#This Row],[Score]]&gt;=25, 35&gt;=FMECA[[#This Row],[Score]]), "HIGH", IF(AND(FMECA[[#This Row],[Score]]&gt;=36, 50&gt;=FMECA[[#This Row],[Score]]), "VERY HIGH", "Check Formula"))))</f>
        <v>HIGH</v>
      </c>
      <c r="P155" s="10" t="s">
        <v>777</v>
      </c>
      <c r="Q155" t="s">
        <v>778</v>
      </c>
      <c r="R155" t="s">
        <v>780</v>
      </c>
      <c r="S155" t="s">
        <v>1990</v>
      </c>
      <c r="U155" t="s">
        <v>1924</v>
      </c>
      <c r="V155" t="s">
        <v>449</v>
      </c>
      <c r="W155" t="s">
        <v>1923</v>
      </c>
      <c r="X155" t="s">
        <v>470</v>
      </c>
      <c r="AA155" t="s">
        <v>1162</v>
      </c>
    </row>
    <row r="156" spans="1:27" x14ac:dyDescent="0.2">
      <c r="A156" s="225" t="s">
        <v>119</v>
      </c>
      <c r="B156" t="s">
        <v>63</v>
      </c>
      <c r="C156" t="s">
        <v>73</v>
      </c>
      <c r="D156" t="s">
        <v>129</v>
      </c>
      <c r="E156" s="9" t="s">
        <v>124</v>
      </c>
      <c r="F156" s="9" t="s">
        <v>125</v>
      </c>
      <c r="G156" t="str">
        <f>_xlfn.XLOOKUP(FMECA[[#This Row],[HazardRisk_name]],categories[HazardRisk_Name],categories[HazardRisk])</f>
        <v>Risk</v>
      </c>
      <c r="H156" t="str">
        <f>_xlfn.XLOOKUP(FMECA[[#This Row],[HazardRisk_name]],categories[HazardRisk_Name],categories[Category])</f>
        <v>Environmental</v>
      </c>
      <c r="I156" t="s">
        <v>554</v>
      </c>
      <c r="J156" s="10">
        <v>5</v>
      </c>
      <c r="K156" t="s">
        <v>1950</v>
      </c>
      <c r="L156" s="10">
        <v>10</v>
      </c>
      <c r="M156" t="s">
        <v>1950</v>
      </c>
      <c r="N156" s="10">
        <f>FMECA[[#This Row],[probability_value]]*FMECA[[#This Row],[consequence_value]]</f>
        <v>50</v>
      </c>
      <c r="O156"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156" s="10" t="s">
        <v>777</v>
      </c>
      <c r="Q156" t="s">
        <v>778</v>
      </c>
      <c r="R156" t="s">
        <v>780</v>
      </c>
      <c r="S156" t="s">
        <v>1990</v>
      </c>
      <c r="U156" t="s">
        <v>1951</v>
      </c>
      <c r="V156" t="s">
        <v>466</v>
      </c>
      <c r="W156" t="s">
        <v>1952</v>
      </c>
      <c r="Y156" t="s">
        <v>1949</v>
      </c>
      <c r="Z156" t="s">
        <v>1948</v>
      </c>
      <c r="AA156" t="s">
        <v>1162</v>
      </c>
    </row>
    <row r="157" spans="1:27" x14ac:dyDescent="0.2">
      <c r="A157" s="225" t="s">
        <v>119</v>
      </c>
      <c r="B157" t="s">
        <v>63</v>
      </c>
      <c r="C157" t="s">
        <v>73</v>
      </c>
      <c r="D157" t="s">
        <v>129</v>
      </c>
      <c r="E157" s="9" t="s">
        <v>124</v>
      </c>
      <c r="F157" s="9" t="s">
        <v>125</v>
      </c>
      <c r="G157" t="str">
        <f>_xlfn.XLOOKUP(FMECA[[#This Row],[HazardRisk_name]],categories[HazardRisk_Name],categories[HazardRisk])</f>
        <v>Risk</v>
      </c>
      <c r="H157" t="str">
        <f>_xlfn.XLOOKUP(FMECA[[#This Row],[HazardRisk_name]],categories[HazardRisk_Name],categories[Category])</f>
        <v>Environmental</v>
      </c>
      <c r="I157" t="s">
        <v>602</v>
      </c>
      <c r="J157" s="10">
        <v>3</v>
      </c>
      <c r="K157" t="s">
        <v>1944</v>
      </c>
      <c r="L157" s="10">
        <v>7</v>
      </c>
      <c r="M157" t="s">
        <v>1944</v>
      </c>
      <c r="N157" s="10">
        <f>FMECA[[#This Row],[probability_value]]*FMECA[[#This Row],[consequence_value]]</f>
        <v>21</v>
      </c>
      <c r="O15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57" s="10" t="s">
        <v>777</v>
      </c>
      <c r="Q157" t="s">
        <v>778</v>
      </c>
      <c r="R157" t="s">
        <v>780</v>
      </c>
      <c r="S157" t="s">
        <v>1990</v>
      </c>
      <c r="U157" t="s">
        <v>1946</v>
      </c>
      <c r="V157" t="s">
        <v>466</v>
      </c>
      <c r="W157" t="s">
        <v>1945</v>
      </c>
      <c r="X157" t="s">
        <v>470</v>
      </c>
      <c r="Y157" t="s">
        <v>1153</v>
      </c>
      <c r="Z157" t="s">
        <v>1947</v>
      </c>
      <c r="AA157" t="s">
        <v>1132</v>
      </c>
    </row>
    <row r="158" spans="1:27" x14ac:dyDescent="0.2">
      <c r="A158" s="225" t="s">
        <v>119</v>
      </c>
      <c r="B158" t="s">
        <v>63</v>
      </c>
      <c r="C158" t="s">
        <v>73</v>
      </c>
      <c r="D158" t="s">
        <v>129</v>
      </c>
      <c r="E158" s="9" t="s">
        <v>124</v>
      </c>
      <c r="F158" s="9" t="s">
        <v>125</v>
      </c>
      <c r="G158" t="str">
        <f>_xlfn.XLOOKUP(FMECA[[#This Row],[HazardRisk_name]],categories[HazardRisk_Name],categories[HazardRisk])</f>
        <v>Hazard</v>
      </c>
      <c r="H158" t="str">
        <f>_xlfn.XLOOKUP(FMECA[[#This Row],[HazardRisk_name]],categories[HazardRisk_Name],categories[Category])</f>
        <v>Environmental</v>
      </c>
      <c r="I158" t="s">
        <v>718</v>
      </c>
      <c r="J158" s="10">
        <v>5</v>
      </c>
      <c r="K158" t="s">
        <v>1941</v>
      </c>
      <c r="L158" s="10">
        <v>4</v>
      </c>
      <c r="M158" t="s">
        <v>1941</v>
      </c>
      <c r="N158" s="10">
        <f>FMECA[[#This Row],[probability_value]]*FMECA[[#This Row],[consequence_value]]</f>
        <v>20</v>
      </c>
      <c r="O15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58" s="10" t="s">
        <v>777</v>
      </c>
      <c r="Q158" t="s">
        <v>778</v>
      </c>
      <c r="R158" t="s">
        <v>780</v>
      </c>
      <c r="S158" t="s">
        <v>1990</v>
      </c>
      <c r="U158" t="s">
        <v>1943</v>
      </c>
      <c r="W158" t="s">
        <v>1942</v>
      </c>
      <c r="X158" t="s">
        <v>470</v>
      </c>
      <c r="AA158" t="s">
        <v>1162</v>
      </c>
    </row>
    <row r="159" spans="1:27" x14ac:dyDescent="0.2">
      <c r="A159" s="225" t="s">
        <v>119</v>
      </c>
      <c r="B159" t="s">
        <v>63</v>
      </c>
      <c r="C159" t="s">
        <v>73</v>
      </c>
      <c r="D159" t="s">
        <v>129</v>
      </c>
      <c r="E159" s="9" t="s">
        <v>124</v>
      </c>
      <c r="F159" s="9" t="s">
        <v>125</v>
      </c>
      <c r="G159" t="str">
        <f>_xlfn.XLOOKUP(FMECA[[#This Row],[HazardRisk_name]],categories[HazardRisk_Name],categories[HazardRisk])</f>
        <v>Risk</v>
      </c>
      <c r="H159" t="str">
        <f>_xlfn.XLOOKUP(FMECA[[#This Row],[HazardRisk_name]],categories[HazardRisk_Name],categories[Category])</f>
        <v>Economic</v>
      </c>
      <c r="I159" t="s">
        <v>592</v>
      </c>
      <c r="J159" s="10">
        <v>3</v>
      </c>
      <c r="K159" t="s">
        <v>1937</v>
      </c>
      <c r="L159" s="10">
        <v>4</v>
      </c>
      <c r="M159" t="s">
        <v>1937</v>
      </c>
      <c r="N159" s="10">
        <f>FMECA[[#This Row],[probability_value]]*FMECA[[#This Row],[consequence_value]]</f>
        <v>12</v>
      </c>
      <c r="O15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59" s="10" t="s">
        <v>777</v>
      </c>
      <c r="Q159" t="s">
        <v>778</v>
      </c>
      <c r="R159" t="s">
        <v>780</v>
      </c>
      <c r="S159" t="s">
        <v>1990</v>
      </c>
      <c r="U159" t="s">
        <v>1938</v>
      </c>
      <c r="V159" t="s">
        <v>466</v>
      </c>
      <c r="W159" t="s">
        <v>1939</v>
      </c>
      <c r="X159" t="s">
        <v>470</v>
      </c>
      <c r="Y159" t="s">
        <v>1674</v>
      </c>
      <c r="Z159" t="s">
        <v>1940</v>
      </c>
      <c r="AA159" t="s">
        <v>1132</v>
      </c>
    </row>
    <row r="160" spans="1:27" x14ac:dyDescent="0.2">
      <c r="A160" s="225" t="s">
        <v>119</v>
      </c>
      <c r="B160" t="s">
        <v>63</v>
      </c>
      <c r="C160" t="s">
        <v>73</v>
      </c>
      <c r="D160" t="s">
        <v>129</v>
      </c>
      <c r="E160" s="9" t="s">
        <v>124</v>
      </c>
      <c r="F160" s="9" t="s">
        <v>125</v>
      </c>
      <c r="G160" t="str">
        <f>_xlfn.XLOOKUP(FMECA[[#This Row],[HazardRisk_name]],categories[HazardRisk_Name],categories[HazardRisk])</f>
        <v>Risk</v>
      </c>
      <c r="H160" t="str">
        <f>_xlfn.XLOOKUP(FMECA[[#This Row],[HazardRisk_name]],categories[HazardRisk_Name],categories[Category])</f>
        <v>Pollutants</v>
      </c>
      <c r="I160" t="s">
        <v>627</v>
      </c>
      <c r="J160" s="10">
        <v>3</v>
      </c>
      <c r="K160" t="s">
        <v>1934</v>
      </c>
      <c r="L160" s="10">
        <v>10</v>
      </c>
      <c r="M160" t="s">
        <v>1934</v>
      </c>
      <c r="N160" s="10">
        <f>FMECA[[#This Row],[probability_value]]*FMECA[[#This Row],[consequence_value]]</f>
        <v>30</v>
      </c>
      <c r="O160" s="10" t="str">
        <f>IF(AND(FMECA[[#This Row],[Score]]&gt;=0, 9&gt;=FMECA[[#This Row],[Score]]), "UNDETECTABLE", IF(AND(FMECA[[#This Row],[Score]]&gt;=10, 24&gt;=FMECA[[#This Row],[Score]]), "MODERATE", IF(AND(FMECA[[#This Row],[Score]]&gt;=25, 35&gt;=FMECA[[#This Row],[Score]]), "HIGH", IF(AND(FMECA[[#This Row],[Score]]&gt;=36, 50&gt;=FMECA[[#This Row],[Score]]), "VERY HIGH", "Check Formula"))))</f>
        <v>HIGH</v>
      </c>
      <c r="P160" s="10" t="s">
        <v>777</v>
      </c>
      <c r="Q160" t="s">
        <v>778</v>
      </c>
      <c r="R160" t="s">
        <v>780</v>
      </c>
      <c r="S160" t="s">
        <v>1990</v>
      </c>
      <c r="U160" t="s">
        <v>1936</v>
      </c>
      <c r="V160" t="s">
        <v>470</v>
      </c>
      <c r="W160" t="s">
        <v>1827</v>
      </c>
      <c r="X160" t="s">
        <v>470</v>
      </c>
      <c r="Y160" t="s">
        <v>1153</v>
      </c>
      <c r="Z160" t="s">
        <v>1935</v>
      </c>
      <c r="AA160" t="s">
        <v>1132</v>
      </c>
    </row>
    <row r="161" spans="1:27" x14ac:dyDescent="0.2">
      <c r="A161" s="225" t="s">
        <v>120</v>
      </c>
      <c r="B161" t="s">
        <v>63</v>
      </c>
      <c r="C161" t="s">
        <v>73</v>
      </c>
      <c r="D161" t="s">
        <v>130</v>
      </c>
      <c r="E161" s="9" t="s">
        <v>126</v>
      </c>
      <c r="F161" s="9" t="s">
        <v>127</v>
      </c>
      <c r="G161" t="str">
        <f>_xlfn.XLOOKUP(FMECA[[#This Row],[HazardRisk_name]],categories[HazardRisk_Name],categories[HazardRisk])</f>
        <v>Risk</v>
      </c>
      <c r="H161" t="str">
        <f>_xlfn.XLOOKUP(FMECA[[#This Row],[HazardRisk_name]],categories[HazardRisk_Name],categories[Category])</f>
        <v>Economic</v>
      </c>
      <c r="I161" t="s">
        <v>701</v>
      </c>
      <c r="J161" s="10">
        <v>4</v>
      </c>
      <c r="K161" t="s">
        <v>1965</v>
      </c>
      <c r="L161" s="10">
        <v>7</v>
      </c>
      <c r="M161" t="s">
        <v>1965</v>
      </c>
      <c r="N161" s="10">
        <f>FMECA[[#This Row],[probability_value]]*FMECA[[#This Row],[consequence_value]]</f>
        <v>28</v>
      </c>
      <c r="O161" s="10" t="str">
        <f>IF(AND(FMECA[[#This Row],[Score]]&gt;=0, 9&gt;=FMECA[[#This Row],[Score]]), "UNDETECTABLE", IF(AND(FMECA[[#This Row],[Score]]&gt;=10, 24&gt;=FMECA[[#This Row],[Score]]), "MODERATE", IF(AND(FMECA[[#This Row],[Score]]&gt;=25, 35&gt;=FMECA[[#This Row],[Score]]), "HIGH", IF(AND(FMECA[[#This Row],[Score]]&gt;=36, 50&gt;=FMECA[[#This Row],[Score]]), "VERY HIGH", "Check Formula"))))</f>
        <v>HIGH</v>
      </c>
      <c r="P161" s="10" t="s">
        <v>770</v>
      </c>
      <c r="Q161" t="s">
        <v>1132</v>
      </c>
      <c r="R161" t="s">
        <v>780</v>
      </c>
      <c r="S161" t="s">
        <v>1961</v>
      </c>
      <c r="T161" t="s">
        <v>793</v>
      </c>
      <c r="AA161" t="s">
        <v>1162</v>
      </c>
    </row>
    <row r="162" spans="1:27" x14ac:dyDescent="0.2">
      <c r="A162" s="225" t="s">
        <v>120</v>
      </c>
      <c r="B162" t="s">
        <v>63</v>
      </c>
      <c r="C162" t="s">
        <v>73</v>
      </c>
      <c r="D162" t="s">
        <v>130</v>
      </c>
      <c r="E162" s="9" t="s">
        <v>126</v>
      </c>
      <c r="F162" s="9" t="s">
        <v>127</v>
      </c>
      <c r="G162" t="str">
        <f>_xlfn.XLOOKUP(FMECA[[#This Row],[HazardRisk_name]],categories[HazardRisk_Name],categories[HazardRisk])</f>
        <v>Hazard</v>
      </c>
      <c r="H162" t="str">
        <f>_xlfn.XLOOKUP(FMECA[[#This Row],[HazardRisk_name]],categories[HazardRisk_Name],categories[Category])</f>
        <v>Navigational</v>
      </c>
      <c r="I162" t="s">
        <v>496</v>
      </c>
      <c r="J162" s="10">
        <v>5</v>
      </c>
      <c r="K162" t="s">
        <v>1966</v>
      </c>
      <c r="L162" s="10">
        <v>7</v>
      </c>
      <c r="M162" t="s">
        <v>1966</v>
      </c>
      <c r="N162" s="10">
        <f>FMECA[[#This Row],[probability_value]]*FMECA[[#This Row],[consequence_value]]</f>
        <v>35</v>
      </c>
      <c r="O162" s="10" t="str">
        <f>IF(AND(FMECA[[#This Row],[Score]]&gt;=0, 9&gt;=FMECA[[#This Row],[Score]]), "UNDETECTABLE", IF(AND(FMECA[[#This Row],[Score]]&gt;=10, 24&gt;=FMECA[[#This Row],[Score]]), "MODERATE", IF(AND(FMECA[[#This Row],[Score]]&gt;=25, 35&gt;=FMECA[[#This Row],[Score]]), "HIGH", IF(AND(FMECA[[#This Row],[Score]]&gt;=36, 50&gt;=FMECA[[#This Row],[Score]]), "VERY HIGH", "Check Formula"))))</f>
        <v>HIGH</v>
      </c>
      <c r="P162" s="10" t="s">
        <v>770</v>
      </c>
      <c r="Q162" t="s">
        <v>1132</v>
      </c>
      <c r="R162" t="s">
        <v>780</v>
      </c>
      <c r="S162" t="s">
        <v>1961</v>
      </c>
      <c r="T162" t="s">
        <v>793</v>
      </c>
      <c r="U162" t="s">
        <v>1968</v>
      </c>
      <c r="V162" t="s">
        <v>466</v>
      </c>
      <c r="W162" t="s">
        <v>1967</v>
      </c>
      <c r="X162" t="s">
        <v>466</v>
      </c>
      <c r="AA162" t="s">
        <v>1162</v>
      </c>
    </row>
    <row r="163" spans="1:27" x14ac:dyDescent="0.2">
      <c r="A163" s="225" t="s">
        <v>120</v>
      </c>
      <c r="B163" t="s">
        <v>63</v>
      </c>
      <c r="C163" t="s">
        <v>73</v>
      </c>
      <c r="D163" t="s">
        <v>130</v>
      </c>
      <c r="E163" s="9" t="s">
        <v>126</v>
      </c>
      <c r="F163" s="9" t="s">
        <v>127</v>
      </c>
      <c r="G163" t="str">
        <f>_xlfn.XLOOKUP(FMECA[[#This Row],[HazardRisk_name]],categories[HazardRisk_Name],categories[HazardRisk])</f>
        <v>Risk</v>
      </c>
      <c r="H163" t="str">
        <f>_xlfn.XLOOKUP(FMECA[[#This Row],[HazardRisk_name]],categories[HazardRisk_Name],categories[Category])</f>
        <v>Economic</v>
      </c>
      <c r="I163" t="s">
        <v>463</v>
      </c>
      <c r="J163" s="10">
        <v>4</v>
      </c>
      <c r="K163" t="s">
        <v>1964</v>
      </c>
      <c r="L163" s="10">
        <v>7</v>
      </c>
      <c r="M163" t="s">
        <v>1964</v>
      </c>
      <c r="N163" s="10">
        <f>FMECA[[#This Row],[probability_value]]*FMECA[[#This Row],[consequence_value]]</f>
        <v>28</v>
      </c>
      <c r="O163" s="10" t="str">
        <f>IF(AND(FMECA[[#This Row],[Score]]&gt;=0, 9&gt;=FMECA[[#This Row],[Score]]), "UNDETECTABLE", IF(AND(FMECA[[#This Row],[Score]]&gt;=10, 24&gt;=FMECA[[#This Row],[Score]]), "MODERATE", IF(AND(FMECA[[#This Row],[Score]]&gt;=25, 35&gt;=FMECA[[#This Row],[Score]]), "HIGH", IF(AND(FMECA[[#This Row],[Score]]&gt;=36, 50&gt;=FMECA[[#This Row],[Score]]), "VERY HIGH", "Check Formula"))))</f>
        <v>HIGH</v>
      </c>
      <c r="P163" s="10" t="s">
        <v>770</v>
      </c>
      <c r="Q163" t="s">
        <v>1132</v>
      </c>
      <c r="R163" t="s">
        <v>780</v>
      </c>
      <c r="S163" t="s">
        <v>1961</v>
      </c>
      <c r="T163" t="s">
        <v>793</v>
      </c>
      <c r="AA163" t="s">
        <v>1162</v>
      </c>
    </row>
    <row r="164" spans="1:27" x14ac:dyDescent="0.2">
      <c r="A164" s="225" t="s">
        <v>120</v>
      </c>
      <c r="B164" t="s">
        <v>63</v>
      </c>
      <c r="C164" t="s">
        <v>73</v>
      </c>
      <c r="D164" t="s">
        <v>130</v>
      </c>
      <c r="E164" s="9" t="s">
        <v>126</v>
      </c>
      <c r="F164" s="9" t="s">
        <v>127</v>
      </c>
      <c r="G164" t="str">
        <f>_xlfn.XLOOKUP(FMECA[[#This Row],[HazardRisk_name]],categories[HazardRisk_Name],categories[HazardRisk])</f>
        <v>Risk</v>
      </c>
      <c r="H164" t="str">
        <f>_xlfn.XLOOKUP(FMECA[[#This Row],[HazardRisk_name]],categories[HazardRisk_Name],categories[Category])</f>
        <v>Economic</v>
      </c>
      <c r="I164" t="s">
        <v>1239</v>
      </c>
      <c r="J164" s="10">
        <v>5</v>
      </c>
      <c r="K164" t="s">
        <v>1960</v>
      </c>
      <c r="L164" s="10">
        <v>4</v>
      </c>
      <c r="M164" t="s">
        <v>1960</v>
      </c>
      <c r="N164" s="10">
        <f>FMECA[[#This Row],[probability_value]]*FMECA[[#This Row],[consequence_value]]</f>
        <v>20</v>
      </c>
      <c r="O16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64" s="10" t="s">
        <v>770</v>
      </c>
      <c r="Q164" t="s">
        <v>1132</v>
      </c>
      <c r="R164" t="s">
        <v>780</v>
      </c>
      <c r="S164" t="s">
        <v>1961</v>
      </c>
      <c r="T164" t="s">
        <v>793</v>
      </c>
      <c r="U164" t="s">
        <v>1962</v>
      </c>
      <c r="W164" t="s">
        <v>1963</v>
      </c>
      <c r="X164" t="s">
        <v>466</v>
      </c>
      <c r="AA164" t="s">
        <v>1162</v>
      </c>
    </row>
    <row r="165" spans="1:27" x14ac:dyDescent="0.2">
      <c r="A165" s="225" t="s">
        <v>120</v>
      </c>
      <c r="B165" t="s">
        <v>63</v>
      </c>
      <c r="C165" t="s">
        <v>73</v>
      </c>
      <c r="D165" t="s">
        <v>130</v>
      </c>
      <c r="E165" s="9" t="s">
        <v>126</v>
      </c>
      <c r="F165" s="9" t="s">
        <v>127</v>
      </c>
      <c r="G165" t="str">
        <f>_xlfn.XLOOKUP(FMECA[[#This Row],[HazardRisk_name]],categories[HazardRisk_Name],categories[HazardRisk])</f>
        <v>Risk</v>
      </c>
      <c r="H165" t="str">
        <f>_xlfn.XLOOKUP(FMECA[[#This Row],[HazardRisk_name]],categories[HazardRisk_Name],categories[Category])</f>
        <v>Operational</v>
      </c>
      <c r="I165" t="s">
        <v>688</v>
      </c>
      <c r="J165" s="10">
        <v>4</v>
      </c>
      <c r="K165" t="s">
        <v>1969</v>
      </c>
      <c r="L165" s="10">
        <v>4</v>
      </c>
      <c r="M165" t="s">
        <v>1969</v>
      </c>
      <c r="N165" s="10">
        <f>FMECA[[#This Row],[probability_value]]*FMECA[[#This Row],[consequence_value]]</f>
        <v>16</v>
      </c>
      <c r="O16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65" s="10" t="s">
        <v>770</v>
      </c>
      <c r="Q165" t="s">
        <v>1132</v>
      </c>
      <c r="R165" t="s">
        <v>780</v>
      </c>
      <c r="S165" t="s">
        <v>1961</v>
      </c>
      <c r="T165" t="s">
        <v>793</v>
      </c>
      <c r="W165" t="s">
        <v>1970</v>
      </c>
      <c r="X165" t="s">
        <v>466</v>
      </c>
      <c r="AA165" t="s">
        <v>1162</v>
      </c>
    </row>
    <row r="166" spans="1:27" x14ac:dyDescent="0.2">
      <c r="A166" s="227" t="s">
        <v>121</v>
      </c>
      <c r="B166" s="206" t="s">
        <v>63</v>
      </c>
      <c r="C166" s="206" t="s">
        <v>249</v>
      </c>
      <c r="D166" s="206" t="s">
        <v>252</v>
      </c>
      <c r="E166" s="224" t="s">
        <v>254</v>
      </c>
      <c r="F166" s="224" t="s">
        <v>250</v>
      </c>
      <c r="G166" s="206" t="e">
        <f>_xlfn.XLOOKUP(FMECA[[#This Row],[HazardRisk_name]],categories[HazardRisk_Name],categories[HazardRisk])</f>
        <v>#N/A</v>
      </c>
      <c r="H166" s="206" t="e">
        <f>_xlfn.XLOOKUP(FMECA[[#This Row],[HazardRisk_name]],categories[HazardRisk_Name],categories[Category])</f>
        <v>#N/A</v>
      </c>
      <c r="I166" s="206"/>
      <c r="J166" s="207"/>
      <c r="K166" s="206"/>
      <c r="L166" s="207"/>
      <c r="M166" s="206"/>
      <c r="N166" s="207">
        <f>FMECA[[#This Row],[probability_value]]*FMECA[[#This Row],[consequence_value]]</f>
        <v>0</v>
      </c>
      <c r="O166" s="207"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166" s="207"/>
      <c r="Q166" s="206"/>
      <c r="R166" s="206"/>
      <c r="S166" s="206"/>
      <c r="T166" s="206"/>
      <c r="U166" s="206"/>
      <c r="V166" s="206"/>
      <c r="W166" s="206"/>
      <c r="X166" s="206"/>
      <c r="Y166" s="206"/>
      <c r="Z166" s="206"/>
      <c r="AA166" s="206"/>
    </row>
    <row r="167" spans="1:27" s="170" customFormat="1" ht="17" customHeight="1" x14ac:dyDescent="0.2">
      <c r="A167" s="225" t="s">
        <v>321</v>
      </c>
      <c r="B167" s="206" t="s">
        <v>63</v>
      </c>
      <c r="C167" s="206" t="s">
        <v>73</v>
      </c>
      <c r="D167" s="206" t="s">
        <v>133</v>
      </c>
      <c r="E167" s="206" t="s">
        <v>131</v>
      </c>
      <c r="F167" s="226" t="s">
        <v>132</v>
      </c>
      <c r="G167" t="str">
        <f>_xlfn.XLOOKUP(FMECA[[#This Row],[HazardRisk_name]],categories[HazardRisk_Name],categories[HazardRisk])</f>
        <v>Risk</v>
      </c>
      <c r="H167" t="str">
        <f>_xlfn.XLOOKUP(FMECA[[#This Row],[HazardRisk_name]],categories[HazardRisk_Name],categories[Category])</f>
        <v>Environmental</v>
      </c>
      <c r="I167" t="s">
        <v>1219</v>
      </c>
      <c r="J167" s="10">
        <v>4</v>
      </c>
      <c r="K167" t="s">
        <v>1830</v>
      </c>
      <c r="L167" s="10">
        <v>10</v>
      </c>
      <c r="M167" t="s">
        <v>1830</v>
      </c>
      <c r="N167" s="10">
        <f>FMECA[[#This Row],[probability_value]]*FMECA[[#This Row],[consequence_value]]</f>
        <v>40</v>
      </c>
      <c r="O167"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167" s="10" t="s">
        <v>770</v>
      </c>
      <c r="Q167" t="s">
        <v>1132</v>
      </c>
      <c r="R167" t="s">
        <v>780</v>
      </c>
      <c r="S167" t="s">
        <v>1539</v>
      </c>
      <c r="T167" t="s">
        <v>793</v>
      </c>
      <c r="U167"/>
      <c r="V167"/>
      <c r="W167"/>
      <c r="X167"/>
      <c r="Y167"/>
      <c r="Z167"/>
      <c r="AA167" t="s">
        <v>1162</v>
      </c>
    </row>
    <row r="168" spans="1:27" s="170" customFormat="1" ht="17" customHeight="1" x14ac:dyDescent="0.2">
      <c r="A168" s="225" t="s">
        <v>321</v>
      </c>
      <c r="B168" s="206" t="s">
        <v>63</v>
      </c>
      <c r="C168" s="206" t="s">
        <v>73</v>
      </c>
      <c r="D168" s="206" t="s">
        <v>133</v>
      </c>
      <c r="E168" s="206" t="s">
        <v>131</v>
      </c>
      <c r="F168" s="226" t="s">
        <v>132</v>
      </c>
      <c r="G168" t="str">
        <f>_xlfn.XLOOKUP(FMECA[[#This Row],[HazardRisk_name]],categories[HazardRisk_Name],categories[HazardRisk])</f>
        <v>Risk</v>
      </c>
      <c r="H168" t="str">
        <f>_xlfn.XLOOKUP(FMECA[[#This Row],[HazardRisk_name]],categories[HazardRisk_Name],categories[Category])</f>
        <v>Social</v>
      </c>
      <c r="I168" t="s">
        <v>628</v>
      </c>
      <c r="J168" s="10">
        <v>4</v>
      </c>
      <c r="K168" t="s">
        <v>1825</v>
      </c>
      <c r="L168" s="10">
        <v>10</v>
      </c>
      <c r="M168" t="s">
        <v>1825</v>
      </c>
      <c r="N168" s="10">
        <f>FMECA[[#This Row],[probability_value]]*FMECA[[#This Row],[consequence_value]]</f>
        <v>40</v>
      </c>
      <c r="O168"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168" s="10" t="s">
        <v>770</v>
      </c>
      <c r="Q168" t="s">
        <v>1132</v>
      </c>
      <c r="R168" t="s">
        <v>780</v>
      </c>
      <c r="S168" t="s">
        <v>1539</v>
      </c>
      <c r="T168" t="s">
        <v>793</v>
      </c>
      <c r="U168" t="s">
        <v>1826</v>
      </c>
      <c r="V168" t="s">
        <v>466</v>
      </c>
      <c r="W168" t="s">
        <v>1827</v>
      </c>
      <c r="X168" t="s">
        <v>470</v>
      </c>
      <c r="Y168"/>
      <c r="Z168"/>
      <c r="AA168" t="s">
        <v>1162</v>
      </c>
    </row>
    <row r="169" spans="1:27" s="170" customFormat="1" ht="17" customHeight="1" x14ac:dyDescent="0.2">
      <c r="A169" s="225" t="s">
        <v>321</v>
      </c>
      <c r="B169" s="206" t="s">
        <v>63</v>
      </c>
      <c r="C169" s="206" t="s">
        <v>73</v>
      </c>
      <c r="D169" s="206" t="s">
        <v>133</v>
      </c>
      <c r="E169" s="206" t="s">
        <v>131</v>
      </c>
      <c r="F169" s="226" t="s">
        <v>132</v>
      </c>
      <c r="G169" t="str">
        <f>_xlfn.XLOOKUP(FMECA[[#This Row],[HazardRisk_name]],categories[HazardRisk_Name],categories[HazardRisk])</f>
        <v>Risk</v>
      </c>
      <c r="H169" t="str">
        <f>_xlfn.XLOOKUP(FMECA[[#This Row],[HazardRisk_name]],categories[HazardRisk_Name],categories[Category])</f>
        <v>Pollutants</v>
      </c>
      <c r="I169" t="s">
        <v>627</v>
      </c>
      <c r="J169" s="10">
        <v>2</v>
      </c>
      <c r="K169" t="s">
        <v>1828</v>
      </c>
      <c r="L169" s="10">
        <v>10</v>
      </c>
      <c r="M169" t="s">
        <v>1828</v>
      </c>
      <c r="N169" s="10">
        <f>FMECA[[#This Row],[probability_value]]*FMECA[[#This Row],[consequence_value]]</f>
        <v>20</v>
      </c>
      <c r="O16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69" s="10" t="s">
        <v>770</v>
      </c>
      <c r="Q169" t="s">
        <v>1132</v>
      </c>
      <c r="R169" t="s">
        <v>780</v>
      </c>
      <c r="S169" t="s">
        <v>1539</v>
      </c>
      <c r="T169" t="s">
        <v>793</v>
      </c>
      <c r="U169" t="s">
        <v>1826</v>
      </c>
      <c r="V169" t="s">
        <v>466</v>
      </c>
      <c r="W169" t="s">
        <v>1829</v>
      </c>
      <c r="X169" t="s">
        <v>470</v>
      </c>
      <c r="Y169"/>
      <c r="Z169"/>
      <c r="AA169" t="s">
        <v>1162</v>
      </c>
    </row>
    <row r="170" spans="1:27" ht="17" customHeight="1" x14ac:dyDescent="0.2">
      <c r="A170" s="225" t="s">
        <v>138</v>
      </c>
      <c r="B170" t="s">
        <v>63</v>
      </c>
      <c r="C170" t="s">
        <v>73</v>
      </c>
      <c r="D170" t="s">
        <v>179</v>
      </c>
      <c r="E170" t="s">
        <v>134</v>
      </c>
      <c r="F170" s="226" t="s">
        <v>135</v>
      </c>
      <c r="G170" t="str">
        <f>_xlfn.XLOOKUP(FMECA[[#This Row],[HazardRisk_name]],categories[HazardRisk_Name],categories[HazardRisk])</f>
        <v>Hazard</v>
      </c>
      <c r="H170" t="str">
        <f>_xlfn.XLOOKUP(FMECA[[#This Row],[HazardRisk_name]],categories[HazardRisk_Name],categories[Category])</f>
        <v>Pollutants</v>
      </c>
      <c r="I170" t="s">
        <v>632</v>
      </c>
      <c r="J170" s="10">
        <v>4</v>
      </c>
      <c r="K170" t="s">
        <v>1991</v>
      </c>
      <c r="L170" s="10">
        <v>7</v>
      </c>
      <c r="M170" t="s">
        <v>1991</v>
      </c>
      <c r="N170" s="10">
        <f>FMECA[[#This Row],[probability_value]]*FMECA[[#This Row],[consequence_value]]</f>
        <v>28</v>
      </c>
      <c r="O170" s="10" t="str">
        <f>IF(AND(FMECA[[#This Row],[Score]]&gt;=0, 9&gt;=FMECA[[#This Row],[Score]]), "UNDETECTABLE", IF(AND(FMECA[[#This Row],[Score]]&gt;=10, 24&gt;=FMECA[[#This Row],[Score]]), "MODERATE", IF(AND(FMECA[[#This Row],[Score]]&gt;=25, 35&gt;=FMECA[[#This Row],[Score]]), "HIGH", IF(AND(FMECA[[#This Row],[Score]]&gt;=36, 50&gt;=FMECA[[#This Row],[Score]]), "VERY HIGH", "Check Formula"))))</f>
        <v>HIGH</v>
      </c>
      <c r="P170" s="10" t="s">
        <v>770</v>
      </c>
      <c r="Q170" t="s">
        <v>1132</v>
      </c>
      <c r="R170" t="s">
        <v>773</v>
      </c>
      <c r="S170" t="s">
        <v>1989</v>
      </c>
      <c r="T170" t="s">
        <v>793</v>
      </c>
      <c r="U170" t="s">
        <v>1996</v>
      </c>
      <c r="V170" t="s">
        <v>470</v>
      </c>
      <c r="W170" t="s">
        <v>1995</v>
      </c>
      <c r="X170" t="s">
        <v>466</v>
      </c>
      <c r="Y170" t="s">
        <v>1153</v>
      </c>
      <c r="Z170" t="s">
        <v>1997</v>
      </c>
      <c r="AA170" t="s">
        <v>793</v>
      </c>
    </row>
    <row r="171" spans="1:27" ht="17" customHeight="1" x14ac:dyDescent="0.2">
      <c r="A171" s="225" t="s">
        <v>138</v>
      </c>
      <c r="B171" t="s">
        <v>63</v>
      </c>
      <c r="C171" t="s">
        <v>73</v>
      </c>
      <c r="D171" t="s">
        <v>179</v>
      </c>
      <c r="E171" t="s">
        <v>134</v>
      </c>
      <c r="F171" s="226" t="s">
        <v>135</v>
      </c>
      <c r="G171" t="str">
        <f>_xlfn.XLOOKUP(FMECA[[#This Row],[HazardRisk_name]],categories[HazardRisk_Name],categories[HazardRisk])</f>
        <v>Risk</v>
      </c>
      <c r="H171" t="str">
        <f>_xlfn.XLOOKUP(FMECA[[#This Row],[HazardRisk_name]],categories[HazardRisk_Name],categories[Category])</f>
        <v>Environmental</v>
      </c>
      <c r="I171" t="s">
        <v>644</v>
      </c>
      <c r="J171" s="10">
        <v>4</v>
      </c>
      <c r="K171" t="s">
        <v>1991</v>
      </c>
      <c r="L171" s="10">
        <v>7</v>
      </c>
      <c r="M171" t="s">
        <v>1991</v>
      </c>
      <c r="N171" s="10">
        <f>FMECA[[#This Row],[probability_value]]*FMECA[[#This Row],[consequence_value]]</f>
        <v>28</v>
      </c>
      <c r="O171" s="10" t="str">
        <f>IF(AND(FMECA[[#This Row],[Score]]&gt;=0, 9&gt;=FMECA[[#This Row],[Score]]), "UNDETECTABLE", IF(AND(FMECA[[#This Row],[Score]]&gt;=10, 24&gt;=FMECA[[#This Row],[Score]]), "MODERATE", IF(AND(FMECA[[#This Row],[Score]]&gt;=25, 35&gt;=FMECA[[#This Row],[Score]]), "HIGH", IF(AND(FMECA[[#This Row],[Score]]&gt;=36, 50&gt;=FMECA[[#This Row],[Score]]), "VERY HIGH", "Check Formula"))))</f>
        <v>HIGH</v>
      </c>
      <c r="P171" s="10" t="s">
        <v>770</v>
      </c>
      <c r="Q171" t="s">
        <v>1132</v>
      </c>
      <c r="R171" t="s">
        <v>773</v>
      </c>
      <c r="S171" t="s">
        <v>1989</v>
      </c>
      <c r="T171" t="s">
        <v>793</v>
      </c>
      <c r="U171" t="s">
        <v>1281</v>
      </c>
      <c r="V171" t="s">
        <v>470</v>
      </c>
      <c r="W171" t="s">
        <v>1994</v>
      </c>
      <c r="X171" t="s">
        <v>466</v>
      </c>
      <c r="Y171" t="s">
        <v>1153</v>
      </c>
      <c r="Z171" t="s">
        <v>1997</v>
      </c>
      <c r="AA171" t="s">
        <v>793</v>
      </c>
    </row>
    <row r="172" spans="1:27" ht="17" customHeight="1" x14ac:dyDescent="0.2">
      <c r="A172" s="225" t="s">
        <v>138</v>
      </c>
      <c r="B172" t="s">
        <v>63</v>
      </c>
      <c r="C172" t="s">
        <v>73</v>
      </c>
      <c r="D172" t="s">
        <v>179</v>
      </c>
      <c r="E172" t="s">
        <v>134</v>
      </c>
      <c r="F172" s="226" t="s">
        <v>135</v>
      </c>
      <c r="G172" t="str">
        <f>_xlfn.XLOOKUP(FMECA[[#This Row],[HazardRisk_name]],categories[HazardRisk_Name],categories[HazardRisk])</f>
        <v>Hazard</v>
      </c>
      <c r="H172" t="str">
        <f>_xlfn.XLOOKUP(FMECA[[#This Row],[HazardRisk_name]],categories[HazardRisk_Name],categories[Category])</f>
        <v>Environmental</v>
      </c>
      <c r="I172" t="s">
        <v>646</v>
      </c>
      <c r="J172" s="10">
        <v>3</v>
      </c>
      <c r="K172" t="s">
        <v>1991</v>
      </c>
      <c r="L172" s="10">
        <v>10</v>
      </c>
      <c r="M172" t="s">
        <v>1991</v>
      </c>
      <c r="N172" s="10">
        <f>FMECA[[#This Row],[probability_value]]*FMECA[[#This Row],[consequence_value]]</f>
        <v>30</v>
      </c>
      <c r="O172" s="10" t="str">
        <f>IF(AND(FMECA[[#This Row],[Score]]&gt;=0, 9&gt;=FMECA[[#This Row],[Score]]), "UNDETECTABLE", IF(AND(FMECA[[#This Row],[Score]]&gt;=10, 24&gt;=FMECA[[#This Row],[Score]]), "MODERATE", IF(AND(FMECA[[#This Row],[Score]]&gt;=25, 35&gt;=FMECA[[#This Row],[Score]]), "HIGH", IF(AND(FMECA[[#This Row],[Score]]&gt;=36, 50&gt;=FMECA[[#This Row],[Score]]), "VERY HIGH", "Check Formula"))))</f>
        <v>HIGH</v>
      </c>
      <c r="P172" s="10" t="s">
        <v>770</v>
      </c>
      <c r="Q172" t="s">
        <v>1132</v>
      </c>
      <c r="R172" t="s">
        <v>773</v>
      </c>
      <c r="S172" t="s">
        <v>1989</v>
      </c>
      <c r="T172" t="s">
        <v>793</v>
      </c>
      <c r="U172" t="s">
        <v>1281</v>
      </c>
      <c r="V172" t="s">
        <v>470</v>
      </c>
      <c r="W172" t="s">
        <v>1993</v>
      </c>
      <c r="X172" t="s">
        <v>466</v>
      </c>
      <c r="Y172" t="s">
        <v>1153</v>
      </c>
      <c r="Z172" t="s">
        <v>1997</v>
      </c>
      <c r="AA172" t="s">
        <v>793</v>
      </c>
    </row>
    <row r="173" spans="1:27" ht="17" customHeight="1" x14ac:dyDescent="0.2">
      <c r="A173" s="225" t="s">
        <v>138</v>
      </c>
      <c r="B173" t="s">
        <v>63</v>
      </c>
      <c r="C173" t="s">
        <v>73</v>
      </c>
      <c r="D173" t="s">
        <v>179</v>
      </c>
      <c r="E173" t="s">
        <v>134</v>
      </c>
      <c r="F173" s="226" t="s">
        <v>135</v>
      </c>
      <c r="G173" t="str">
        <f>_xlfn.XLOOKUP(FMECA[[#This Row],[HazardRisk_name]],categories[HazardRisk_Name],categories[HazardRisk])</f>
        <v>Risk</v>
      </c>
      <c r="H173" t="str">
        <f>_xlfn.XLOOKUP(FMECA[[#This Row],[HazardRisk_name]],categories[HazardRisk_Name],categories[Category])</f>
        <v>Sea Ice</v>
      </c>
      <c r="I173" t="s">
        <v>480</v>
      </c>
      <c r="J173" s="10">
        <v>5</v>
      </c>
      <c r="K173" t="s">
        <v>1998</v>
      </c>
      <c r="L173" s="10">
        <v>4</v>
      </c>
      <c r="M173" t="s">
        <v>1998</v>
      </c>
      <c r="N173" s="10">
        <f>FMECA[[#This Row],[probability_value]]*FMECA[[#This Row],[consequence_value]]</f>
        <v>20</v>
      </c>
      <c r="O17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73" s="10" t="s">
        <v>770</v>
      </c>
      <c r="Q173" t="s">
        <v>1132</v>
      </c>
      <c r="R173" t="s">
        <v>773</v>
      </c>
      <c r="S173" t="s">
        <v>1989</v>
      </c>
      <c r="T173" t="s">
        <v>793</v>
      </c>
      <c r="U173" t="s">
        <v>1999</v>
      </c>
      <c r="V173" t="s">
        <v>466</v>
      </c>
      <c r="W173" t="s">
        <v>2000</v>
      </c>
      <c r="X173" t="s">
        <v>466</v>
      </c>
    </row>
    <row r="174" spans="1:27" ht="17" customHeight="1" x14ac:dyDescent="0.2">
      <c r="A174" s="225" t="s">
        <v>138</v>
      </c>
      <c r="B174" t="s">
        <v>63</v>
      </c>
      <c r="C174" t="s">
        <v>73</v>
      </c>
      <c r="D174" t="s">
        <v>179</v>
      </c>
      <c r="E174" t="s">
        <v>134</v>
      </c>
      <c r="F174" s="226" t="s">
        <v>135</v>
      </c>
      <c r="G174" t="str">
        <f>_xlfn.XLOOKUP(FMECA[[#This Row],[HazardRisk_name]],categories[HazardRisk_Name],categories[HazardRisk])</f>
        <v>Hazard</v>
      </c>
      <c r="H174" t="str">
        <f>_xlfn.XLOOKUP(FMECA[[#This Row],[HazardRisk_name]],categories[HazardRisk_Name],categories[Category])</f>
        <v>Navigational</v>
      </c>
      <c r="I174" t="s">
        <v>496</v>
      </c>
      <c r="J174" s="10">
        <v>3</v>
      </c>
      <c r="K174" s="3" t="s">
        <v>2004</v>
      </c>
      <c r="L174" s="10">
        <v>7</v>
      </c>
      <c r="M174" s="3" t="s">
        <v>2004</v>
      </c>
      <c r="N174" s="10">
        <f>FMECA[[#This Row],[probability_value]]*FMECA[[#This Row],[consequence_value]]</f>
        <v>21</v>
      </c>
      <c r="O17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74" s="10" t="s">
        <v>770</v>
      </c>
      <c r="Q174" t="s">
        <v>1132</v>
      </c>
      <c r="R174" t="s">
        <v>773</v>
      </c>
      <c r="S174" t="s">
        <v>1989</v>
      </c>
      <c r="T174" t="s">
        <v>793</v>
      </c>
      <c r="W174" t="s">
        <v>2005</v>
      </c>
      <c r="X174" t="s">
        <v>466</v>
      </c>
    </row>
    <row r="175" spans="1:27" ht="17" customHeight="1" x14ac:dyDescent="0.2">
      <c r="A175" s="225" t="s">
        <v>138</v>
      </c>
      <c r="B175" t="s">
        <v>63</v>
      </c>
      <c r="C175" t="s">
        <v>73</v>
      </c>
      <c r="D175" t="s">
        <v>179</v>
      </c>
      <c r="E175" t="s">
        <v>134</v>
      </c>
      <c r="F175" s="226" t="s">
        <v>135</v>
      </c>
      <c r="G175" t="str">
        <f>_xlfn.XLOOKUP(FMECA[[#This Row],[HazardRisk_name]],categories[HazardRisk_Name],categories[HazardRisk])</f>
        <v>Risk</v>
      </c>
      <c r="H175" t="str">
        <f>_xlfn.XLOOKUP(FMECA[[#This Row],[HazardRisk_name]],categories[HazardRisk_Name],categories[Category])</f>
        <v>Environmental</v>
      </c>
      <c r="I175" t="s">
        <v>553</v>
      </c>
      <c r="J175" s="10">
        <v>4</v>
      </c>
      <c r="K175" s="3" t="s">
        <v>2006</v>
      </c>
      <c r="L175" s="10">
        <v>7</v>
      </c>
      <c r="M175" s="3" t="s">
        <v>2006</v>
      </c>
      <c r="N175" s="10">
        <f>FMECA[[#This Row],[probability_value]]*FMECA[[#This Row],[consequence_value]]</f>
        <v>28</v>
      </c>
      <c r="O175" s="10" t="str">
        <f>IF(AND(FMECA[[#This Row],[Score]]&gt;=0, 9&gt;=FMECA[[#This Row],[Score]]), "UNDETECTABLE", IF(AND(FMECA[[#This Row],[Score]]&gt;=10, 24&gt;=FMECA[[#This Row],[Score]]), "MODERATE", IF(AND(FMECA[[#This Row],[Score]]&gt;=25, 35&gt;=FMECA[[#This Row],[Score]]), "HIGH", IF(AND(FMECA[[#This Row],[Score]]&gt;=36, 50&gt;=FMECA[[#This Row],[Score]]), "VERY HIGH", "Check Formula"))))</f>
        <v>HIGH</v>
      </c>
      <c r="P175" s="10" t="s">
        <v>770</v>
      </c>
      <c r="Q175" t="s">
        <v>1132</v>
      </c>
      <c r="R175" t="s">
        <v>773</v>
      </c>
      <c r="S175" t="s">
        <v>1989</v>
      </c>
      <c r="T175" t="s">
        <v>793</v>
      </c>
      <c r="U175" t="s">
        <v>2008</v>
      </c>
      <c r="V175" t="s">
        <v>466</v>
      </c>
      <c r="W175" t="s">
        <v>2007</v>
      </c>
      <c r="X175" t="s">
        <v>466</v>
      </c>
      <c r="AA175" t="s">
        <v>1162</v>
      </c>
    </row>
    <row r="176" spans="1:27" x14ac:dyDescent="0.2">
      <c r="A176" s="225" t="s">
        <v>138</v>
      </c>
      <c r="B176" t="s">
        <v>63</v>
      </c>
      <c r="C176" t="s">
        <v>73</v>
      </c>
      <c r="D176" t="s">
        <v>179</v>
      </c>
      <c r="E176" t="s">
        <v>134</v>
      </c>
      <c r="F176" s="226" t="s">
        <v>135</v>
      </c>
      <c r="G176" t="str">
        <f>_xlfn.XLOOKUP(FMECA[[#This Row],[HazardRisk_name]],categories[HazardRisk_Name],categories[HazardRisk])</f>
        <v>Risk</v>
      </c>
      <c r="H176" t="str">
        <f>_xlfn.XLOOKUP(FMECA[[#This Row],[HazardRisk_name]],categories[HazardRisk_Name],categories[Category])</f>
        <v>Navigational</v>
      </c>
      <c r="I176" t="s">
        <v>474</v>
      </c>
      <c r="J176" s="10">
        <v>4</v>
      </c>
      <c r="K176" t="s">
        <v>2003</v>
      </c>
      <c r="L176" s="10">
        <v>7</v>
      </c>
      <c r="M176" t="s">
        <v>2003</v>
      </c>
      <c r="N176" s="10">
        <f>FMECA[[#This Row],[probability_value]]*FMECA[[#This Row],[consequence_value]]</f>
        <v>28</v>
      </c>
      <c r="O176" s="10" t="str">
        <f>IF(AND(FMECA[[#This Row],[Score]]&gt;=0, 9&gt;=FMECA[[#This Row],[Score]]), "UNDETECTABLE", IF(AND(FMECA[[#This Row],[Score]]&gt;=10, 24&gt;=FMECA[[#This Row],[Score]]), "MODERATE", IF(AND(FMECA[[#This Row],[Score]]&gt;=25, 35&gt;=FMECA[[#This Row],[Score]]), "HIGH", IF(AND(FMECA[[#This Row],[Score]]&gt;=36, 50&gt;=FMECA[[#This Row],[Score]]), "VERY HIGH", "Check Formula"))))</f>
        <v>HIGH</v>
      </c>
      <c r="P176" s="10" t="s">
        <v>770</v>
      </c>
      <c r="Q176" t="s">
        <v>1132</v>
      </c>
      <c r="R176" t="s">
        <v>773</v>
      </c>
      <c r="S176" t="s">
        <v>1989</v>
      </c>
      <c r="T176" t="s">
        <v>793</v>
      </c>
      <c r="U176" t="s">
        <v>2001</v>
      </c>
      <c r="V176" t="s">
        <v>466</v>
      </c>
      <c r="W176" t="s">
        <v>2002</v>
      </c>
      <c r="X176" t="s">
        <v>449</v>
      </c>
      <c r="AA176" t="s">
        <v>1162</v>
      </c>
    </row>
    <row r="177" spans="1:27" x14ac:dyDescent="0.2">
      <c r="A177" s="225" t="s">
        <v>138</v>
      </c>
      <c r="B177" t="s">
        <v>63</v>
      </c>
      <c r="C177" t="s">
        <v>73</v>
      </c>
      <c r="D177" t="s">
        <v>179</v>
      </c>
      <c r="E177" t="s">
        <v>134</v>
      </c>
      <c r="F177" s="226" t="s">
        <v>135</v>
      </c>
      <c r="G177" t="str">
        <f>_xlfn.XLOOKUP(FMECA[[#This Row],[HazardRisk_name]],categories[HazardRisk_Name],categories[HazardRisk])</f>
        <v>Risk</v>
      </c>
      <c r="H177" t="str">
        <f>_xlfn.XLOOKUP(FMECA[[#This Row],[HazardRisk_name]],categories[HazardRisk_Name],categories[Category])</f>
        <v>Political</v>
      </c>
      <c r="I177" t="s">
        <v>629</v>
      </c>
      <c r="J177" s="10">
        <v>5</v>
      </c>
      <c r="K177" t="s">
        <v>2009</v>
      </c>
      <c r="L177" s="10">
        <v>10</v>
      </c>
      <c r="M177" t="s">
        <v>2009</v>
      </c>
      <c r="N177" s="10">
        <f>FMECA[[#This Row],[probability_value]]*FMECA[[#This Row],[consequence_value]]</f>
        <v>50</v>
      </c>
      <c r="O177"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177" s="10" t="s">
        <v>770</v>
      </c>
      <c r="Q177" t="s">
        <v>1132</v>
      </c>
      <c r="R177" t="s">
        <v>773</v>
      </c>
      <c r="S177" t="s">
        <v>1989</v>
      </c>
      <c r="T177" t="s">
        <v>793</v>
      </c>
      <c r="U177" t="s">
        <v>2010</v>
      </c>
      <c r="V177" t="s">
        <v>466</v>
      </c>
      <c r="W177" t="s">
        <v>2011</v>
      </c>
      <c r="X177" t="s">
        <v>466</v>
      </c>
      <c r="AA177" t="s">
        <v>1162</v>
      </c>
    </row>
    <row r="178" spans="1:27" x14ac:dyDescent="0.2">
      <c r="A178" s="225" t="s">
        <v>138</v>
      </c>
      <c r="B178" t="s">
        <v>63</v>
      </c>
      <c r="C178" t="s">
        <v>73</v>
      </c>
      <c r="D178" t="s">
        <v>179</v>
      </c>
      <c r="E178" t="s">
        <v>134</v>
      </c>
      <c r="F178" s="226" t="s">
        <v>135</v>
      </c>
      <c r="G178" t="str">
        <f>_xlfn.XLOOKUP(FMECA[[#This Row],[HazardRisk_name]],categories[HazardRisk_Name],categories[HazardRisk])</f>
        <v>Risk</v>
      </c>
      <c r="H178" t="str">
        <f>_xlfn.XLOOKUP(FMECA[[#This Row],[HazardRisk_name]],categories[HazardRisk_Name],categories[Category])</f>
        <v>Political</v>
      </c>
      <c r="I178" t="s">
        <v>476</v>
      </c>
      <c r="J178" s="10">
        <v>5</v>
      </c>
      <c r="K178" t="s">
        <v>2009</v>
      </c>
      <c r="L178" s="10">
        <v>7</v>
      </c>
      <c r="M178" t="s">
        <v>2009</v>
      </c>
      <c r="N178" s="10">
        <f>FMECA[[#This Row],[probability_value]]*FMECA[[#This Row],[consequence_value]]</f>
        <v>35</v>
      </c>
      <c r="O178" s="10" t="str">
        <f>IF(AND(FMECA[[#This Row],[Score]]&gt;=0, 9&gt;=FMECA[[#This Row],[Score]]), "UNDETECTABLE", IF(AND(FMECA[[#This Row],[Score]]&gt;=10, 24&gt;=FMECA[[#This Row],[Score]]), "MODERATE", IF(AND(FMECA[[#This Row],[Score]]&gt;=25, 35&gt;=FMECA[[#This Row],[Score]]), "HIGH", IF(AND(FMECA[[#This Row],[Score]]&gt;=36, 50&gt;=FMECA[[#This Row],[Score]]), "VERY HIGH", "Check Formula"))))</f>
        <v>HIGH</v>
      </c>
      <c r="P178" s="10" t="s">
        <v>770</v>
      </c>
      <c r="Q178" t="s">
        <v>1132</v>
      </c>
      <c r="R178" t="s">
        <v>773</v>
      </c>
      <c r="S178" t="s">
        <v>1989</v>
      </c>
      <c r="T178" t="s">
        <v>793</v>
      </c>
      <c r="U178" t="s">
        <v>2010</v>
      </c>
      <c r="V178" t="s">
        <v>466</v>
      </c>
      <c r="W178" t="s">
        <v>2011</v>
      </c>
      <c r="X178" t="s">
        <v>466</v>
      </c>
    </row>
    <row r="179" spans="1:27" x14ac:dyDescent="0.2">
      <c r="A179" s="225" t="s">
        <v>138</v>
      </c>
      <c r="B179" t="s">
        <v>63</v>
      </c>
      <c r="C179" t="s">
        <v>73</v>
      </c>
      <c r="D179" t="s">
        <v>179</v>
      </c>
      <c r="E179" t="s">
        <v>134</v>
      </c>
      <c r="F179" s="226" t="s">
        <v>135</v>
      </c>
      <c r="G179" t="str">
        <f>_xlfn.XLOOKUP(FMECA[[#This Row],[HazardRisk_name]],categories[HazardRisk_Name],categories[HazardRisk])</f>
        <v>Risk</v>
      </c>
      <c r="H179" t="str">
        <f>_xlfn.XLOOKUP(FMECA[[#This Row],[HazardRisk_name]],categories[HazardRisk_Name],categories[Category])</f>
        <v>Environmental</v>
      </c>
      <c r="I179" t="s">
        <v>554</v>
      </c>
      <c r="J179" s="10">
        <v>4</v>
      </c>
      <c r="K179" t="s">
        <v>2012</v>
      </c>
      <c r="L179" s="10">
        <v>10</v>
      </c>
      <c r="M179" t="s">
        <v>2012</v>
      </c>
      <c r="N179" s="10">
        <f>FMECA[[#This Row],[probability_value]]*FMECA[[#This Row],[consequence_value]]</f>
        <v>40</v>
      </c>
      <c r="O179"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179" s="10" t="s">
        <v>770</v>
      </c>
      <c r="Q179" t="s">
        <v>1132</v>
      </c>
      <c r="R179" t="s">
        <v>773</v>
      </c>
      <c r="S179" t="s">
        <v>1989</v>
      </c>
      <c r="T179" t="s">
        <v>793</v>
      </c>
      <c r="U179" t="s">
        <v>1281</v>
      </c>
      <c r="V179" t="s">
        <v>470</v>
      </c>
      <c r="W179" t="s">
        <v>1992</v>
      </c>
      <c r="X179" t="s">
        <v>466</v>
      </c>
      <c r="Y179" t="s">
        <v>1153</v>
      </c>
      <c r="Z179" t="s">
        <v>1997</v>
      </c>
      <c r="AA179" t="s">
        <v>793</v>
      </c>
    </row>
    <row r="180" spans="1:27" x14ac:dyDescent="0.2">
      <c r="A180" s="225" t="s">
        <v>139</v>
      </c>
      <c r="B180" t="s">
        <v>63</v>
      </c>
      <c r="C180" t="s">
        <v>73</v>
      </c>
      <c r="D180" t="s">
        <v>180</v>
      </c>
      <c r="E180" t="s">
        <v>136</v>
      </c>
      <c r="F180" s="226" t="s">
        <v>137</v>
      </c>
      <c r="G180" t="str">
        <f>_xlfn.XLOOKUP(FMECA[[#This Row],[HazardRisk_name]],categories[HazardRisk_Name],categories[HazardRisk])</f>
        <v>Hazard</v>
      </c>
      <c r="H180" t="str">
        <f>_xlfn.XLOOKUP(FMECA[[#This Row],[HazardRisk_name]],categories[HazardRisk_Name],categories[Category])</f>
        <v>Social</v>
      </c>
      <c r="I180" t="s">
        <v>634</v>
      </c>
      <c r="J180" s="10">
        <v>2</v>
      </c>
      <c r="K180" t="s">
        <v>1485</v>
      </c>
      <c r="L180" s="10">
        <v>1</v>
      </c>
      <c r="M180" t="s">
        <v>1485</v>
      </c>
      <c r="N180" s="10">
        <f>FMECA[[#This Row],[probability_value]]*FMECA[[#This Row],[consequence_value]]</f>
        <v>2</v>
      </c>
      <c r="O180"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180" s="10" t="s">
        <v>770</v>
      </c>
      <c r="Q180" t="s">
        <v>1132</v>
      </c>
      <c r="R180" t="s">
        <v>780</v>
      </c>
      <c r="S180" t="s">
        <v>1831</v>
      </c>
      <c r="T180" t="s">
        <v>793</v>
      </c>
      <c r="W180" t="s">
        <v>2017</v>
      </c>
      <c r="X180" t="s">
        <v>466</v>
      </c>
      <c r="AA180" t="s">
        <v>1162</v>
      </c>
    </row>
    <row r="181" spans="1:27" x14ac:dyDescent="0.2">
      <c r="A181" s="225" t="s">
        <v>139</v>
      </c>
      <c r="B181" t="s">
        <v>63</v>
      </c>
      <c r="C181" t="s">
        <v>73</v>
      </c>
      <c r="D181" t="s">
        <v>180</v>
      </c>
      <c r="E181" t="s">
        <v>136</v>
      </c>
      <c r="F181" s="226" t="s">
        <v>137</v>
      </c>
      <c r="G181" t="str">
        <f>_xlfn.XLOOKUP(FMECA[[#This Row],[HazardRisk_name]],categories[HazardRisk_Name],categories[HazardRisk])</f>
        <v>Risk</v>
      </c>
      <c r="H181" t="str">
        <f>_xlfn.XLOOKUP(FMECA[[#This Row],[HazardRisk_name]],categories[HazardRisk_Name],categories[Category])</f>
        <v>Navigational</v>
      </c>
      <c r="I181" t="s">
        <v>705</v>
      </c>
      <c r="J181" s="10">
        <v>3</v>
      </c>
      <c r="K181" t="s">
        <v>1485</v>
      </c>
      <c r="L181" s="10">
        <v>7</v>
      </c>
      <c r="M181" t="s">
        <v>1485</v>
      </c>
      <c r="N181" s="10">
        <f>FMECA[[#This Row],[probability_value]]*FMECA[[#This Row],[consequence_value]]</f>
        <v>21</v>
      </c>
      <c r="O18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81" s="10" t="s">
        <v>770</v>
      </c>
      <c r="Q181" t="s">
        <v>1132</v>
      </c>
      <c r="R181" t="s">
        <v>780</v>
      </c>
      <c r="S181" t="s">
        <v>1831</v>
      </c>
      <c r="T181" t="s">
        <v>793</v>
      </c>
      <c r="W181" t="s">
        <v>2018</v>
      </c>
      <c r="X181" t="s">
        <v>466</v>
      </c>
      <c r="AA181" t="s">
        <v>1162</v>
      </c>
    </row>
    <row r="182" spans="1:27" x14ac:dyDescent="0.2">
      <c r="A182" s="225" t="s">
        <v>139</v>
      </c>
      <c r="B182" t="s">
        <v>63</v>
      </c>
      <c r="C182" t="s">
        <v>73</v>
      </c>
      <c r="D182" t="s">
        <v>180</v>
      </c>
      <c r="E182" t="s">
        <v>136</v>
      </c>
      <c r="F182" s="226" t="s">
        <v>137</v>
      </c>
      <c r="G182" t="str">
        <f>_xlfn.XLOOKUP(FMECA[[#This Row],[HazardRisk_name]],categories[HazardRisk_Name],categories[HazardRisk])</f>
        <v>Risk</v>
      </c>
      <c r="H182" t="str">
        <f>_xlfn.XLOOKUP(FMECA[[#This Row],[HazardRisk_name]],categories[HazardRisk_Name],categories[Category])</f>
        <v>Navigational</v>
      </c>
      <c r="I182" t="s">
        <v>474</v>
      </c>
      <c r="J182" s="10">
        <v>3</v>
      </c>
      <c r="K182" t="s">
        <v>1485</v>
      </c>
      <c r="L182" s="10">
        <v>4</v>
      </c>
      <c r="M182" t="s">
        <v>1485</v>
      </c>
      <c r="N182" s="10">
        <f>FMECA[[#This Row],[probability_value]]*FMECA[[#This Row],[consequence_value]]</f>
        <v>12</v>
      </c>
      <c r="O18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82" s="10" t="s">
        <v>770</v>
      </c>
      <c r="Q182" t="s">
        <v>1132</v>
      </c>
      <c r="R182" t="s">
        <v>780</v>
      </c>
      <c r="S182" t="s">
        <v>1831</v>
      </c>
      <c r="T182" t="s">
        <v>793</v>
      </c>
      <c r="W182" t="s">
        <v>2019</v>
      </c>
      <c r="X182" t="s">
        <v>466</v>
      </c>
      <c r="AA182" t="s">
        <v>1162</v>
      </c>
    </row>
    <row r="183" spans="1:27" x14ac:dyDescent="0.2">
      <c r="A183" s="225" t="s">
        <v>139</v>
      </c>
      <c r="B183" t="s">
        <v>63</v>
      </c>
      <c r="C183" t="s">
        <v>73</v>
      </c>
      <c r="D183" t="s">
        <v>180</v>
      </c>
      <c r="E183" t="s">
        <v>136</v>
      </c>
      <c r="F183" s="226" t="s">
        <v>137</v>
      </c>
      <c r="G183" t="str">
        <f>_xlfn.XLOOKUP(FMECA[[#This Row],[HazardRisk_name]],categories[HazardRisk_Name],categories[HazardRisk])</f>
        <v>Risk</v>
      </c>
      <c r="H183" t="str">
        <f>_xlfn.XLOOKUP(FMECA[[#This Row],[HazardRisk_name]],categories[HazardRisk_Name],categories[Category])</f>
        <v>Social</v>
      </c>
      <c r="I183" t="s">
        <v>686</v>
      </c>
      <c r="J183" s="10">
        <v>4</v>
      </c>
      <c r="K183" t="s">
        <v>1485</v>
      </c>
      <c r="L183" s="10">
        <v>7</v>
      </c>
      <c r="M183" t="s">
        <v>1485</v>
      </c>
      <c r="N183" s="10">
        <f>FMECA[[#This Row],[probability_value]]*FMECA[[#This Row],[consequence_value]]</f>
        <v>28</v>
      </c>
      <c r="O183" s="10" t="str">
        <f>IF(AND(FMECA[[#This Row],[Score]]&gt;=0, 9&gt;=FMECA[[#This Row],[Score]]), "UNDETECTABLE", IF(AND(FMECA[[#This Row],[Score]]&gt;=10, 24&gt;=FMECA[[#This Row],[Score]]), "MODERATE", IF(AND(FMECA[[#This Row],[Score]]&gt;=25, 35&gt;=FMECA[[#This Row],[Score]]), "HIGH", IF(AND(FMECA[[#This Row],[Score]]&gt;=36, 50&gt;=FMECA[[#This Row],[Score]]), "VERY HIGH", "Check Formula"))))</f>
        <v>HIGH</v>
      </c>
      <c r="P183" s="10" t="s">
        <v>770</v>
      </c>
      <c r="Q183" t="s">
        <v>1132</v>
      </c>
      <c r="R183" t="s">
        <v>780</v>
      </c>
      <c r="S183" t="s">
        <v>1831</v>
      </c>
      <c r="T183" t="s">
        <v>793</v>
      </c>
      <c r="AA183" t="s">
        <v>1162</v>
      </c>
    </row>
    <row r="184" spans="1:27" x14ac:dyDescent="0.2">
      <c r="A184" s="225" t="s">
        <v>139</v>
      </c>
      <c r="B184" t="s">
        <v>63</v>
      </c>
      <c r="C184" t="s">
        <v>73</v>
      </c>
      <c r="D184" t="s">
        <v>180</v>
      </c>
      <c r="E184" t="s">
        <v>136</v>
      </c>
      <c r="F184" s="226" t="s">
        <v>137</v>
      </c>
      <c r="G184" t="str">
        <f>_xlfn.XLOOKUP(FMECA[[#This Row],[HazardRisk_name]],categories[HazardRisk_Name],categories[HazardRisk])</f>
        <v>Risk</v>
      </c>
      <c r="H184" t="str">
        <f>_xlfn.XLOOKUP(FMECA[[#This Row],[HazardRisk_name]],categories[HazardRisk_Name],categories[Category])</f>
        <v>Social</v>
      </c>
      <c r="I184" t="s">
        <v>555</v>
      </c>
      <c r="J184" s="10">
        <v>4</v>
      </c>
      <c r="K184" t="s">
        <v>1485</v>
      </c>
      <c r="L184" s="10">
        <v>4</v>
      </c>
      <c r="M184" t="s">
        <v>1485</v>
      </c>
      <c r="N184" s="10">
        <f>FMECA[[#This Row],[probability_value]]*FMECA[[#This Row],[consequence_value]]</f>
        <v>16</v>
      </c>
      <c r="O18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84" s="10" t="s">
        <v>770</v>
      </c>
      <c r="Q184" t="s">
        <v>1132</v>
      </c>
      <c r="R184" t="s">
        <v>780</v>
      </c>
      <c r="S184" t="s">
        <v>1831</v>
      </c>
      <c r="T184" t="s">
        <v>793</v>
      </c>
      <c r="AA184" t="s">
        <v>1162</v>
      </c>
    </row>
    <row r="185" spans="1:27" x14ac:dyDescent="0.2">
      <c r="A185" s="225" t="s">
        <v>139</v>
      </c>
      <c r="B185" t="s">
        <v>63</v>
      </c>
      <c r="C185" t="s">
        <v>73</v>
      </c>
      <c r="D185" t="s">
        <v>180</v>
      </c>
      <c r="E185" t="s">
        <v>136</v>
      </c>
      <c r="F185" s="226" t="s">
        <v>137</v>
      </c>
      <c r="G185" t="str">
        <f>_xlfn.XLOOKUP(FMECA[[#This Row],[HazardRisk_name]],categories[HazardRisk_Name],categories[HazardRisk])</f>
        <v>Risk</v>
      </c>
      <c r="H185" t="str">
        <f>_xlfn.XLOOKUP(FMECA[[#This Row],[HazardRisk_name]],categories[HazardRisk_Name],categories[Category])</f>
        <v>Political</v>
      </c>
      <c r="I185" t="s">
        <v>629</v>
      </c>
      <c r="J185" s="10">
        <v>4</v>
      </c>
      <c r="K185" t="s">
        <v>2013</v>
      </c>
      <c r="L185" s="10">
        <v>7</v>
      </c>
      <c r="M185" t="s">
        <v>2013</v>
      </c>
      <c r="N185" s="10">
        <f>FMECA[[#This Row],[probability_value]]*FMECA[[#This Row],[consequence_value]]</f>
        <v>28</v>
      </c>
      <c r="O185" s="10" t="str">
        <f>IF(AND(FMECA[[#This Row],[Score]]&gt;=0, 9&gt;=FMECA[[#This Row],[Score]]), "UNDETECTABLE", IF(AND(FMECA[[#This Row],[Score]]&gt;=10, 24&gt;=FMECA[[#This Row],[Score]]), "MODERATE", IF(AND(FMECA[[#This Row],[Score]]&gt;=25, 35&gt;=FMECA[[#This Row],[Score]]), "HIGH", IF(AND(FMECA[[#This Row],[Score]]&gt;=36, 50&gt;=FMECA[[#This Row],[Score]]), "VERY HIGH", "Check Formula"))))</f>
        <v>HIGH</v>
      </c>
      <c r="P185" s="10" t="s">
        <v>770</v>
      </c>
      <c r="Q185" t="s">
        <v>1132</v>
      </c>
      <c r="R185" t="s">
        <v>780</v>
      </c>
      <c r="S185" t="s">
        <v>1831</v>
      </c>
      <c r="T185" t="s">
        <v>793</v>
      </c>
      <c r="U185" t="s">
        <v>2015</v>
      </c>
      <c r="V185" t="s">
        <v>470</v>
      </c>
      <c r="W185" t="s">
        <v>2014</v>
      </c>
      <c r="X185" t="s">
        <v>470</v>
      </c>
      <c r="Y185" t="s">
        <v>1153</v>
      </c>
      <c r="Z185" t="s">
        <v>2016</v>
      </c>
      <c r="AA185" t="s">
        <v>1162</v>
      </c>
    </row>
    <row r="186" spans="1:27" x14ac:dyDescent="0.2">
      <c r="A186" s="225" t="s">
        <v>139</v>
      </c>
      <c r="B186" t="s">
        <v>63</v>
      </c>
      <c r="C186" t="s">
        <v>73</v>
      </c>
      <c r="D186" t="s">
        <v>180</v>
      </c>
      <c r="E186" t="s">
        <v>136</v>
      </c>
      <c r="F186" s="226" t="s">
        <v>137</v>
      </c>
      <c r="G186" t="str">
        <f>_xlfn.XLOOKUP(FMECA[[#This Row],[HazardRisk_name]],categories[HazardRisk_Name],categories[HazardRisk])</f>
        <v>Risk</v>
      </c>
      <c r="H186" t="str">
        <f>_xlfn.XLOOKUP(FMECA[[#This Row],[HazardRisk_name]],categories[HazardRisk_Name],categories[Category])</f>
        <v>Political</v>
      </c>
      <c r="I186" t="s">
        <v>711</v>
      </c>
      <c r="J186" s="10">
        <v>4</v>
      </c>
      <c r="K186" t="s">
        <v>2013</v>
      </c>
      <c r="L186" s="10">
        <v>7</v>
      </c>
      <c r="M186" t="s">
        <v>2013</v>
      </c>
      <c r="N186" s="10">
        <f>FMECA[[#This Row],[probability_value]]*FMECA[[#This Row],[consequence_value]]</f>
        <v>28</v>
      </c>
      <c r="O186" s="10" t="str">
        <f>IF(AND(FMECA[[#This Row],[Score]]&gt;=0, 9&gt;=FMECA[[#This Row],[Score]]), "UNDETECTABLE", IF(AND(FMECA[[#This Row],[Score]]&gt;=10, 24&gt;=FMECA[[#This Row],[Score]]), "MODERATE", IF(AND(FMECA[[#This Row],[Score]]&gt;=25, 35&gt;=FMECA[[#This Row],[Score]]), "HIGH", IF(AND(FMECA[[#This Row],[Score]]&gt;=36, 50&gt;=FMECA[[#This Row],[Score]]), "VERY HIGH", "Check Formula"))))</f>
        <v>HIGH</v>
      </c>
      <c r="P186" s="10" t="s">
        <v>770</v>
      </c>
      <c r="Q186" t="s">
        <v>1132</v>
      </c>
      <c r="R186" t="s">
        <v>780</v>
      </c>
      <c r="S186" t="s">
        <v>1831</v>
      </c>
      <c r="T186" t="s">
        <v>793</v>
      </c>
      <c r="U186" t="s">
        <v>2015</v>
      </c>
      <c r="V186" t="s">
        <v>470</v>
      </c>
      <c r="W186" t="s">
        <v>2014</v>
      </c>
      <c r="X186" t="s">
        <v>470</v>
      </c>
      <c r="Y186" t="s">
        <v>1153</v>
      </c>
      <c r="Z186" t="s">
        <v>2016</v>
      </c>
      <c r="AA186" t="s">
        <v>1162</v>
      </c>
    </row>
    <row r="187" spans="1:27" x14ac:dyDescent="0.2">
      <c r="A187" s="225" t="s">
        <v>139</v>
      </c>
      <c r="B187" t="s">
        <v>63</v>
      </c>
      <c r="C187" t="s">
        <v>73</v>
      </c>
      <c r="D187" t="s">
        <v>180</v>
      </c>
      <c r="E187" t="s">
        <v>136</v>
      </c>
      <c r="F187" s="226" t="s">
        <v>137</v>
      </c>
      <c r="G187" t="str">
        <f>_xlfn.XLOOKUP(FMECA[[#This Row],[HazardRisk_name]],categories[HazardRisk_Name],categories[HazardRisk])</f>
        <v>Hazard</v>
      </c>
      <c r="H187" t="str">
        <f>_xlfn.XLOOKUP(FMECA[[#This Row],[HazardRisk_name]],categories[HazardRisk_Name],categories[Category])</f>
        <v>Operational</v>
      </c>
      <c r="I187" t="s">
        <v>633</v>
      </c>
      <c r="J187" s="10">
        <v>4</v>
      </c>
      <c r="K187" t="s">
        <v>1485</v>
      </c>
      <c r="L187" s="10">
        <v>7</v>
      </c>
      <c r="M187" t="s">
        <v>1485</v>
      </c>
      <c r="N187" s="10">
        <f>FMECA[[#This Row],[probability_value]]*FMECA[[#This Row],[consequence_value]]</f>
        <v>28</v>
      </c>
      <c r="O187" s="10" t="str">
        <f>IF(AND(FMECA[[#This Row],[Score]]&gt;=0, 9&gt;=FMECA[[#This Row],[Score]]), "UNDETECTABLE", IF(AND(FMECA[[#This Row],[Score]]&gt;=10, 24&gt;=FMECA[[#This Row],[Score]]), "MODERATE", IF(AND(FMECA[[#This Row],[Score]]&gt;=25, 35&gt;=FMECA[[#This Row],[Score]]), "HIGH", IF(AND(FMECA[[#This Row],[Score]]&gt;=36, 50&gt;=FMECA[[#This Row],[Score]]), "VERY HIGH", "Check Formula"))))</f>
        <v>HIGH</v>
      </c>
      <c r="P187" s="10" t="s">
        <v>770</v>
      </c>
      <c r="Q187" t="s">
        <v>1132</v>
      </c>
      <c r="R187" t="s">
        <v>780</v>
      </c>
      <c r="S187" t="s">
        <v>1831</v>
      </c>
      <c r="T187" t="s">
        <v>793</v>
      </c>
      <c r="AA187" t="s">
        <v>1162</v>
      </c>
    </row>
    <row r="188" spans="1:27" x14ac:dyDescent="0.2">
      <c r="A188" s="225" t="s">
        <v>139</v>
      </c>
      <c r="B188" t="s">
        <v>63</v>
      </c>
      <c r="C188" t="s">
        <v>73</v>
      </c>
      <c r="D188" t="s">
        <v>180</v>
      </c>
      <c r="E188" t="s">
        <v>136</v>
      </c>
      <c r="F188" s="226" t="s">
        <v>137</v>
      </c>
      <c r="G188" t="str">
        <f>_xlfn.XLOOKUP(FMECA[[#This Row],[HazardRisk_name]],categories[HazardRisk_Name],categories[HazardRisk])</f>
        <v>Risk</v>
      </c>
      <c r="H188" t="str">
        <f>_xlfn.XLOOKUP(FMECA[[#This Row],[HazardRisk_name]],categories[HazardRisk_Name],categories[Category])</f>
        <v>Navigational</v>
      </c>
      <c r="I188" t="s">
        <v>582</v>
      </c>
      <c r="J188" s="10">
        <v>3</v>
      </c>
      <c r="K188" t="s">
        <v>1485</v>
      </c>
      <c r="L188" s="10">
        <v>5</v>
      </c>
      <c r="M188" t="s">
        <v>1485</v>
      </c>
      <c r="N188" s="10">
        <f>FMECA[[#This Row],[probability_value]]*FMECA[[#This Row],[consequence_value]]</f>
        <v>15</v>
      </c>
      <c r="O18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88" s="10" t="s">
        <v>770</v>
      </c>
      <c r="Q188" t="s">
        <v>1132</v>
      </c>
      <c r="R188" t="s">
        <v>780</v>
      </c>
      <c r="S188" t="s">
        <v>1831</v>
      </c>
      <c r="T188" t="s">
        <v>793</v>
      </c>
      <c r="W188" t="s">
        <v>2018</v>
      </c>
      <c r="X188" t="s">
        <v>466</v>
      </c>
      <c r="AA188" t="s">
        <v>1162</v>
      </c>
    </row>
    <row r="189" spans="1:27" x14ac:dyDescent="0.2">
      <c r="A189" s="225" t="s">
        <v>139</v>
      </c>
      <c r="B189" t="s">
        <v>63</v>
      </c>
      <c r="C189" t="s">
        <v>73</v>
      </c>
      <c r="D189" t="s">
        <v>180</v>
      </c>
      <c r="E189" t="s">
        <v>136</v>
      </c>
      <c r="F189" s="226" t="s">
        <v>137</v>
      </c>
      <c r="G189" t="str">
        <f>_xlfn.XLOOKUP(FMECA[[#This Row],[HazardRisk_name]],categories[HazardRisk_Name],categories[HazardRisk])</f>
        <v>Risk</v>
      </c>
      <c r="H189" t="str">
        <f>_xlfn.XLOOKUP(FMECA[[#This Row],[HazardRisk_name]],categories[HazardRisk_Name],categories[Category])</f>
        <v>Operational</v>
      </c>
      <c r="I189" t="s">
        <v>572</v>
      </c>
      <c r="J189" s="10">
        <v>3</v>
      </c>
      <c r="K189" t="s">
        <v>1485</v>
      </c>
      <c r="L189" s="10">
        <v>7</v>
      </c>
      <c r="M189" t="s">
        <v>1485</v>
      </c>
      <c r="N189" s="10">
        <f>FMECA[[#This Row],[probability_value]]*FMECA[[#This Row],[consequence_value]]</f>
        <v>21</v>
      </c>
      <c r="O18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89" s="10" t="s">
        <v>770</v>
      </c>
      <c r="Q189" t="s">
        <v>1132</v>
      </c>
      <c r="R189" t="s">
        <v>780</v>
      </c>
      <c r="S189" t="s">
        <v>1831</v>
      </c>
      <c r="T189" t="s">
        <v>793</v>
      </c>
      <c r="AA189" t="s">
        <v>1162</v>
      </c>
    </row>
    <row r="190" spans="1:27" x14ac:dyDescent="0.2">
      <c r="A190" s="225" t="s">
        <v>139</v>
      </c>
      <c r="B190" t="s">
        <v>63</v>
      </c>
      <c r="C190" t="s">
        <v>73</v>
      </c>
      <c r="D190" t="s">
        <v>180</v>
      </c>
      <c r="E190" t="s">
        <v>136</v>
      </c>
      <c r="F190" s="226" t="s">
        <v>137</v>
      </c>
      <c r="G190" t="str">
        <f>_xlfn.XLOOKUP(FMECA[[#This Row],[HazardRisk_name]],categories[HazardRisk_Name],categories[HazardRisk])</f>
        <v>Hazard</v>
      </c>
      <c r="H190" t="str">
        <f>_xlfn.XLOOKUP(FMECA[[#This Row],[HazardRisk_name]],categories[HazardRisk_Name],categories[Category])</f>
        <v>Operational</v>
      </c>
      <c r="I190" t="s">
        <v>1533</v>
      </c>
      <c r="J190" s="10">
        <v>4</v>
      </c>
      <c r="K190" t="s">
        <v>2021</v>
      </c>
      <c r="L190" s="10">
        <v>10</v>
      </c>
      <c r="M190" t="s">
        <v>2021</v>
      </c>
      <c r="N190" s="10">
        <f>FMECA[[#This Row],[probability_value]]*FMECA[[#This Row],[consequence_value]]</f>
        <v>40</v>
      </c>
      <c r="O190"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190" s="10" t="s">
        <v>770</v>
      </c>
      <c r="Q190" t="s">
        <v>1132</v>
      </c>
      <c r="R190" t="s">
        <v>780</v>
      </c>
      <c r="S190" t="s">
        <v>1831</v>
      </c>
      <c r="T190" t="s">
        <v>793</v>
      </c>
      <c r="U190" t="s">
        <v>1789</v>
      </c>
      <c r="V190" t="s">
        <v>466</v>
      </c>
      <c r="W190" t="s">
        <v>2020</v>
      </c>
      <c r="X190" t="s">
        <v>466</v>
      </c>
    </row>
    <row r="191" spans="1:27" x14ac:dyDescent="0.2">
      <c r="A191" s="225" t="s">
        <v>139</v>
      </c>
      <c r="B191" t="s">
        <v>63</v>
      </c>
      <c r="C191" t="s">
        <v>73</v>
      </c>
      <c r="D191" t="s">
        <v>180</v>
      </c>
      <c r="E191" t="s">
        <v>136</v>
      </c>
      <c r="F191" s="226" t="s">
        <v>137</v>
      </c>
      <c r="G191" t="str">
        <f>_xlfn.XLOOKUP(FMECA[[#This Row],[HazardRisk_name]],categories[HazardRisk_Name],categories[HazardRisk])</f>
        <v>Risk</v>
      </c>
      <c r="H191" t="str">
        <f>_xlfn.XLOOKUP(FMECA[[#This Row],[HazardRisk_name]],categories[HazardRisk_Name],categories[Category])</f>
        <v>Navigational</v>
      </c>
      <c r="I191" t="s">
        <v>586</v>
      </c>
      <c r="J191" s="10">
        <v>4</v>
      </c>
      <c r="K191" t="s">
        <v>1485</v>
      </c>
      <c r="L191" s="10">
        <v>7</v>
      </c>
      <c r="M191" t="s">
        <v>1485</v>
      </c>
      <c r="N191" s="10">
        <f>FMECA[[#This Row],[probability_value]]*FMECA[[#This Row],[consequence_value]]</f>
        <v>28</v>
      </c>
      <c r="O191" s="10" t="str">
        <f>IF(AND(FMECA[[#This Row],[Score]]&gt;=0, 9&gt;=FMECA[[#This Row],[Score]]), "UNDETECTABLE", IF(AND(FMECA[[#This Row],[Score]]&gt;=10, 24&gt;=FMECA[[#This Row],[Score]]), "MODERATE", IF(AND(FMECA[[#This Row],[Score]]&gt;=25, 35&gt;=FMECA[[#This Row],[Score]]), "HIGH", IF(AND(FMECA[[#This Row],[Score]]&gt;=36, 50&gt;=FMECA[[#This Row],[Score]]), "VERY HIGH", "Check Formula"))))</f>
        <v>HIGH</v>
      </c>
      <c r="P191" s="10" t="s">
        <v>770</v>
      </c>
      <c r="Q191" t="s">
        <v>1132</v>
      </c>
      <c r="R191" t="s">
        <v>780</v>
      </c>
      <c r="S191" t="s">
        <v>1831</v>
      </c>
      <c r="T191" t="s">
        <v>793</v>
      </c>
      <c r="AA191" t="s">
        <v>1162</v>
      </c>
    </row>
    <row r="192" spans="1:27" x14ac:dyDescent="0.2">
      <c r="A192" s="225" t="s">
        <v>140</v>
      </c>
      <c r="B192" t="s">
        <v>63</v>
      </c>
      <c r="C192" t="s">
        <v>73</v>
      </c>
      <c r="D192" t="s">
        <v>199</v>
      </c>
      <c r="E192" t="s">
        <v>181</v>
      </c>
      <c r="F192" s="226" t="s">
        <v>182</v>
      </c>
      <c r="G192" t="str">
        <f>_xlfn.XLOOKUP(FMECA[[#This Row],[HazardRisk_name]],categories[HazardRisk_Name],categories[HazardRisk])</f>
        <v>Hazard</v>
      </c>
      <c r="H192" t="str">
        <f>_xlfn.XLOOKUP(FMECA[[#This Row],[HazardRisk_name]],categories[HazardRisk_Name],categories[Category])</f>
        <v>Sea Ice</v>
      </c>
      <c r="I192" t="s">
        <v>563</v>
      </c>
      <c r="J192" s="10">
        <v>5</v>
      </c>
      <c r="K192" t="s">
        <v>2022</v>
      </c>
      <c r="L192" s="10">
        <v>7</v>
      </c>
      <c r="M192" t="s">
        <v>2022</v>
      </c>
      <c r="N192" s="10">
        <f>FMECA[[#This Row],[probability_value]]*FMECA[[#This Row],[consequence_value]]</f>
        <v>35</v>
      </c>
      <c r="O192" s="10" t="str">
        <f>IF(AND(FMECA[[#This Row],[Score]]&gt;=0, 9&gt;=FMECA[[#This Row],[Score]]), "UNDETECTABLE", IF(AND(FMECA[[#This Row],[Score]]&gt;=10, 24&gt;=FMECA[[#This Row],[Score]]), "MODERATE", IF(AND(FMECA[[#This Row],[Score]]&gt;=25, 35&gt;=FMECA[[#This Row],[Score]]), "HIGH", IF(AND(FMECA[[#This Row],[Score]]&gt;=36, 50&gt;=FMECA[[#This Row],[Score]]), "VERY HIGH", "Check Formula"))))</f>
        <v>HIGH</v>
      </c>
      <c r="P192" s="10" t="s">
        <v>770</v>
      </c>
      <c r="Q192" t="s">
        <v>1132</v>
      </c>
      <c r="R192" t="s">
        <v>773</v>
      </c>
      <c r="S192" t="s">
        <v>2023</v>
      </c>
      <c r="T192" t="s">
        <v>793</v>
      </c>
      <c r="U192" t="s">
        <v>2024</v>
      </c>
      <c r="V192" t="s">
        <v>466</v>
      </c>
      <c r="W192" t="s">
        <v>2025</v>
      </c>
      <c r="X192" t="s">
        <v>466</v>
      </c>
      <c r="AA192" t="s">
        <v>1162</v>
      </c>
    </row>
    <row r="193" spans="1:27" x14ac:dyDescent="0.2">
      <c r="A193" s="225" t="s">
        <v>140</v>
      </c>
      <c r="B193" t="s">
        <v>63</v>
      </c>
      <c r="C193" t="s">
        <v>73</v>
      </c>
      <c r="D193" t="s">
        <v>199</v>
      </c>
      <c r="E193" t="s">
        <v>181</v>
      </c>
      <c r="F193" s="226" t="s">
        <v>182</v>
      </c>
      <c r="G193" t="str">
        <f>_xlfn.XLOOKUP(FMECA[[#This Row],[HazardRisk_name]],categories[HazardRisk_Name],categories[HazardRisk])</f>
        <v>Risk</v>
      </c>
      <c r="H193" t="str">
        <f>_xlfn.XLOOKUP(FMECA[[#This Row],[HazardRisk_name]],categories[HazardRisk_Name],categories[Category])</f>
        <v>Environmental</v>
      </c>
      <c r="I193" t="s">
        <v>625</v>
      </c>
      <c r="J193" s="10">
        <v>4</v>
      </c>
      <c r="K193" t="s">
        <v>2032</v>
      </c>
      <c r="L193" s="10">
        <v>10</v>
      </c>
      <c r="M193" t="s">
        <v>2032</v>
      </c>
      <c r="N193" s="10">
        <f>FMECA[[#This Row],[probability_value]]*FMECA[[#This Row],[consequence_value]]</f>
        <v>40</v>
      </c>
      <c r="O193"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193" s="10" t="s">
        <v>770</v>
      </c>
      <c r="Q193" t="s">
        <v>1132</v>
      </c>
      <c r="R193" t="s">
        <v>773</v>
      </c>
      <c r="S193" t="s">
        <v>2023</v>
      </c>
      <c r="T193" t="s">
        <v>793</v>
      </c>
      <c r="U193" t="s">
        <v>2035</v>
      </c>
      <c r="V193" t="s">
        <v>466</v>
      </c>
      <c r="W193" t="s">
        <v>2034</v>
      </c>
      <c r="X193" t="s">
        <v>470</v>
      </c>
      <c r="Y193" t="s">
        <v>1153</v>
      </c>
      <c r="Z193" t="s">
        <v>2033</v>
      </c>
    </row>
    <row r="194" spans="1:27" x14ac:dyDescent="0.2">
      <c r="A194" s="225" t="s">
        <v>140</v>
      </c>
      <c r="B194" t="s">
        <v>63</v>
      </c>
      <c r="C194" t="s">
        <v>73</v>
      </c>
      <c r="D194" t="s">
        <v>199</v>
      </c>
      <c r="E194" t="s">
        <v>181</v>
      </c>
      <c r="F194" s="226" t="s">
        <v>182</v>
      </c>
      <c r="G194" t="str">
        <f>_xlfn.XLOOKUP(FMECA[[#This Row],[HazardRisk_name]],categories[HazardRisk_Name],categories[HazardRisk])</f>
        <v>Risk</v>
      </c>
      <c r="H194" t="str">
        <f>_xlfn.XLOOKUP(FMECA[[#This Row],[HazardRisk_name]],categories[HazardRisk_Name],categories[Category])</f>
        <v>Social</v>
      </c>
      <c r="I194" t="s">
        <v>555</v>
      </c>
      <c r="J194" s="10">
        <v>4</v>
      </c>
      <c r="K194" t="s">
        <v>2029</v>
      </c>
      <c r="L194" s="10">
        <v>4</v>
      </c>
      <c r="M194" t="s">
        <v>2029</v>
      </c>
      <c r="N194" s="10">
        <f>FMECA[[#This Row],[probability_value]]*FMECA[[#This Row],[consequence_value]]</f>
        <v>16</v>
      </c>
      <c r="O19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94" s="10" t="s">
        <v>770</v>
      </c>
      <c r="Q194" t="s">
        <v>1132</v>
      </c>
      <c r="R194" t="s">
        <v>773</v>
      </c>
      <c r="S194" t="s">
        <v>2023</v>
      </c>
      <c r="T194" t="s">
        <v>793</v>
      </c>
      <c r="U194" t="s">
        <v>2030</v>
      </c>
      <c r="V194" t="s">
        <v>466</v>
      </c>
      <c r="W194" s="229" t="s">
        <v>2031</v>
      </c>
      <c r="X194" t="s">
        <v>466</v>
      </c>
    </row>
    <row r="195" spans="1:27" x14ac:dyDescent="0.2">
      <c r="A195" s="225" t="s">
        <v>140</v>
      </c>
      <c r="B195" t="s">
        <v>63</v>
      </c>
      <c r="C195" t="s">
        <v>73</v>
      </c>
      <c r="D195" t="s">
        <v>199</v>
      </c>
      <c r="E195" t="s">
        <v>181</v>
      </c>
      <c r="F195" s="226" t="s">
        <v>182</v>
      </c>
      <c r="G195" t="str">
        <f>_xlfn.XLOOKUP(FMECA[[#This Row],[HazardRisk_name]],categories[HazardRisk_Name],categories[HazardRisk])</f>
        <v>Risk</v>
      </c>
      <c r="H195" t="str">
        <f>_xlfn.XLOOKUP(FMECA[[#This Row],[HazardRisk_name]],categories[HazardRisk_Name],categories[Category])</f>
        <v>Navigational</v>
      </c>
      <c r="I195" t="s">
        <v>720</v>
      </c>
      <c r="J195" s="10">
        <v>5</v>
      </c>
      <c r="K195" t="s">
        <v>2036</v>
      </c>
      <c r="L195" s="10">
        <v>7</v>
      </c>
      <c r="M195" t="s">
        <v>2036</v>
      </c>
      <c r="N195" s="10">
        <f>FMECA[[#This Row],[probability_value]]*FMECA[[#This Row],[consequence_value]]</f>
        <v>35</v>
      </c>
      <c r="O195" s="10" t="str">
        <f>IF(AND(FMECA[[#This Row],[Score]]&gt;=0, 9&gt;=FMECA[[#This Row],[Score]]), "UNDETECTABLE", IF(AND(FMECA[[#This Row],[Score]]&gt;=10, 24&gt;=FMECA[[#This Row],[Score]]), "MODERATE", IF(AND(FMECA[[#This Row],[Score]]&gt;=25, 35&gt;=FMECA[[#This Row],[Score]]), "HIGH", IF(AND(FMECA[[#This Row],[Score]]&gt;=36, 50&gt;=FMECA[[#This Row],[Score]]), "VERY HIGH", "Check Formula"))))</f>
        <v>HIGH</v>
      </c>
      <c r="P195" s="10" t="s">
        <v>770</v>
      </c>
      <c r="Q195" t="s">
        <v>1132</v>
      </c>
      <c r="R195" t="s">
        <v>773</v>
      </c>
      <c r="S195" t="s">
        <v>2023</v>
      </c>
      <c r="T195" t="s">
        <v>793</v>
      </c>
      <c r="W195" s="229"/>
    </row>
    <row r="196" spans="1:27" x14ac:dyDescent="0.2">
      <c r="A196" s="225" t="s">
        <v>140</v>
      </c>
      <c r="B196" t="s">
        <v>63</v>
      </c>
      <c r="C196" t="s">
        <v>73</v>
      </c>
      <c r="D196" t="s">
        <v>199</v>
      </c>
      <c r="E196" t="s">
        <v>181</v>
      </c>
      <c r="F196" s="226" t="s">
        <v>182</v>
      </c>
      <c r="G196" t="str">
        <f>_xlfn.XLOOKUP(FMECA[[#This Row],[HazardRisk_name]],categories[HazardRisk_Name],categories[HazardRisk])</f>
        <v>Risk</v>
      </c>
      <c r="H196" t="str">
        <f>_xlfn.XLOOKUP(FMECA[[#This Row],[HazardRisk_name]],categories[HazardRisk_Name],categories[Category])</f>
        <v>Navigational</v>
      </c>
      <c r="I196" t="s">
        <v>635</v>
      </c>
      <c r="J196" s="10">
        <v>5</v>
      </c>
      <c r="K196" t="s">
        <v>2026</v>
      </c>
      <c r="L196" s="10">
        <v>7</v>
      </c>
      <c r="M196" t="s">
        <v>2026</v>
      </c>
      <c r="N196" s="10">
        <f>FMECA[[#This Row],[probability_value]]*FMECA[[#This Row],[consequence_value]]</f>
        <v>35</v>
      </c>
      <c r="O196" s="10" t="str">
        <f>IF(AND(FMECA[[#This Row],[Score]]&gt;=0, 9&gt;=FMECA[[#This Row],[Score]]), "UNDETECTABLE", IF(AND(FMECA[[#This Row],[Score]]&gt;=10, 24&gt;=FMECA[[#This Row],[Score]]), "MODERATE", IF(AND(FMECA[[#This Row],[Score]]&gt;=25, 35&gt;=FMECA[[#This Row],[Score]]), "HIGH", IF(AND(FMECA[[#This Row],[Score]]&gt;=36, 50&gt;=FMECA[[#This Row],[Score]]), "VERY HIGH", "Check Formula"))))</f>
        <v>HIGH</v>
      </c>
      <c r="P196" s="10" t="s">
        <v>770</v>
      </c>
      <c r="Q196" t="s">
        <v>1132</v>
      </c>
      <c r="R196" t="s">
        <v>773</v>
      </c>
      <c r="S196" t="s">
        <v>2023</v>
      </c>
      <c r="T196" t="s">
        <v>793</v>
      </c>
      <c r="U196" t="s">
        <v>2028</v>
      </c>
      <c r="V196" t="s">
        <v>466</v>
      </c>
      <c r="W196" t="s">
        <v>2027</v>
      </c>
      <c r="X196" t="s">
        <v>466</v>
      </c>
      <c r="AA196" t="s">
        <v>1162</v>
      </c>
    </row>
    <row r="197" spans="1:27" x14ac:dyDescent="0.2">
      <c r="A197" s="225" t="s">
        <v>140</v>
      </c>
      <c r="B197" t="s">
        <v>63</v>
      </c>
      <c r="C197" t="s">
        <v>73</v>
      </c>
      <c r="D197" t="s">
        <v>199</v>
      </c>
      <c r="E197" t="s">
        <v>181</v>
      </c>
      <c r="F197" s="226" t="s">
        <v>182</v>
      </c>
      <c r="G197" t="str">
        <f>_xlfn.XLOOKUP(FMECA[[#This Row],[HazardRisk_name]],categories[HazardRisk_Name],categories[HazardRisk])</f>
        <v>Risk</v>
      </c>
      <c r="H197" t="str">
        <f>_xlfn.XLOOKUP(FMECA[[#This Row],[HazardRisk_name]],categories[HazardRisk_Name],categories[Category])</f>
        <v>Navigational</v>
      </c>
      <c r="I197" t="s">
        <v>474</v>
      </c>
      <c r="J197" s="10">
        <v>4</v>
      </c>
      <c r="K197" t="s">
        <v>2026</v>
      </c>
      <c r="L197" s="10">
        <v>7</v>
      </c>
      <c r="M197" t="s">
        <v>2026</v>
      </c>
      <c r="N197" s="10">
        <f>FMECA[[#This Row],[probability_value]]*FMECA[[#This Row],[consequence_value]]</f>
        <v>28</v>
      </c>
      <c r="O197" s="10" t="str">
        <f>IF(AND(FMECA[[#This Row],[Score]]&gt;=0, 9&gt;=FMECA[[#This Row],[Score]]), "UNDETECTABLE", IF(AND(FMECA[[#This Row],[Score]]&gt;=10, 24&gt;=FMECA[[#This Row],[Score]]), "MODERATE", IF(AND(FMECA[[#This Row],[Score]]&gt;=25, 35&gt;=FMECA[[#This Row],[Score]]), "HIGH", IF(AND(FMECA[[#This Row],[Score]]&gt;=36, 50&gt;=FMECA[[#This Row],[Score]]), "VERY HIGH", "Check Formula"))))</f>
        <v>HIGH</v>
      </c>
      <c r="P197" s="10" t="s">
        <v>770</v>
      </c>
      <c r="Q197" t="s">
        <v>1132</v>
      </c>
      <c r="R197" t="s">
        <v>773</v>
      </c>
      <c r="S197" t="s">
        <v>2023</v>
      </c>
      <c r="T197" t="s">
        <v>793</v>
      </c>
      <c r="U197" t="s">
        <v>2028</v>
      </c>
      <c r="V197" t="s">
        <v>466</v>
      </c>
      <c r="W197" t="s">
        <v>2027</v>
      </c>
      <c r="X197" t="s">
        <v>466</v>
      </c>
      <c r="AA197" t="s">
        <v>1162</v>
      </c>
    </row>
    <row r="198" spans="1:27" x14ac:dyDescent="0.2">
      <c r="A198" s="225" t="s">
        <v>141</v>
      </c>
      <c r="B198" t="s">
        <v>63</v>
      </c>
      <c r="C198" t="s">
        <v>73</v>
      </c>
      <c r="D198" t="s">
        <v>200</v>
      </c>
      <c r="E198" t="s">
        <v>183</v>
      </c>
      <c r="F198" s="226" t="s">
        <v>184</v>
      </c>
      <c r="G198" t="str">
        <f>_xlfn.XLOOKUP(FMECA[[#This Row],[HazardRisk_name]],categories[HazardRisk_Name],categories[HazardRisk])</f>
        <v>Risk</v>
      </c>
      <c r="H198" t="str">
        <f>_xlfn.XLOOKUP(FMECA[[#This Row],[HazardRisk_name]],categories[HazardRisk_Name],categories[Category])</f>
        <v>Navigational</v>
      </c>
      <c r="I198" t="s">
        <v>638</v>
      </c>
      <c r="J198" s="10">
        <v>3</v>
      </c>
      <c r="K198" t="s">
        <v>2037</v>
      </c>
      <c r="L198" s="10">
        <v>4</v>
      </c>
      <c r="M198" t="s">
        <v>2037</v>
      </c>
      <c r="N198" s="10">
        <f>FMECA[[#This Row],[probability_value]]*FMECA[[#This Row],[consequence_value]]</f>
        <v>12</v>
      </c>
      <c r="O19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98" s="10" t="s">
        <v>767</v>
      </c>
      <c r="Q198" t="s">
        <v>1162</v>
      </c>
      <c r="R198" t="s">
        <v>780</v>
      </c>
      <c r="S198" t="s">
        <v>2038</v>
      </c>
      <c r="T198" t="s">
        <v>793</v>
      </c>
      <c r="AA198" t="s">
        <v>1162</v>
      </c>
    </row>
    <row r="199" spans="1:27" x14ac:dyDescent="0.2">
      <c r="A199" s="225" t="s">
        <v>141</v>
      </c>
      <c r="B199" t="s">
        <v>63</v>
      </c>
      <c r="C199" t="s">
        <v>73</v>
      </c>
      <c r="D199" t="s">
        <v>200</v>
      </c>
      <c r="E199" t="s">
        <v>183</v>
      </c>
      <c r="F199" s="226" t="s">
        <v>184</v>
      </c>
      <c r="G199" t="str">
        <f>_xlfn.XLOOKUP(FMECA[[#This Row],[HazardRisk_name]],categories[HazardRisk_Name],categories[HazardRisk])</f>
        <v>Risk</v>
      </c>
      <c r="H199" t="str">
        <f>_xlfn.XLOOKUP(FMECA[[#This Row],[HazardRisk_name]],categories[HazardRisk_Name],categories[Category])</f>
        <v>Economic</v>
      </c>
      <c r="I199" t="s">
        <v>642</v>
      </c>
      <c r="J199" s="10">
        <v>3</v>
      </c>
      <c r="K199" t="s">
        <v>2037</v>
      </c>
      <c r="L199" s="10">
        <v>4</v>
      </c>
      <c r="M199" t="s">
        <v>2037</v>
      </c>
      <c r="N199" s="10">
        <f>FMECA[[#This Row],[probability_value]]*FMECA[[#This Row],[consequence_value]]</f>
        <v>12</v>
      </c>
      <c r="O19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199" s="10" t="s">
        <v>767</v>
      </c>
      <c r="Q199" t="s">
        <v>1162</v>
      </c>
      <c r="R199" t="s">
        <v>780</v>
      </c>
      <c r="S199" t="s">
        <v>2038</v>
      </c>
      <c r="T199" t="s">
        <v>793</v>
      </c>
      <c r="AA199" t="s">
        <v>1162</v>
      </c>
    </row>
    <row r="200" spans="1:27" x14ac:dyDescent="0.2">
      <c r="A200" s="225" t="s">
        <v>141</v>
      </c>
      <c r="B200" t="s">
        <v>63</v>
      </c>
      <c r="C200" t="s">
        <v>73</v>
      </c>
      <c r="D200" t="s">
        <v>200</v>
      </c>
      <c r="E200" t="s">
        <v>183</v>
      </c>
      <c r="F200" s="226" t="s">
        <v>184</v>
      </c>
      <c r="G200" t="str">
        <f>_xlfn.XLOOKUP(FMECA[[#This Row],[HazardRisk_name]],categories[HazardRisk_Name],categories[HazardRisk])</f>
        <v>Risk</v>
      </c>
      <c r="H200" t="str">
        <f>_xlfn.XLOOKUP(FMECA[[#This Row],[HazardRisk_name]],categories[HazardRisk_Name],categories[Category])</f>
        <v>Economic</v>
      </c>
      <c r="I200" t="s">
        <v>464</v>
      </c>
      <c r="J200" s="10">
        <v>3</v>
      </c>
      <c r="K200" t="s">
        <v>2037</v>
      </c>
      <c r="L200" s="10">
        <v>4</v>
      </c>
      <c r="M200" t="s">
        <v>2037</v>
      </c>
      <c r="N200" s="10">
        <f>FMECA[[#This Row],[probability_value]]*FMECA[[#This Row],[consequence_value]]</f>
        <v>12</v>
      </c>
      <c r="O20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00" s="10" t="s">
        <v>767</v>
      </c>
      <c r="Q200" t="s">
        <v>1162</v>
      </c>
      <c r="R200" t="s">
        <v>780</v>
      </c>
      <c r="S200" t="s">
        <v>2038</v>
      </c>
      <c r="T200" t="s">
        <v>793</v>
      </c>
      <c r="Y200" t="s">
        <v>1153</v>
      </c>
      <c r="Z200" t="s">
        <v>2054</v>
      </c>
      <c r="AA200" t="s">
        <v>1162</v>
      </c>
    </row>
    <row r="201" spans="1:27" x14ac:dyDescent="0.2">
      <c r="A201" s="225" t="s">
        <v>141</v>
      </c>
      <c r="B201" t="s">
        <v>63</v>
      </c>
      <c r="C201" t="s">
        <v>73</v>
      </c>
      <c r="D201" t="s">
        <v>200</v>
      </c>
      <c r="E201" t="s">
        <v>183</v>
      </c>
      <c r="F201" s="226" t="s">
        <v>184</v>
      </c>
      <c r="G201" t="str">
        <f>_xlfn.XLOOKUP(FMECA[[#This Row],[HazardRisk_name]],categories[HazardRisk_Name],categories[HazardRisk])</f>
        <v>Risk</v>
      </c>
      <c r="H201" t="str">
        <f>_xlfn.XLOOKUP(FMECA[[#This Row],[HazardRisk_name]],categories[HazardRisk_Name],categories[Category])</f>
        <v>Political</v>
      </c>
      <c r="I201" t="s">
        <v>629</v>
      </c>
      <c r="J201" s="10">
        <v>3</v>
      </c>
      <c r="K201" t="s">
        <v>2039</v>
      </c>
      <c r="L201" s="10">
        <v>7</v>
      </c>
      <c r="M201" t="s">
        <v>2039</v>
      </c>
      <c r="N201" s="10">
        <f>FMECA[[#This Row],[probability_value]]*FMECA[[#This Row],[consequence_value]]</f>
        <v>21</v>
      </c>
      <c r="O20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01" s="10" t="s">
        <v>767</v>
      </c>
      <c r="Q201" t="s">
        <v>1162</v>
      </c>
      <c r="R201" t="s">
        <v>780</v>
      </c>
      <c r="S201" t="s">
        <v>2038</v>
      </c>
      <c r="T201" t="s">
        <v>793</v>
      </c>
      <c r="W201" t="s">
        <v>2040</v>
      </c>
      <c r="X201" t="s">
        <v>470</v>
      </c>
      <c r="Y201" t="s">
        <v>1674</v>
      </c>
      <c r="Z201" t="s">
        <v>2041</v>
      </c>
      <c r="AA201" t="s">
        <v>1162</v>
      </c>
    </row>
    <row r="202" spans="1:27" x14ac:dyDescent="0.2">
      <c r="A202" s="225" t="s">
        <v>141</v>
      </c>
      <c r="B202" t="s">
        <v>63</v>
      </c>
      <c r="C202" t="s">
        <v>73</v>
      </c>
      <c r="D202" t="s">
        <v>200</v>
      </c>
      <c r="E202" t="s">
        <v>183</v>
      </c>
      <c r="F202" s="226" t="s">
        <v>184</v>
      </c>
      <c r="G202" t="str">
        <f>_xlfn.XLOOKUP(FMECA[[#This Row],[HazardRisk_name]],categories[HazardRisk_Name],categories[HazardRisk])</f>
        <v>Risk</v>
      </c>
      <c r="H202" t="str">
        <f>_xlfn.XLOOKUP(FMECA[[#This Row],[HazardRisk_name]],categories[HazardRisk_Name],categories[Category])</f>
        <v>Technological</v>
      </c>
      <c r="I202" t="s">
        <v>641</v>
      </c>
      <c r="J202" s="10">
        <v>3</v>
      </c>
      <c r="K202" t="s">
        <v>2042</v>
      </c>
      <c r="L202" s="10">
        <v>7</v>
      </c>
      <c r="M202" t="s">
        <v>2042</v>
      </c>
      <c r="N202" s="10">
        <f>FMECA[[#This Row],[probability_value]]*FMECA[[#This Row],[consequence_value]]</f>
        <v>21</v>
      </c>
      <c r="O20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02" s="10" t="s">
        <v>767</v>
      </c>
      <c r="Q202" t="s">
        <v>1162</v>
      </c>
      <c r="R202" t="s">
        <v>780</v>
      </c>
      <c r="S202" t="s">
        <v>2038</v>
      </c>
      <c r="T202" t="s">
        <v>793</v>
      </c>
      <c r="W202" t="s">
        <v>2040</v>
      </c>
      <c r="X202" t="s">
        <v>470</v>
      </c>
      <c r="Y202" t="s">
        <v>1674</v>
      </c>
      <c r="Z202" t="s">
        <v>2041</v>
      </c>
      <c r="AA202" t="s">
        <v>1162</v>
      </c>
    </row>
    <row r="203" spans="1:27" x14ac:dyDescent="0.2">
      <c r="A203" s="225" t="s">
        <v>141</v>
      </c>
      <c r="B203" t="s">
        <v>63</v>
      </c>
      <c r="C203" t="s">
        <v>73</v>
      </c>
      <c r="D203" t="s">
        <v>200</v>
      </c>
      <c r="E203" t="s">
        <v>183</v>
      </c>
      <c r="F203" s="226" t="s">
        <v>184</v>
      </c>
      <c r="G203" t="str">
        <f>_xlfn.XLOOKUP(FMECA[[#This Row],[HazardRisk_name]],categories[HazardRisk_Name],categories[HazardRisk])</f>
        <v>Hazard</v>
      </c>
      <c r="H203" t="str">
        <f>_xlfn.XLOOKUP(FMECA[[#This Row],[HazardRisk_name]],categories[HazardRisk_Name],categories[Category])</f>
        <v>Navigational</v>
      </c>
      <c r="I203" t="s">
        <v>637</v>
      </c>
      <c r="J203" s="10">
        <v>3</v>
      </c>
      <c r="K203" t="s">
        <v>2043</v>
      </c>
      <c r="L203" s="10">
        <v>7</v>
      </c>
      <c r="M203" t="s">
        <v>2043</v>
      </c>
      <c r="N203" s="10">
        <f>FMECA[[#This Row],[probability_value]]*FMECA[[#This Row],[consequence_value]]</f>
        <v>21</v>
      </c>
      <c r="O20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03" s="10" t="s">
        <v>767</v>
      </c>
      <c r="Q203" t="s">
        <v>1162</v>
      </c>
      <c r="R203" t="s">
        <v>780</v>
      </c>
      <c r="S203" t="s">
        <v>2038</v>
      </c>
      <c r="T203" t="s">
        <v>793</v>
      </c>
      <c r="U203" t="s">
        <v>2045</v>
      </c>
      <c r="V203" t="s">
        <v>470</v>
      </c>
      <c r="W203" t="s">
        <v>2044</v>
      </c>
      <c r="X203" t="s">
        <v>449</v>
      </c>
      <c r="AA203" t="s">
        <v>1162</v>
      </c>
    </row>
    <row r="204" spans="1:27" x14ac:dyDescent="0.2">
      <c r="A204" s="225" t="s">
        <v>141</v>
      </c>
      <c r="B204" t="s">
        <v>63</v>
      </c>
      <c r="C204" t="s">
        <v>73</v>
      </c>
      <c r="D204" t="s">
        <v>200</v>
      </c>
      <c r="E204" t="s">
        <v>183</v>
      </c>
      <c r="F204" s="226" t="s">
        <v>184</v>
      </c>
      <c r="G204" t="str">
        <f>_xlfn.XLOOKUP(FMECA[[#This Row],[HazardRisk_name]],categories[HazardRisk_Name],categories[HazardRisk])</f>
        <v>Risk</v>
      </c>
      <c r="H204" t="str">
        <f>_xlfn.XLOOKUP(FMECA[[#This Row],[HazardRisk_name]],categories[HazardRisk_Name],categories[Category])</f>
        <v>Political</v>
      </c>
      <c r="I204" t="s">
        <v>564</v>
      </c>
      <c r="J204" s="10">
        <v>3</v>
      </c>
      <c r="K204" t="s">
        <v>2037</v>
      </c>
      <c r="L204" s="10">
        <v>4</v>
      </c>
      <c r="M204" t="s">
        <v>2037</v>
      </c>
      <c r="N204" s="10">
        <f>FMECA[[#This Row],[probability_value]]*FMECA[[#This Row],[consequence_value]]</f>
        <v>12</v>
      </c>
      <c r="O20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04" s="10" t="s">
        <v>767</v>
      </c>
      <c r="Q204" t="s">
        <v>1162</v>
      </c>
      <c r="R204" t="s">
        <v>780</v>
      </c>
      <c r="S204" t="s">
        <v>2038</v>
      </c>
      <c r="T204" t="s">
        <v>793</v>
      </c>
      <c r="AA204" t="s">
        <v>1162</v>
      </c>
    </row>
    <row r="205" spans="1:27" x14ac:dyDescent="0.2">
      <c r="A205" s="225" t="s">
        <v>141</v>
      </c>
      <c r="B205" t="s">
        <v>63</v>
      </c>
      <c r="C205" t="s">
        <v>73</v>
      </c>
      <c r="D205" t="s">
        <v>200</v>
      </c>
      <c r="E205" t="s">
        <v>183</v>
      </c>
      <c r="F205" s="226" t="s">
        <v>184</v>
      </c>
      <c r="G205" t="str">
        <f>_xlfn.XLOOKUP(FMECA[[#This Row],[HazardRisk_name]],categories[HazardRisk_Name],categories[HazardRisk])</f>
        <v>Hazard</v>
      </c>
      <c r="H205" t="str">
        <f>_xlfn.XLOOKUP(FMECA[[#This Row],[HazardRisk_name]],categories[HazardRisk_Name],categories[Category])</f>
        <v>Pollutants</v>
      </c>
      <c r="I205" t="s">
        <v>636</v>
      </c>
      <c r="J205" s="10">
        <v>5</v>
      </c>
      <c r="K205" t="s">
        <v>2046</v>
      </c>
      <c r="L205" s="10">
        <v>7</v>
      </c>
      <c r="M205" t="s">
        <v>2046</v>
      </c>
      <c r="N205" s="10">
        <f>FMECA[[#This Row],[probability_value]]*FMECA[[#This Row],[consequence_value]]</f>
        <v>35</v>
      </c>
      <c r="O205" s="10" t="str">
        <f>IF(AND(FMECA[[#This Row],[Score]]&gt;=0, 9&gt;=FMECA[[#This Row],[Score]]), "UNDETECTABLE", IF(AND(FMECA[[#This Row],[Score]]&gt;=10, 24&gt;=FMECA[[#This Row],[Score]]), "MODERATE", IF(AND(FMECA[[#This Row],[Score]]&gt;=25, 35&gt;=FMECA[[#This Row],[Score]]), "HIGH", IF(AND(FMECA[[#This Row],[Score]]&gt;=36, 50&gt;=FMECA[[#This Row],[Score]]), "VERY HIGH", "Check Formula"))))</f>
        <v>HIGH</v>
      </c>
      <c r="P205" s="10" t="s">
        <v>767</v>
      </c>
      <c r="Q205" t="s">
        <v>1162</v>
      </c>
      <c r="R205" t="s">
        <v>780</v>
      </c>
      <c r="S205" t="s">
        <v>2038</v>
      </c>
      <c r="T205" t="s">
        <v>793</v>
      </c>
      <c r="U205" t="s">
        <v>2047</v>
      </c>
      <c r="V205" t="s">
        <v>466</v>
      </c>
      <c r="W205" t="s">
        <v>2048</v>
      </c>
      <c r="X205" t="s">
        <v>466</v>
      </c>
      <c r="AA205" t="s">
        <v>1162</v>
      </c>
    </row>
    <row r="206" spans="1:27" x14ac:dyDescent="0.2">
      <c r="A206" s="225" t="s">
        <v>141</v>
      </c>
      <c r="B206" t="s">
        <v>63</v>
      </c>
      <c r="C206" t="s">
        <v>73</v>
      </c>
      <c r="D206" t="s">
        <v>200</v>
      </c>
      <c r="E206" t="s">
        <v>183</v>
      </c>
      <c r="F206" s="226" t="s">
        <v>184</v>
      </c>
      <c r="G206" t="str">
        <f>_xlfn.XLOOKUP(FMECA[[#This Row],[HazardRisk_name]],categories[HazardRisk_Name],categories[HazardRisk])</f>
        <v>Risk</v>
      </c>
      <c r="H206" t="str">
        <f>_xlfn.XLOOKUP(FMECA[[#This Row],[HazardRisk_name]],categories[HazardRisk_Name],categories[Category])</f>
        <v>Pollutants</v>
      </c>
      <c r="I206" t="s">
        <v>640</v>
      </c>
      <c r="J206" s="10">
        <v>4</v>
      </c>
      <c r="K206" t="s">
        <v>2049</v>
      </c>
      <c r="L206" s="10">
        <v>4</v>
      </c>
      <c r="M206" t="s">
        <v>2049</v>
      </c>
      <c r="N206" s="10">
        <f>FMECA[[#This Row],[probability_value]]*FMECA[[#This Row],[consequence_value]]</f>
        <v>16</v>
      </c>
      <c r="O20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06" s="10" t="s">
        <v>767</v>
      </c>
      <c r="Q206" t="s">
        <v>1162</v>
      </c>
      <c r="R206" t="s">
        <v>780</v>
      </c>
      <c r="S206" t="s">
        <v>2038</v>
      </c>
      <c r="T206" t="s">
        <v>793</v>
      </c>
      <c r="U206" t="s">
        <v>2050</v>
      </c>
      <c r="V206" t="s">
        <v>466</v>
      </c>
      <c r="W206" t="s">
        <v>2051</v>
      </c>
      <c r="X206" t="s">
        <v>466</v>
      </c>
      <c r="Y206" t="s">
        <v>1153</v>
      </c>
      <c r="Z206" t="s">
        <v>2052</v>
      </c>
      <c r="AA206" t="s">
        <v>1162</v>
      </c>
    </row>
    <row r="207" spans="1:27" x14ac:dyDescent="0.2">
      <c r="A207" s="225" t="s">
        <v>141</v>
      </c>
      <c r="B207" t="s">
        <v>63</v>
      </c>
      <c r="C207" t="s">
        <v>73</v>
      </c>
      <c r="D207" t="s">
        <v>200</v>
      </c>
      <c r="E207" t="s">
        <v>183</v>
      </c>
      <c r="F207" s="226" t="s">
        <v>184</v>
      </c>
      <c r="G207" t="str">
        <f>_xlfn.XLOOKUP(FMECA[[#This Row],[HazardRisk_name]],categories[HazardRisk_Name],categories[HazardRisk])</f>
        <v>Risk</v>
      </c>
      <c r="H207" t="str">
        <f>_xlfn.XLOOKUP(FMECA[[#This Row],[HazardRisk_name]],categories[HazardRisk_Name],categories[Category])</f>
        <v>Pollutants</v>
      </c>
      <c r="I207" t="s">
        <v>547</v>
      </c>
      <c r="J207" s="10">
        <v>5</v>
      </c>
      <c r="K207" t="s">
        <v>2046</v>
      </c>
      <c r="L207" s="10">
        <v>7</v>
      </c>
      <c r="M207" t="s">
        <v>2046</v>
      </c>
      <c r="N207" s="10">
        <f>FMECA[[#This Row],[probability_value]]*FMECA[[#This Row],[consequence_value]]</f>
        <v>35</v>
      </c>
      <c r="O207" s="10" t="str">
        <f>IF(AND(FMECA[[#This Row],[Score]]&gt;=0, 9&gt;=FMECA[[#This Row],[Score]]), "UNDETECTABLE", IF(AND(FMECA[[#This Row],[Score]]&gt;=10, 24&gt;=FMECA[[#This Row],[Score]]), "MODERATE", IF(AND(FMECA[[#This Row],[Score]]&gt;=25, 35&gt;=FMECA[[#This Row],[Score]]), "HIGH", IF(AND(FMECA[[#This Row],[Score]]&gt;=36, 50&gt;=FMECA[[#This Row],[Score]]), "VERY HIGH", "Check Formula"))))</f>
        <v>HIGH</v>
      </c>
      <c r="P207" s="10" t="s">
        <v>767</v>
      </c>
      <c r="Q207" t="s">
        <v>1162</v>
      </c>
      <c r="R207" t="s">
        <v>780</v>
      </c>
      <c r="S207" t="s">
        <v>2038</v>
      </c>
      <c r="T207" t="s">
        <v>793</v>
      </c>
      <c r="U207" t="s">
        <v>2047</v>
      </c>
      <c r="V207" t="s">
        <v>466</v>
      </c>
      <c r="W207" t="s">
        <v>2048</v>
      </c>
      <c r="X207" t="s">
        <v>466</v>
      </c>
      <c r="Y207" t="s">
        <v>1153</v>
      </c>
      <c r="Z207" t="s">
        <v>2054</v>
      </c>
      <c r="AA207" t="s">
        <v>1162</v>
      </c>
    </row>
    <row r="208" spans="1:27" x14ac:dyDescent="0.2">
      <c r="A208" s="225" t="s">
        <v>141</v>
      </c>
      <c r="B208" t="s">
        <v>63</v>
      </c>
      <c r="C208" t="s">
        <v>73</v>
      </c>
      <c r="D208" t="s">
        <v>200</v>
      </c>
      <c r="E208" t="s">
        <v>183</v>
      </c>
      <c r="F208" s="226" t="s">
        <v>184</v>
      </c>
      <c r="G208" t="str">
        <f>_xlfn.XLOOKUP(FMECA[[#This Row],[HazardRisk_name]],categories[HazardRisk_Name],categories[HazardRisk])</f>
        <v>Hazard</v>
      </c>
      <c r="H208" t="str">
        <f>_xlfn.XLOOKUP(FMECA[[#This Row],[HazardRisk_name]],categories[HazardRisk_Name],categories[Category])</f>
        <v>Pollutants</v>
      </c>
      <c r="I208" t="s">
        <v>568</v>
      </c>
      <c r="J208" s="10">
        <v>3</v>
      </c>
      <c r="K208" s="19" t="s">
        <v>2053</v>
      </c>
      <c r="L208" s="10">
        <v>7</v>
      </c>
      <c r="M208" s="19" t="s">
        <v>2053</v>
      </c>
      <c r="N208" s="10">
        <f>FMECA[[#This Row],[probability_value]]*FMECA[[#This Row],[consequence_value]]</f>
        <v>21</v>
      </c>
      <c r="O20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08" s="10" t="s">
        <v>767</v>
      </c>
      <c r="Q208" t="s">
        <v>1162</v>
      </c>
      <c r="R208" t="s">
        <v>780</v>
      </c>
      <c r="S208" t="s">
        <v>2038</v>
      </c>
      <c r="T208" t="s">
        <v>793</v>
      </c>
      <c r="Y208" t="s">
        <v>1153</v>
      </c>
      <c r="Z208" t="s">
        <v>2054</v>
      </c>
    </row>
    <row r="209" spans="1:27" x14ac:dyDescent="0.2">
      <c r="A209" s="225" t="s">
        <v>141</v>
      </c>
      <c r="B209" t="s">
        <v>63</v>
      </c>
      <c r="C209" t="s">
        <v>73</v>
      </c>
      <c r="D209" t="s">
        <v>200</v>
      </c>
      <c r="E209" t="s">
        <v>183</v>
      </c>
      <c r="F209" s="226" t="s">
        <v>184</v>
      </c>
      <c r="G209" t="str">
        <f>_xlfn.XLOOKUP(FMECA[[#This Row],[HazardRisk_name]],categories[HazardRisk_Name],categories[HazardRisk])</f>
        <v>Risk</v>
      </c>
      <c r="H209" t="str">
        <f>_xlfn.XLOOKUP(FMECA[[#This Row],[HazardRisk_name]],categories[HazardRisk_Name],categories[Category])</f>
        <v>Political</v>
      </c>
      <c r="I209" t="s">
        <v>711</v>
      </c>
      <c r="J209" s="10">
        <v>4</v>
      </c>
      <c r="K209" t="s">
        <v>2055</v>
      </c>
      <c r="L209" s="10">
        <v>7</v>
      </c>
      <c r="M209" t="s">
        <v>2055</v>
      </c>
      <c r="N209" s="10">
        <f>FMECA[[#This Row],[probability_value]]*FMECA[[#This Row],[consequence_value]]</f>
        <v>28</v>
      </c>
      <c r="O209" s="10" t="str">
        <f>IF(AND(FMECA[[#This Row],[Score]]&gt;=0, 9&gt;=FMECA[[#This Row],[Score]]), "UNDETECTABLE", IF(AND(FMECA[[#This Row],[Score]]&gt;=10, 24&gt;=FMECA[[#This Row],[Score]]), "MODERATE", IF(AND(FMECA[[#This Row],[Score]]&gt;=25, 35&gt;=FMECA[[#This Row],[Score]]), "HIGH", IF(AND(FMECA[[#This Row],[Score]]&gt;=36, 50&gt;=FMECA[[#This Row],[Score]]), "VERY HIGH", "Check Formula"))))</f>
        <v>HIGH</v>
      </c>
      <c r="P209" s="10" t="s">
        <v>767</v>
      </c>
      <c r="Q209" t="s">
        <v>1162</v>
      </c>
      <c r="R209" t="s">
        <v>780</v>
      </c>
      <c r="S209" t="s">
        <v>2038</v>
      </c>
      <c r="T209" t="s">
        <v>793</v>
      </c>
      <c r="AA209" t="s">
        <v>1162</v>
      </c>
    </row>
    <row r="210" spans="1:27" x14ac:dyDescent="0.2">
      <c r="A210" s="225" t="s">
        <v>141</v>
      </c>
      <c r="B210" t="s">
        <v>63</v>
      </c>
      <c r="C210" t="s">
        <v>73</v>
      </c>
      <c r="D210" t="s">
        <v>200</v>
      </c>
      <c r="E210" t="s">
        <v>183</v>
      </c>
      <c r="F210" s="226" t="s">
        <v>184</v>
      </c>
      <c r="G210" t="str">
        <f>_xlfn.XLOOKUP(FMECA[[#This Row],[HazardRisk_name]],categories[HazardRisk_Name],categories[HazardRisk])</f>
        <v>Risk</v>
      </c>
      <c r="H210" t="str">
        <f>_xlfn.XLOOKUP(FMECA[[#This Row],[HazardRisk_name]],categories[HazardRisk_Name],categories[Category])</f>
        <v>Navigational</v>
      </c>
      <c r="I210" t="s">
        <v>704</v>
      </c>
      <c r="J210" s="10">
        <v>4</v>
      </c>
      <c r="K210" t="s">
        <v>2056</v>
      </c>
      <c r="L210" s="10">
        <v>7</v>
      </c>
      <c r="M210" t="s">
        <v>2056</v>
      </c>
      <c r="N210" s="10">
        <f>FMECA[[#This Row],[probability_value]]*FMECA[[#This Row],[consequence_value]]</f>
        <v>28</v>
      </c>
      <c r="O210" s="10" t="str">
        <f>IF(AND(FMECA[[#This Row],[Score]]&gt;=0, 9&gt;=FMECA[[#This Row],[Score]]), "UNDETECTABLE", IF(AND(FMECA[[#This Row],[Score]]&gt;=10, 24&gt;=FMECA[[#This Row],[Score]]), "MODERATE", IF(AND(FMECA[[#This Row],[Score]]&gt;=25, 35&gt;=FMECA[[#This Row],[Score]]), "HIGH", IF(AND(FMECA[[#This Row],[Score]]&gt;=36, 50&gt;=FMECA[[#This Row],[Score]]), "VERY HIGH", "Check Formula"))))</f>
        <v>HIGH</v>
      </c>
      <c r="P210" s="10" t="s">
        <v>767</v>
      </c>
      <c r="Q210" t="s">
        <v>1162</v>
      </c>
      <c r="R210" t="s">
        <v>780</v>
      </c>
      <c r="S210" t="s">
        <v>2038</v>
      </c>
      <c r="T210" t="s">
        <v>793</v>
      </c>
      <c r="U210" t="s">
        <v>2058</v>
      </c>
      <c r="V210" t="s">
        <v>470</v>
      </c>
      <c r="W210" t="s">
        <v>2057</v>
      </c>
      <c r="X210" t="s">
        <v>466</v>
      </c>
    </row>
    <row r="211" spans="1:27" x14ac:dyDescent="0.2">
      <c r="A211" s="225" t="s">
        <v>141</v>
      </c>
      <c r="B211" t="s">
        <v>63</v>
      </c>
      <c r="C211" t="s">
        <v>73</v>
      </c>
      <c r="D211" t="s">
        <v>200</v>
      </c>
      <c r="E211" t="s">
        <v>183</v>
      </c>
      <c r="F211" s="226" t="s">
        <v>184</v>
      </c>
      <c r="G211" t="str">
        <f>_xlfn.XLOOKUP(FMECA[[#This Row],[HazardRisk_name]],categories[HazardRisk_Name],categories[HazardRisk])</f>
        <v>Hazard</v>
      </c>
      <c r="H211" t="str">
        <f>_xlfn.XLOOKUP(FMECA[[#This Row],[HazardRisk_name]],categories[HazardRisk_Name],categories[Category])</f>
        <v>Operational</v>
      </c>
      <c r="I211" t="s">
        <v>595</v>
      </c>
      <c r="J211" s="10">
        <v>4</v>
      </c>
      <c r="K211" t="s">
        <v>2056</v>
      </c>
      <c r="L211" s="10">
        <v>7</v>
      </c>
      <c r="M211" t="s">
        <v>2056</v>
      </c>
      <c r="N211" s="10">
        <f>FMECA[[#This Row],[probability_value]]*FMECA[[#This Row],[consequence_value]]</f>
        <v>28</v>
      </c>
      <c r="O211" s="10" t="str">
        <f>IF(AND(FMECA[[#This Row],[Score]]&gt;=0, 9&gt;=FMECA[[#This Row],[Score]]), "UNDETECTABLE", IF(AND(FMECA[[#This Row],[Score]]&gt;=10, 24&gt;=FMECA[[#This Row],[Score]]), "MODERATE", IF(AND(FMECA[[#This Row],[Score]]&gt;=25, 35&gt;=FMECA[[#This Row],[Score]]), "HIGH", IF(AND(FMECA[[#This Row],[Score]]&gt;=36, 50&gt;=FMECA[[#This Row],[Score]]), "VERY HIGH", "Check Formula"))))</f>
        <v>HIGH</v>
      </c>
      <c r="P211" s="10" t="s">
        <v>767</v>
      </c>
      <c r="Q211" t="s">
        <v>1162</v>
      </c>
      <c r="R211" t="s">
        <v>780</v>
      </c>
      <c r="S211" t="s">
        <v>2038</v>
      </c>
      <c r="T211" t="s">
        <v>793</v>
      </c>
      <c r="U211" t="s">
        <v>2058</v>
      </c>
      <c r="V211" t="s">
        <v>470</v>
      </c>
      <c r="W211" t="s">
        <v>2057</v>
      </c>
      <c r="X211" t="s">
        <v>466</v>
      </c>
      <c r="AA211" t="s">
        <v>1162</v>
      </c>
    </row>
    <row r="212" spans="1:27" x14ac:dyDescent="0.2">
      <c r="A212" s="225" t="s">
        <v>142</v>
      </c>
      <c r="B212" t="s">
        <v>63</v>
      </c>
      <c r="C212" t="s">
        <v>73</v>
      </c>
      <c r="D212" t="s">
        <v>201</v>
      </c>
      <c r="E212" t="s">
        <v>185</v>
      </c>
      <c r="F212" s="226" t="s">
        <v>186</v>
      </c>
      <c r="G212" t="str">
        <f>_xlfn.XLOOKUP(FMECA[[#This Row],[HazardRisk_name]],categories[HazardRisk_Name],categories[HazardRisk])</f>
        <v>Risk</v>
      </c>
      <c r="H212" t="str">
        <f>_xlfn.XLOOKUP(FMECA[[#This Row],[HazardRisk_name]],categories[HazardRisk_Name],categories[Category])</f>
        <v>Environmental</v>
      </c>
      <c r="I212" t="s">
        <v>644</v>
      </c>
      <c r="J212" s="10">
        <v>3</v>
      </c>
      <c r="K212" t="s">
        <v>2060</v>
      </c>
      <c r="L212" s="10">
        <v>7</v>
      </c>
      <c r="M212" t="s">
        <v>2060</v>
      </c>
      <c r="N212" s="10">
        <f>FMECA[[#This Row],[probability_value]]*FMECA[[#This Row],[consequence_value]]</f>
        <v>21</v>
      </c>
      <c r="O21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12" s="10" t="s">
        <v>770</v>
      </c>
      <c r="Q212" t="s">
        <v>1132</v>
      </c>
      <c r="R212" t="s">
        <v>780</v>
      </c>
      <c r="S212" t="s">
        <v>2059</v>
      </c>
      <c r="T212" t="s">
        <v>793</v>
      </c>
      <c r="U212" t="s">
        <v>2062</v>
      </c>
      <c r="V212" t="s">
        <v>470</v>
      </c>
      <c r="W212" t="s">
        <v>2061</v>
      </c>
      <c r="X212" t="s">
        <v>466</v>
      </c>
      <c r="AA212" t="s">
        <v>1162</v>
      </c>
    </row>
    <row r="213" spans="1:27" x14ac:dyDescent="0.2">
      <c r="A213" s="225" t="s">
        <v>142</v>
      </c>
      <c r="B213" t="s">
        <v>63</v>
      </c>
      <c r="C213" t="s">
        <v>73</v>
      </c>
      <c r="D213" t="s">
        <v>201</v>
      </c>
      <c r="E213" t="s">
        <v>185</v>
      </c>
      <c r="F213" s="226" t="s">
        <v>186</v>
      </c>
      <c r="G213" t="str">
        <f>_xlfn.XLOOKUP(FMECA[[#This Row],[HazardRisk_name]],categories[HazardRisk_Name],categories[HazardRisk])</f>
        <v>Hazard</v>
      </c>
      <c r="H213" t="str">
        <f>_xlfn.XLOOKUP(FMECA[[#This Row],[HazardRisk_name]],categories[HazardRisk_Name],categories[Category])</f>
        <v>Operational</v>
      </c>
      <c r="I213" t="s">
        <v>633</v>
      </c>
      <c r="J213" s="10">
        <v>3</v>
      </c>
      <c r="K213" t="s">
        <v>2069</v>
      </c>
      <c r="L213" s="10">
        <v>10</v>
      </c>
      <c r="M213" t="s">
        <v>2069</v>
      </c>
      <c r="N213" s="10">
        <f>FMECA[[#This Row],[probability_value]]*FMECA[[#This Row],[consequence_value]]</f>
        <v>30</v>
      </c>
      <c r="O213" s="10" t="str">
        <f>IF(AND(FMECA[[#This Row],[Score]]&gt;=0, 9&gt;=FMECA[[#This Row],[Score]]), "UNDETECTABLE", IF(AND(FMECA[[#This Row],[Score]]&gt;=10, 24&gt;=FMECA[[#This Row],[Score]]), "MODERATE", IF(AND(FMECA[[#This Row],[Score]]&gt;=25, 35&gt;=FMECA[[#This Row],[Score]]), "HIGH", IF(AND(FMECA[[#This Row],[Score]]&gt;=36, 50&gt;=FMECA[[#This Row],[Score]]), "VERY HIGH", "Check Formula"))))</f>
        <v>HIGH</v>
      </c>
      <c r="P213" s="10" t="s">
        <v>770</v>
      </c>
      <c r="Q213" t="s">
        <v>1132</v>
      </c>
      <c r="R213" t="s">
        <v>780</v>
      </c>
      <c r="S213" t="s">
        <v>2059</v>
      </c>
      <c r="T213" t="s">
        <v>793</v>
      </c>
      <c r="W213" t="s">
        <v>1727</v>
      </c>
      <c r="X213" t="s">
        <v>470</v>
      </c>
      <c r="AA213" t="s">
        <v>1162</v>
      </c>
    </row>
    <row r="214" spans="1:27" x14ac:dyDescent="0.2">
      <c r="A214" s="225" t="s">
        <v>142</v>
      </c>
      <c r="B214" t="s">
        <v>63</v>
      </c>
      <c r="C214" t="s">
        <v>73</v>
      </c>
      <c r="D214" t="s">
        <v>201</v>
      </c>
      <c r="E214" t="s">
        <v>185</v>
      </c>
      <c r="F214" s="226" t="s">
        <v>186</v>
      </c>
      <c r="G214" t="str">
        <f>_xlfn.XLOOKUP(FMECA[[#This Row],[HazardRisk_name]],categories[HazardRisk_Name],categories[HazardRisk])</f>
        <v>Risk</v>
      </c>
      <c r="H214" t="str">
        <f>_xlfn.XLOOKUP(FMECA[[#This Row],[HazardRisk_name]],categories[HazardRisk_Name],categories[Category])</f>
        <v>Community</v>
      </c>
      <c r="I214" t="s">
        <v>1584</v>
      </c>
      <c r="J214" s="10">
        <v>4</v>
      </c>
      <c r="K214" t="s">
        <v>2069</v>
      </c>
      <c r="L214" s="10">
        <v>10</v>
      </c>
      <c r="M214" t="s">
        <v>2069</v>
      </c>
      <c r="N214" s="10">
        <f>FMECA[[#This Row],[probability_value]]*FMECA[[#This Row],[consequence_value]]</f>
        <v>40</v>
      </c>
      <c r="O214"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214" s="10" t="s">
        <v>770</v>
      </c>
      <c r="Q214" t="s">
        <v>1132</v>
      </c>
      <c r="R214" t="s">
        <v>780</v>
      </c>
      <c r="S214" t="s">
        <v>2059</v>
      </c>
      <c r="T214" t="s">
        <v>793</v>
      </c>
      <c r="U214" t="s">
        <v>2070</v>
      </c>
      <c r="V214" t="s">
        <v>470</v>
      </c>
      <c r="W214" t="s">
        <v>1727</v>
      </c>
      <c r="X214" t="s">
        <v>470</v>
      </c>
      <c r="AA214" t="s">
        <v>1162</v>
      </c>
    </row>
    <row r="215" spans="1:27" x14ac:dyDescent="0.2">
      <c r="A215" s="225" t="s">
        <v>142</v>
      </c>
      <c r="B215" t="s">
        <v>63</v>
      </c>
      <c r="C215" t="s">
        <v>73</v>
      </c>
      <c r="D215" t="s">
        <v>201</v>
      </c>
      <c r="E215" t="s">
        <v>185</v>
      </c>
      <c r="F215" s="226" t="s">
        <v>186</v>
      </c>
      <c r="G215" t="str">
        <f>_xlfn.XLOOKUP(FMECA[[#This Row],[HazardRisk_name]],categories[HazardRisk_Name],categories[HazardRisk])</f>
        <v>Risk</v>
      </c>
      <c r="H215" t="str">
        <f>_xlfn.XLOOKUP(FMECA[[#This Row],[HazardRisk_name]],categories[HazardRisk_Name],categories[Category])</f>
        <v>Community</v>
      </c>
      <c r="I215" t="s">
        <v>562</v>
      </c>
      <c r="J215" s="10">
        <v>3</v>
      </c>
      <c r="K215" t="s">
        <v>2071</v>
      </c>
      <c r="L215" s="10">
        <v>10</v>
      </c>
      <c r="M215" t="s">
        <v>2071</v>
      </c>
      <c r="N215" s="10">
        <f>FMECA[[#This Row],[probability_value]]*FMECA[[#This Row],[consequence_value]]</f>
        <v>30</v>
      </c>
      <c r="O215" s="10" t="str">
        <f>IF(AND(FMECA[[#This Row],[Score]]&gt;=0, 9&gt;=FMECA[[#This Row],[Score]]), "UNDETECTABLE", IF(AND(FMECA[[#This Row],[Score]]&gt;=10, 24&gt;=FMECA[[#This Row],[Score]]), "MODERATE", IF(AND(FMECA[[#This Row],[Score]]&gt;=25, 35&gt;=FMECA[[#This Row],[Score]]), "HIGH", IF(AND(FMECA[[#This Row],[Score]]&gt;=36, 50&gt;=FMECA[[#This Row],[Score]]), "VERY HIGH", "Check Formula"))))</f>
        <v>HIGH</v>
      </c>
      <c r="P215" s="10" t="s">
        <v>770</v>
      </c>
      <c r="Q215" t="s">
        <v>1132</v>
      </c>
      <c r="R215" t="s">
        <v>780</v>
      </c>
      <c r="S215" t="s">
        <v>2059</v>
      </c>
      <c r="T215" t="s">
        <v>793</v>
      </c>
      <c r="U215" t="s">
        <v>2076</v>
      </c>
      <c r="V215" t="s">
        <v>470</v>
      </c>
      <c r="W215" t="s">
        <v>2075</v>
      </c>
      <c r="X215" t="s">
        <v>470</v>
      </c>
      <c r="AA215" t="s">
        <v>1162</v>
      </c>
    </row>
    <row r="216" spans="1:27" x14ac:dyDescent="0.2">
      <c r="A216" s="225" t="s">
        <v>142</v>
      </c>
      <c r="B216" t="s">
        <v>63</v>
      </c>
      <c r="C216" t="s">
        <v>73</v>
      </c>
      <c r="D216" t="s">
        <v>201</v>
      </c>
      <c r="E216" t="s">
        <v>185</v>
      </c>
      <c r="F216" s="226" t="s">
        <v>186</v>
      </c>
      <c r="G216" t="str">
        <f>_xlfn.XLOOKUP(FMECA[[#This Row],[HazardRisk_name]],categories[HazardRisk_Name],categories[HazardRisk])</f>
        <v>Hazard</v>
      </c>
      <c r="H216" t="str">
        <f>_xlfn.XLOOKUP(FMECA[[#This Row],[HazardRisk_name]],categories[HazardRisk_Name],categories[Category])</f>
        <v>Sea Ice</v>
      </c>
      <c r="I216" t="s">
        <v>563</v>
      </c>
      <c r="J216" s="10">
        <v>4</v>
      </c>
      <c r="K216" t="s">
        <v>2072</v>
      </c>
      <c r="L216" s="10">
        <v>10</v>
      </c>
      <c r="M216" t="s">
        <v>2072</v>
      </c>
      <c r="N216" s="10">
        <f>FMECA[[#This Row],[probability_value]]*FMECA[[#This Row],[consequence_value]]</f>
        <v>40</v>
      </c>
      <c r="O216"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216" s="10" t="s">
        <v>770</v>
      </c>
      <c r="Q216" t="s">
        <v>1132</v>
      </c>
      <c r="R216" t="s">
        <v>780</v>
      </c>
      <c r="S216" t="s">
        <v>2059</v>
      </c>
      <c r="T216" t="s">
        <v>793</v>
      </c>
      <c r="U216" t="s">
        <v>1840</v>
      </c>
      <c r="V216" t="s">
        <v>470</v>
      </c>
      <c r="W216" t="s">
        <v>2077</v>
      </c>
      <c r="X216" t="s">
        <v>470</v>
      </c>
      <c r="AA216" t="s">
        <v>1162</v>
      </c>
    </row>
    <row r="217" spans="1:27" x14ac:dyDescent="0.2">
      <c r="A217" s="225" t="s">
        <v>142</v>
      </c>
      <c r="B217" t="s">
        <v>63</v>
      </c>
      <c r="C217" t="s">
        <v>73</v>
      </c>
      <c r="D217" t="s">
        <v>201</v>
      </c>
      <c r="E217" t="s">
        <v>185</v>
      </c>
      <c r="F217" s="226" t="s">
        <v>186</v>
      </c>
      <c r="G217" t="str">
        <f>_xlfn.XLOOKUP(FMECA[[#This Row],[HazardRisk_name]],categories[HazardRisk_Name],categories[HazardRisk])</f>
        <v>Risk</v>
      </c>
      <c r="H217" t="str">
        <f>_xlfn.XLOOKUP(FMECA[[#This Row],[HazardRisk_name]],categories[HazardRisk_Name],categories[Category])</f>
        <v>Social</v>
      </c>
      <c r="I217" t="s">
        <v>687</v>
      </c>
      <c r="J217" s="10">
        <v>4</v>
      </c>
      <c r="K217" t="s">
        <v>2072</v>
      </c>
      <c r="L217" s="10">
        <v>10</v>
      </c>
      <c r="M217" t="s">
        <v>2072</v>
      </c>
      <c r="N217" s="10">
        <f>FMECA[[#This Row],[probability_value]]*FMECA[[#This Row],[consequence_value]]</f>
        <v>40</v>
      </c>
      <c r="O217"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217" s="10" t="s">
        <v>770</v>
      </c>
      <c r="Q217" t="s">
        <v>1132</v>
      </c>
      <c r="R217" t="s">
        <v>780</v>
      </c>
      <c r="S217" t="s">
        <v>2059</v>
      </c>
      <c r="T217" t="s">
        <v>793</v>
      </c>
      <c r="U217" t="s">
        <v>2076</v>
      </c>
      <c r="V217" t="s">
        <v>470</v>
      </c>
      <c r="W217" t="s">
        <v>2079</v>
      </c>
      <c r="X217" t="s">
        <v>470</v>
      </c>
      <c r="AA217" t="s">
        <v>1162</v>
      </c>
    </row>
    <row r="218" spans="1:27" x14ac:dyDescent="0.2">
      <c r="A218" s="225" t="s">
        <v>142</v>
      </c>
      <c r="B218" t="s">
        <v>63</v>
      </c>
      <c r="C218" t="s">
        <v>73</v>
      </c>
      <c r="D218" t="s">
        <v>201</v>
      </c>
      <c r="E218" t="s">
        <v>185</v>
      </c>
      <c r="F218" s="226" t="s">
        <v>186</v>
      </c>
      <c r="G218" t="str">
        <f>_xlfn.XLOOKUP(FMECA[[#This Row],[HazardRisk_name]],categories[HazardRisk_Name],categories[HazardRisk])</f>
        <v>Risk</v>
      </c>
      <c r="H218" t="str">
        <f>_xlfn.XLOOKUP(FMECA[[#This Row],[HazardRisk_name]],categories[HazardRisk_Name],categories[Category])</f>
        <v>Community</v>
      </c>
      <c r="I218" t="s">
        <v>728</v>
      </c>
      <c r="J218" s="10">
        <v>4</v>
      </c>
      <c r="K218" t="s">
        <v>2074</v>
      </c>
      <c r="L218" s="10">
        <v>10</v>
      </c>
      <c r="M218" t="s">
        <v>2074</v>
      </c>
      <c r="N218" s="10">
        <f>FMECA[[#This Row],[probability_value]]*FMECA[[#This Row],[consequence_value]]</f>
        <v>40</v>
      </c>
      <c r="O218"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218" s="10" t="s">
        <v>770</v>
      </c>
      <c r="Q218" t="s">
        <v>1132</v>
      </c>
      <c r="R218" t="s">
        <v>780</v>
      </c>
      <c r="S218" t="s">
        <v>2059</v>
      </c>
      <c r="T218" t="s">
        <v>793</v>
      </c>
      <c r="W218" t="s">
        <v>2078</v>
      </c>
      <c r="X218" t="s">
        <v>470</v>
      </c>
      <c r="AA218" t="s">
        <v>1162</v>
      </c>
    </row>
    <row r="219" spans="1:27" x14ac:dyDescent="0.2">
      <c r="A219" s="225" t="s">
        <v>142</v>
      </c>
      <c r="B219" t="s">
        <v>63</v>
      </c>
      <c r="C219" t="s">
        <v>73</v>
      </c>
      <c r="D219" t="s">
        <v>201</v>
      </c>
      <c r="E219" t="s">
        <v>185</v>
      </c>
      <c r="F219" s="226" t="s">
        <v>186</v>
      </c>
      <c r="G219" t="str">
        <f>_xlfn.XLOOKUP(FMECA[[#This Row],[HazardRisk_name]],categories[HazardRisk_Name],categories[HazardRisk])</f>
        <v>Hazard</v>
      </c>
      <c r="H219" t="str">
        <f>_xlfn.XLOOKUP(FMECA[[#This Row],[HazardRisk_name]],categories[HazardRisk_Name],categories[Category])</f>
        <v>Social</v>
      </c>
      <c r="I219" t="s">
        <v>645</v>
      </c>
      <c r="J219" s="10">
        <v>4</v>
      </c>
      <c r="K219" t="s">
        <v>2080</v>
      </c>
      <c r="L219" s="10">
        <v>7</v>
      </c>
      <c r="M219" t="s">
        <v>2080</v>
      </c>
      <c r="N219" s="10">
        <f>FMECA[[#This Row],[probability_value]]*FMECA[[#This Row],[consequence_value]]</f>
        <v>28</v>
      </c>
      <c r="O219" s="10" t="str">
        <f>IF(AND(FMECA[[#This Row],[Score]]&gt;=0, 9&gt;=FMECA[[#This Row],[Score]]), "UNDETECTABLE", IF(AND(FMECA[[#This Row],[Score]]&gt;=10, 24&gt;=FMECA[[#This Row],[Score]]), "MODERATE", IF(AND(FMECA[[#This Row],[Score]]&gt;=25, 35&gt;=FMECA[[#This Row],[Score]]), "HIGH", IF(AND(FMECA[[#This Row],[Score]]&gt;=36, 50&gt;=FMECA[[#This Row],[Score]]), "VERY HIGH", "Check Formula"))))</f>
        <v>HIGH</v>
      </c>
      <c r="P219" s="10" t="s">
        <v>770</v>
      </c>
      <c r="Q219" t="s">
        <v>1132</v>
      </c>
      <c r="R219" t="s">
        <v>780</v>
      </c>
      <c r="S219" t="s">
        <v>2059</v>
      </c>
      <c r="T219" t="s">
        <v>793</v>
      </c>
      <c r="AA219" t="s">
        <v>1162</v>
      </c>
    </row>
    <row r="220" spans="1:27" x14ac:dyDescent="0.2">
      <c r="A220" s="225" t="s">
        <v>142</v>
      </c>
      <c r="B220" t="s">
        <v>63</v>
      </c>
      <c r="C220" t="s">
        <v>73</v>
      </c>
      <c r="D220" t="s">
        <v>201</v>
      </c>
      <c r="E220" t="s">
        <v>185</v>
      </c>
      <c r="F220" s="226" t="s">
        <v>186</v>
      </c>
      <c r="G220" t="str">
        <f>_xlfn.XLOOKUP(FMECA[[#This Row],[HazardRisk_name]],categories[HazardRisk_Name],categories[HazardRisk])</f>
        <v>Risk</v>
      </c>
      <c r="H220" t="str">
        <f>_xlfn.XLOOKUP(FMECA[[#This Row],[HazardRisk_name]],categories[HazardRisk_Name],categories[Category])</f>
        <v>Community</v>
      </c>
      <c r="I220" t="s">
        <v>699</v>
      </c>
      <c r="J220" s="10">
        <v>4</v>
      </c>
      <c r="K220" t="s">
        <v>2074</v>
      </c>
      <c r="L220" s="10">
        <v>5</v>
      </c>
      <c r="M220" t="s">
        <v>2074</v>
      </c>
      <c r="N220" s="10">
        <f>FMECA[[#This Row],[probability_value]]*FMECA[[#This Row],[consequence_value]]</f>
        <v>20</v>
      </c>
      <c r="O22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20" s="10" t="s">
        <v>770</v>
      </c>
      <c r="Q220" t="s">
        <v>1132</v>
      </c>
      <c r="R220" t="s">
        <v>780</v>
      </c>
      <c r="S220" t="s">
        <v>2059</v>
      </c>
      <c r="T220" t="s">
        <v>793</v>
      </c>
      <c r="U220" t="s">
        <v>1954</v>
      </c>
      <c r="V220" t="s">
        <v>466</v>
      </c>
      <c r="W220" t="s">
        <v>2078</v>
      </c>
      <c r="X220" t="s">
        <v>470</v>
      </c>
      <c r="AA220" t="s">
        <v>1162</v>
      </c>
    </row>
    <row r="221" spans="1:27" x14ac:dyDescent="0.2">
      <c r="A221" s="225" t="s">
        <v>142</v>
      </c>
      <c r="B221" t="s">
        <v>63</v>
      </c>
      <c r="C221" t="s">
        <v>73</v>
      </c>
      <c r="D221" t="s">
        <v>201</v>
      </c>
      <c r="E221" t="s">
        <v>185</v>
      </c>
      <c r="F221" s="226" t="s">
        <v>186</v>
      </c>
      <c r="G221" t="str">
        <f>_xlfn.XLOOKUP(FMECA[[#This Row],[HazardRisk_name]],categories[HazardRisk_Name],categories[HazardRisk])</f>
        <v>Risk</v>
      </c>
      <c r="H221" t="str">
        <f>_xlfn.XLOOKUP(FMECA[[#This Row],[HazardRisk_name]],categories[HazardRisk_Name],categories[Category])</f>
        <v>Community</v>
      </c>
      <c r="I221" t="s">
        <v>643</v>
      </c>
      <c r="J221" s="10">
        <v>4</v>
      </c>
      <c r="K221" t="s">
        <v>2080</v>
      </c>
      <c r="L221" s="10">
        <v>10</v>
      </c>
      <c r="M221" t="s">
        <v>2080</v>
      </c>
      <c r="N221" s="10">
        <f>FMECA[[#This Row],[probability_value]]*FMECA[[#This Row],[consequence_value]]</f>
        <v>40</v>
      </c>
      <c r="O221"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221" s="10" t="s">
        <v>770</v>
      </c>
      <c r="Q221" t="s">
        <v>1132</v>
      </c>
      <c r="R221" t="s">
        <v>780</v>
      </c>
      <c r="S221" t="s">
        <v>2059</v>
      </c>
      <c r="T221" t="s">
        <v>793</v>
      </c>
      <c r="U221" t="s">
        <v>2082</v>
      </c>
      <c r="V221" t="s">
        <v>466</v>
      </c>
      <c r="W221" t="s">
        <v>2081</v>
      </c>
      <c r="AA221" t="s">
        <v>1162</v>
      </c>
    </row>
    <row r="222" spans="1:27" x14ac:dyDescent="0.2">
      <c r="A222" s="225" t="s">
        <v>142</v>
      </c>
      <c r="B222" t="s">
        <v>63</v>
      </c>
      <c r="C222" t="s">
        <v>73</v>
      </c>
      <c r="D222" t="s">
        <v>201</v>
      </c>
      <c r="E222" t="s">
        <v>185</v>
      </c>
      <c r="F222" s="226" t="s">
        <v>186</v>
      </c>
      <c r="G222" t="str">
        <f>_xlfn.XLOOKUP(FMECA[[#This Row],[HazardRisk_name]],categories[HazardRisk_Name],categories[HazardRisk])</f>
        <v>Hazard</v>
      </c>
      <c r="H222" t="str">
        <f>_xlfn.XLOOKUP(FMECA[[#This Row],[HazardRisk_name]],categories[HazardRisk_Name],categories[Category])</f>
        <v>Environmental</v>
      </c>
      <c r="I222" t="s">
        <v>646</v>
      </c>
      <c r="J222" s="10">
        <v>3</v>
      </c>
      <c r="K222" t="s">
        <v>2073</v>
      </c>
      <c r="L222" s="10">
        <v>10</v>
      </c>
      <c r="M222" t="s">
        <v>2073</v>
      </c>
      <c r="N222" s="10">
        <f>FMECA[[#This Row],[probability_value]]*FMECA[[#This Row],[consequence_value]]</f>
        <v>30</v>
      </c>
      <c r="O222" s="10" t="str">
        <f>IF(AND(FMECA[[#This Row],[Score]]&gt;=0, 9&gt;=FMECA[[#This Row],[Score]]), "UNDETECTABLE", IF(AND(FMECA[[#This Row],[Score]]&gt;=10, 24&gt;=FMECA[[#This Row],[Score]]), "MODERATE", IF(AND(FMECA[[#This Row],[Score]]&gt;=25, 35&gt;=FMECA[[#This Row],[Score]]), "HIGH", IF(AND(FMECA[[#This Row],[Score]]&gt;=36, 50&gt;=FMECA[[#This Row],[Score]]), "VERY HIGH", "Check Formula"))))</f>
        <v>HIGH</v>
      </c>
      <c r="P222" s="10" t="s">
        <v>770</v>
      </c>
      <c r="Q222" t="s">
        <v>1132</v>
      </c>
      <c r="R222" t="s">
        <v>780</v>
      </c>
      <c r="S222" t="s">
        <v>2059</v>
      </c>
      <c r="T222" t="s">
        <v>793</v>
      </c>
      <c r="AA222" t="s">
        <v>1162</v>
      </c>
    </row>
    <row r="223" spans="1:27" x14ac:dyDescent="0.2">
      <c r="A223" s="225" t="s">
        <v>142</v>
      </c>
      <c r="B223" t="s">
        <v>63</v>
      </c>
      <c r="C223" t="s">
        <v>73</v>
      </c>
      <c r="D223" t="s">
        <v>201</v>
      </c>
      <c r="E223" t="s">
        <v>185</v>
      </c>
      <c r="F223" s="226" t="s">
        <v>186</v>
      </c>
      <c r="G223" t="str">
        <f>_xlfn.XLOOKUP(FMECA[[#This Row],[HazardRisk_name]],categories[HazardRisk_Name],categories[HazardRisk])</f>
        <v>Hazard</v>
      </c>
      <c r="H223" t="str">
        <f>_xlfn.XLOOKUP(FMECA[[#This Row],[HazardRisk_name]],categories[HazardRisk_Name],categories[Category])</f>
        <v>Social</v>
      </c>
      <c r="I223" t="s">
        <v>1165</v>
      </c>
      <c r="J223" s="10">
        <v>5</v>
      </c>
      <c r="K223" t="s">
        <v>2063</v>
      </c>
      <c r="L223" s="10">
        <v>7</v>
      </c>
      <c r="M223" t="s">
        <v>2063</v>
      </c>
      <c r="N223" s="10">
        <f>FMECA[[#This Row],[probability_value]]*FMECA[[#This Row],[consequence_value]]</f>
        <v>35</v>
      </c>
      <c r="O223" s="10" t="str">
        <f>IF(AND(FMECA[[#This Row],[Score]]&gt;=0, 9&gt;=FMECA[[#This Row],[Score]]), "UNDETECTABLE", IF(AND(FMECA[[#This Row],[Score]]&gt;=10, 24&gt;=FMECA[[#This Row],[Score]]), "MODERATE", IF(AND(FMECA[[#This Row],[Score]]&gt;=25, 35&gt;=FMECA[[#This Row],[Score]]), "HIGH", IF(AND(FMECA[[#This Row],[Score]]&gt;=36, 50&gt;=FMECA[[#This Row],[Score]]), "VERY HIGH", "Check Formula"))))</f>
        <v>HIGH</v>
      </c>
      <c r="P223" s="10" t="s">
        <v>770</v>
      </c>
      <c r="Q223" t="s">
        <v>1132</v>
      </c>
      <c r="R223" t="s">
        <v>780</v>
      </c>
      <c r="S223" t="s">
        <v>2059</v>
      </c>
      <c r="T223" t="s">
        <v>793</v>
      </c>
      <c r="U223" t="s">
        <v>2066</v>
      </c>
      <c r="V223" t="s">
        <v>470</v>
      </c>
      <c r="W223" t="s">
        <v>2064</v>
      </c>
      <c r="X223" t="s">
        <v>449</v>
      </c>
      <c r="AA223" t="s">
        <v>1162</v>
      </c>
    </row>
    <row r="224" spans="1:27" x14ac:dyDescent="0.2">
      <c r="A224" s="225" t="s">
        <v>142</v>
      </c>
      <c r="B224" t="s">
        <v>63</v>
      </c>
      <c r="C224" t="s">
        <v>73</v>
      </c>
      <c r="D224" t="s">
        <v>201</v>
      </c>
      <c r="E224" t="s">
        <v>185</v>
      </c>
      <c r="F224" s="226" t="s">
        <v>186</v>
      </c>
      <c r="G224" t="str">
        <f>_xlfn.XLOOKUP(FMECA[[#This Row],[HazardRisk_name]],categories[HazardRisk_Name],categories[HazardRisk])</f>
        <v>Hazard</v>
      </c>
      <c r="H224" t="str">
        <f>_xlfn.XLOOKUP(FMECA[[#This Row],[HazardRisk_name]],categories[HazardRisk_Name],categories[Category])</f>
        <v>Environmental</v>
      </c>
      <c r="I224" t="s">
        <v>1164</v>
      </c>
      <c r="J224" s="10">
        <v>5</v>
      </c>
      <c r="K224" t="s">
        <v>2063</v>
      </c>
      <c r="L224" s="10">
        <v>7</v>
      </c>
      <c r="M224" t="s">
        <v>2063</v>
      </c>
      <c r="N224" s="10">
        <f>FMECA[[#This Row],[probability_value]]*FMECA[[#This Row],[consequence_value]]</f>
        <v>35</v>
      </c>
      <c r="O224" s="10" t="str">
        <f>IF(AND(FMECA[[#This Row],[Score]]&gt;=0, 9&gt;=FMECA[[#This Row],[Score]]), "UNDETECTABLE", IF(AND(FMECA[[#This Row],[Score]]&gt;=10, 24&gt;=FMECA[[#This Row],[Score]]), "MODERATE", IF(AND(FMECA[[#This Row],[Score]]&gt;=25, 35&gt;=FMECA[[#This Row],[Score]]), "HIGH", IF(AND(FMECA[[#This Row],[Score]]&gt;=36, 50&gt;=FMECA[[#This Row],[Score]]), "VERY HIGH", "Check Formula"))))</f>
        <v>HIGH</v>
      </c>
      <c r="P224" s="10" t="s">
        <v>770</v>
      </c>
      <c r="Q224" t="s">
        <v>1132</v>
      </c>
      <c r="R224" t="s">
        <v>780</v>
      </c>
      <c r="S224" t="s">
        <v>2059</v>
      </c>
      <c r="T224" t="s">
        <v>793</v>
      </c>
      <c r="U224" t="s">
        <v>2066</v>
      </c>
      <c r="V224" t="s">
        <v>470</v>
      </c>
      <c r="W224" t="s">
        <v>2065</v>
      </c>
      <c r="X224" t="s">
        <v>449</v>
      </c>
      <c r="AA224" t="s">
        <v>1162</v>
      </c>
    </row>
    <row r="225" spans="1:27" x14ac:dyDescent="0.2">
      <c r="A225" s="225" t="s">
        <v>142</v>
      </c>
      <c r="B225" t="s">
        <v>63</v>
      </c>
      <c r="C225" t="s">
        <v>73</v>
      </c>
      <c r="D225" t="s">
        <v>201</v>
      </c>
      <c r="E225" t="s">
        <v>185</v>
      </c>
      <c r="F225" s="226" t="s">
        <v>186</v>
      </c>
      <c r="G225" t="str">
        <f>_xlfn.XLOOKUP(FMECA[[#This Row],[HazardRisk_name]],categories[HazardRisk_Name],categories[HazardRisk])</f>
        <v>Risk</v>
      </c>
      <c r="H225" t="str">
        <f>_xlfn.XLOOKUP(FMECA[[#This Row],[HazardRisk_name]],categories[HazardRisk_Name],categories[Category])</f>
        <v>Environmental</v>
      </c>
      <c r="I225" t="s">
        <v>1219</v>
      </c>
      <c r="J225" s="10">
        <v>4</v>
      </c>
      <c r="K225" t="s">
        <v>2063</v>
      </c>
      <c r="L225" s="10">
        <v>7</v>
      </c>
      <c r="M225" t="s">
        <v>2063</v>
      </c>
      <c r="N225" s="10">
        <f>FMECA[[#This Row],[probability_value]]*FMECA[[#This Row],[consequence_value]]</f>
        <v>28</v>
      </c>
      <c r="O225" s="10" t="str">
        <f>IF(AND(FMECA[[#This Row],[Score]]&gt;=0, 9&gt;=FMECA[[#This Row],[Score]]), "UNDETECTABLE", IF(AND(FMECA[[#This Row],[Score]]&gt;=10, 24&gt;=FMECA[[#This Row],[Score]]), "MODERATE", IF(AND(FMECA[[#This Row],[Score]]&gt;=25, 35&gt;=FMECA[[#This Row],[Score]]), "HIGH", IF(AND(FMECA[[#This Row],[Score]]&gt;=36, 50&gt;=FMECA[[#This Row],[Score]]), "VERY HIGH", "Check Formula"))))</f>
        <v>HIGH</v>
      </c>
      <c r="P225" s="10" t="s">
        <v>770</v>
      </c>
      <c r="Q225" t="s">
        <v>1132</v>
      </c>
      <c r="R225" t="s">
        <v>780</v>
      </c>
      <c r="S225" t="s">
        <v>2059</v>
      </c>
      <c r="T225" t="s">
        <v>793</v>
      </c>
      <c r="U225" t="s">
        <v>2067</v>
      </c>
      <c r="V225" t="s">
        <v>470</v>
      </c>
      <c r="W225" t="s">
        <v>2068</v>
      </c>
      <c r="X225" t="s">
        <v>470</v>
      </c>
      <c r="AA225" t="s">
        <v>1162</v>
      </c>
    </row>
    <row r="226" spans="1:27" x14ac:dyDescent="0.2">
      <c r="A226" s="225" t="s">
        <v>143</v>
      </c>
      <c r="B226" t="s">
        <v>63</v>
      </c>
      <c r="C226" t="s">
        <v>73</v>
      </c>
      <c r="D226" t="s">
        <v>202</v>
      </c>
      <c r="E226" t="s">
        <v>187</v>
      </c>
      <c r="F226" s="226" t="s">
        <v>188</v>
      </c>
      <c r="G226" t="str">
        <f>_xlfn.XLOOKUP(FMECA[[#This Row],[HazardRisk_name]],categories[HazardRisk_Name],categories[HazardRisk])</f>
        <v>Risk</v>
      </c>
      <c r="H226" t="str">
        <f>_xlfn.XLOOKUP(FMECA[[#This Row],[HazardRisk_name]],categories[HazardRisk_Name],categories[Category])</f>
        <v>Environmental</v>
      </c>
      <c r="I226" t="s">
        <v>1219</v>
      </c>
      <c r="J226" s="10">
        <v>5</v>
      </c>
      <c r="K226" t="s">
        <v>2085</v>
      </c>
      <c r="L226" s="10">
        <v>4</v>
      </c>
      <c r="M226" t="s">
        <v>2085</v>
      </c>
      <c r="N226" s="10">
        <f>FMECA[[#This Row],[probability_value]]*FMECA[[#This Row],[consequence_value]]</f>
        <v>20</v>
      </c>
      <c r="O22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26" s="10" t="s">
        <v>777</v>
      </c>
      <c r="Q226" t="s">
        <v>778</v>
      </c>
      <c r="R226" t="s">
        <v>771</v>
      </c>
      <c r="S226" t="s">
        <v>2084</v>
      </c>
      <c r="T226" t="s">
        <v>793</v>
      </c>
      <c r="U226" t="s">
        <v>2086</v>
      </c>
      <c r="V226" t="s">
        <v>470</v>
      </c>
      <c r="W226" t="s">
        <v>2068</v>
      </c>
      <c r="X226" t="s">
        <v>470</v>
      </c>
      <c r="Y226" t="s">
        <v>1153</v>
      </c>
      <c r="Z226" t="s">
        <v>2083</v>
      </c>
      <c r="AA226" t="s">
        <v>1132</v>
      </c>
    </row>
    <row r="227" spans="1:27" x14ac:dyDescent="0.2">
      <c r="A227" s="225" t="s">
        <v>143</v>
      </c>
      <c r="B227" t="s">
        <v>63</v>
      </c>
      <c r="C227" t="s">
        <v>73</v>
      </c>
      <c r="D227" t="s">
        <v>202</v>
      </c>
      <c r="E227" t="s">
        <v>187</v>
      </c>
      <c r="F227" s="226" t="s">
        <v>188</v>
      </c>
      <c r="G227" t="str">
        <f>_xlfn.XLOOKUP(FMECA[[#This Row],[HazardRisk_name]],categories[HazardRisk_Name],categories[HazardRisk])</f>
        <v>Risk</v>
      </c>
      <c r="H227" t="str">
        <f>_xlfn.XLOOKUP(FMECA[[#This Row],[HazardRisk_name]],categories[HazardRisk_Name],categories[Category])</f>
        <v>Political</v>
      </c>
      <c r="I227" t="s">
        <v>622</v>
      </c>
      <c r="J227" s="10">
        <v>5</v>
      </c>
      <c r="K227" t="s">
        <v>2087</v>
      </c>
      <c r="L227" s="10">
        <v>4</v>
      </c>
      <c r="M227" t="s">
        <v>2087</v>
      </c>
      <c r="N227" s="10">
        <f>FMECA[[#This Row],[probability_value]]*FMECA[[#This Row],[consequence_value]]</f>
        <v>20</v>
      </c>
      <c r="O22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27" s="10" t="s">
        <v>777</v>
      </c>
      <c r="Q227" t="s">
        <v>778</v>
      </c>
      <c r="R227" t="s">
        <v>771</v>
      </c>
      <c r="S227" t="s">
        <v>2084</v>
      </c>
      <c r="T227" t="s">
        <v>793</v>
      </c>
      <c r="U227" t="s">
        <v>2091</v>
      </c>
      <c r="V227" t="s">
        <v>470</v>
      </c>
      <c r="W227" t="s">
        <v>2090</v>
      </c>
      <c r="X227" t="s">
        <v>470</v>
      </c>
      <c r="AA227" t="s">
        <v>1162</v>
      </c>
    </row>
    <row r="228" spans="1:27" x14ac:dyDescent="0.2">
      <c r="A228" s="225" t="s">
        <v>143</v>
      </c>
      <c r="B228" t="s">
        <v>63</v>
      </c>
      <c r="C228" t="s">
        <v>73</v>
      </c>
      <c r="D228" t="s">
        <v>202</v>
      </c>
      <c r="E228" t="s">
        <v>187</v>
      </c>
      <c r="F228" s="226" t="s">
        <v>188</v>
      </c>
      <c r="G228" t="str">
        <f>_xlfn.XLOOKUP(FMECA[[#This Row],[HazardRisk_name]],categories[HazardRisk_Name],categories[HazardRisk])</f>
        <v>Risk</v>
      </c>
      <c r="H228" t="str">
        <f>_xlfn.XLOOKUP(FMECA[[#This Row],[HazardRisk_name]],categories[HazardRisk_Name],categories[Category])</f>
        <v>Political</v>
      </c>
      <c r="I228" t="s">
        <v>711</v>
      </c>
      <c r="J228" s="10">
        <v>3</v>
      </c>
      <c r="K228" t="s">
        <v>2087</v>
      </c>
      <c r="L228" s="10">
        <v>7</v>
      </c>
      <c r="M228" t="s">
        <v>2087</v>
      </c>
      <c r="N228" s="10">
        <f>FMECA[[#This Row],[probability_value]]*FMECA[[#This Row],[consequence_value]]</f>
        <v>21</v>
      </c>
      <c r="O22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28" s="10" t="s">
        <v>777</v>
      </c>
      <c r="Q228" t="s">
        <v>778</v>
      </c>
      <c r="R228" t="s">
        <v>771</v>
      </c>
      <c r="S228" t="s">
        <v>2084</v>
      </c>
      <c r="T228" t="s">
        <v>793</v>
      </c>
      <c r="U228" t="s">
        <v>2088</v>
      </c>
      <c r="V228" t="s">
        <v>466</v>
      </c>
      <c r="W228" t="s">
        <v>2089</v>
      </c>
      <c r="X228" t="s">
        <v>470</v>
      </c>
      <c r="AA228" t="s">
        <v>1162</v>
      </c>
    </row>
    <row r="229" spans="1:27" x14ac:dyDescent="0.2">
      <c r="A229" s="225" t="s">
        <v>143</v>
      </c>
      <c r="B229" t="s">
        <v>63</v>
      </c>
      <c r="C229" t="s">
        <v>73</v>
      </c>
      <c r="D229" t="s">
        <v>202</v>
      </c>
      <c r="E229" t="s">
        <v>187</v>
      </c>
      <c r="F229" s="226" t="s">
        <v>188</v>
      </c>
      <c r="G229" t="str">
        <f>_xlfn.XLOOKUP(FMECA[[#This Row],[HazardRisk_name]],categories[HazardRisk_Name],categories[HazardRisk])</f>
        <v>Risk</v>
      </c>
      <c r="H229" t="str">
        <f>_xlfn.XLOOKUP(FMECA[[#This Row],[HazardRisk_name]],categories[HazardRisk_Name],categories[Category])</f>
        <v>Navigational</v>
      </c>
      <c r="I229" t="s">
        <v>589</v>
      </c>
      <c r="J229" s="10">
        <v>3</v>
      </c>
      <c r="K229" t="s">
        <v>2092</v>
      </c>
      <c r="L229" s="10">
        <v>4</v>
      </c>
      <c r="M229" t="s">
        <v>2092</v>
      </c>
      <c r="N229" s="10">
        <f>FMECA[[#This Row],[probability_value]]*FMECA[[#This Row],[consequence_value]]</f>
        <v>12</v>
      </c>
      <c r="O22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29" s="10" t="s">
        <v>777</v>
      </c>
      <c r="Q229" t="s">
        <v>778</v>
      </c>
      <c r="R229" t="s">
        <v>771</v>
      </c>
      <c r="S229" t="s">
        <v>2084</v>
      </c>
      <c r="T229" t="s">
        <v>793</v>
      </c>
      <c r="Y229" t="s">
        <v>1153</v>
      </c>
      <c r="Z229" t="s">
        <v>2083</v>
      </c>
      <c r="AA229" t="s">
        <v>1132</v>
      </c>
    </row>
    <row r="230" spans="1:27" x14ac:dyDescent="0.2">
      <c r="A230" s="225" t="s">
        <v>144</v>
      </c>
      <c r="B230" t="s">
        <v>63</v>
      </c>
      <c r="C230" t="s">
        <v>73</v>
      </c>
      <c r="D230" t="s">
        <v>203</v>
      </c>
      <c r="E230" t="s">
        <v>189</v>
      </c>
      <c r="F230" s="226" t="s">
        <v>190</v>
      </c>
      <c r="G230" t="str">
        <f>_xlfn.XLOOKUP(FMECA[[#This Row],[HazardRisk_name]],categories[HazardRisk_Name],categories[HazardRisk])</f>
        <v>Hazard</v>
      </c>
      <c r="H230" t="str">
        <f>_xlfn.XLOOKUP(FMECA[[#This Row],[HazardRisk_name]],categories[HazardRisk_Name],categories[Category])</f>
        <v>Sea Ice</v>
      </c>
      <c r="I230" t="s">
        <v>648</v>
      </c>
      <c r="J230" s="10">
        <v>4</v>
      </c>
      <c r="K230" t="s">
        <v>2094</v>
      </c>
      <c r="L230" s="10">
        <v>10</v>
      </c>
      <c r="M230" t="s">
        <v>2094</v>
      </c>
      <c r="N230" s="10">
        <f>FMECA[[#This Row],[probability_value]]*FMECA[[#This Row],[consequence_value]]</f>
        <v>40</v>
      </c>
      <c r="O230"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230" s="10" t="s">
        <v>770</v>
      </c>
      <c r="Q230" t="s">
        <v>1162</v>
      </c>
      <c r="R230" t="s">
        <v>780</v>
      </c>
      <c r="S230" t="s">
        <v>2093</v>
      </c>
      <c r="T230" t="s">
        <v>793</v>
      </c>
      <c r="U230" t="s">
        <v>2095</v>
      </c>
      <c r="V230" t="s">
        <v>466</v>
      </c>
      <c r="AA230" t="s">
        <v>1162</v>
      </c>
    </row>
    <row r="231" spans="1:27" x14ac:dyDescent="0.2">
      <c r="A231" s="225" t="s">
        <v>144</v>
      </c>
      <c r="B231" t="s">
        <v>63</v>
      </c>
      <c r="C231" t="s">
        <v>73</v>
      </c>
      <c r="D231" t="s">
        <v>203</v>
      </c>
      <c r="E231" t="s">
        <v>189</v>
      </c>
      <c r="F231" s="226" t="s">
        <v>190</v>
      </c>
      <c r="G231" t="str">
        <f>_xlfn.XLOOKUP(FMECA[[#This Row],[HazardRisk_name]],categories[HazardRisk_Name],categories[HazardRisk])</f>
        <v>Risk</v>
      </c>
      <c r="H231" t="str">
        <f>_xlfn.XLOOKUP(FMECA[[#This Row],[HazardRisk_name]],categories[HazardRisk_Name],categories[Category])</f>
        <v>Operational</v>
      </c>
      <c r="I231" t="s">
        <v>725</v>
      </c>
      <c r="J231" s="10">
        <v>5</v>
      </c>
      <c r="K231" s="9" t="s">
        <v>2094</v>
      </c>
      <c r="L231" s="10">
        <v>7</v>
      </c>
      <c r="M231" s="9" t="s">
        <v>2094</v>
      </c>
      <c r="N231" s="10">
        <f>FMECA[[#This Row],[probability_value]]*FMECA[[#This Row],[consequence_value]]</f>
        <v>35</v>
      </c>
      <c r="O231" s="10" t="str">
        <f>IF(AND(FMECA[[#This Row],[Score]]&gt;=0, 9&gt;=FMECA[[#This Row],[Score]]), "UNDETECTABLE", IF(AND(FMECA[[#This Row],[Score]]&gt;=10, 24&gt;=FMECA[[#This Row],[Score]]), "MODERATE", IF(AND(FMECA[[#This Row],[Score]]&gt;=25, 35&gt;=FMECA[[#This Row],[Score]]), "HIGH", IF(AND(FMECA[[#This Row],[Score]]&gt;=36, 50&gt;=FMECA[[#This Row],[Score]]), "VERY HIGH", "Check Formula"))))</f>
        <v>HIGH</v>
      </c>
      <c r="P231" s="10" t="s">
        <v>770</v>
      </c>
      <c r="Q231" t="s">
        <v>1162</v>
      </c>
      <c r="R231" t="s">
        <v>780</v>
      </c>
      <c r="S231" t="s">
        <v>2093</v>
      </c>
      <c r="T231" t="s">
        <v>793</v>
      </c>
      <c r="U231" t="s">
        <v>2096</v>
      </c>
      <c r="V231" t="s">
        <v>466</v>
      </c>
      <c r="W231" t="s">
        <v>2097</v>
      </c>
      <c r="X231" t="s">
        <v>466</v>
      </c>
      <c r="AA231" t="s">
        <v>1162</v>
      </c>
    </row>
    <row r="232" spans="1:27" x14ac:dyDescent="0.2">
      <c r="A232" s="225" t="s">
        <v>144</v>
      </c>
      <c r="B232" t="s">
        <v>63</v>
      </c>
      <c r="C232" t="s">
        <v>73</v>
      </c>
      <c r="D232" t="s">
        <v>203</v>
      </c>
      <c r="E232" t="s">
        <v>189</v>
      </c>
      <c r="F232" s="226" t="s">
        <v>190</v>
      </c>
      <c r="G232" t="str">
        <f>_xlfn.XLOOKUP(FMECA[[#This Row],[HazardRisk_name]],categories[HazardRisk_Name],categories[HazardRisk])</f>
        <v>Hazard</v>
      </c>
      <c r="H232" t="str">
        <f>_xlfn.XLOOKUP(FMECA[[#This Row],[HazardRisk_name]],categories[HazardRisk_Name],categories[Category])</f>
        <v>Environmental</v>
      </c>
      <c r="I232" t="s">
        <v>684</v>
      </c>
      <c r="J232" s="10">
        <v>3</v>
      </c>
      <c r="K232" s="226" t="s">
        <v>2100</v>
      </c>
      <c r="L232" s="10">
        <v>10</v>
      </c>
      <c r="M232" s="226" t="s">
        <v>2100</v>
      </c>
      <c r="N232" s="10">
        <f>FMECA[[#This Row],[probability_value]]*FMECA[[#This Row],[consequence_value]]</f>
        <v>30</v>
      </c>
      <c r="O232" s="10" t="str">
        <f>IF(AND(FMECA[[#This Row],[Score]]&gt;=0, 9&gt;=FMECA[[#This Row],[Score]]), "UNDETECTABLE", IF(AND(FMECA[[#This Row],[Score]]&gt;=10, 24&gt;=FMECA[[#This Row],[Score]]), "MODERATE", IF(AND(FMECA[[#This Row],[Score]]&gt;=25, 35&gt;=FMECA[[#This Row],[Score]]), "HIGH", IF(AND(FMECA[[#This Row],[Score]]&gt;=36, 50&gt;=FMECA[[#This Row],[Score]]), "VERY HIGH", "Check Formula"))))</f>
        <v>HIGH</v>
      </c>
      <c r="P232" s="10" t="s">
        <v>770</v>
      </c>
      <c r="Q232" t="s">
        <v>1162</v>
      </c>
      <c r="R232" t="s">
        <v>780</v>
      </c>
      <c r="S232" t="s">
        <v>2093</v>
      </c>
      <c r="T232" t="s">
        <v>793</v>
      </c>
      <c r="AA232" t="s">
        <v>1162</v>
      </c>
    </row>
    <row r="233" spans="1:27" x14ac:dyDescent="0.2">
      <c r="A233" s="225" t="s">
        <v>144</v>
      </c>
      <c r="B233" t="s">
        <v>63</v>
      </c>
      <c r="C233" t="s">
        <v>73</v>
      </c>
      <c r="D233" t="s">
        <v>203</v>
      </c>
      <c r="E233" t="s">
        <v>189</v>
      </c>
      <c r="F233" s="226" t="s">
        <v>190</v>
      </c>
      <c r="G233" t="str">
        <f>_xlfn.XLOOKUP(FMECA[[#This Row],[HazardRisk_name]],categories[HazardRisk_Name],categories[HazardRisk])</f>
        <v>Hazard</v>
      </c>
      <c r="H233" t="str">
        <f>_xlfn.XLOOKUP(FMECA[[#This Row],[HazardRisk_name]],categories[HazardRisk_Name],categories[Category])</f>
        <v>Environmental</v>
      </c>
      <c r="I233" t="s">
        <v>525</v>
      </c>
      <c r="J233" s="10">
        <v>4</v>
      </c>
      <c r="K233" s="226" t="s">
        <v>2100</v>
      </c>
      <c r="L233" s="10">
        <v>7</v>
      </c>
      <c r="M233" s="226" t="s">
        <v>2100</v>
      </c>
      <c r="N233" s="10">
        <f>FMECA[[#This Row],[probability_value]]*FMECA[[#This Row],[consequence_value]]</f>
        <v>28</v>
      </c>
      <c r="O233" s="10" t="str">
        <f>IF(AND(FMECA[[#This Row],[Score]]&gt;=0, 9&gt;=FMECA[[#This Row],[Score]]), "UNDETECTABLE", IF(AND(FMECA[[#This Row],[Score]]&gt;=10, 24&gt;=FMECA[[#This Row],[Score]]), "MODERATE", IF(AND(FMECA[[#This Row],[Score]]&gt;=25, 35&gt;=FMECA[[#This Row],[Score]]), "HIGH", IF(AND(FMECA[[#This Row],[Score]]&gt;=36, 50&gt;=FMECA[[#This Row],[Score]]), "VERY HIGH", "Check Formula"))))</f>
        <v>HIGH</v>
      </c>
      <c r="P233" s="10" t="s">
        <v>770</v>
      </c>
      <c r="Q233" t="s">
        <v>1162</v>
      </c>
      <c r="R233" t="s">
        <v>780</v>
      </c>
      <c r="S233" t="s">
        <v>2093</v>
      </c>
      <c r="T233" t="s">
        <v>793</v>
      </c>
      <c r="AA233" t="s">
        <v>1162</v>
      </c>
    </row>
    <row r="234" spans="1:27" x14ac:dyDescent="0.2">
      <c r="A234" s="225" t="s">
        <v>144</v>
      </c>
      <c r="B234" t="s">
        <v>63</v>
      </c>
      <c r="C234" t="s">
        <v>73</v>
      </c>
      <c r="D234" t="s">
        <v>203</v>
      </c>
      <c r="E234" t="s">
        <v>189</v>
      </c>
      <c r="F234" s="226" t="s">
        <v>190</v>
      </c>
      <c r="G234" t="str">
        <f>_xlfn.XLOOKUP(FMECA[[#This Row],[HazardRisk_name]],categories[HazardRisk_Name],categories[HazardRisk])</f>
        <v>Hazard</v>
      </c>
      <c r="H234" t="str">
        <f>_xlfn.XLOOKUP(FMECA[[#This Row],[HazardRisk_name]],categories[HazardRisk_Name],categories[Category])</f>
        <v>Sea Ice</v>
      </c>
      <c r="I234" t="s">
        <v>563</v>
      </c>
      <c r="J234" s="10">
        <v>4</v>
      </c>
      <c r="K234" t="s">
        <v>2106</v>
      </c>
      <c r="L234" s="10">
        <v>10</v>
      </c>
      <c r="M234" t="s">
        <v>2106</v>
      </c>
      <c r="N234" s="10">
        <f>FMECA[[#This Row],[probability_value]]*FMECA[[#This Row],[consequence_value]]</f>
        <v>40</v>
      </c>
      <c r="O234"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234" s="10" t="s">
        <v>770</v>
      </c>
      <c r="Q234" t="s">
        <v>1162</v>
      </c>
      <c r="R234" t="s">
        <v>780</v>
      </c>
      <c r="S234" t="s">
        <v>2093</v>
      </c>
      <c r="T234" t="s">
        <v>793</v>
      </c>
      <c r="U234" t="s">
        <v>2107</v>
      </c>
      <c r="V234" t="s">
        <v>466</v>
      </c>
      <c r="W234" t="s">
        <v>2108</v>
      </c>
      <c r="X234" t="s">
        <v>470</v>
      </c>
      <c r="AA234" t="s">
        <v>1162</v>
      </c>
    </row>
    <row r="235" spans="1:27" x14ac:dyDescent="0.2">
      <c r="A235" s="225" t="s">
        <v>144</v>
      </c>
      <c r="B235" t="s">
        <v>63</v>
      </c>
      <c r="C235" t="s">
        <v>73</v>
      </c>
      <c r="D235" t="s">
        <v>203</v>
      </c>
      <c r="E235" t="s">
        <v>189</v>
      </c>
      <c r="F235" s="226" t="s">
        <v>190</v>
      </c>
      <c r="G235" t="str">
        <f>_xlfn.XLOOKUP(FMECA[[#This Row],[HazardRisk_name]],categories[HazardRisk_Name],categories[HazardRisk])</f>
        <v>Risk</v>
      </c>
      <c r="H235" t="str">
        <f>_xlfn.XLOOKUP(FMECA[[#This Row],[HazardRisk_name]],categories[HazardRisk_Name],categories[Category])</f>
        <v>Navigational</v>
      </c>
      <c r="I235" t="s">
        <v>638</v>
      </c>
      <c r="J235" s="10">
        <v>5</v>
      </c>
      <c r="K235" t="s">
        <v>2105</v>
      </c>
      <c r="L235" s="10">
        <v>7</v>
      </c>
      <c r="M235" t="s">
        <v>2105</v>
      </c>
      <c r="N235" s="10">
        <f>FMECA[[#This Row],[probability_value]]*FMECA[[#This Row],[consequence_value]]</f>
        <v>35</v>
      </c>
      <c r="O235" s="10" t="str">
        <f>IF(AND(FMECA[[#This Row],[Score]]&gt;=0, 9&gt;=FMECA[[#This Row],[Score]]), "UNDETECTABLE", IF(AND(FMECA[[#This Row],[Score]]&gt;=10, 24&gt;=FMECA[[#This Row],[Score]]), "MODERATE", IF(AND(FMECA[[#This Row],[Score]]&gt;=25, 35&gt;=FMECA[[#This Row],[Score]]), "HIGH", IF(AND(FMECA[[#This Row],[Score]]&gt;=36, 50&gt;=FMECA[[#This Row],[Score]]), "VERY HIGH", "Check Formula"))))</f>
        <v>HIGH</v>
      </c>
      <c r="P235" s="10" t="s">
        <v>770</v>
      </c>
      <c r="Q235" t="s">
        <v>1162</v>
      </c>
      <c r="R235" t="s">
        <v>780</v>
      </c>
      <c r="S235" t="s">
        <v>2093</v>
      </c>
      <c r="T235" t="s">
        <v>793</v>
      </c>
      <c r="AA235" t="s">
        <v>1162</v>
      </c>
    </row>
    <row r="236" spans="1:27" x14ac:dyDescent="0.2">
      <c r="A236" s="225" t="s">
        <v>144</v>
      </c>
      <c r="B236" t="s">
        <v>63</v>
      </c>
      <c r="C236" t="s">
        <v>73</v>
      </c>
      <c r="D236" t="s">
        <v>203</v>
      </c>
      <c r="E236" t="s">
        <v>189</v>
      </c>
      <c r="F236" s="226" t="s">
        <v>190</v>
      </c>
      <c r="G236" t="str">
        <f>_xlfn.XLOOKUP(FMECA[[#This Row],[HazardRisk_name]],categories[HazardRisk_Name],categories[HazardRisk])</f>
        <v>Hazard</v>
      </c>
      <c r="H236" t="str">
        <f>_xlfn.XLOOKUP(FMECA[[#This Row],[HazardRisk_name]],categories[HazardRisk_Name],categories[Category])</f>
        <v>Environmental</v>
      </c>
      <c r="I236" t="s">
        <v>600</v>
      </c>
      <c r="J236" s="10">
        <v>3</v>
      </c>
      <c r="K236" t="s">
        <v>2101</v>
      </c>
      <c r="L236" s="10">
        <v>7</v>
      </c>
      <c r="M236" t="s">
        <v>2101</v>
      </c>
      <c r="N236" s="10">
        <f>FMECA[[#This Row],[probability_value]]*FMECA[[#This Row],[consequence_value]]</f>
        <v>21</v>
      </c>
      <c r="O23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36" s="10" t="s">
        <v>770</v>
      </c>
      <c r="Q236" t="s">
        <v>1162</v>
      </c>
      <c r="R236" t="s">
        <v>780</v>
      </c>
      <c r="S236" t="s">
        <v>2093</v>
      </c>
      <c r="T236" t="s">
        <v>793</v>
      </c>
      <c r="U236" t="s">
        <v>2102</v>
      </c>
      <c r="V236" t="s">
        <v>466</v>
      </c>
      <c r="W236" t="s">
        <v>2103</v>
      </c>
      <c r="X236" t="s">
        <v>470</v>
      </c>
      <c r="AA236" t="s">
        <v>1162</v>
      </c>
    </row>
    <row r="237" spans="1:27" x14ac:dyDescent="0.2">
      <c r="A237" s="225" t="s">
        <v>144</v>
      </c>
      <c r="B237" t="s">
        <v>63</v>
      </c>
      <c r="C237" t="s">
        <v>73</v>
      </c>
      <c r="D237" t="s">
        <v>203</v>
      </c>
      <c r="E237" t="s">
        <v>189</v>
      </c>
      <c r="F237" s="226" t="s">
        <v>190</v>
      </c>
      <c r="G237" t="str">
        <f>_xlfn.XLOOKUP(FMECA[[#This Row],[HazardRisk_name]],categories[HazardRisk_Name],categories[HazardRisk])</f>
        <v>Risk</v>
      </c>
      <c r="H237" t="str">
        <f>_xlfn.XLOOKUP(FMECA[[#This Row],[HazardRisk_name]],categories[HazardRisk_Name],categories[Category])</f>
        <v>Operational</v>
      </c>
      <c r="I237" t="s">
        <v>572</v>
      </c>
      <c r="J237" s="10">
        <v>3</v>
      </c>
      <c r="K237" s="9" t="s">
        <v>2105</v>
      </c>
      <c r="L237" s="10">
        <v>7</v>
      </c>
      <c r="M237" s="9" t="s">
        <v>2105</v>
      </c>
      <c r="N237" s="10">
        <f>FMECA[[#This Row],[probability_value]]*FMECA[[#This Row],[consequence_value]]</f>
        <v>21</v>
      </c>
      <c r="O23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37" s="10" t="s">
        <v>770</v>
      </c>
      <c r="Q237" t="s">
        <v>1162</v>
      </c>
      <c r="R237" t="s">
        <v>780</v>
      </c>
      <c r="S237" t="s">
        <v>2093</v>
      </c>
      <c r="T237" t="s">
        <v>793</v>
      </c>
      <c r="AA237" t="s">
        <v>1162</v>
      </c>
    </row>
    <row r="238" spans="1:27" x14ac:dyDescent="0.2">
      <c r="A238" s="225" t="s">
        <v>144</v>
      </c>
      <c r="B238" t="s">
        <v>63</v>
      </c>
      <c r="C238" t="s">
        <v>73</v>
      </c>
      <c r="D238" t="s">
        <v>203</v>
      </c>
      <c r="E238" t="s">
        <v>189</v>
      </c>
      <c r="F238" s="226" t="s">
        <v>190</v>
      </c>
      <c r="G238" t="str">
        <f>_xlfn.XLOOKUP(FMECA[[#This Row],[HazardRisk_name]],categories[HazardRisk_Name],categories[HazardRisk])</f>
        <v>Risk</v>
      </c>
      <c r="H238" t="str">
        <f>_xlfn.XLOOKUP(FMECA[[#This Row],[HazardRisk_name]],categories[HazardRisk_Name],categories[Category])</f>
        <v>Social</v>
      </c>
      <c r="I238" t="s">
        <v>569</v>
      </c>
      <c r="J238" s="10">
        <v>4</v>
      </c>
      <c r="K238" t="s">
        <v>2105</v>
      </c>
      <c r="L238" s="10">
        <v>10</v>
      </c>
      <c r="M238" t="s">
        <v>2105</v>
      </c>
      <c r="N238" s="10">
        <f>FMECA[[#This Row],[probability_value]]*FMECA[[#This Row],[consequence_value]]</f>
        <v>40</v>
      </c>
      <c r="O238"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238" s="10" t="s">
        <v>770</v>
      </c>
      <c r="Q238" t="s">
        <v>1162</v>
      </c>
      <c r="R238" t="s">
        <v>780</v>
      </c>
      <c r="S238" t="s">
        <v>2093</v>
      </c>
      <c r="T238" t="s">
        <v>793</v>
      </c>
      <c r="AA238" t="s">
        <v>1162</v>
      </c>
    </row>
    <row r="239" spans="1:27" x14ac:dyDescent="0.2">
      <c r="A239" s="225" t="s">
        <v>144</v>
      </c>
      <c r="B239" t="s">
        <v>63</v>
      </c>
      <c r="C239" t="s">
        <v>73</v>
      </c>
      <c r="D239" t="s">
        <v>203</v>
      </c>
      <c r="E239" t="s">
        <v>189</v>
      </c>
      <c r="F239" s="226" t="s">
        <v>190</v>
      </c>
      <c r="G239" t="str">
        <f>_xlfn.XLOOKUP(FMECA[[#This Row],[HazardRisk_name]],categories[HazardRisk_Name],categories[HazardRisk])</f>
        <v>Hazard</v>
      </c>
      <c r="H239" t="str">
        <f>_xlfn.XLOOKUP(FMECA[[#This Row],[HazardRisk_name]],categories[HazardRisk_Name],categories[Category])</f>
        <v>Navigational</v>
      </c>
      <c r="I239" t="s">
        <v>484</v>
      </c>
      <c r="J239" s="10">
        <v>5</v>
      </c>
      <c r="K239" t="s">
        <v>2104</v>
      </c>
      <c r="L239" s="10">
        <v>4</v>
      </c>
      <c r="M239" t="s">
        <v>2104</v>
      </c>
      <c r="N239" s="10">
        <f>FMECA[[#This Row],[probability_value]]*FMECA[[#This Row],[consequence_value]]</f>
        <v>20</v>
      </c>
      <c r="O23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39" s="10" t="s">
        <v>770</v>
      </c>
      <c r="Q239" t="s">
        <v>1162</v>
      </c>
      <c r="R239" t="s">
        <v>780</v>
      </c>
      <c r="S239" t="s">
        <v>2093</v>
      </c>
      <c r="T239" t="s">
        <v>793</v>
      </c>
      <c r="AA239" t="s">
        <v>1162</v>
      </c>
    </row>
    <row r="240" spans="1:27" x14ac:dyDescent="0.2">
      <c r="A240" s="225" t="s">
        <v>144</v>
      </c>
      <c r="B240" t="s">
        <v>63</v>
      </c>
      <c r="C240" t="s">
        <v>73</v>
      </c>
      <c r="D240" t="s">
        <v>203</v>
      </c>
      <c r="E240" t="s">
        <v>189</v>
      </c>
      <c r="F240" s="226" t="s">
        <v>190</v>
      </c>
      <c r="G240" t="str">
        <f>_xlfn.XLOOKUP(FMECA[[#This Row],[HazardRisk_name]],categories[HazardRisk_Name],categories[HazardRisk])</f>
        <v>Hazard</v>
      </c>
      <c r="H240" t="str">
        <f>_xlfn.XLOOKUP(FMECA[[#This Row],[HazardRisk_name]],categories[HazardRisk_Name],categories[Category])</f>
        <v>Social</v>
      </c>
      <c r="I240" t="s">
        <v>649</v>
      </c>
      <c r="J240" s="10">
        <v>2</v>
      </c>
      <c r="K240" t="s">
        <v>2098</v>
      </c>
      <c r="L240" s="10">
        <v>4</v>
      </c>
      <c r="M240" t="s">
        <v>2098</v>
      </c>
      <c r="N240" s="10">
        <f>FMECA[[#This Row],[probability_value]]*FMECA[[#This Row],[consequence_value]]</f>
        <v>8</v>
      </c>
      <c r="O240"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240" s="10" t="s">
        <v>770</v>
      </c>
      <c r="Q240" t="s">
        <v>1162</v>
      </c>
      <c r="R240" t="s">
        <v>780</v>
      </c>
      <c r="S240" t="s">
        <v>2093</v>
      </c>
      <c r="T240" t="s">
        <v>793</v>
      </c>
      <c r="W240" t="s">
        <v>2099</v>
      </c>
      <c r="X240" t="s">
        <v>466</v>
      </c>
      <c r="AA240" t="s">
        <v>1162</v>
      </c>
    </row>
    <row r="241" spans="1:27" x14ac:dyDescent="0.2">
      <c r="A241" s="225" t="s">
        <v>144</v>
      </c>
      <c r="B241" t="s">
        <v>63</v>
      </c>
      <c r="C241" t="s">
        <v>73</v>
      </c>
      <c r="D241" t="s">
        <v>203</v>
      </c>
      <c r="E241" t="s">
        <v>189</v>
      </c>
      <c r="F241" s="226" t="s">
        <v>190</v>
      </c>
      <c r="G241" t="str">
        <f>_xlfn.XLOOKUP(FMECA[[#This Row],[HazardRisk_name]],categories[HazardRisk_Name],categories[HazardRisk])</f>
        <v>Hazard</v>
      </c>
      <c r="H241" t="str">
        <f>_xlfn.XLOOKUP(FMECA[[#This Row],[HazardRisk_name]],categories[HazardRisk_Name],categories[Category])</f>
        <v>Environmental</v>
      </c>
      <c r="I241" t="s">
        <v>483</v>
      </c>
      <c r="J241" s="10">
        <v>4</v>
      </c>
      <c r="K241" t="s">
        <v>2101</v>
      </c>
      <c r="L241" s="10">
        <v>7</v>
      </c>
      <c r="M241" t="s">
        <v>2101</v>
      </c>
      <c r="N241" s="10">
        <f>FMECA[[#This Row],[probability_value]]*FMECA[[#This Row],[consequence_value]]</f>
        <v>28</v>
      </c>
      <c r="O241" s="10" t="str">
        <f>IF(AND(FMECA[[#This Row],[Score]]&gt;=0, 9&gt;=FMECA[[#This Row],[Score]]), "UNDETECTABLE", IF(AND(FMECA[[#This Row],[Score]]&gt;=10, 24&gt;=FMECA[[#This Row],[Score]]), "MODERATE", IF(AND(FMECA[[#This Row],[Score]]&gt;=25, 35&gt;=FMECA[[#This Row],[Score]]), "HIGH", IF(AND(FMECA[[#This Row],[Score]]&gt;=36, 50&gt;=FMECA[[#This Row],[Score]]), "VERY HIGH", "Check Formula"))))</f>
        <v>HIGH</v>
      </c>
      <c r="P241" s="10" t="s">
        <v>770</v>
      </c>
      <c r="Q241" t="s">
        <v>1162</v>
      </c>
      <c r="R241" t="s">
        <v>780</v>
      </c>
      <c r="S241" t="s">
        <v>2093</v>
      </c>
      <c r="T241" t="s">
        <v>793</v>
      </c>
      <c r="AA241" t="s">
        <v>1162</v>
      </c>
    </row>
    <row r="242" spans="1:27" x14ac:dyDescent="0.2">
      <c r="A242" s="225" t="s">
        <v>145</v>
      </c>
      <c r="B242" t="s">
        <v>63</v>
      </c>
      <c r="C242" t="s">
        <v>73</v>
      </c>
      <c r="D242" t="s">
        <v>204</v>
      </c>
      <c r="E242" t="s">
        <v>583</v>
      </c>
      <c r="F242" s="226" t="s">
        <v>192</v>
      </c>
      <c r="G242" t="str">
        <f>_xlfn.XLOOKUP(FMECA[[#This Row],[HazardRisk_name]],categories[HazardRisk_Name],categories[HazardRisk])</f>
        <v>Risk</v>
      </c>
      <c r="H242" t="str">
        <f>_xlfn.XLOOKUP(FMECA[[#This Row],[HazardRisk_name]],categories[HazardRisk_Name],categories[Category])</f>
        <v>Environmental</v>
      </c>
      <c r="I242" t="s">
        <v>573</v>
      </c>
      <c r="J242" s="10">
        <v>3</v>
      </c>
      <c r="K242" t="s">
        <v>2109</v>
      </c>
      <c r="L242" s="10">
        <v>10</v>
      </c>
      <c r="M242" t="s">
        <v>2109</v>
      </c>
      <c r="N242" s="10">
        <f>FMECA[[#This Row],[probability_value]]*FMECA[[#This Row],[consequence_value]]</f>
        <v>30</v>
      </c>
      <c r="O242" s="10" t="str">
        <f>IF(AND(FMECA[[#This Row],[Score]]&gt;=0, 9&gt;=FMECA[[#This Row],[Score]]), "UNDETECTABLE", IF(AND(FMECA[[#This Row],[Score]]&gt;=10, 24&gt;=FMECA[[#This Row],[Score]]), "MODERATE", IF(AND(FMECA[[#This Row],[Score]]&gt;=25, 35&gt;=FMECA[[#This Row],[Score]]), "HIGH", IF(AND(FMECA[[#This Row],[Score]]&gt;=36, 50&gt;=FMECA[[#This Row],[Score]]), "VERY HIGH", "Check Formula"))))</f>
        <v>HIGH</v>
      </c>
      <c r="P242" s="10" t="s">
        <v>767</v>
      </c>
      <c r="Q242" t="s">
        <v>778</v>
      </c>
      <c r="R242" t="s">
        <v>780</v>
      </c>
      <c r="S242" t="s">
        <v>2111</v>
      </c>
      <c r="T242" t="s">
        <v>793</v>
      </c>
      <c r="AA242" t="s">
        <v>1162</v>
      </c>
    </row>
    <row r="243" spans="1:27" x14ac:dyDescent="0.2">
      <c r="A243" s="225" t="s">
        <v>145</v>
      </c>
      <c r="B243" t="s">
        <v>63</v>
      </c>
      <c r="C243" t="s">
        <v>73</v>
      </c>
      <c r="D243" t="s">
        <v>204</v>
      </c>
      <c r="E243" t="s">
        <v>583</v>
      </c>
      <c r="F243" s="226" t="s">
        <v>192</v>
      </c>
      <c r="G243" t="str">
        <f>_xlfn.XLOOKUP(FMECA[[#This Row],[HazardRisk_name]],categories[HazardRisk_Name],categories[HazardRisk])</f>
        <v>Risk</v>
      </c>
      <c r="H243" t="str">
        <f>_xlfn.XLOOKUP(FMECA[[#This Row],[HazardRisk_name]],categories[HazardRisk_Name],categories[Category])</f>
        <v>Operational</v>
      </c>
      <c r="I243" t="s">
        <v>572</v>
      </c>
      <c r="J243" s="10">
        <v>4</v>
      </c>
      <c r="K243" t="s">
        <v>2115</v>
      </c>
      <c r="L243" s="10">
        <v>7</v>
      </c>
      <c r="M243" t="s">
        <v>2115</v>
      </c>
      <c r="N243" s="10">
        <f>FMECA[[#This Row],[probability_value]]*FMECA[[#This Row],[consequence_value]]</f>
        <v>28</v>
      </c>
      <c r="O243" s="10" t="str">
        <f>IF(AND(FMECA[[#This Row],[Score]]&gt;=0, 9&gt;=FMECA[[#This Row],[Score]]), "UNDETECTABLE", IF(AND(FMECA[[#This Row],[Score]]&gt;=10, 24&gt;=FMECA[[#This Row],[Score]]), "MODERATE", IF(AND(FMECA[[#This Row],[Score]]&gt;=25, 35&gt;=FMECA[[#This Row],[Score]]), "HIGH", IF(AND(FMECA[[#This Row],[Score]]&gt;=36, 50&gt;=FMECA[[#This Row],[Score]]), "VERY HIGH", "Check Formula"))))</f>
        <v>HIGH</v>
      </c>
      <c r="P243" s="10" t="s">
        <v>767</v>
      </c>
      <c r="Q243" t="s">
        <v>778</v>
      </c>
      <c r="R243" t="s">
        <v>780</v>
      </c>
      <c r="S243" t="s">
        <v>2111</v>
      </c>
      <c r="T243" t="s">
        <v>793</v>
      </c>
      <c r="U243" t="s">
        <v>2117</v>
      </c>
      <c r="V243" t="s">
        <v>470</v>
      </c>
      <c r="W243" t="s">
        <v>2116</v>
      </c>
      <c r="X243" t="s">
        <v>470</v>
      </c>
      <c r="AA243" t="s">
        <v>1162</v>
      </c>
    </row>
    <row r="244" spans="1:27" x14ac:dyDescent="0.2">
      <c r="A244" s="225" t="s">
        <v>145</v>
      </c>
      <c r="B244" t="s">
        <v>63</v>
      </c>
      <c r="C244" t="s">
        <v>73</v>
      </c>
      <c r="D244" t="s">
        <v>204</v>
      </c>
      <c r="E244" t="s">
        <v>583</v>
      </c>
      <c r="F244" s="226" t="s">
        <v>192</v>
      </c>
      <c r="G244" t="str">
        <f>_xlfn.XLOOKUP(FMECA[[#This Row],[HazardRisk_name]],categories[HazardRisk_Name],categories[HazardRisk])</f>
        <v>Risk</v>
      </c>
      <c r="H244" t="str">
        <f>_xlfn.XLOOKUP(FMECA[[#This Row],[HazardRisk_name]],categories[HazardRisk_Name],categories[Category])</f>
        <v>Operational</v>
      </c>
      <c r="I244" t="s">
        <v>1313</v>
      </c>
      <c r="J244" s="10">
        <v>5</v>
      </c>
      <c r="K244" t="s">
        <v>2112</v>
      </c>
      <c r="L244" s="10">
        <v>7</v>
      </c>
      <c r="M244" t="s">
        <v>2112</v>
      </c>
      <c r="N244" s="10">
        <f>FMECA[[#This Row],[probability_value]]*FMECA[[#This Row],[consequence_value]]</f>
        <v>35</v>
      </c>
      <c r="O244" s="10" t="str">
        <f>IF(AND(FMECA[[#This Row],[Score]]&gt;=0, 9&gt;=FMECA[[#This Row],[Score]]), "UNDETECTABLE", IF(AND(FMECA[[#This Row],[Score]]&gt;=10, 24&gt;=FMECA[[#This Row],[Score]]), "MODERATE", IF(AND(FMECA[[#This Row],[Score]]&gt;=25, 35&gt;=FMECA[[#This Row],[Score]]), "HIGH", IF(AND(FMECA[[#This Row],[Score]]&gt;=36, 50&gt;=FMECA[[#This Row],[Score]]), "VERY HIGH", "Check Formula"))))</f>
        <v>HIGH</v>
      </c>
      <c r="P244" s="10" t="s">
        <v>767</v>
      </c>
      <c r="Q244" t="s">
        <v>778</v>
      </c>
      <c r="R244" t="s">
        <v>780</v>
      </c>
      <c r="S244" t="s">
        <v>2111</v>
      </c>
      <c r="T244" t="s">
        <v>793</v>
      </c>
      <c r="U244" t="s">
        <v>2114</v>
      </c>
      <c r="V244" t="s">
        <v>470</v>
      </c>
      <c r="W244" t="s">
        <v>2113</v>
      </c>
      <c r="X244" t="s">
        <v>466</v>
      </c>
      <c r="AA244" t="s">
        <v>1162</v>
      </c>
    </row>
    <row r="245" spans="1:27" x14ac:dyDescent="0.2">
      <c r="A245" s="225" t="s">
        <v>145</v>
      </c>
      <c r="B245" t="s">
        <v>63</v>
      </c>
      <c r="C245" t="s">
        <v>73</v>
      </c>
      <c r="D245" t="s">
        <v>204</v>
      </c>
      <c r="E245" t="s">
        <v>584</v>
      </c>
      <c r="F245" s="226" t="s">
        <v>192</v>
      </c>
      <c r="G245" t="str">
        <f>_xlfn.XLOOKUP(FMECA[[#This Row],[HazardRisk_name]],categories[HazardRisk_Name],categories[HazardRisk])</f>
        <v>Risk</v>
      </c>
      <c r="H245" t="str">
        <f>_xlfn.XLOOKUP(FMECA[[#This Row],[HazardRisk_name]],categories[HazardRisk_Name],categories[Category])</f>
        <v>Navigational</v>
      </c>
      <c r="I245" t="s">
        <v>703</v>
      </c>
      <c r="J245" s="10">
        <v>3</v>
      </c>
      <c r="K245" t="s">
        <v>2118</v>
      </c>
      <c r="L245" s="10">
        <v>7</v>
      </c>
      <c r="M245" t="s">
        <v>2118</v>
      </c>
      <c r="N245" s="10">
        <f>FMECA[[#This Row],[probability_value]]*FMECA[[#This Row],[consequence_value]]</f>
        <v>21</v>
      </c>
      <c r="O24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45" s="10" t="s">
        <v>767</v>
      </c>
      <c r="Q245" t="s">
        <v>778</v>
      </c>
      <c r="R245" t="s">
        <v>780</v>
      </c>
      <c r="S245" t="s">
        <v>2111</v>
      </c>
      <c r="T245" t="s">
        <v>793</v>
      </c>
      <c r="AA245" t="s">
        <v>1162</v>
      </c>
    </row>
    <row r="246" spans="1:27" x14ac:dyDescent="0.2">
      <c r="A246" s="225" t="s">
        <v>145</v>
      </c>
      <c r="B246" t="s">
        <v>63</v>
      </c>
      <c r="C246" t="s">
        <v>73</v>
      </c>
      <c r="D246" t="s">
        <v>204</v>
      </c>
      <c r="E246" t="s">
        <v>585</v>
      </c>
      <c r="F246" s="226" t="s">
        <v>192</v>
      </c>
      <c r="G246" t="str">
        <f>_xlfn.XLOOKUP(FMECA[[#This Row],[HazardRisk_name]],categories[HazardRisk_Name],categories[HazardRisk])</f>
        <v>Risk</v>
      </c>
      <c r="H246" t="str">
        <f>_xlfn.XLOOKUP(FMECA[[#This Row],[HazardRisk_name]],categories[HazardRisk_Name],categories[Category])</f>
        <v>Navigational</v>
      </c>
      <c r="I246" t="s">
        <v>474</v>
      </c>
      <c r="J246" s="10">
        <v>4</v>
      </c>
      <c r="K246" t="s">
        <v>2120</v>
      </c>
      <c r="L246" s="10">
        <v>4</v>
      </c>
      <c r="M246" t="s">
        <v>2120</v>
      </c>
      <c r="N246" s="10">
        <f>FMECA[[#This Row],[probability_value]]*FMECA[[#This Row],[consequence_value]]</f>
        <v>16</v>
      </c>
      <c r="O24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46" s="10" t="s">
        <v>767</v>
      </c>
      <c r="Q246" t="s">
        <v>778</v>
      </c>
      <c r="R246" t="s">
        <v>780</v>
      </c>
      <c r="S246" t="s">
        <v>2111</v>
      </c>
      <c r="T246" t="s">
        <v>793</v>
      </c>
      <c r="U246" t="s">
        <v>2121</v>
      </c>
      <c r="V246" t="s">
        <v>466</v>
      </c>
      <c r="W246" t="s">
        <v>2122</v>
      </c>
      <c r="X246" t="s">
        <v>466</v>
      </c>
      <c r="AA246" t="s">
        <v>1162</v>
      </c>
    </row>
    <row r="247" spans="1:27" x14ac:dyDescent="0.2">
      <c r="A247" s="225" t="s">
        <v>145</v>
      </c>
      <c r="B247" t="s">
        <v>63</v>
      </c>
      <c r="C247" t="s">
        <v>73</v>
      </c>
      <c r="D247" t="s">
        <v>204</v>
      </c>
      <c r="E247" t="s">
        <v>585</v>
      </c>
      <c r="F247" s="226" t="s">
        <v>192</v>
      </c>
      <c r="G247" t="str">
        <f>_xlfn.XLOOKUP(FMECA[[#This Row],[HazardRisk_name]],categories[HazardRisk_Name],categories[HazardRisk])</f>
        <v>Hazard</v>
      </c>
      <c r="H247" t="str">
        <f>_xlfn.XLOOKUP(FMECA[[#This Row],[HazardRisk_name]],categories[HazardRisk_Name],categories[Category])</f>
        <v>Operational</v>
      </c>
      <c r="I247" t="s">
        <v>1533</v>
      </c>
      <c r="J247" s="10">
        <v>5</v>
      </c>
      <c r="K247" t="s">
        <v>2110</v>
      </c>
      <c r="L247" s="10">
        <v>10</v>
      </c>
      <c r="M247" t="s">
        <v>2110</v>
      </c>
      <c r="N247" s="10">
        <f>FMECA[[#This Row],[probability_value]]*FMECA[[#This Row],[consequence_value]]</f>
        <v>50</v>
      </c>
      <c r="O247"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247" s="10" t="s">
        <v>767</v>
      </c>
      <c r="Q247" t="s">
        <v>778</v>
      </c>
      <c r="R247" t="s">
        <v>780</v>
      </c>
      <c r="S247" t="s">
        <v>2111</v>
      </c>
      <c r="T247" t="s">
        <v>793</v>
      </c>
      <c r="W247" t="s">
        <v>2119</v>
      </c>
      <c r="X247" t="s">
        <v>466</v>
      </c>
      <c r="AA247" t="s">
        <v>1162</v>
      </c>
    </row>
    <row r="248" spans="1:27" x14ac:dyDescent="0.2">
      <c r="A248" s="225" t="s">
        <v>145</v>
      </c>
      <c r="B248" t="s">
        <v>63</v>
      </c>
      <c r="C248" t="s">
        <v>73</v>
      </c>
      <c r="D248" t="s">
        <v>204</v>
      </c>
      <c r="E248" t="s">
        <v>585</v>
      </c>
      <c r="F248" s="226" t="s">
        <v>192</v>
      </c>
      <c r="G248" t="str">
        <f>_xlfn.XLOOKUP(FMECA[[#This Row],[HazardRisk_name]],categories[HazardRisk_Name],categories[HazardRisk])</f>
        <v>Risk</v>
      </c>
      <c r="H248" t="str">
        <f>_xlfn.XLOOKUP(FMECA[[#This Row],[HazardRisk_name]],categories[HazardRisk_Name],categories[Category])</f>
        <v>Pollutants</v>
      </c>
      <c r="I248" t="s">
        <v>627</v>
      </c>
      <c r="J248" s="10">
        <v>3</v>
      </c>
      <c r="K248" t="s">
        <v>2110</v>
      </c>
      <c r="L248" s="10">
        <v>10</v>
      </c>
      <c r="M248" t="s">
        <v>2110</v>
      </c>
      <c r="N248" s="10">
        <f>FMECA[[#This Row],[probability_value]]*FMECA[[#This Row],[consequence_value]]</f>
        <v>30</v>
      </c>
      <c r="O248" s="10" t="str">
        <f>IF(AND(FMECA[[#This Row],[Score]]&gt;=0, 9&gt;=FMECA[[#This Row],[Score]]), "UNDETECTABLE", IF(AND(FMECA[[#This Row],[Score]]&gt;=10, 24&gt;=FMECA[[#This Row],[Score]]), "MODERATE", IF(AND(FMECA[[#This Row],[Score]]&gt;=25, 35&gt;=FMECA[[#This Row],[Score]]), "HIGH", IF(AND(FMECA[[#This Row],[Score]]&gt;=36, 50&gt;=FMECA[[#This Row],[Score]]), "VERY HIGH", "Check Formula"))))</f>
        <v>HIGH</v>
      </c>
      <c r="P248" s="10" t="s">
        <v>767</v>
      </c>
      <c r="Q248" t="s">
        <v>778</v>
      </c>
      <c r="R248" t="s">
        <v>780</v>
      </c>
      <c r="S248" t="s">
        <v>2111</v>
      </c>
      <c r="T248" t="s">
        <v>793</v>
      </c>
      <c r="AA248" t="s">
        <v>1162</v>
      </c>
    </row>
    <row r="249" spans="1:27" x14ac:dyDescent="0.2">
      <c r="A249" s="225" t="s">
        <v>145</v>
      </c>
      <c r="B249" t="s">
        <v>63</v>
      </c>
      <c r="C249" t="s">
        <v>73</v>
      </c>
      <c r="D249" t="s">
        <v>204</v>
      </c>
      <c r="E249" t="s">
        <v>191</v>
      </c>
      <c r="F249" s="226" t="s">
        <v>192</v>
      </c>
      <c r="G249" t="str">
        <f>_xlfn.XLOOKUP(FMECA[[#This Row],[HazardRisk_name]],categories[HazardRisk_Name],categories[HazardRisk])</f>
        <v>Risk</v>
      </c>
      <c r="H249" t="str">
        <f>_xlfn.XLOOKUP(FMECA[[#This Row],[HazardRisk_name]],categories[HazardRisk_Name],categories[Category])</f>
        <v>Sea Ice</v>
      </c>
      <c r="I249" t="s">
        <v>480</v>
      </c>
      <c r="J249" s="10">
        <v>4</v>
      </c>
      <c r="K249" t="s">
        <v>2123</v>
      </c>
      <c r="L249" s="10">
        <v>7</v>
      </c>
      <c r="M249" t="s">
        <v>2123</v>
      </c>
      <c r="N249" s="10">
        <f>FMECA[[#This Row],[probability_value]]*FMECA[[#This Row],[consequence_value]]</f>
        <v>28</v>
      </c>
      <c r="O249" s="10" t="str">
        <f>IF(AND(FMECA[[#This Row],[Score]]&gt;=0, 9&gt;=FMECA[[#This Row],[Score]]), "UNDETECTABLE", IF(AND(FMECA[[#This Row],[Score]]&gt;=10, 24&gt;=FMECA[[#This Row],[Score]]), "MODERATE", IF(AND(FMECA[[#This Row],[Score]]&gt;=25, 35&gt;=FMECA[[#This Row],[Score]]), "HIGH", IF(AND(FMECA[[#This Row],[Score]]&gt;=36, 50&gt;=FMECA[[#This Row],[Score]]), "VERY HIGH", "Check Formula"))))</f>
        <v>HIGH</v>
      </c>
      <c r="P249" s="10" t="s">
        <v>767</v>
      </c>
      <c r="Q249" t="s">
        <v>778</v>
      </c>
      <c r="R249" t="s">
        <v>780</v>
      </c>
      <c r="S249" t="s">
        <v>2111</v>
      </c>
      <c r="T249" t="s">
        <v>793</v>
      </c>
      <c r="U249" t="s">
        <v>2124</v>
      </c>
      <c r="V249" t="s">
        <v>466</v>
      </c>
      <c r="W249" t="s">
        <v>1885</v>
      </c>
      <c r="X249" t="s">
        <v>466</v>
      </c>
      <c r="AA249" t="s">
        <v>1162</v>
      </c>
    </row>
    <row r="250" spans="1:27" s="12" customFormat="1" x14ac:dyDescent="0.2">
      <c r="A250" s="230" t="s">
        <v>146</v>
      </c>
      <c r="B250" s="12" t="s">
        <v>63</v>
      </c>
      <c r="C250" s="12" t="s">
        <v>73</v>
      </c>
      <c r="D250" s="12" t="s">
        <v>205</v>
      </c>
      <c r="E250" s="12" t="s">
        <v>193</v>
      </c>
      <c r="F250" s="231" t="s">
        <v>194</v>
      </c>
      <c r="G250" s="12" t="str">
        <f>_xlfn.XLOOKUP(FMECA[[#This Row],[HazardRisk_name]],categories[HazardRisk_Name],categories[HazardRisk])</f>
        <v>Hazard</v>
      </c>
      <c r="H250" s="12" t="str">
        <f>_xlfn.XLOOKUP(FMECA[[#This Row],[HazardRisk_name]],categories[HazardRisk_Name],categories[Category])</f>
        <v>Navigational</v>
      </c>
      <c r="I250" s="12" t="s">
        <v>498</v>
      </c>
      <c r="J250" s="232">
        <v>4</v>
      </c>
      <c r="L250" s="232">
        <v>5</v>
      </c>
      <c r="N250" s="232">
        <f>FMECA[[#This Row],[probability_value]]*FMECA[[#This Row],[consequence_value]]</f>
        <v>20</v>
      </c>
      <c r="O250" s="232" t="str">
        <f>IF(AND(FMECA[[#This Row],[Score]]&gt;=0, 9&gt;=FMECA[[#This Row],[Score]]), "UNDETECTABLE", IF(AND(FMECA[[#This Row],[Score]]&gt;=10, 24&gt;=FMECA[[#This Row],[Score]]), "MODERATE", IF(AND(FMECA[[#This Row],[Score]]&gt;=25, 35&gt;=FMECA[[#This Row],[Score]]), "HIGH", IF(AND(FMECA[[#This Row],[Score]]&gt;=36, 50&gt;=FMECA[[#This Row],[Score]]), "VERY HIGH", "Check Formula"))))</f>
        <v>MODERATE</v>
      </c>
      <c r="P250" s="232" t="s">
        <v>770</v>
      </c>
      <c r="Q250" s="12" t="s">
        <v>1162</v>
      </c>
      <c r="R250" s="12" t="s">
        <v>780</v>
      </c>
      <c r="S250" s="12" t="s">
        <v>1832</v>
      </c>
      <c r="T250" s="12" t="s">
        <v>793</v>
      </c>
      <c r="AA250" s="12" t="s">
        <v>1162</v>
      </c>
    </row>
    <row r="251" spans="1:27" s="12" customFormat="1" x14ac:dyDescent="0.2">
      <c r="A251" s="230" t="s">
        <v>146</v>
      </c>
      <c r="B251" s="12" t="s">
        <v>63</v>
      </c>
      <c r="C251" s="12" t="s">
        <v>73</v>
      </c>
      <c r="D251" s="12" t="s">
        <v>205</v>
      </c>
      <c r="E251" s="12" t="s">
        <v>193</v>
      </c>
      <c r="F251" s="231" t="s">
        <v>194</v>
      </c>
      <c r="G251" s="12" t="str">
        <f>_xlfn.XLOOKUP(FMECA[[#This Row],[HazardRisk_name]],categories[HazardRisk_Name],categories[HazardRisk])</f>
        <v>Risk</v>
      </c>
      <c r="H251" s="12" t="str">
        <f>_xlfn.XLOOKUP(FMECA[[#This Row],[HazardRisk_name]],categories[HazardRisk_Name],categories[Category])</f>
        <v>Assessment</v>
      </c>
      <c r="I251" s="12" t="s">
        <v>588</v>
      </c>
      <c r="J251" s="232">
        <v>3</v>
      </c>
      <c r="L251" s="232">
        <v>5</v>
      </c>
      <c r="N251" s="232">
        <f>FMECA[[#This Row],[probability_value]]*FMECA[[#This Row],[consequence_value]]</f>
        <v>15</v>
      </c>
      <c r="O251" s="232" t="str">
        <f>IF(AND(FMECA[[#This Row],[Score]]&gt;=0, 9&gt;=FMECA[[#This Row],[Score]]), "UNDETECTABLE", IF(AND(FMECA[[#This Row],[Score]]&gt;=10, 24&gt;=FMECA[[#This Row],[Score]]), "MODERATE", IF(AND(FMECA[[#This Row],[Score]]&gt;=25, 35&gt;=FMECA[[#This Row],[Score]]), "HIGH", IF(AND(FMECA[[#This Row],[Score]]&gt;=36, 50&gt;=FMECA[[#This Row],[Score]]), "VERY HIGH", "Check Formula"))))</f>
        <v>MODERATE</v>
      </c>
      <c r="P251" s="232" t="s">
        <v>770</v>
      </c>
      <c r="Q251" s="12" t="s">
        <v>1162</v>
      </c>
      <c r="R251" s="12" t="s">
        <v>780</v>
      </c>
      <c r="S251" s="12" t="s">
        <v>1832</v>
      </c>
      <c r="T251" s="12" t="s">
        <v>793</v>
      </c>
      <c r="AA251" s="12" t="s">
        <v>1162</v>
      </c>
    </row>
    <row r="252" spans="1:27" s="12" customFormat="1" x14ac:dyDescent="0.2">
      <c r="A252" s="230" t="s">
        <v>146</v>
      </c>
      <c r="B252" s="12" t="s">
        <v>63</v>
      </c>
      <c r="C252" s="12" t="s">
        <v>73</v>
      </c>
      <c r="D252" s="12" t="s">
        <v>205</v>
      </c>
      <c r="E252" s="12" t="s">
        <v>193</v>
      </c>
      <c r="F252" s="231" t="s">
        <v>194</v>
      </c>
      <c r="G252" s="12" t="str">
        <f>_xlfn.XLOOKUP(FMECA[[#This Row],[HazardRisk_name]],categories[HazardRisk_Name],categories[HazardRisk])</f>
        <v>Risk</v>
      </c>
      <c r="H252" s="12" t="str">
        <f>_xlfn.XLOOKUP(FMECA[[#This Row],[HazardRisk_name]],categories[HazardRisk_Name],categories[Category])</f>
        <v>Sea Ice</v>
      </c>
      <c r="I252" s="12" t="s">
        <v>480</v>
      </c>
      <c r="J252" s="232">
        <v>4</v>
      </c>
      <c r="L252" s="232">
        <v>5</v>
      </c>
      <c r="N252" s="232">
        <f>FMECA[[#This Row],[probability_value]]*FMECA[[#This Row],[consequence_value]]</f>
        <v>20</v>
      </c>
      <c r="O252" s="232" t="str">
        <f>IF(AND(FMECA[[#This Row],[Score]]&gt;=0, 9&gt;=FMECA[[#This Row],[Score]]), "UNDETECTABLE", IF(AND(FMECA[[#This Row],[Score]]&gt;=10, 24&gt;=FMECA[[#This Row],[Score]]), "MODERATE", IF(AND(FMECA[[#This Row],[Score]]&gt;=25, 35&gt;=FMECA[[#This Row],[Score]]), "HIGH", IF(AND(FMECA[[#This Row],[Score]]&gt;=36, 50&gt;=FMECA[[#This Row],[Score]]), "VERY HIGH", "Check Formula"))))</f>
        <v>MODERATE</v>
      </c>
      <c r="P252" s="232" t="s">
        <v>770</v>
      </c>
      <c r="Q252" s="12" t="s">
        <v>1162</v>
      </c>
      <c r="R252" s="12" t="s">
        <v>780</v>
      </c>
      <c r="S252" s="12" t="s">
        <v>1832</v>
      </c>
      <c r="T252" s="12" t="s">
        <v>793</v>
      </c>
      <c r="AA252" s="12" t="s">
        <v>1162</v>
      </c>
    </row>
    <row r="253" spans="1:27" s="12" customFormat="1" x14ac:dyDescent="0.2">
      <c r="A253" s="230" t="s">
        <v>146</v>
      </c>
      <c r="B253" s="12" t="s">
        <v>63</v>
      </c>
      <c r="C253" s="12" t="s">
        <v>73</v>
      </c>
      <c r="D253" s="12" t="s">
        <v>205</v>
      </c>
      <c r="E253" s="12" t="s">
        <v>193</v>
      </c>
      <c r="F253" s="231" t="s">
        <v>194</v>
      </c>
      <c r="G253" s="12" t="str">
        <f>_xlfn.XLOOKUP(FMECA[[#This Row],[HazardRisk_name]],categories[HazardRisk_Name],categories[HazardRisk])</f>
        <v>Risk</v>
      </c>
      <c r="H253" s="12" t="str">
        <f>_xlfn.XLOOKUP(FMECA[[#This Row],[HazardRisk_name]],categories[HazardRisk_Name],categories[Category])</f>
        <v>Navigational</v>
      </c>
      <c r="I253" s="12" t="s">
        <v>587</v>
      </c>
      <c r="J253" s="232">
        <v>3</v>
      </c>
      <c r="L253" s="232">
        <v>5</v>
      </c>
      <c r="N253" s="232">
        <f>FMECA[[#This Row],[probability_value]]*FMECA[[#This Row],[consequence_value]]</f>
        <v>15</v>
      </c>
      <c r="O253" s="232" t="str">
        <f>IF(AND(FMECA[[#This Row],[Score]]&gt;=0, 9&gt;=FMECA[[#This Row],[Score]]), "UNDETECTABLE", IF(AND(FMECA[[#This Row],[Score]]&gt;=10, 24&gt;=FMECA[[#This Row],[Score]]), "MODERATE", IF(AND(FMECA[[#This Row],[Score]]&gt;=25, 35&gt;=FMECA[[#This Row],[Score]]), "HIGH", IF(AND(FMECA[[#This Row],[Score]]&gt;=36, 50&gt;=FMECA[[#This Row],[Score]]), "VERY HIGH", "Check Formula"))))</f>
        <v>MODERATE</v>
      </c>
      <c r="P253" s="232" t="s">
        <v>770</v>
      </c>
      <c r="Q253" s="12" t="s">
        <v>1162</v>
      </c>
      <c r="R253" s="12" t="s">
        <v>780</v>
      </c>
      <c r="S253" s="12" t="s">
        <v>1832</v>
      </c>
      <c r="T253" s="12" t="s">
        <v>793</v>
      </c>
      <c r="AA253" s="12" t="s">
        <v>1162</v>
      </c>
    </row>
    <row r="254" spans="1:27" s="12" customFormat="1" x14ac:dyDescent="0.2">
      <c r="A254" s="230" t="s">
        <v>146</v>
      </c>
      <c r="B254" s="12" t="s">
        <v>63</v>
      </c>
      <c r="C254" s="12" t="s">
        <v>73</v>
      </c>
      <c r="D254" s="12" t="s">
        <v>205</v>
      </c>
      <c r="E254" s="12" t="s">
        <v>193</v>
      </c>
      <c r="F254" s="231" t="s">
        <v>194</v>
      </c>
      <c r="G254" s="12" t="str">
        <f>_xlfn.XLOOKUP(FMECA[[#This Row],[HazardRisk_name]],categories[HazardRisk_Name],categories[HazardRisk])</f>
        <v>Risk</v>
      </c>
      <c r="H254" s="12" t="str">
        <f>_xlfn.XLOOKUP(FMECA[[#This Row],[HazardRisk_name]],categories[HazardRisk_Name],categories[Category])</f>
        <v>Navigational</v>
      </c>
      <c r="I254" s="12" t="s">
        <v>582</v>
      </c>
      <c r="J254" s="232">
        <v>4</v>
      </c>
      <c r="L254" s="232">
        <v>7</v>
      </c>
      <c r="N254" s="232">
        <f>FMECA[[#This Row],[probability_value]]*FMECA[[#This Row],[consequence_value]]</f>
        <v>28</v>
      </c>
      <c r="O254" s="232" t="str">
        <f>IF(AND(FMECA[[#This Row],[Score]]&gt;=0, 9&gt;=FMECA[[#This Row],[Score]]), "UNDETECTABLE", IF(AND(FMECA[[#This Row],[Score]]&gt;=10, 24&gt;=FMECA[[#This Row],[Score]]), "MODERATE", IF(AND(FMECA[[#This Row],[Score]]&gt;=25, 35&gt;=FMECA[[#This Row],[Score]]), "HIGH", IF(AND(FMECA[[#This Row],[Score]]&gt;=36, 50&gt;=FMECA[[#This Row],[Score]]), "VERY HIGH", "Check Formula"))))</f>
        <v>HIGH</v>
      </c>
      <c r="P254" s="232" t="s">
        <v>770</v>
      </c>
      <c r="Q254" s="12" t="s">
        <v>1162</v>
      </c>
      <c r="R254" s="12" t="s">
        <v>780</v>
      </c>
      <c r="S254" s="12" t="s">
        <v>1832</v>
      </c>
      <c r="T254" s="12" t="s">
        <v>793</v>
      </c>
      <c r="AA254" s="12" t="s">
        <v>1162</v>
      </c>
    </row>
    <row r="255" spans="1:27" s="12" customFormat="1" x14ac:dyDescent="0.2">
      <c r="A255" s="230" t="s">
        <v>146</v>
      </c>
      <c r="B255" s="12" t="s">
        <v>63</v>
      </c>
      <c r="C255" s="12" t="s">
        <v>73</v>
      </c>
      <c r="D255" s="12" t="s">
        <v>205</v>
      </c>
      <c r="E255" s="12" t="s">
        <v>193</v>
      </c>
      <c r="F255" s="231" t="s">
        <v>194</v>
      </c>
      <c r="G255" s="12" t="str">
        <f>_xlfn.XLOOKUP(FMECA[[#This Row],[HazardRisk_name]],categories[HazardRisk_Name],categories[HazardRisk])</f>
        <v>Risk</v>
      </c>
      <c r="H255" s="12" t="str">
        <f>_xlfn.XLOOKUP(FMECA[[#This Row],[HazardRisk_name]],categories[HazardRisk_Name],categories[Category])</f>
        <v>Navigational</v>
      </c>
      <c r="I255" s="12" t="s">
        <v>703</v>
      </c>
      <c r="J255" s="232"/>
      <c r="L255" s="232"/>
      <c r="N255" s="232">
        <f>FMECA[[#This Row],[probability_value]]*FMECA[[#This Row],[consequence_value]]</f>
        <v>0</v>
      </c>
      <c r="O255" s="232"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255" s="232" t="s">
        <v>770</v>
      </c>
      <c r="Q255" s="12" t="s">
        <v>1162</v>
      </c>
      <c r="R255" s="12" t="s">
        <v>780</v>
      </c>
      <c r="S255" s="12" t="s">
        <v>1832</v>
      </c>
      <c r="T255" s="12" t="s">
        <v>793</v>
      </c>
      <c r="AA255" s="12" t="s">
        <v>1162</v>
      </c>
    </row>
    <row r="256" spans="1:27" s="12" customFormat="1" x14ac:dyDescent="0.2">
      <c r="A256" s="230" t="s">
        <v>146</v>
      </c>
      <c r="B256" s="12" t="s">
        <v>63</v>
      </c>
      <c r="C256" s="12" t="s">
        <v>73</v>
      </c>
      <c r="D256" s="12" t="s">
        <v>205</v>
      </c>
      <c r="E256" s="12" t="s">
        <v>193</v>
      </c>
      <c r="F256" s="231" t="s">
        <v>194</v>
      </c>
      <c r="G256" s="12" t="str">
        <f>_xlfn.XLOOKUP(FMECA[[#This Row],[HazardRisk_name]],categories[HazardRisk_Name],categories[HazardRisk])</f>
        <v>Risk</v>
      </c>
      <c r="H256" s="12" t="str">
        <f>_xlfn.XLOOKUP(FMECA[[#This Row],[HazardRisk_name]],categories[HazardRisk_Name],categories[Category])</f>
        <v>Navigational</v>
      </c>
      <c r="I256" s="12" t="s">
        <v>705</v>
      </c>
      <c r="J256" s="232"/>
      <c r="L256" s="232"/>
      <c r="N256" s="232">
        <f>FMECA[[#This Row],[probability_value]]*FMECA[[#This Row],[consequence_value]]</f>
        <v>0</v>
      </c>
      <c r="O256" s="232"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256" s="232" t="s">
        <v>770</v>
      </c>
      <c r="Q256" s="12" t="s">
        <v>1162</v>
      </c>
      <c r="R256" s="12" t="s">
        <v>780</v>
      </c>
      <c r="S256" s="12" t="s">
        <v>1832</v>
      </c>
      <c r="T256" s="12" t="s">
        <v>793</v>
      </c>
      <c r="AA256" s="12" t="s">
        <v>1162</v>
      </c>
    </row>
    <row r="257" spans="1:27" s="12" customFormat="1" x14ac:dyDescent="0.2">
      <c r="A257" s="230" t="s">
        <v>146</v>
      </c>
      <c r="B257" s="12" t="s">
        <v>63</v>
      </c>
      <c r="C257" s="12" t="s">
        <v>73</v>
      </c>
      <c r="D257" s="12" t="s">
        <v>205</v>
      </c>
      <c r="E257" s="12" t="s">
        <v>193</v>
      </c>
      <c r="F257" s="231" t="s">
        <v>194</v>
      </c>
      <c r="G257" s="12" t="str">
        <f>_xlfn.XLOOKUP(FMECA[[#This Row],[HazardRisk_name]],categories[HazardRisk_Name],categories[HazardRisk])</f>
        <v>Risk</v>
      </c>
      <c r="H257" s="12" t="str">
        <f>_xlfn.XLOOKUP(FMECA[[#This Row],[HazardRisk_name]],categories[HazardRisk_Name],categories[Category])</f>
        <v>Navigational</v>
      </c>
      <c r="I257" s="12" t="s">
        <v>589</v>
      </c>
      <c r="J257" s="232">
        <v>4</v>
      </c>
      <c r="L257" s="232">
        <v>7</v>
      </c>
      <c r="N257" s="232">
        <f>FMECA[[#This Row],[probability_value]]*FMECA[[#This Row],[consequence_value]]</f>
        <v>28</v>
      </c>
      <c r="O257" s="232" t="str">
        <f>IF(AND(FMECA[[#This Row],[Score]]&gt;=0, 9&gt;=FMECA[[#This Row],[Score]]), "UNDETECTABLE", IF(AND(FMECA[[#This Row],[Score]]&gt;=10, 24&gt;=FMECA[[#This Row],[Score]]), "MODERATE", IF(AND(FMECA[[#This Row],[Score]]&gt;=25, 35&gt;=FMECA[[#This Row],[Score]]), "HIGH", IF(AND(FMECA[[#This Row],[Score]]&gt;=36, 50&gt;=FMECA[[#This Row],[Score]]), "VERY HIGH", "Check Formula"))))</f>
        <v>HIGH</v>
      </c>
      <c r="P257" s="232" t="s">
        <v>770</v>
      </c>
      <c r="Q257" s="12" t="s">
        <v>1162</v>
      </c>
      <c r="R257" s="12" t="s">
        <v>780</v>
      </c>
      <c r="S257" s="12" t="s">
        <v>1832</v>
      </c>
      <c r="T257" s="12" t="s">
        <v>793</v>
      </c>
      <c r="AA257" s="12" t="s">
        <v>1162</v>
      </c>
    </row>
    <row r="258" spans="1:27" s="12" customFormat="1" x14ac:dyDescent="0.2">
      <c r="A258" s="230" t="s">
        <v>146</v>
      </c>
      <c r="B258" s="12" t="s">
        <v>63</v>
      </c>
      <c r="C258" s="12" t="s">
        <v>73</v>
      </c>
      <c r="D258" s="12" t="s">
        <v>205</v>
      </c>
      <c r="E258" s="12" t="s">
        <v>193</v>
      </c>
      <c r="F258" s="231" t="s">
        <v>194</v>
      </c>
      <c r="G258" s="12" t="str">
        <f>_xlfn.XLOOKUP(FMECA[[#This Row],[HazardRisk_name]],categories[HazardRisk_Name],categories[HazardRisk])</f>
        <v>Risk</v>
      </c>
      <c r="H258" s="12" t="str">
        <f>_xlfn.XLOOKUP(FMECA[[#This Row],[HazardRisk_name]],categories[HazardRisk_Name],categories[Category])</f>
        <v>Navigational</v>
      </c>
      <c r="I258" s="12" t="s">
        <v>586</v>
      </c>
      <c r="J258" s="232">
        <v>4</v>
      </c>
      <c r="L258" s="232">
        <v>7</v>
      </c>
      <c r="N258" s="232">
        <f>FMECA[[#This Row],[probability_value]]*FMECA[[#This Row],[consequence_value]]</f>
        <v>28</v>
      </c>
      <c r="O258" s="232" t="str">
        <f>IF(AND(FMECA[[#This Row],[Score]]&gt;=0, 9&gt;=FMECA[[#This Row],[Score]]), "UNDETECTABLE", IF(AND(FMECA[[#This Row],[Score]]&gt;=10, 24&gt;=FMECA[[#This Row],[Score]]), "MODERATE", IF(AND(FMECA[[#This Row],[Score]]&gt;=25, 35&gt;=FMECA[[#This Row],[Score]]), "HIGH", IF(AND(FMECA[[#This Row],[Score]]&gt;=36, 50&gt;=FMECA[[#This Row],[Score]]), "VERY HIGH", "Check Formula"))))</f>
        <v>HIGH</v>
      </c>
      <c r="P258" s="232" t="s">
        <v>770</v>
      </c>
      <c r="Q258" s="12" t="s">
        <v>1162</v>
      </c>
      <c r="R258" s="12" t="s">
        <v>780</v>
      </c>
      <c r="S258" s="12" t="s">
        <v>1832</v>
      </c>
      <c r="T258" s="12" t="s">
        <v>793</v>
      </c>
      <c r="AA258" s="12" t="s">
        <v>1162</v>
      </c>
    </row>
    <row r="259" spans="1:27" x14ac:dyDescent="0.2">
      <c r="A259" s="225" t="s">
        <v>147</v>
      </c>
      <c r="B259" t="s">
        <v>63</v>
      </c>
      <c r="C259" t="s">
        <v>73</v>
      </c>
      <c r="D259" t="s">
        <v>206</v>
      </c>
      <c r="E259" t="s">
        <v>195</v>
      </c>
      <c r="F259" s="226" t="s">
        <v>196</v>
      </c>
      <c r="G259" t="e">
        <f>_xlfn.XLOOKUP(FMECA[[#This Row],[HazardRisk_name]],categories[HazardRisk_Name],categories[HazardRisk])</f>
        <v>#N/A</v>
      </c>
      <c r="H259" t="e">
        <f>_xlfn.XLOOKUP(FMECA[[#This Row],[HazardRisk_name]],categories[HazardRisk_Name],categories[Category])</f>
        <v>#N/A</v>
      </c>
      <c r="I259" t="s">
        <v>668</v>
      </c>
      <c r="J259" s="10">
        <v>3</v>
      </c>
      <c r="K259" t="s">
        <v>2126</v>
      </c>
      <c r="L259" s="10">
        <v>7</v>
      </c>
      <c r="M259" t="s">
        <v>2127</v>
      </c>
      <c r="N259" s="10">
        <f>FMECA[[#This Row],[probability_value]]*FMECA[[#This Row],[consequence_value]]</f>
        <v>21</v>
      </c>
      <c r="O25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59" s="10" t="s">
        <v>777</v>
      </c>
      <c r="Q259" t="s">
        <v>778</v>
      </c>
      <c r="R259" t="s">
        <v>780</v>
      </c>
      <c r="S259" t="s">
        <v>1162</v>
      </c>
      <c r="T259" t="s">
        <v>1132</v>
      </c>
    </row>
    <row r="260" spans="1:27" x14ac:dyDescent="0.2">
      <c r="A260" s="225" t="s">
        <v>147</v>
      </c>
      <c r="B260" t="s">
        <v>63</v>
      </c>
      <c r="C260" t="s">
        <v>73</v>
      </c>
      <c r="D260" t="s">
        <v>206</v>
      </c>
      <c r="E260" t="s">
        <v>195</v>
      </c>
      <c r="F260" s="226" t="s">
        <v>196</v>
      </c>
      <c r="G260" t="str">
        <f>_xlfn.XLOOKUP(FMECA[[#This Row],[HazardRisk_name]],categories[HazardRisk_Name],categories[HazardRisk])</f>
        <v>Risk</v>
      </c>
      <c r="H260" t="str">
        <f>_xlfn.XLOOKUP(FMECA[[#This Row],[HazardRisk_name]],categories[HazardRisk_Name],categories[Category])</f>
        <v>Economic</v>
      </c>
      <c r="I260" t="s">
        <v>642</v>
      </c>
      <c r="J260" s="10">
        <v>3</v>
      </c>
      <c r="K260" t="s">
        <v>2125</v>
      </c>
      <c r="L260" s="10">
        <v>7</v>
      </c>
      <c r="M260" t="s">
        <v>2125</v>
      </c>
      <c r="N260" s="10">
        <f>FMECA[[#This Row],[probability_value]]*FMECA[[#This Row],[consequence_value]]</f>
        <v>21</v>
      </c>
      <c r="O26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60" s="10" t="s">
        <v>777</v>
      </c>
      <c r="Q260" t="s">
        <v>778</v>
      </c>
      <c r="R260" t="s">
        <v>780</v>
      </c>
      <c r="S260" t="s">
        <v>1162</v>
      </c>
      <c r="T260" t="s">
        <v>1132</v>
      </c>
    </row>
    <row r="261" spans="1:27" x14ac:dyDescent="0.2">
      <c r="A261" s="225" t="s">
        <v>147</v>
      </c>
      <c r="B261" t="s">
        <v>63</v>
      </c>
      <c r="C261" t="s">
        <v>73</v>
      </c>
      <c r="D261" t="s">
        <v>206</v>
      </c>
      <c r="E261" t="s">
        <v>195</v>
      </c>
      <c r="F261" s="226" t="s">
        <v>196</v>
      </c>
      <c r="G261" t="str">
        <f>_xlfn.XLOOKUP(FMECA[[#This Row],[HazardRisk_name]],categories[HazardRisk_Name],categories[HazardRisk])</f>
        <v>Risk</v>
      </c>
      <c r="H261" t="str">
        <f>_xlfn.XLOOKUP(FMECA[[#This Row],[HazardRisk_name]],categories[HazardRisk_Name],categories[Category])</f>
        <v>Assessment</v>
      </c>
      <c r="I261" t="s">
        <v>667</v>
      </c>
      <c r="J261" s="10">
        <v>4</v>
      </c>
      <c r="K261" t="s">
        <v>2129</v>
      </c>
      <c r="L261" s="10">
        <v>7</v>
      </c>
      <c r="M261" t="s">
        <v>2129</v>
      </c>
      <c r="N261" s="10">
        <f>FMECA[[#This Row],[probability_value]]*FMECA[[#This Row],[consequence_value]]</f>
        <v>28</v>
      </c>
      <c r="O261" s="10" t="str">
        <f>IF(AND(FMECA[[#This Row],[Score]]&gt;=0, 9&gt;=FMECA[[#This Row],[Score]]), "UNDETECTABLE", IF(AND(FMECA[[#This Row],[Score]]&gt;=10, 24&gt;=FMECA[[#This Row],[Score]]), "MODERATE", IF(AND(FMECA[[#This Row],[Score]]&gt;=25, 35&gt;=FMECA[[#This Row],[Score]]), "HIGH", IF(AND(FMECA[[#This Row],[Score]]&gt;=36, 50&gt;=FMECA[[#This Row],[Score]]), "VERY HIGH", "Check Formula"))))</f>
        <v>HIGH</v>
      </c>
      <c r="P261" s="10" t="s">
        <v>777</v>
      </c>
      <c r="Q261" t="s">
        <v>778</v>
      </c>
      <c r="R261" t="s">
        <v>780</v>
      </c>
      <c r="S261" t="s">
        <v>1162</v>
      </c>
      <c r="T261" t="s">
        <v>1132</v>
      </c>
    </row>
    <row r="262" spans="1:27" x14ac:dyDescent="0.2">
      <c r="A262" s="225" t="s">
        <v>147</v>
      </c>
      <c r="B262" t="s">
        <v>63</v>
      </c>
      <c r="C262" t="s">
        <v>73</v>
      </c>
      <c r="D262" t="s">
        <v>206</v>
      </c>
      <c r="E262" t="s">
        <v>195</v>
      </c>
      <c r="F262" s="226" t="s">
        <v>196</v>
      </c>
      <c r="G262" t="str">
        <f>_xlfn.XLOOKUP(FMECA[[#This Row],[HazardRisk_name]],categories[HazardRisk_Name],categories[HazardRisk])</f>
        <v>Risk</v>
      </c>
      <c r="H262" t="str">
        <f>_xlfn.XLOOKUP(FMECA[[#This Row],[HazardRisk_name]],categories[HazardRisk_Name],categories[Category])</f>
        <v>Assessment</v>
      </c>
      <c r="I262" t="s">
        <v>708</v>
      </c>
      <c r="J262" s="10">
        <v>5</v>
      </c>
      <c r="K262" t="s">
        <v>2128</v>
      </c>
      <c r="L262" s="10">
        <v>4</v>
      </c>
      <c r="M262" t="s">
        <v>2128</v>
      </c>
      <c r="N262" s="10">
        <f>FMECA[[#This Row],[probability_value]]*FMECA[[#This Row],[consequence_value]]</f>
        <v>20</v>
      </c>
      <c r="O26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62" s="10" t="s">
        <v>777</v>
      </c>
      <c r="Q262" t="s">
        <v>778</v>
      </c>
      <c r="R262" t="s">
        <v>780</v>
      </c>
      <c r="S262" t="s">
        <v>1162</v>
      </c>
      <c r="T262" t="s">
        <v>1132</v>
      </c>
    </row>
    <row r="263" spans="1:27" x14ac:dyDescent="0.2">
      <c r="A263" s="225" t="s">
        <v>147</v>
      </c>
      <c r="B263" t="s">
        <v>63</v>
      </c>
      <c r="C263" t="s">
        <v>73</v>
      </c>
      <c r="D263" t="s">
        <v>206</v>
      </c>
      <c r="E263" t="s">
        <v>195</v>
      </c>
      <c r="F263" s="226" t="s">
        <v>196</v>
      </c>
      <c r="G263" t="str">
        <f>_xlfn.XLOOKUP(FMECA[[#This Row],[HazardRisk_name]],categories[HazardRisk_Name],categories[HazardRisk])</f>
        <v>Risk</v>
      </c>
      <c r="H263" t="str">
        <f>_xlfn.XLOOKUP(FMECA[[#This Row],[HazardRisk_name]],categories[HazardRisk_Name],categories[Category])</f>
        <v>Political</v>
      </c>
      <c r="I263" t="s">
        <v>476</v>
      </c>
      <c r="J263" s="10">
        <v>4</v>
      </c>
      <c r="K263" t="s">
        <v>2130</v>
      </c>
      <c r="L263" s="10">
        <v>7</v>
      </c>
      <c r="M263" t="s">
        <v>2130</v>
      </c>
      <c r="N263" s="10">
        <f>FMECA[[#This Row],[probability_value]]*FMECA[[#This Row],[consequence_value]]</f>
        <v>28</v>
      </c>
      <c r="O263" s="10" t="str">
        <f>IF(AND(FMECA[[#This Row],[Score]]&gt;=0, 9&gt;=FMECA[[#This Row],[Score]]), "UNDETECTABLE", IF(AND(FMECA[[#This Row],[Score]]&gt;=10, 24&gt;=FMECA[[#This Row],[Score]]), "MODERATE", IF(AND(FMECA[[#This Row],[Score]]&gt;=25, 35&gt;=FMECA[[#This Row],[Score]]), "HIGH", IF(AND(FMECA[[#This Row],[Score]]&gt;=36, 50&gt;=FMECA[[#This Row],[Score]]), "VERY HIGH", "Check Formula"))))</f>
        <v>HIGH</v>
      </c>
      <c r="P263" s="10" t="s">
        <v>777</v>
      </c>
      <c r="Q263" t="s">
        <v>778</v>
      </c>
      <c r="R263" t="s">
        <v>780</v>
      </c>
      <c r="S263" t="s">
        <v>1162</v>
      </c>
      <c r="T263" t="s">
        <v>1132</v>
      </c>
      <c r="W263" t="s">
        <v>2131</v>
      </c>
      <c r="X263" t="s">
        <v>466</v>
      </c>
    </row>
    <row r="264" spans="1:27" x14ac:dyDescent="0.2">
      <c r="A264" s="225" t="s">
        <v>147</v>
      </c>
      <c r="B264" t="s">
        <v>63</v>
      </c>
      <c r="C264" t="s">
        <v>73</v>
      </c>
      <c r="D264" t="s">
        <v>206</v>
      </c>
      <c r="E264" t="s">
        <v>195</v>
      </c>
      <c r="F264" s="226" t="s">
        <v>196</v>
      </c>
      <c r="G264" t="str">
        <f>_xlfn.XLOOKUP(FMECA[[#This Row],[HazardRisk_name]],categories[HazardRisk_Name],categories[HazardRisk])</f>
        <v>Risk</v>
      </c>
      <c r="H264" t="str">
        <f>_xlfn.XLOOKUP(FMECA[[#This Row],[HazardRisk_name]],categories[HazardRisk_Name],categories[Category])</f>
        <v>Community</v>
      </c>
      <c r="I264" t="s">
        <v>728</v>
      </c>
      <c r="J264" s="10">
        <v>5</v>
      </c>
      <c r="K264" t="s">
        <v>2133</v>
      </c>
      <c r="L264" s="10">
        <v>4</v>
      </c>
      <c r="M264" t="s">
        <v>2133</v>
      </c>
      <c r="N264" s="10">
        <f>FMECA[[#This Row],[probability_value]]*FMECA[[#This Row],[consequence_value]]</f>
        <v>20</v>
      </c>
      <c r="O26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64" s="10" t="s">
        <v>777</v>
      </c>
      <c r="Q264" t="s">
        <v>778</v>
      </c>
      <c r="R264" t="s">
        <v>780</v>
      </c>
      <c r="S264" t="s">
        <v>1162</v>
      </c>
      <c r="T264" t="s">
        <v>1132</v>
      </c>
    </row>
    <row r="265" spans="1:27" x14ac:dyDescent="0.2">
      <c r="A265" s="225" t="s">
        <v>147</v>
      </c>
      <c r="B265" t="s">
        <v>63</v>
      </c>
      <c r="C265" t="s">
        <v>73</v>
      </c>
      <c r="D265" t="s">
        <v>206</v>
      </c>
      <c r="E265" t="s">
        <v>195</v>
      </c>
      <c r="F265" s="226" t="s">
        <v>196</v>
      </c>
      <c r="G265" t="str">
        <f>_xlfn.XLOOKUP(FMECA[[#This Row],[HazardRisk_name]],categories[HazardRisk_Name],categories[HazardRisk])</f>
        <v>Risk</v>
      </c>
      <c r="H265" t="str">
        <f>_xlfn.XLOOKUP(FMECA[[#This Row],[HazardRisk_name]],categories[HazardRisk_Name],categories[Category])</f>
        <v>Navigational</v>
      </c>
      <c r="I265" t="s">
        <v>474</v>
      </c>
      <c r="J265" s="10">
        <v>4</v>
      </c>
      <c r="K265" t="s">
        <v>2134</v>
      </c>
      <c r="L265" s="10">
        <v>4</v>
      </c>
      <c r="M265" t="s">
        <v>2134</v>
      </c>
      <c r="N265" s="10">
        <f>FMECA[[#This Row],[probability_value]]*FMECA[[#This Row],[consequence_value]]</f>
        <v>16</v>
      </c>
      <c r="O26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65" s="10" t="s">
        <v>777</v>
      </c>
      <c r="Q265" t="s">
        <v>778</v>
      </c>
      <c r="R265" t="s">
        <v>780</v>
      </c>
      <c r="S265" t="s">
        <v>1162</v>
      </c>
      <c r="T265" t="s">
        <v>1132</v>
      </c>
    </row>
    <row r="266" spans="1:27" x14ac:dyDescent="0.2">
      <c r="A266" s="225" t="s">
        <v>147</v>
      </c>
      <c r="B266" t="s">
        <v>63</v>
      </c>
      <c r="C266" t="s">
        <v>73</v>
      </c>
      <c r="D266" t="s">
        <v>206</v>
      </c>
      <c r="E266" t="s">
        <v>195</v>
      </c>
      <c r="F266" s="226" t="s">
        <v>196</v>
      </c>
      <c r="G266" t="str">
        <f>_xlfn.XLOOKUP(FMECA[[#This Row],[HazardRisk_name]],categories[HazardRisk_Name],categories[HazardRisk])</f>
        <v>Risk</v>
      </c>
      <c r="H266" t="str">
        <f>_xlfn.XLOOKUP(FMECA[[#This Row],[HazardRisk_name]],categories[HazardRisk_Name],categories[Category])</f>
        <v>Pollutants</v>
      </c>
      <c r="I266" t="s">
        <v>627</v>
      </c>
      <c r="J266" s="10">
        <v>3</v>
      </c>
      <c r="K266" t="s">
        <v>2135</v>
      </c>
      <c r="L266" s="10">
        <v>10</v>
      </c>
      <c r="M266" t="s">
        <v>2135</v>
      </c>
      <c r="N266" s="10">
        <f>FMECA[[#This Row],[probability_value]]*FMECA[[#This Row],[consequence_value]]</f>
        <v>30</v>
      </c>
      <c r="O266" s="10" t="str">
        <f>IF(AND(FMECA[[#This Row],[Score]]&gt;=0, 9&gt;=FMECA[[#This Row],[Score]]), "UNDETECTABLE", IF(AND(FMECA[[#This Row],[Score]]&gt;=10, 24&gt;=FMECA[[#This Row],[Score]]), "MODERATE", IF(AND(FMECA[[#This Row],[Score]]&gt;=25, 35&gt;=FMECA[[#This Row],[Score]]), "HIGH", IF(AND(FMECA[[#This Row],[Score]]&gt;=36, 50&gt;=FMECA[[#This Row],[Score]]), "VERY HIGH", "Check Formula"))))</f>
        <v>HIGH</v>
      </c>
      <c r="P266" s="10" t="s">
        <v>777</v>
      </c>
      <c r="Q266" t="s">
        <v>778</v>
      </c>
      <c r="R266" t="s">
        <v>780</v>
      </c>
      <c r="S266" t="s">
        <v>1162</v>
      </c>
      <c r="T266" t="s">
        <v>1132</v>
      </c>
    </row>
    <row r="267" spans="1:27" x14ac:dyDescent="0.2">
      <c r="A267" s="225" t="s">
        <v>147</v>
      </c>
      <c r="B267" t="s">
        <v>63</v>
      </c>
      <c r="C267" t="s">
        <v>73</v>
      </c>
      <c r="D267" t="s">
        <v>206</v>
      </c>
      <c r="E267" t="s">
        <v>195</v>
      </c>
      <c r="F267" s="226" t="s">
        <v>196</v>
      </c>
      <c r="G267" t="str">
        <f>_xlfn.XLOOKUP(FMECA[[#This Row],[HazardRisk_name]],categories[HazardRisk_Name],categories[HazardRisk])</f>
        <v>Risk</v>
      </c>
      <c r="H267" t="str">
        <f>_xlfn.XLOOKUP(FMECA[[#This Row],[HazardRisk_name]],categories[HazardRisk_Name],categories[Category])</f>
        <v>Pollutants</v>
      </c>
      <c r="I267" t="s">
        <v>669</v>
      </c>
      <c r="J267" s="10">
        <v>2</v>
      </c>
      <c r="K267" t="s">
        <v>2132</v>
      </c>
      <c r="L267" s="10">
        <v>10</v>
      </c>
      <c r="M267" t="s">
        <v>2132</v>
      </c>
      <c r="N267" s="10">
        <f>FMECA[[#This Row],[probability_value]]*FMECA[[#This Row],[consequence_value]]</f>
        <v>20</v>
      </c>
      <c r="O26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67" s="10" t="s">
        <v>777</v>
      </c>
      <c r="Q267" t="s">
        <v>778</v>
      </c>
      <c r="R267" t="s">
        <v>780</v>
      </c>
      <c r="S267" t="s">
        <v>1162</v>
      </c>
      <c r="T267" t="s">
        <v>1132</v>
      </c>
    </row>
    <row r="268" spans="1:27" x14ac:dyDescent="0.2">
      <c r="A268" s="225" t="s">
        <v>148</v>
      </c>
      <c r="B268" t="s">
        <v>63</v>
      </c>
      <c r="C268" t="s">
        <v>73</v>
      </c>
      <c r="D268" t="s">
        <v>207</v>
      </c>
      <c r="E268" t="s">
        <v>197</v>
      </c>
      <c r="F268" s="226" t="s">
        <v>198</v>
      </c>
      <c r="G268" t="str">
        <f>_xlfn.XLOOKUP(FMECA[[#This Row],[HazardRisk_name]],categories[HazardRisk_Name],categories[HazardRisk])</f>
        <v>Risk</v>
      </c>
      <c r="H268" t="str">
        <f>_xlfn.XLOOKUP(FMECA[[#This Row],[HazardRisk_name]],categories[HazardRisk_Name],categories[Category])</f>
        <v>Pollutants</v>
      </c>
      <c r="I268" t="s">
        <v>547</v>
      </c>
      <c r="J268" s="10">
        <v>5</v>
      </c>
      <c r="K268" t="s">
        <v>2137</v>
      </c>
      <c r="L268" s="10">
        <v>7</v>
      </c>
      <c r="M268" t="s">
        <v>2137</v>
      </c>
      <c r="N268" s="10">
        <f>FMECA[[#This Row],[probability_value]]*FMECA[[#This Row],[consequence_value]]</f>
        <v>35</v>
      </c>
      <c r="O268" s="10" t="str">
        <f>IF(AND(FMECA[[#This Row],[Score]]&gt;=0, 9&gt;=FMECA[[#This Row],[Score]]), "UNDETECTABLE", IF(AND(FMECA[[#This Row],[Score]]&gt;=10, 24&gt;=FMECA[[#This Row],[Score]]), "MODERATE", IF(AND(FMECA[[#This Row],[Score]]&gt;=25, 35&gt;=FMECA[[#This Row],[Score]]), "HIGH", IF(AND(FMECA[[#This Row],[Score]]&gt;=36, 50&gt;=FMECA[[#This Row],[Score]]), "VERY HIGH", "Check Formula"))))</f>
        <v>HIGH</v>
      </c>
      <c r="P268" s="10" t="s">
        <v>777</v>
      </c>
      <c r="Q268" t="s">
        <v>778</v>
      </c>
      <c r="R268" t="s">
        <v>780</v>
      </c>
      <c r="S268" t="s">
        <v>1833</v>
      </c>
      <c r="W268" t="s">
        <v>2141</v>
      </c>
      <c r="X268" t="s">
        <v>466</v>
      </c>
    </row>
    <row r="269" spans="1:27" x14ac:dyDescent="0.2">
      <c r="A269" s="225" t="s">
        <v>148</v>
      </c>
      <c r="B269" t="s">
        <v>63</v>
      </c>
      <c r="C269" t="s">
        <v>73</v>
      </c>
      <c r="D269" t="s">
        <v>207</v>
      </c>
      <c r="E269" t="s">
        <v>197</v>
      </c>
      <c r="F269" s="226" t="s">
        <v>198</v>
      </c>
      <c r="G269" t="str">
        <f>_xlfn.XLOOKUP(FMECA[[#This Row],[HazardRisk_name]],categories[HazardRisk_Name],categories[HazardRisk])</f>
        <v>Risk</v>
      </c>
      <c r="H269" t="str">
        <f>_xlfn.XLOOKUP(FMECA[[#This Row],[HazardRisk_name]],categories[HazardRisk_Name],categories[Category])</f>
        <v>Community</v>
      </c>
      <c r="I269" t="s">
        <v>670</v>
      </c>
      <c r="J269" s="10">
        <v>4</v>
      </c>
      <c r="K269" t="s">
        <v>2136</v>
      </c>
      <c r="L269" s="10">
        <v>7</v>
      </c>
      <c r="M269" t="s">
        <v>2136</v>
      </c>
      <c r="N269" s="10">
        <f>FMECA[[#This Row],[probability_value]]*FMECA[[#This Row],[consequence_value]]</f>
        <v>28</v>
      </c>
      <c r="O269" s="10" t="str">
        <f>IF(AND(FMECA[[#This Row],[Score]]&gt;=0, 9&gt;=FMECA[[#This Row],[Score]]), "UNDETECTABLE", IF(AND(FMECA[[#This Row],[Score]]&gt;=10, 24&gt;=FMECA[[#This Row],[Score]]), "MODERATE", IF(AND(FMECA[[#This Row],[Score]]&gt;=25, 35&gt;=FMECA[[#This Row],[Score]]), "HIGH", IF(AND(FMECA[[#This Row],[Score]]&gt;=36, 50&gt;=FMECA[[#This Row],[Score]]), "VERY HIGH", "Check Formula"))))</f>
        <v>HIGH</v>
      </c>
      <c r="P269" s="10" t="s">
        <v>777</v>
      </c>
      <c r="Q269" t="s">
        <v>778</v>
      </c>
      <c r="R269" t="s">
        <v>780</v>
      </c>
      <c r="S269" t="s">
        <v>1833</v>
      </c>
      <c r="U269" t="s">
        <v>2142</v>
      </c>
      <c r="V269" t="s">
        <v>466</v>
      </c>
      <c r="W269" t="s">
        <v>2143</v>
      </c>
      <c r="X269" t="s">
        <v>470</v>
      </c>
    </row>
    <row r="270" spans="1:27" x14ac:dyDescent="0.2">
      <c r="A270" s="225" t="s">
        <v>148</v>
      </c>
      <c r="B270" t="s">
        <v>63</v>
      </c>
      <c r="C270" t="s">
        <v>73</v>
      </c>
      <c r="D270" t="s">
        <v>207</v>
      </c>
      <c r="E270" t="s">
        <v>197</v>
      </c>
      <c r="F270" s="226" t="s">
        <v>198</v>
      </c>
      <c r="G270" t="str">
        <f>_xlfn.XLOOKUP(FMECA[[#This Row],[HazardRisk_name]],categories[HazardRisk_Name],categories[HazardRisk])</f>
        <v>Risk</v>
      </c>
      <c r="H270" t="str">
        <f>_xlfn.XLOOKUP(FMECA[[#This Row],[HazardRisk_name]],categories[HazardRisk_Name],categories[Category])</f>
        <v>Navigational</v>
      </c>
      <c r="I270" t="s">
        <v>635</v>
      </c>
      <c r="J270" s="10">
        <v>4</v>
      </c>
      <c r="K270" t="s">
        <v>2138</v>
      </c>
      <c r="L270" s="10">
        <v>7</v>
      </c>
      <c r="M270" t="s">
        <v>2138</v>
      </c>
      <c r="N270" s="10">
        <f>FMECA[[#This Row],[probability_value]]*FMECA[[#This Row],[consequence_value]]</f>
        <v>28</v>
      </c>
      <c r="O270" s="10" t="str">
        <f>IF(AND(FMECA[[#This Row],[Score]]&gt;=0, 9&gt;=FMECA[[#This Row],[Score]]), "UNDETECTABLE", IF(AND(FMECA[[#This Row],[Score]]&gt;=10, 24&gt;=FMECA[[#This Row],[Score]]), "MODERATE", IF(AND(FMECA[[#This Row],[Score]]&gt;=25, 35&gt;=FMECA[[#This Row],[Score]]), "HIGH", IF(AND(FMECA[[#This Row],[Score]]&gt;=36, 50&gt;=FMECA[[#This Row],[Score]]), "VERY HIGH", "Check Formula"))))</f>
        <v>HIGH</v>
      </c>
      <c r="P270" s="10" t="s">
        <v>777</v>
      </c>
      <c r="Q270" t="s">
        <v>778</v>
      </c>
      <c r="R270" t="s">
        <v>780</v>
      </c>
      <c r="S270" t="s">
        <v>1833</v>
      </c>
      <c r="W270" t="s">
        <v>2144</v>
      </c>
    </row>
    <row r="271" spans="1:27" x14ac:dyDescent="0.2">
      <c r="A271" s="225" t="s">
        <v>148</v>
      </c>
      <c r="B271" t="s">
        <v>63</v>
      </c>
      <c r="C271" t="s">
        <v>73</v>
      </c>
      <c r="D271" t="s">
        <v>207</v>
      </c>
      <c r="E271" t="s">
        <v>197</v>
      </c>
      <c r="F271" s="226" t="s">
        <v>198</v>
      </c>
      <c r="G271" t="str">
        <f>_xlfn.XLOOKUP(FMECA[[#This Row],[HazardRisk_name]],categories[HazardRisk_Name],categories[HazardRisk])</f>
        <v>Risk</v>
      </c>
      <c r="H271" t="str">
        <f>_xlfn.XLOOKUP(FMECA[[#This Row],[HazardRisk_name]],categories[HazardRisk_Name],categories[Category])</f>
        <v>Pollutants</v>
      </c>
      <c r="I271" t="s">
        <v>627</v>
      </c>
      <c r="J271" s="10"/>
      <c r="L271" s="10"/>
      <c r="N271" s="10">
        <f>FMECA[[#This Row],[probability_value]]*FMECA[[#This Row],[consequence_value]]</f>
        <v>0</v>
      </c>
      <c r="O271"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271" s="10" t="s">
        <v>777</v>
      </c>
      <c r="Q271" t="s">
        <v>778</v>
      </c>
      <c r="R271" t="s">
        <v>780</v>
      </c>
      <c r="S271" t="s">
        <v>1833</v>
      </c>
      <c r="W271" t="s">
        <v>2145</v>
      </c>
      <c r="X271" t="s">
        <v>470</v>
      </c>
    </row>
    <row r="272" spans="1:27" x14ac:dyDescent="0.2">
      <c r="A272" s="225" t="s">
        <v>148</v>
      </c>
      <c r="B272" t="s">
        <v>63</v>
      </c>
      <c r="C272" t="s">
        <v>73</v>
      </c>
      <c r="D272" t="s">
        <v>207</v>
      </c>
      <c r="E272" t="s">
        <v>197</v>
      </c>
      <c r="F272" s="226" t="s">
        <v>198</v>
      </c>
      <c r="G272" t="str">
        <f>_xlfn.XLOOKUP(FMECA[[#This Row],[HazardRisk_name]],categories[HazardRisk_Name],categories[HazardRisk])</f>
        <v>Hazard</v>
      </c>
      <c r="H272" t="str">
        <f>_xlfn.XLOOKUP(FMECA[[#This Row],[HazardRisk_name]],categories[HazardRisk_Name],categories[Category])</f>
        <v>Pollutants</v>
      </c>
      <c r="I272" t="s">
        <v>630</v>
      </c>
      <c r="J272" s="10">
        <v>5</v>
      </c>
      <c r="K272" t="s">
        <v>2138</v>
      </c>
      <c r="L272" s="10">
        <v>7</v>
      </c>
      <c r="M272" t="s">
        <v>2138</v>
      </c>
      <c r="N272" s="10">
        <f>FMECA[[#This Row],[probability_value]]*FMECA[[#This Row],[consequence_value]]</f>
        <v>35</v>
      </c>
      <c r="O272" s="10" t="str">
        <f>IF(AND(FMECA[[#This Row],[Score]]&gt;=0, 9&gt;=FMECA[[#This Row],[Score]]), "UNDETECTABLE", IF(AND(FMECA[[#This Row],[Score]]&gt;=10, 24&gt;=FMECA[[#This Row],[Score]]), "MODERATE", IF(AND(FMECA[[#This Row],[Score]]&gt;=25, 35&gt;=FMECA[[#This Row],[Score]]), "HIGH", IF(AND(FMECA[[#This Row],[Score]]&gt;=36, 50&gt;=FMECA[[#This Row],[Score]]), "VERY HIGH", "Check Formula"))))</f>
        <v>HIGH</v>
      </c>
      <c r="P272" s="10" t="s">
        <v>777</v>
      </c>
      <c r="Q272" t="s">
        <v>778</v>
      </c>
      <c r="R272" t="s">
        <v>780</v>
      </c>
      <c r="S272" t="s">
        <v>1833</v>
      </c>
      <c r="W272" t="s">
        <v>2146</v>
      </c>
      <c r="X272" t="s">
        <v>470</v>
      </c>
    </row>
    <row r="273" spans="1:27" x14ac:dyDescent="0.2">
      <c r="A273" s="225" t="s">
        <v>148</v>
      </c>
      <c r="B273" t="s">
        <v>63</v>
      </c>
      <c r="C273" t="s">
        <v>73</v>
      </c>
      <c r="D273" t="s">
        <v>207</v>
      </c>
      <c r="E273" t="s">
        <v>197</v>
      </c>
      <c r="F273" s="226" t="s">
        <v>198</v>
      </c>
      <c r="G273" t="str">
        <f>_xlfn.XLOOKUP(FMECA[[#This Row],[HazardRisk_name]],categories[HazardRisk_Name],categories[HazardRisk])</f>
        <v>Hazard</v>
      </c>
      <c r="H273" t="str">
        <f>_xlfn.XLOOKUP(FMECA[[#This Row],[HazardRisk_name]],categories[HazardRisk_Name],categories[Category])</f>
        <v>Sea Ice</v>
      </c>
      <c r="I273" t="s">
        <v>563</v>
      </c>
      <c r="J273" s="10">
        <v>5</v>
      </c>
      <c r="K273" t="s">
        <v>2140</v>
      </c>
      <c r="L273" s="10">
        <v>7</v>
      </c>
      <c r="M273" t="s">
        <v>2140</v>
      </c>
      <c r="N273" s="10">
        <f>FMECA[[#This Row],[probability_value]]*FMECA[[#This Row],[consequence_value]]</f>
        <v>35</v>
      </c>
      <c r="O273" s="10" t="str">
        <f>IF(AND(FMECA[[#This Row],[Score]]&gt;=0, 9&gt;=FMECA[[#This Row],[Score]]), "UNDETECTABLE", IF(AND(FMECA[[#This Row],[Score]]&gt;=10, 24&gt;=FMECA[[#This Row],[Score]]), "MODERATE", IF(AND(FMECA[[#This Row],[Score]]&gt;=25, 35&gt;=FMECA[[#This Row],[Score]]), "HIGH", IF(AND(FMECA[[#This Row],[Score]]&gt;=36, 50&gt;=FMECA[[#This Row],[Score]]), "VERY HIGH", "Check Formula"))))</f>
        <v>HIGH</v>
      </c>
      <c r="P273" s="10" t="s">
        <v>777</v>
      </c>
      <c r="Q273" t="s">
        <v>778</v>
      </c>
      <c r="R273" t="s">
        <v>780</v>
      </c>
      <c r="S273" t="s">
        <v>1833</v>
      </c>
      <c r="U273" t="s">
        <v>2147</v>
      </c>
    </row>
    <row r="274" spans="1:27" x14ac:dyDescent="0.2">
      <c r="A274" s="225" t="s">
        <v>148</v>
      </c>
      <c r="B274" t="s">
        <v>63</v>
      </c>
      <c r="C274" t="s">
        <v>73</v>
      </c>
      <c r="D274" t="s">
        <v>207</v>
      </c>
      <c r="E274" t="s">
        <v>197</v>
      </c>
      <c r="F274" s="226" t="s">
        <v>198</v>
      </c>
      <c r="G274" t="str">
        <f>_xlfn.XLOOKUP(FMECA[[#This Row],[HazardRisk_name]],categories[HazardRisk_Name],categories[HazardRisk])</f>
        <v>Risk</v>
      </c>
      <c r="H274" t="str">
        <f>_xlfn.XLOOKUP(FMECA[[#This Row],[HazardRisk_name]],categories[HazardRisk_Name],categories[Category])</f>
        <v>Pollutants</v>
      </c>
      <c r="I274" t="s">
        <v>546</v>
      </c>
      <c r="J274" s="10">
        <v>5</v>
      </c>
      <c r="K274" t="s">
        <v>2139</v>
      </c>
      <c r="L274" s="10">
        <v>10</v>
      </c>
      <c r="M274" t="s">
        <v>2139</v>
      </c>
      <c r="N274" s="10">
        <f>FMECA[[#This Row],[probability_value]]*FMECA[[#This Row],[consequence_value]]</f>
        <v>50</v>
      </c>
      <c r="O274"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274" s="10" t="s">
        <v>777</v>
      </c>
      <c r="Q274" t="s">
        <v>778</v>
      </c>
      <c r="R274" t="s">
        <v>780</v>
      </c>
      <c r="S274" t="s">
        <v>1833</v>
      </c>
      <c r="U274" t="s">
        <v>2148</v>
      </c>
      <c r="W274" t="s">
        <v>2149</v>
      </c>
      <c r="X274" t="s">
        <v>466</v>
      </c>
    </row>
    <row r="275" spans="1:27" x14ac:dyDescent="0.2">
      <c r="A275" s="225" t="s">
        <v>148</v>
      </c>
      <c r="B275" t="s">
        <v>63</v>
      </c>
      <c r="C275" t="s">
        <v>73</v>
      </c>
      <c r="D275" t="s">
        <v>207</v>
      </c>
      <c r="E275" t="s">
        <v>197</v>
      </c>
      <c r="F275" s="226" t="s">
        <v>198</v>
      </c>
      <c r="G275" t="str">
        <f>_xlfn.XLOOKUP(FMECA[[#This Row],[HazardRisk_name]],categories[HazardRisk_Name],categories[HazardRisk])</f>
        <v>Risk</v>
      </c>
      <c r="H275" t="str">
        <f>_xlfn.XLOOKUP(FMECA[[#This Row],[HazardRisk_name]],categories[HazardRisk_Name],categories[Category])</f>
        <v>Pollutants</v>
      </c>
      <c r="I275" t="s">
        <v>640</v>
      </c>
      <c r="J275" s="10">
        <v>4</v>
      </c>
      <c r="K275" t="s">
        <v>2139</v>
      </c>
      <c r="L275" s="10">
        <v>4</v>
      </c>
      <c r="M275" t="s">
        <v>2139</v>
      </c>
      <c r="N275" s="10">
        <f>FMECA[[#This Row],[probability_value]]*FMECA[[#This Row],[consequence_value]]</f>
        <v>16</v>
      </c>
      <c r="O27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75" s="10" t="s">
        <v>777</v>
      </c>
      <c r="Q275" t="s">
        <v>778</v>
      </c>
      <c r="R275" t="s">
        <v>780</v>
      </c>
      <c r="S275" t="s">
        <v>1833</v>
      </c>
      <c r="U275" t="s">
        <v>2148</v>
      </c>
      <c r="W275" t="s">
        <v>2150</v>
      </c>
      <c r="X275" t="s">
        <v>466</v>
      </c>
    </row>
    <row r="276" spans="1:27" x14ac:dyDescent="0.2">
      <c r="A276" s="225" t="s">
        <v>149</v>
      </c>
      <c r="B276" t="s">
        <v>63</v>
      </c>
      <c r="C276" t="s">
        <v>249</v>
      </c>
      <c r="D276" t="s">
        <v>253</v>
      </c>
      <c r="E276" t="s">
        <v>255</v>
      </c>
      <c r="F276" s="233" t="s">
        <v>251</v>
      </c>
      <c r="G276" t="str">
        <f>_xlfn.XLOOKUP(FMECA[[#This Row],[HazardRisk_name]],categories[HazardRisk_Name],categories[HazardRisk])</f>
        <v>Risk</v>
      </c>
      <c r="H276" t="str">
        <f>_xlfn.XLOOKUP(FMECA[[#This Row],[HazardRisk_name]],categories[HazardRisk_Name],categories[Category])</f>
        <v>Economic</v>
      </c>
      <c r="I276" t="s">
        <v>672</v>
      </c>
      <c r="J276" s="10">
        <v>4</v>
      </c>
      <c r="K276" t="s">
        <v>2152</v>
      </c>
      <c r="L276" s="10">
        <v>7</v>
      </c>
      <c r="M276" t="s">
        <v>2152</v>
      </c>
      <c r="N276" s="10">
        <f>FMECA[[#This Row],[probability_value]]*FMECA[[#This Row],[consequence_value]]</f>
        <v>28</v>
      </c>
      <c r="O276" s="10" t="str">
        <f>IF(AND(FMECA[[#This Row],[Score]]&gt;=0, 9&gt;=FMECA[[#This Row],[Score]]), "UNDETECTABLE", IF(AND(FMECA[[#This Row],[Score]]&gt;=10, 24&gt;=FMECA[[#This Row],[Score]]), "MODERATE", IF(AND(FMECA[[#This Row],[Score]]&gt;=25, 35&gt;=FMECA[[#This Row],[Score]]), "HIGH", IF(AND(FMECA[[#This Row],[Score]]&gt;=36, 50&gt;=FMECA[[#This Row],[Score]]), "VERY HIGH", "Check Formula"))))</f>
        <v>HIGH</v>
      </c>
      <c r="P276" s="10" t="s">
        <v>770</v>
      </c>
      <c r="Q276" t="s">
        <v>1132</v>
      </c>
      <c r="R276" t="s">
        <v>780</v>
      </c>
      <c r="S276" t="s">
        <v>2151</v>
      </c>
    </row>
    <row r="277" spans="1:27" x14ac:dyDescent="0.2">
      <c r="A277" s="225" t="s">
        <v>149</v>
      </c>
      <c r="B277" t="s">
        <v>63</v>
      </c>
      <c r="C277" t="s">
        <v>249</v>
      </c>
      <c r="D277" t="s">
        <v>253</v>
      </c>
      <c r="E277" t="s">
        <v>255</v>
      </c>
      <c r="F277" s="233" t="s">
        <v>251</v>
      </c>
      <c r="G277" t="str">
        <f>_xlfn.XLOOKUP(FMECA[[#This Row],[HazardRisk_name]],categories[HazardRisk_Name],categories[HazardRisk])</f>
        <v>Risk</v>
      </c>
      <c r="H277" t="str">
        <f>_xlfn.XLOOKUP(FMECA[[#This Row],[HazardRisk_name]],categories[HazardRisk_Name],categories[Category])</f>
        <v>Sea Ice</v>
      </c>
      <c r="I277" t="s">
        <v>480</v>
      </c>
      <c r="J277" s="10">
        <v>5</v>
      </c>
      <c r="K277" t="s">
        <v>2153</v>
      </c>
      <c r="L277" s="10">
        <v>4</v>
      </c>
      <c r="M277" t="s">
        <v>2153</v>
      </c>
      <c r="N277" s="10">
        <f>FMECA[[#This Row],[probability_value]]*FMECA[[#This Row],[consequence_value]]</f>
        <v>20</v>
      </c>
      <c r="O27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77" s="10" t="s">
        <v>770</v>
      </c>
      <c r="Q277" t="s">
        <v>1132</v>
      </c>
      <c r="R277" t="s">
        <v>780</v>
      </c>
      <c r="S277" t="s">
        <v>2151</v>
      </c>
    </row>
    <row r="278" spans="1:27" x14ac:dyDescent="0.2">
      <c r="A278" s="225" t="s">
        <v>149</v>
      </c>
      <c r="B278" t="s">
        <v>63</v>
      </c>
      <c r="C278" t="s">
        <v>249</v>
      </c>
      <c r="D278" t="s">
        <v>253</v>
      </c>
      <c r="E278" t="s">
        <v>255</v>
      </c>
      <c r="F278" s="233" t="s">
        <v>251</v>
      </c>
      <c r="G278" t="str">
        <f>_xlfn.XLOOKUP(FMECA[[#This Row],[HazardRisk_name]],categories[HazardRisk_Name],categories[HazardRisk])</f>
        <v>Hazard</v>
      </c>
      <c r="H278" t="str">
        <f>_xlfn.XLOOKUP(FMECA[[#This Row],[HazardRisk_name]],categories[HazardRisk_Name],categories[Category])</f>
        <v>Environmental</v>
      </c>
      <c r="I278" t="s">
        <v>684</v>
      </c>
      <c r="J278" s="10">
        <v>5</v>
      </c>
      <c r="K278" t="s">
        <v>2153</v>
      </c>
      <c r="L278" s="10">
        <v>10</v>
      </c>
      <c r="M278" t="s">
        <v>2153</v>
      </c>
      <c r="N278" s="10">
        <f>FMECA[[#This Row],[probability_value]]*FMECA[[#This Row],[consequence_value]]</f>
        <v>50</v>
      </c>
      <c r="O278"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278" s="10" t="s">
        <v>770</v>
      </c>
      <c r="Q278" t="s">
        <v>1132</v>
      </c>
      <c r="R278" t="s">
        <v>780</v>
      </c>
      <c r="S278" t="s">
        <v>2151</v>
      </c>
    </row>
    <row r="279" spans="1:27" x14ac:dyDescent="0.2">
      <c r="A279" s="225" t="s">
        <v>149</v>
      </c>
      <c r="B279" t="s">
        <v>63</v>
      </c>
      <c r="C279" t="s">
        <v>249</v>
      </c>
      <c r="D279" t="s">
        <v>253</v>
      </c>
      <c r="E279" t="s">
        <v>255</v>
      </c>
      <c r="F279" s="233" t="s">
        <v>251</v>
      </c>
      <c r="G279" t="str">
        <f>_xlfn.XLOOKUP(FMECA[[#This Row],[HazardRisk_name]],categories[HazardRisk_Name],categories[HazardRisk])</f>
        <v>Risk</v>
      </c>
      <c r="H279" t="str">
        <f>_xlfn.XLOOKUP(FMECA[[#This Row],[HazardRisk_name]],categories[HazardRisk_Name],categories[Category])</f>
        <v>Environmental</v>
      </c>
      <c r="I279" t="s">
        <v>625</v>
      </c>
      <c r="J279" s="10">
        <v>4</v>
      </c>
      <c r="K279" t="s">
        <v>2153</v>
      </c>
      <c r="L279" s="10">
        <v>7</v>
      </c>
      <c r="M279" t="s">
        <v>2153</v>
      </c>
      <c r="N279" s="10">
        <f>FMECA[[#This Row],[probability_value]]*FMECA[[#This Row],[consequence_value]]</f>
        <v>28</v>
      </c>
      <c r="O279" s="10" t="str">
        <f>IF(AND(FMECA[[#This Row],[Score]]&gt;=0, 9&gt;=FMECA[[#This Row],[Score]]), "UNDETECTABLE", IF(AND(FMECA[[#This Row],[Score]]&gt;=10, 24&gt;=FMECA[[#This Row],[Score]]), "MODERATE", IF(AND(FMECA[[#This Row],[Score]]&gt;=25, 35&gt;=FMECA[[#This Row],[Score]]), "HIGH", IF(AND(FMECA[[#This Row],[Score]]&gt;=36, 50&gt;=FMECA[[#This Row],[Score]]), "VERY HIGH", "Check Formula"))))</f>
        <v>HIGH</v>
      </c>
      <c r="P279" s="10" t="s">
        <v>770</v>
      </c>
      <c r="Q279" t="s">
        <v>1132</v>
      </c>
      <c r="R279" t="s">
        <v>780</v>
      </c>
      <c r="S279" t="s">
        <v>2151</v>
      </c>
    </row>
    <row r="280" spans="1:27" x14ac:dyDescent="0.2">
      <c r="A280" s="225" t="s">
        <v>149</v>
      </c>
      <c r="B280" t="s">
        <v>63</v>
      </c>
      <c r="C280" t="s">
        <v>249</v>
      </c>
      <c r="D280" t="s">
        <v>253</v>
      </c>
      <c r="E280" t="s">
        <v>255</v>
      </c>
      <c r="F280" s="233" t="s">
        <v>251</v>
      </c>
      <c r="G280" t="str">
        <f>_xlfn.XLOOKUP(FMECA[[#This Row],[HazardRisk_name]],categories[HazardRisk_Name],categories[HazardRisk])</f>
        <v>Hazard</v>
      </c>
      <c r="H280" t="str">
        <f>_xlfn.XLOOKUP(FMECA[[#This Row],[HazardRisk_name]],categories[HazardRisk_Name],categories[Category])</f>
        <v>Operational</v>
      </c>
      <c r="I280" t="s">
        <v>1533</v>
      </c>
      <c r="J280" s="10">
        <v>5</v>
      </c>
      <c r="K280" t="s">
        <v>2153</v>
      </c>
      <c r="L280" s="10">
        <v>10</v>
      </c>
      <c r="M280" t="s">
        <v>2153</v>
      </c>
      <c r="N280" s="10">
        <f>FMECA[[#This Row],[probability_value]]*FMECA[[#This Row],[consequence_value]]</f>
        <v>50</v>
      </c>
      <c r="O280"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280" s="10" t="s">
        <v>770</v>
      </c>
      <c r="Q280" t="s">
        <v>1132</v>
      </c>
      <c r="R280" t="s">
        <v>780</v>
      </c>
      <c r="S280" t="s">
        <v>2151</v>
      </c>
    </row>
    <row r="281" spans="1:27" x14ac:dyDescent="0.2">
      <c r="A281" s="225" t="s">
        <v>149</v>
      </c>
      <c r="B281" t="s">
        <v>63</v>
      </c>
      <c r="C281" t="s">
        <v>249</v>
      </c>
      <c r="D281" t="s">
        <v>253</v>
      </c>
      <c r="E281" t="s">
        <v>255</v>
      </c>
      <c r="F281" s="233" t="s">
        <v>251</v>
      </c>
      <c r="G281" t="str">
        <f>_xlfn.XLOOKUP(FMECA[[#This Row],[HazardRisk_name]],categories[HazardRisk_Name],categories[HazardRisk])</f>
        <v>Risk</v>
      </c>
      <c r="H281" t="str">
        <f>_xlfn.XLOOKUP(FMECA[[#This Row],[HazardRisk_name]],categories[HazardRisk_Name],categories[Category])</f>
        <v>Political</v>
      </c>
      <c r="I281" t="s">
        <v>711</v>
      </c>
      <c r="J281" s="10">
        <v>5</v>
      </c>
      <c r="K281" t="s">
        <v>2154</v>
      </c>
      <c r="L281" s="10">
        <v>4</v>
      </c>
      <c r="M281" t="s">
        <v>2154</v>
      </c>
      <c r="N281" s="10">
        <f>FMECA[[#This Row],[probability_value]]*FMECA[[#This Row],[consequence_value]]</f>
        <v>20</v>
      </c>
      <c r="O28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81" s="10" t="s">
        <v>770</v>
      </c>
      <c r="Q281" t="s">
        <v>1132</v>
      </c>
      <c r="R281" t="s">
        <v>780</v>
      </c>
      <c r="S281" t="s">
        <v>2151</v>
      </c>
    </row>
    <row r="282" spans="1:27" s="170" customFormat="1" x14ac:dyDescent="0.2">
      <c r="A282" s="227" t="s">
        <v>150</v>
      </c>
      <c r="B282" s="206" t="s">
        <v>63</v>
      </c>
      <c r="C282" s="206" t="s">
        <v>73</v>
      </c>
      <c r="D282" s="206" t="s">
        <v>220</v>
      </c>
      <c r="E282" s="206" t="s">
        <v>208</v>
      </c>
      <c r="F282" s="228" t="s">
        <v>209</v>
      </c>
      <c r="G282" s="206" t="e">
        <f>_xlfn.XLOOKUP(FMECA[[#This Row],[HazardRisk_name]],categories[HazardRisk_Name],categories[HazardRisk])</f>
        <v>#N/A</v>
      </c>
      <c r="H282" s="206" t="e">
        <f>_xlfn.XLOOKUP(FMECA[[#This Row],[HazardRisk_name]],categories[HazardRisk_Name],categories[Category])</f>
        <v>#N/A</v>
      </c>
      <c r="I282" s="206"/>
      <c r="J282" s="207"/>
      <c r="K282" s="206"/>
      <c r="L282" s="207"/>
      <c r="M282" s="206"/>
      <c r="N282" s="207">
        <f>FMECA[[#This Row],[probability_value]]*FMECA[[#This Row],[consequence_value]]</f>
        <v>0</v>
      </c>
      <c r="O282" s="207"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282" s="207"/>
      <c r="Q282" s="206"/>
      <c r="R282" s="206"/>
      <c r="S282" s="206"/>
      <c r="T282" s="206"/>
      <c r="U282" s="206"/>
      <c r="V282" s="206"/>
      <c r="W282" s="206"/>
      <c r="X282" s="206"/>
      <c r="Y282" s="206"/>
      <c r="Z282" s="206"/>
      <c r="AA282" s="206"/>
    </row>
    <row r="283" spans="1:27" x14ac:dyDescent="0.2">
      <c r="A283" s="225" t="s">
        <v>151</v>
      </c>
      <c r="B283" t="s">
        <v>63</v>
      </c>
      <c r="C283" t="s">
        <v>73</v>
      </c>
      <c r="D283" t="s">
        <v>221</v>
      </c>
      <c r="E283" t="s">
        <v>210</v>
      </c>
      <c r="F283" s="226" t="s">
        <v>211</v>
      </c>
      <c r="G283" t="str">
        <f>_xlfn.XLOOKUP(FMECA[[#This Row],[HazardRisk_name]],categories[HazardRisk_Name],categories[HazardRisk])</f>
        <v>Risk</v>
      </c>
      <c r="H283" t="str">
        <f>_xlfn.XLOOKUP(FMECA[[#This Row],[HazardRisk_name]],categories[HazardRisk_Name],categories[Category])</f>
        <v>Sea Ice</v>
      </c>
      <c r="I283" t="s">
        <v>480</v>
      </c>
      <c r="J283" s="10">
        <v>5</v>
      </c>
      <c r="K283" t="s">
        <v>1976</v>
      </c>
      <c r="L283" s="10">
        <v>7</v>
      </c>
      <c r="M283" t="s">
        <v>1976</v>
      </c>
      <c r="N283" s="10">
        <f>FMECA[[#This Row],[probability_value]]*FMECA[[#This Row],[consequence_value]]</f>
        <v>35</v>
      </c>
      <c r="O283" s="10" t="str">
        <f>IF(AND(FMECA[[#This Row],[Score]]&gt;=0, 9&gt;=FMECA[[#This Row],[Score]]), "UNDETECTABLE", IF(AND(FMECA[[#This Row],[Score]]&gt;=10, 24&gt;=FMECA[[#This Row],[Score]]), "MODERATE", IF(AND(FMECA[[#This Row],[Score]]&gt;=25, 35&gt;=FMECA[[#This Row],[Score]]), "HIGH", IF(AND(FMECA[[#This Row],[Score]]&gt;=36, 50&gt;=FMECA[[#This Row],[Score]]), "VERY HIGH", "Check Formula"))))</f>
        <v>HIGH</v>
      </c>
      <c r="P283" s="10" t="s">
        <v>770</v>
      </c>
      <c r="Q283" t="s">
        <v>1132</v>
      </c>
      <c r="R283" t="s">
        <v>780</v>
      </c>
      <c r="S283" t="s">
        <v>1979</v>
      </c>
      <c r="T283" t="s">
        <v>793</v>
      </c>
      <c r="U283" t="s">
        <v>1977</v>
      </c>
      <c r="V283" t="s">
        <v>470</v>
      </c>
      <c r="W283" t="s">
        <v>1978</v>
      </c>
      <c r="X283" t="s">
        <v>470</v>
      </c>
      <c r="AA283" t="s">
        <v>1162</v>
      </c>
    </row>
    <row r="284" spans="1:27" x14ac:dyDescent="0.2">
      <c r="A284" s="225" t="s">
        <v>151</v>
      </c>
      <c r="B284" t="s">
        <v>63</v>
      </c>
      <c r="C284" t="s">
        <v>73</v>
      </c>
      <c r="D284" t="s">
        <v>221</v>
      </c>
      <c r="E284" t="s">
        <v>210</v>
      </c>
      <c r="F284" s="226" t="s">
        <v>211</v>
      </c>
      <c r="G284" t="str">
        <f>_xlfn.XLOOKUP(FMECA[[#This Row],[HazardRisk_name]],categories[HazardRisk_Name],categories[HazardRisk])</f>
        <v>Risk</v>
      </c>
      <c r="H284" t="str">
        <f>_xlfn.XLOOKUP(FMECA[[#This Row],[HazardRisk_name]],categories[HazardRisk_Name],categories[Category])</f>
        <v>Pollutants</v>
      </c>
      <c r="I284" t="s">
        <v>547</v>
      </c>
      <c r="J284" s="10">
        <v>5</v>
      </c>
      <c r="K284" t="s">
        <v>1973</v>
      </c>
      <c r="L284" s="10">
        <v>7</v>
      </c>
      <c r="M284" t="s">
        <v>1973</v>
      </c>
      <c r="N284" s="10">
        <f>FMECA[[#This Row],[probability_value]]*FMECA[[#This Row],[consequence_value]]</f>
        <v>35</v>
      </c>
      <c r="O284" s="10" t="str">
        <f>IF(AND(FMECA[[#This Row],[Score]]&gt;=0, 9&gt;=FMECA[[#This Row],[Score]]), "UNDETECTABLE", IF(AND(FMECA[[#This Row],[Score]]&gt;=10, 24&gt;=FMECA[[#This Row],[Score]]), "MODERATE", IF(AND(FMECA[[#This Row],[Score]]&gt;=25, 35&gt;=FMECA[[#This Row],[Score]]), "HIGH", IF(AND(FMECA[[#This Row],[Score]]&gt;=36, 50&gt;=FMECA[[#This Row],[Score]]), "VERY HIGH", "Check Formula"))))</f>
        <v>HIGH</v>
      </c>
      <c r="P284" s="10" t="s">
        <v>770</v>
      </c>
      <c r="Q284" t="s">
        <v>1132</v>
      </c>
      <c r="R284" t="s">
        <v>780</v>
      </c>
      <c r="S284" t="s">
        <v>1979</v>
      </c>
      <c r="T284" t="s">
        <v>793</v>
      </c>
      <c r="U284" t="s">
        <v>1975</v>
      </c>
      <c r="V284" t="s">
        <v>466</v>
      </c>
      <c r="W284" t="s">
        <v>1974</v>
      </c>
      <c r="X284" t="s">
        <v>466</v>
      </c>
      <c r="AA284" t="s">
        <v>1162</v>
      </c>
    </row>
    <row r="285" spans="1:27" x14ac:dyDescent="0.2">
      <c r="A285" s="225" t="s">
        <v>151</v>
      </c>
      <c r="B285" t="s">
        <v>63</v>
      </c>
      <c r="C285" t="s">
        <v>73</v>
      </c>
      <c r="D285" t="s">
        <v>221</v>
      </c>
      <c r="E285" t="s">
        <v>210</v>
      </c>
      <c r="F285" s="226" t="s">
        <v>211</v>
      </c>
      <c r="G285" t="str">
        <f>_xlfn.XLOOKUP(FMECA[[#This Row],[HazardRisk_name]],categories[HazardRisk_Name],categories[HazardRisk])</f>
        <v>Hazard</v>
      </c>
      <c r="H285" t="str">
        <f>_xlfn.XLOOKUP(FMECA[[#This Row],[HazardRisk_name]],categories[HazardRisk_Name],categories[Category])</f>
        <v>Pollutants</v>
      </c>
      <c r="I285" t="s">
        <v>636</v>
      </c>
      <c r="J285" s="10">
        <v>4</v>
      </c>
      <c r="K285" t="s">
        <v>1971</v>
      </c>
      <c r="L285" s="10">
        <v>7</v>
      </c>
      <c r="M285" t="s">
        <v>1971</v>
      </c>
      <c r="N285" s="10">
        <f>FMECA[[#This Row],[probability_value]]*FMECA[[#This Row],[consequence_value]]</f>
        <v>28</v>
      </c>
      <c r="O285" s="10" t="str">
        <f>IF(AND(FMECA[[#This Row],[Score]]&gt;=0, 9&gt;=FMECA[[#This Row],[Score]]), "UNDETECTABLE", IF(AND(FMECA[[#This Row],[Score]]&gt;=10, 24&gt;=FMECA[[#This Row],[Score]]), "MODERATE", IF(AND(FMECA[[#This Row],[Score]]&gt;=25, 35&gt;=FMECA[[#This Row],[Score]]), "HIGH", IF(AND(FMECA[[#This Row],[Score]]&gt;=36, 50&gt;=FMECA[[#This Row],[Score]]), "VERY HIGH", "Check Formula"))))</f>
        <v>HIGH</v>
      </c>
      <c r="P285" s="10" t="s">
        <v>770</v>
      </c>
      <c r="Q285" t="s">
        <v>1132</v>
      </c>
      <c r="R285" t="s">
        <v>780</v>
      </c>
      <c r="S285" t="s">
        <v>1979</v>
      </c>
      <c r="T285" t="s">
        <v>793</v>
      </c>
      <c r="U285" t="s">
        <v>1789</v>
      </c>
      <c r="V285" t="s">
        <v>466</v>
      </c>
      <c r="W285" t="s">
        <v>1972</v>
      </c>
      <c r="X285" t="s">
        <v>466</v>
      </c>
      <c r="AA285" t="s">
        <v>1162</v>
      </c>
    </row>
    <row r="286" spans="1:27" x14ac:dyDescent="0.2">
      <c r="A286" s="225" t="s">
        <v>151</v>
      </c>
      <c r="B286" t="s">
        <v>63</v>
      </c>
      <c r="C286" t="s">
        <v>73</v>
      </c>
      <c r="D286" t="s">
        <v>221</v>
      </c>
      <c r="E286" t="s">
        <v>210</v>
      </c>
      <c r="F286" s="226" t="s">
        <v>211</v>
      </c>
      <c r="G286" t="str">
        <f>_xlfn.XLOOKUP(FMECA[[#This Row],[HazardRisk_name]],categories[HazardRisk_Name],categories[HazardRisk])</f>
        <v>Risk</v>
      </c>
      <c r="H286" t="str">
        <f>_xlfn.XLOOKUP(FMECA[[#This Row],[HazardRisk_name]],categories[HazardRisk_Name],categories[Category])</f>
        <v>Political</v>
      </c>
      <c r="I286" t="s">
        <v>622</v>
      </c>
      <c r="J286" s="10">
        <v>3</v>
      </c>
      <c r="K286" t="s">
        <v>1982</v>
      </c>
      <c r="L286" s="10">
        <v>4</v>
      </c>
      <c r="M286" t="s">
        <v>1982</v>
      </c>
      <c r="N286" s="10">
        <f>FMECA[[#This Row],[probability_value]]*FMECA[[#This Row],[consequence_value]]</f>
        <v>12</v>
      </c>
      <c r="O28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86" s="10" t="s">
        <v>770</v>
      </c>
      <c r="Q286" t="s">
        <v>1132</v>
      </c>
      <c r="R286" t="s">
        <v>780</v>
      </c>
      <c r="S286" t="s">
        <v>1979</v>
      </c>
      <c r="T286" t="s">
        <v>793</v>
      </c>
      <c r="AA286" t="s">
        <v>1162</v>
      </c>
    </row>
    <row r="287" spans="1:27" x14ac:dyDescent="0.2">
      <c r="A287" s="225" t="s">
        <v>151</v>
      </c>
      <c r="B287" t="s">
        <v>63</v>
      </c>
      <c r="C287" t="s">
        <v>73</v>
      </c>
      <c r="D287" t="s">
        <v>221</v>
      </c>
      <c r="E287" t="s">
        <v>210</v>
      </c>
      <c r="F287" s="226" t="s">
        <v>211</v>
      </c>
      <c r="G287" t="str">
        <f>_xlfn.XLOOKUP(FMECA[[#This Row],[HazardRisk_name]],categories[HazardRisk_Name],categories[HazardRisk])</f>
        <v>Hazard</v>
      </c>
      <c r="H287" t="str">
        <f>_xlfn.XLOOKUP(FMECA[[#This Row],[HazardRisk_name]],categories[HazardRisk_Name],categories[Category])</f>
        <v>Navigational</v>
      </c>
      <c r="I287" t="s">
        <v>496</v>
      </c>
      <c r="J287" s="10">
        <v>5</v>
      </c>
      <c r="K287" t="s">
        <v>1980</v>
      </c>
      <c r="L287" s="10">
        <v>4</v>
      </c>
      <c r="M287" t="s">
        <v>1980</v>
      </c>
      <c r="N287" s="10">
        <f>FMECA[[#This Row],[probability_value]]*FMECA[[#This Row],[consequence_value]]</f>
        <v>20</v>
      </c>
      <c r="O28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87" s="10" t="s">
        <v>770</v>
      </c>
      <c r="Q287" t="s">
        <v>1132</v>
      </c>
      <c r="R287" t="s">
        <v>780</v>
      </c>
      <c r="S287" t="s">
        <v>1979</v>
      </c>
      <c r="T287" t="s">
        <v>793</v>
      </c>
      <c r="W287" t="s">
        <v>1981</v>
      </c>
      <c r="X287" t="s">
        <v>470</v>
      </c>
      <c r="AA287" t="s">
        <v>1162</v>
      </c>
    </row>
    <row r="288" spans="1:27" x14ac:dyDescent="0.2">
      <c r="A288" s="225" t="s">
        <v>152</v>
      </c>
      <c r="B288" t="s">
        <v>63</v>
      </c>
      <c r="C288" t="s">
        <v>73</v>
      </c>
      <c r="D288" t="s">
        <v>222</v>
      </c>
      <c r="E288" t="s">
        <v>212</v>
      </c>
      <c r="F288" s="226" t="s">
        <v>213</v>
      </c>
      <c r="G288" t="str">
        <f>_xlfn.XLOOKUP(FMECA[[#This Row],[HazardRisk_name]],categories[HazardRisk_Name],categories[HazardRisk])</f>
        <v>Risk</v>
      </c>
      <c r="H288" t="str">
        <f>_xlfn.XLOOKUP(FMECA[[#This Row],[HazardRisk_name]],categories[HazardRisk_Name],categories[Category])</f>
        <v>Pollutants</v>
      </c>
      <c r="I288" t="s">
        <v>627</v>
      </c>
      <c r="J288" s="10">
        <v>5</v>
      </c>
      <c r="K288" t="s">
        <v>1984</v>
      </c>
      <c r="L288" s="10">
        <v>10</v>
      </c>
      <c r="M288" t="s">
        <v>1984</v>
      </c>
      <c r="N288" s="10">
        <f>FMECA[[#This Row],[probability_value]]*FMECA[[#This Row],[consequence_value]]</f>
        <v>50</v>
      </c>
      <c r="O288"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288" s="10" t="s">
        <v>770</v>
      </c>
      <c r="Q288" t="s">
        <v>1162</v>
      </c>
      <c r="R288" t="s">
        <v>780</v>
      </c>
      <c r="S288" t="s">
        <v>1983</v>
      </c>
      <c r="T288" t="s">
        <v>793</v>
      </c>
      <c r="AA288" t="s">
        <v>1162</v>
      </c>
    </row>
    <row r="289" spans="1:27" x14ac:dyDescent="0.2">
      <c r="A289" s="225" t="s">
        <v>152</v>
      </c>
      <c r="B289" t="s">
        <v>63</v>
      </c>
      <c r="C289" t="s">
        <v>73</v>
      </c>
      <c r="D289" t="s">
        <v>222</v>
      </c>
      <c r="E289" t="s">
        <v>212</v>
      </c>
      <c r="F289" s="226" t="s">
        <v>213</v>
      </c>
      <c r="G289" t="str">
        <f>_xlfn.XLOOKUP(FMECA[[#This Row],[HazardRisk_name]],categories[HazardRisk_Name],categories[HazardRisk])</f>
        <v>Hazard</v>
      </c>
      <c r="H289" t="str">
        <f>_xlfn.XLOOKUP(FMECA[[#This Row],[HazardRisk_name]],categories[HazardRisk_Name],categories[Category])</f>
        <v>Navigational</v>
      </c>
      <c r="I289" t="s">
        <v>496</v>
      </c>
      <c r="J289" s="10">
        <v>3</v>
      </c>
      <c r="K289" t="s">
        <v>1985</v>
      </c>
      <c r="L289" s="10">
        <v>7</v>
      </c>
      <c r="M289" t="s">
        <v>1985</v>
      </c>
      <c r="N289" s="10">
        <f>FMECA[[#This Row],[probability_value]]*FMECA[[#This Row],[consequence_value]]</f>
        <v>21</v>
      </c>
      <c r="O28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89" s="10" t="s">
        <v>770</v>
      </c>
      <c r="Q289" t="s">
        <v>1162</v>
      </c>
      <c r="R289" t="s">
        <v>780</v>
      </c>
      <c r="S289" t="s">
        <v>1983</v>
      </c>
      <c r="T289" t="s">
        <v>793</v>
      </c>
      <c r="AA289" t="s">
        <v>1162</v>
      </c>
    </row>
    <row r="290" spans="1:27" x14ac:dyDescent="0.2">
      <c r="A290" s="225" t="s">
        <v>152</v>
      </c>
      <c r="B290" t="s">
        <v>63</v>
      </c>
      <c r="C290" t="s">
        <v>73</v>
      </c>
      <c r="D290" t="s">
        <v>222</v>
      </c>
      <c r="E290" t="s">
        <v>212</v>
      </c>
      <c r="F290" s="226" t="s">
        <v>213</v>
      </c>
      <c r="G290" t="str">
        <f>_xlfn.XLOOKUP(FMECA[[#This Row],[HazardRisk_name]],categories[HazardRisk_Name],categories[HazardRisk])</f>
        <v>Hazard</v>
      </c>
      <c r="H290" t="str">
        <f>_xlfn.XLOOKUP(FMECA[[#This Row],[HazardRisk_name]],categories[HazardRisk_Name],categories[Category])</f>
        <v>Pollutants</v>
      </c>
      <c r="I290" t="s">
        <v>636</v>
      </c>
      <c r="J290" s="10">
        <v>4</v>
      </c>
      <c r="K290" t="s">
        <v>1986</v>
      </c>
      <c r="L290" s="10">
        <v>7</v>
      </c>
      <c r="M290" t="s">
        <v>1986</v>
      </c>
      <c r="N290" s="10">
        <f>FMECA[[#This Row],[probability_value]]*FMECA[[#This Row],[consequence_value]]</f>
        <v>28</v>
      </c>
      <c r="O290" s="10" t="str">
        <f>IF(AND(FMECA[[#This Row],[Score]]&gt;=0, 9&gt;=FMECA[[#This Row],[Score]]), "UNDETECTABLE", IF(AND(FMECA[[#This Row],[Score]]&gt;=10, 24&gt;=FMECA[[#This Row],[Score]]), "MODERATE", IF(AND(FMECA[[#This Row],[Score]]&gt;=25, 35&gt;=FMECA[[#This Row],[Score]]), "HIGH", IF(AND(FMECA[[#This Row],[Score]]&gt;=36, 50&gt;=FMECA[[#This Row],[Score]]), "VERY HIGH", "Check Formula"))))</f>
        <v>HIGH</v>
      </c>
      <c r="P290" s="10" t="s">
        <v>770</v>
      </c>
      <c r="Q290" t="s">
        <v>1162</v>
      </c>
      <c r="R290" t="s">
        <v>780</v>
      </c>
      <c r="S290" t="s">
        <v>1983</v>
      </c>
      <c r="T290" t="s">
        <v>793</v>
      </c>
      <c r="AA290" t="s">
        <v>1162</v>
      </c>
    </row>
    <row r="291" spans="1:27" x14ac:dyDescent="0.2">
      <c r="A291" s="225" t="s">
        <v>152</v>
      </c>
      <c r="B291" t="s">
        <v>63</v>
      </c>
      <c r="C291" t="s">
        <v>73</v>
      </c>
      <c r="D291" t="s">
        <v>222</v>
      </c>
      <c r="E291" t="s">
        <v>212</v>
      </c>
      <c r="F291" s="226" t="s">
        <v>213</v>
      </c>
      <c r="G291" t="str">
        <f>_xlfn.XLOOKUP(FMECA[[#This Row],[HazardRisk_name]],categories[HazardRisk_Name],categories[HazardRisk])</f>
        <v>Hazard</v>
      </c>
      <c r="H291" t="str">
        <f>_xlfn.XLOOKUP(FMECA[[#This Row],[HazardRisk_name]],categories[HazardRisk_Name],categories[Category])</f>
        <v>Environmental</v>
      </c>
      <c r="I291" t="s">
        <v>671</v>
      </c>
      <c r="J291" s="10">
        <v>5</v>
      </c>
      <c r="K291" t="s">
        <v>1987</v>
      </c>
      <c r="L291" s="10">
        <v>7</v>
      </c>
      <c r="M291" t="s">
        <v>1987</v>
      </c>
      <c r="N291" s="10">
        <f>FMECA[[#This Row],[probability_value]]*FMECA[[#This Row],[consequence_value]]</f>
        <v>35</v>
      </c>
      <c r="O291" s="10" t="str">
        <f>IF(AND(FMECA[[#This Row],[Score]]&gt;=0, 9&gt;=FMECA[[#This Row],[Score]]), "UNDETECTABLE", IF(AND(FMECA[[#This Row],[Score]]&gt;=10, 24&gt;=FMECA[[#This Row],[Score]]), "MODERATE", IF(AND(FMECA[[#This Row],[Score]]&gt;=25, 35&gt;=FMECA[[#This Row],[Score]]), "HIGH", IF(AND(FMECA[[#This Row],[Score]]&gt;=36, 50&gt;=FMECA[[#This Row],[Score]]), "VERY HIGH", "Check Formula"))))</f>
        <v>HIGH</v>
      </c>
      <c r="P291" s="10" t="s">
        <v>770</v>
      </c>
      <c r="Q291" t="s">
        <v>1162</v>
      </c>
      <c r="R291" t="s">
        <v>780</v>
      </c>
      <c r="S291" t="s">
        <v>1983</v>
      </c>
      <c r="T291" t="s">
        <v>793</v>
      </c>
      <c r="W291" t="s">
        <v>1988</v>
      </c>
      <c r="X291" t="s">
        <v>470</v>
      </c>
      <c r="AA291" t="s">
        <v>1162</v>
      </c>
    </row>
    <row r="292" spans="1:27" x14ac:dyDescent="0.2">
      <c r="A292" s="225" t="s">
        <v>152</v>
      </c>
      <c r="B292" t="s">
        <v>63</v>
      </c>
      <c r="C292" t="s">
        <v>73</v>
      </c>
      <c r="D292" t="s">
        <v>222</v>
      </c>
      <c r="E292" t="s">
        <v>212</v>
      </c>
      <c r="F292" s="226" t="s">
        <v>213</v>
      </c>
      <c r="G292" t="str">
        <f>_xlfn.XLOOKUP(FMECA[[#This Row],[HazardRisk_name]],categories[HazardRisk_Name],categories[HazardRisk])</f>
        <v>Risk</v>
      </c>
      <c r="H292" t="str">
        <f>_xlfn.XLOOKUP(FMECA[[#This Row],[HazardRisk_name]],categories[HazardRisk_Name],categories[Category])</f>
        <v>Navigational</v>
      </c>
      <c r="I292" t="s">
        <v>474</v>
      </c>
      <c r="J292" s="10">
        <v>4</v>
      </c>
      <c r="K292" t="s">
        <v>1333</v>
      </c>
      <c r="L292" s="10">
        <v>4</v>
      </c>
      <c r="M292" t="s">
        <v>1333</v>
      </c>
      <c r="N292" s="10">
        <f>FMECA[[#This Row],[probability_value]]*FMECA[[#This Row],[consequence_value]]</f>
        <v>16</v>
      </c>
      <c r="O29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92" s="10" t="s">
        <v>770</v>
      </c>
      <c r="Q292" t="s">
        <v>1162</v>
      </c>
      <c r="R292" t="s">
        <v>780</v>
      </c>
      <c r="S292" t="s">
        <v>1983</v>
      </c>
      <c r="T292" t="s">
        <v>793</v>
      </c>
      <c r="AA292" t="s">
        <v>1162</v>
      </c>
    </row>
    <row r="293" spans="1:27" x14ac:dyDescent="0.2">
      <c r="A293" s="225" t="s">
        <v>153</v>
      </c>
      <c r="B293" t="s">
        <v>63</v>
      </c>
      <c r="C293" t="s">
        <v>73</v>
      </c>
      <c r="D293" t="s">
        <v>206</v>
      </c>
      <c r="E293" t="s">
        <v>214</v>
      </c>
      <c r="F293" s="226" t="s">
        <v>215</v>
      </c>
      <c r="G293" t="str">
        <f>_xlfn.XLOOKUP(FMECA[[#This Row],[HazardRisk_name]],categories[HazardRisk_Name],categories[HazardRisk])</f>
        <v>Risk</v>
      </c>
      <c r="H293" t="str">
        <f>_xlfn.XLOOKUP(FMECA[[#This Row],[HazardRisk_name]],categories[HazardRisk_Name],categories[Category])</f>
        <v>Assessment</v>
      </c>
      <c r="I293" t="s">
        <v>674</v>
      </c>
      <c r="J293" s="10">
        <v>5</v>
      </c>
      <c r="K293" t="s">
        <v>2174</v>
      </c>
      <c r="L293" s="10">
        <v>4</v>
      </c>
      <c r="M293" t="s">
        <v>2174</v>
      </c>
      <c r="N293" s="10">
        <f>FMECA[[#This Row],[probability_value]]*FMECA[[#This Row],[consequence_value]]</f>
        <v>20</v>
      </c>
      <c r="O29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93" s="10" t="s">
        <v>777</v>
      </c>
      <c r="Q293" t="s">
        <v>1162</v>
      </c>
      <c r="R293" t="s">
        <v>780</v>
      </c>
      <c r="S293" t="s">
        <v>2177</v>
      </c>
    </row>
    <row r="294" spans="1:27" x14ac:dyDescent="0.2">
      <c r="A294" s="225" t="s">
        <v>153</v>
      </c>
      <c r="B294" t="s">
        <v>63</v>
      </c>
      <c r="C294" t="s">
        <v>73</v>
      </c>
      <c r="D294" t="s">
        <v>206</v>
      </c>
      <c r="E294" t="s">
        <v>214</v>
      </c>
      <c r="F294" s="226" t="s">
        <v>215</v>
      </c>
      <c r="G294" t="str">
        <f>_xlfn.XLOOKUP(FMECA[[#This Row],[HazardRisk_name]],categories[HazardRisk_Name],categories[HazardRisk])</f>
        <v>Risk</v>
      </c>
      <c r="H294" t="str">
        <f>_xlfn.XLOOKUP(FMECA[[#This Row],[HazardRisk_name]],categories[HazardRisk_Name],categories[Category])</f>
        <v>Community</v>
      </c>
      <c r="I294" t="s">
        <v>728</v>
      </c>
      <c r="J294" s="10">
        <v>5</v>
      </c>
      <c r="K294" t="s">
        <v>2175</v>
      </c>
      <c r="L294" s="10">
        <v>7</v>
      </c>
      <c r="M294" t="s">
        <v>2175</v>
      </c>
      <c r="N294" s="10">
        <f>FMECA[[#This Row],[probability_value]]*FMECA[[#This Row],[consequence_value]]</f>
        <v>35</v>
      </c>
      <c r="O294" s="10" t="str">
        <f>IF(AND(FMECA[[#This Row],[Score]]&gt;=0, 9&gt;=FMECA[[#This Row],[Score]]), "UNDETECTABLE", IF(AND(FMECA[[#This Row],[Score]]&gt;=10, 24&gt;=FMECA[[#This Row],[Score]]), "MODERATE", IF(AND(FMECA[[#This Row],[Score]]&gt;=25, 35&gt;=FMECA[[#This Row],[Score]]), "HIGH", IF(AND(FMECA[[#This Row],[Score]]&gt;=36, 50&gt;=FMECA[[#This Row],[Score]]), "VERY HIGH", "Check Formula"))))</f>
        <v>HIGH</v>
      </c>
      <c r="P294" s="10" t="s">
        <v>777</v>
      </c>
      <c r="Q294" t="s">
        <v>1162</v>
      </c>
      <c r="R294" t="s">
        <v>780</v>
      </c>
      <c r="S294" t="s">
        <v>2177</v>
      </c>
    </row>
    <row r="295" spans="1:27" x14ac:dyDescent="0.2">
      <c r="A295" s="225" t="s">
        <v>153</v>
      </c>
      <c r="B295" t="s">
        <v>63</v>
      </c>
      <c r="C295" t="s">
        <v>73</v>
      </c>
      <c r="D295" t="s">
        <v>206</v>
      </c>
      <c r="E295" t="s">
        <v>214</v>
      </c>
      <c r="F295" s="226" t="s">
        <v>215</v>
      </c>
      <c r="G295" t="str">
        <f>_xlfn.XLOOKUP(FMECA[[#This Row],[HazardRisk_name]],categories[HazardRisk_Name],categories[HazardRisk])</f>
        <v>Risk</v>
      </c>
      <c r="H295" t="str">
        <f>_xlfn.XLOOKUP(FMECA[[#This Row],[HazardRisk_name]],categories[HazardRisk_Name],categories[Category])</f>
        <v>Economic</v>
      </c>
      <c r="I295" t="s">
        <v>592</v>
      </c>
      <c r="J295" s="10">
        <v>4</v>
      </c>
      <c r="K295" t="s">
        <v>2176</v>
      </c>
      <c r="L295" s="10">
        <v>10</v>
      </c>
      <c r="M295" t="s">
        <v>2176</v>
      </c>
      <c r="N295" s="10">
        <f>FMECA[[#This Row],[probability_value]]*FMECA[[#This Row],[consequence_value]]</f>
        <v>40</v>
      </c>
      <c r="O295"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295" s="10" t="s">
        <v>777</v>
      </c>
      <c r="Q295" t="s">
        <v>1162</v>
      </c>
      <c r="R295" t="s">
        <v>780</v>
      </c>
      <c r="S295" t="s">
        <v>2177</v>
      </c>
    </row>
    <row r="296" spans="1:27" x14ac:dyDescent="0.2">
      <c r="A296" s="225" t="s">
        <v>153</v>
      </c>
      <c r="B296" t="s">
        <v>63</v>
      </c>
      <c r="C296" t="s">
        <v>73</v>
      </c>
      <c r="D296" t="s">
        <v>206</v>
      </c>
      <c r="E296" t="s">
        <v>214</v>
      </c>
      <c r="F296" s="226" t="s">
        <v>215</v>
      </c>
      <c r="G296" t="str">
        <f>_xlfn.XLOOKUP(FMECA[[#This Row],[HazardRisk_name]],categories[HazardRisk_Name],categories[HazardRisk])</f>
        <v>Risk</v>
      </c>
      <c r="H296" t="str">
        <f>_xlfn.XLOOKUP(FMECA[[#This Row],[HazardRisk_name]],categories[HazardRisk_Name],categories[Category])</f>
        <v>Political</v>
      </c>
      <c r="I296" t="s">
        <v>564</v>
      </c>
      <c r="J296" s="10">
        <v>5</v>
      </c>
      <c r="K296" t="s">
        <v>2178</v>
      </c>
      <c r="L296" s="10">
        <v>7</v>
      </c>
      <c r="M296" t="s">
        <v>2178</v>
      </c>
      <c r="N296" s="10">
        <f>FMECA[[#This Row],[probability_value]]*FMECA[[#This Row],[consequence_value]]</f>
        <v>35</v>
      </c>
      <c r="O296" s="10" t="str">
        <f>IF(AND(FMECA[[#This Row],[Score]]&gt;=0, 9&gt;=FMECA[[#This Row],[Score]]), "UNDETECTABLE", IF(AND(FMECA[[#This Row],[Score]]&gt;=10, 24&gt;=FMECA[[#This Row],[Score]]), "MODERATE", IF(AND(FMECA[[#This Row],[Score]]&gt;=25, 35&gt;=FMECA[[#This Row],[Score]]), "HIGH", IF(AND(FMECA[[#This Row],[Score]]&gt;=36, 50&gt;=FMECA[[#This Row],[Score]]), "VERY HIGH", "Check Formula"))))</f>
        <v>HIGH</v>
      </c>
      <c r="P296" s="10" t="s">
        <v>777</v>
      </c>
      <c r="Q296" t="s">
        <v>1162</v>
      </c>
      <c r="R296" t="s">
        <v>780</v>
      </c>
      <c r="S296" t="s">
        <v>2177</v>
      </c>
    </row>
    <row r="297" spans="1:27" x14ac:dyDescent="0.2">
      <c r="A297" s="225" t="s">
        <v>153</v>
      </c>
      <c r="B297" t="s">
        <v>63</v>
      </c>
      <c r="C297" t="s">
        <v>73</v>
      </c>
      <c r="D297" t="s">
        <v>206</v>
      </c>
      <c r="E297" t="s">
        <v>214</v>
      </c>
      <c r="F297" s="226" t="s">
        <v>215</v>
      </c>
      <c r="G297" t="str">
        <f>_xlfn.XLOOKUP(FMECA[[#This Row],[HazardRisk_name]],categories[HazardRisk_Name],categories[HazardRisk])</f>
        <v>Risk</v>
      </c>
      <c r="H297" t="str">
        <f>_xlfn.XLOOKUP(FMECA[[#This Row],[HazardRisk_name]],categories[HazardRisk_Name],categories[Category])</f>
        <v>Economic</v>
      </c>
      <c r="I297" t="s">
        <v>463</v>
      </c>
      <c r="J297" s="10">
        <v>2</v>
      </c>
      <c r="K297" t="s">
        <v>2179</v>
      </c>
      <c r="L297" s="10">
        <v>7</v>
      </c>
      <c r="M297" t="s">
        <v>2179</v>
      </c>
      <c r="N297" s="10">
        <f>FMECA[[#This Row],[probability_value]]*FMECA[[#This Row],[consequence_value]]</f>
        <v>14</v>
      </c>
      <c r="O29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97" s="10" t="s">
        <v>777</v>
      </c>
      <c r="Q297" t="s">
        <v>1162</v>
      </c>
      <c r="R297" t="s">
        <v>780</v>
      </c>
      <c r="S297" t="s">
        <v>2177</v>
      </c>
    </row>
    <row r="298" spans="1:27" x14ac:dyDescent="0.2">
      <c r="A298" s="225" t="s">
        <v>153</v>
      </c>
      <c r="B298" t="s">
        <v>63</v>
      </c>
      <c r="C298" t="s">
        <v>73</v>
      </c>
      <c r="D298" t="s">
        <v>206</v>
      </c>
      <c r="E298" t="s">
        <v>214</v>
      </c>
      <c r="F298" s="226" t="s">
        <v>215</v>
      </c>
      <c r="G298" t="str">
        <f>_xlfn.XLOOKUP(FMECA[[#This Row],[HazardRisk_name]],categories[HazardRisk_Name],categories[HazardRisk])</f>
        <v>Risk</v>
      </c>
      <c r="H298" t="str">
        <f>_xlfn.XLOOKUP(FMECA[[#This Row],[HazardRisk_name]],categories[HazardRisk_Name],categories[Category])</f>
        <v>Pollutants</v>
      </c>
      <c r="I298" t="s">
        <v>627</v>
      </c>
      <c r="J298" s="10">
        <v>2</v>
      </c>
      <c r="K298" t="s">
        <v>2179</v>
      </c>
      <c r="L298" s="10">
        <v>10</v>
      </c>
      <c r="M298" t="s">
        <v>2179</v>
      </c>
      <c r="N298" s="10">
        <f>FMECA[[#This Row],[probability_value]]*FMECA[[#This Row],[consequence_value]]</f>
        <v>20</v>
      </c>
      <c r="O29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98" s="10" t="s">
        <v>777</v>
      </c>
      <c r="Q298" t="s">
        <v>1162</v>
      </c>
      <c r="R298" t="s">
        <v>780</v>
      </c>
      <c r="S298" t="s">
        <v>2177</v>
      </c>
    </row>
    <row r="299" spans="1:27" x14ac:dyDescent="0.2">
      <c r="A299" s="225" t="s">
        <v>154</v>
      </c>
      <c r="B299" t="s">
        <v>63</v>
      </c>
      <c r="C299" t="s">
        <v>73</v>
      </c>
      <c r="D299" t="s">
        <v>223</v>
      </c>
      <c r="E299" t="s">
        <v>216</v>
      </c>
      <c r="F299" s="226" t="s">
        <v>217</v>
      </c>
      <c r="G299" t="str">
        <f>_xlfn.XLOOKUP(FMECA[[#This Row],[HazardRisk_name]],categories[HazardRisk_Name],categories[HazardRisk])</f>
        <v>Risk</v>
      </c>
      <c r="H299" t="str">
        <f>_xlfn.XLOOKUP(FMECA[[#This Row],[HazardRisk_name]],categories[HazardRisk_Name],categories[Category])</f>
        <v>Economic</v>
      </c>
      <c r="I299" t="s">
        <v>464</v>
      </c>
      <c r="J299" s="10">
        <v>3</v>
      </c>
      <c r="K299" t="s">
        <v>2432</v>
      </c>
      <c r="L299" s="10">
        <v>7</v>
      </c>
      <c r="M299" t="s">
        <v>2432</v>
      </c>
      <c r="N299" s="10">
        <f>FMECA[[#This Row],[probability_value]]*FMECA[[#This Row],[consequence_value]]</f>
        <v>21</v>
      </c>
      <c r="O29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299" s="10" t="s">
        <v>777</v>
      </c>
      <c r="Q299" t="s">
        <v>1132</v>
      </c>
      <c r="R299" t="s">
        <v>780</v>
      </c>
      <c r="S299" t="s">
        <v>783</v>
      </c>
      <c r="T299" t="s">
        <v>793</v>
      </c>
      <c r="U299" t="s">
        <v>2433</v>
      </c>
      <c r="V299" t="s">
        <v>466</v>
      </c>
      <c r="AA299" t="s">
        <v>1162</v>
      </c>
    </row>
    <row r="300" spans="1:27" x14ac:dyDescent="0.2">
      <c r="A300" s="225" t="s">
        <v>154</v>
      </c>
      <c r="B300" t="s">
        <v>63</v>
      </c>
      <c r="C300" t="s">
        <v>73</v>
      </c>
      <c r="D300" t="s">
        <v>223</v>
      </c>
      <c r="E300" t="s">
        <v>216</v>
      </c>
      <c r="F300" s="226" t="s">
        <v>217</v>
      </c>
      <c r="G300" t="str">
        <f>_xlfn.XLOOKUP(FMECA[[#This Row],[HazardRisk_name]],categories[HazardRisk_Name],categories[HazardRisk])</f>
        <v>Risk</v>
      </c>
      <c r="H300" t="str">
        <f>_xlfn.XLOOKUP(FMECA[[#This Row],[HazardRisk_name]],categories[HazardRisk_Name],categories[Category])</f>
        <v>Navigational</v>
      </c>
      <c r="I300" t="s">
        <v>589</v>
      </c>
      <c r="J300" s="10">
        <v>3</v>
      </c>
      <c r="K300" t="s">
        <v>2434</v>
      </c>
      <c r="L300" s="10">
        <v>7</v>
      </c>
      <c r="M300" t="s">
        <v>2434</v>
      </c>
      <c r="N300" s="10">
        <f>FMECA[[#This Row],[probability_value]]*FMECA[[#This Row],[consequence_value]]</f>
        <v>21</v>
      </c>
      <c r="O30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00" s="10" t="s">
        <v>777</v>
      </c>
      <c r="Q300" t="s">
        <v>1132</v>
      </c>
      <c r="R300" t="s">
        <v>780</v>
      </c>
      <c r="S300" t="s">
        <v>783</v>
      </c>
      <c r="T300" t="s">
        <v>793</v>
      </c>
      <c r="AA300" t="s">
        <v>1162</v>
      </c>
    </row>
    <row r="301" spans="1:27" x14ac:dyDescent="0.2">
      <c r="A301" s="225" t="s">
        <v>154</v>
      </c>
      <c r="B301" t="s">
        <v>63</v>
      </c>
      <c r="C301" t="s">
        <v>73</v>
      </c>
      <c r="D301" t="s">
        <v>223</v>
      </c>
      <c r="E301" t="s">
        <v>216</v>
      </c>
      <c r="F301" s="226" t="s">
        <v>217</v>
      </c>
      <c r="G301" t="str">
        <f>_xlfn.XLOOKUP(FMECA[[#This Row],[HazardRisk_name]],categories[HazardRisk_Name],categories[HazardRisk])</f>
        <v>Risk</v>
      </c>
      <c r="H301" t="str">
        <f>_xlfn.XLOOKUP(FMECA[[#This Row],[HazardRisk_name]],categories[HazardRisk_Name],categories[Category])</f>
        <v>Environmental</v>
      </c>
      <c r="I301" t="s">
        <v>625</v>
      </c>
      <c r="J301" s="10">
        <v>4</v>
      </c>
      <c r="K301" t="s">
        <v>2431</v>
      </c>
      <c r="L301" s="10">
        <v>7</v>
      </c>
      <c r="M301" t="s">
        <v>2431</v>
      </c>
      <c r="N301" s="10">
        <f>FMECA[[#This Row],[probability_value]]*FMECA[[#This Row],[consequence_value]]</f>
        <v>28</v>
      </c>
      <c r="O301" s="10" t="str">
        <f>IF(AND(FMECA[[#This Row],[Score]]&gt;=0, 9&gt;=FMECA[[#This Row],[Score]]), "UNDETECTABLE", IF(AND(FMECA[[#This Row],[Score]]&gt;=10, 24&gt;=FMECA[[#This Row],[Score]]), "MODERATE", IF(AND(FMECA[[#This Row],[Score]]&gt;=25, 35&gt;=FMECA[[#This Row],[Score]]), "HIGH", IF(AND(FMECA[[#This Row],[Score]]&gt;=36, 50&gt;=FMECA[[#This Row],[Score]]), "VERY HIGH", "Check Formula"))))</f>
        <v>HIGH</v>
      </c>
      <c r="P301" s="10" t="s">
        <v>777</v>
      </c>
      <c r="Q301" t="s">
        <v>1132</v>
      </c>
      <c r="R301" t="s">
        <v>780</v>
      </c>
      <c r="S301" t="s">
        <v>783</v>
      </c>
      <c r="T301" t="s">
        <v>793</v>
      </c>
      <c r="AA301" t="s">
        <v>1162</v>
      </c>
    </row>
    <row r="302" spans="1:27" x14ac:dyDescent="0.2">
      <c r="A302" s="225" t="s">
        <v>154</v>
      </c>
      <c r="B302" t="s">
        <v>63</v>
      </c>
      <c r="C302" t="s">
        <v>73</v>
      </c>
      <c r="D302" t="s">
        <v>223</v>
      </c>
      <c r="E302" t="s">
        <v>216</v>
      </c>
      <c r="F302" s="226" t="s">
        <v>217</v>
      </c>
      <c r="G302" t="str">
        <f>_xlfn.XLOOKUP(FMECA[[#This Row],[HazardRisk_name]],categories[HazardRisk_Name],categories[HazardRisk])</f>
        <v>Hazard</v>
      </c>
      <c r="H302" t="str">
        <f>_xlfn.XLOOKUP(FMECA[[#This Row],[HazardRisk_name]],categories[HazardRisk_Name],categories[Category])</f>
        <v>Sea Ice</v>
      </c>
      <c r="I302" t="s">
        <v>673</v>
      </c>
      <c r="J302" s="10">
        <v>3</v>
      </c>
      <c r="K302" t="s">
        <v>2427</v>
      </c>
      <c r="L302" s="10">
        <v>7</v>
      </c>
      <c r="M302" t="s">
        <v>2427</v>
      </c>
      <c r="N302" s="10">
        <f>FMECA[[#This Row],[probability_value]]*FMECA[[#This Row],[consequence_value]]</f>
        <v>21</v>
      </c>
      <c r="O30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02" s="10" t="s">
        <v>777</v>
      </c>
      <c r="Q302" t="s">
        <v>1132</v>
      </c>
      <c r="R302" t="s">
        <v>780</v>
      </c>
      <c r="S302" t="s">
        <v>783</v>
      </c>
      <c r="T302" t="s">
        <v>793</v>
      </c>
      <c r="U302" t="s">
        <v>2428</v>
      </c>
      <c r="V302" t="s">
        <v>470</v>
      </c>
      <c r="W302" t="s">
        <v>2429</v>
      </c>
      <c r="X302" t="s">
        <v>466</v>
      </c>
      <c r="AA302" t="s">
        <v>1162</v>
      </c>
    </row>
    <row r="303" spans="1:27" x14ac:dyDescent="0.2">
      <c r="A303" s="225" t="s">
        <v>154</v>
      </c>
      <c r="B303" t="s">
        <v>63</v>
      </c>
      <c r="C303" t="s">
        <v>73</v>
      </c>
      <c r="D303" t="s">
        <v>223</v>
      </c>
      <c r="E303" t="s">
        <v>216</v>
      </c>
      <c r="F303" s="226" t="s">
        <v>217</v>
      </c>
      <c r="G303" t="str">
        <f>_xlfn.XLOOKUP(FMECA[[#This Row],[HazardRisk_name]],categories[HazardRisk_Name],categories[HazardRisk])</f>
        <v>Hazard</v>
      </c>
      <c r="H303" t="str">
        <f>_xlfn.XLOOKUP(FMECA[[#This Row],[HazardRisk_name]],categories[HazardRisk_Name],categories[Category])</f>
        <v>Environmental</v>
      </c>
      <c r="I303" t="s">
        <v>691</v>
      </c>
      <c r="J303" s="10">
        <v>4</v>
      </c>
      <c r="K303" t="s">
        <v>2430</v>
      </c>
      <c r="L303" s="10">
        <v>10</v>
      </c>
      <c r="M303" t="s">
        <v>2430</v>
      </c>
      <c r="N303" s="10">
        <f>FMECA[[#This Row],[probability_value]]*FMECA[[#This Row],[consequence_value]]</f>
        <v>40</v>
      </c>
      <c r="O303"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303" s="10" t="s">
        <v>777</v>
      </c>
      <c r="Q303" t="s">
        <v>1132</v>
      </c>
      <c r="R303" t="s">
        <v>780</v>
      </c>
      <c r="S303" t="s">
        <v>783</v>
      </c>
      <c r="T303" t="s">
        <v>793</v>
      </c>
      <c r="AA303" t="s">
        <v>1162</v>
      </c>
    </row>
    <row r="304" spans="1:27" x14ac:dyDescent="0.2">
      <c r="A304" s="225" t="s">
        <v>154</v>
      </c>
      <c r="B304" t="s">
        <v>63</v>
      </c>
      <c r="C304" t="s">
        <v>73</v>
      </c>
      <c r="D304" t="s">
        <v>223</v>
      </c>
      <c r="E304" t="s">
        <v>216</v>
      </c>
      <c r="F304" s="226" t="s">
        <v>217</v>
      </c>
      <c r="G304" t="str">
        <f>_xlfn.XLOOKUP(FMECA[[#This Row],[HazardRisk_name]],categories[HazardRisk_Name],categories[HazardRisk])</f>
        <v>Hazard</v>
      </c>
      <c r="H304" t="str">
        <f>_xlfn.XLOOKUP(FMECA[[#This Row],[HazardRisk_name]],categories[HazardRisk_Name],categories[Category])</f>
        <v>Pollutants</v>
      </c>
      <c r="I304" t="s">
        <v>636</v>
      </c>
      <c r="J304" s="10">
        <v>4</v>
      </c>
      <c r="K304" t="s">
        <v>2430</v>
      </c>
      <c r="L304" s="10">
        <v>10</v>
      </c>
      <c r="M304" t="s">
        <v>2430</v>
      </c>
      <c r="N304" s="10">
        <f>FMECA[[#This Row],[probability_value]]*FMECA[[#This Row],[consequence_value]]</f>
        <v>40</v>
      </c>
      <c r="O304"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304" s="10" t="s">
        <v>777</v>
      </c>
      <c r="Q304" t="s">
        <v>1132</v>
      </c>
      <c r="R304" t="s">
        <v>780</v>
      </c>
      <c r="S304" t="s">
        <v>783</v>
      </c>
      <c r="T304" t="s">
        <v>793</v>
      </c>
      <c r="AA304" t="s">
        <v>1162</v>
      </c>
    </row>
    <row r="305" spans="1:27" x14ac:dyDescent="0.2">
      <c r="A305" s="225" t="s">
        <v>154</v>
      </c>
      <c r="B305" t="s">
        <v>63</v>
      </c>
      <c r="C305" t="s">
        <v>73</v>
      </c>
      <c r="D305" t="s">
        <v>223</v>
      </c>
      <c r="E305" t="s">
        <v>216</v>
      </c>
      <c r="F305" s="226" t="s">
        <v>217</v>
      </c>
      <c r="G305" t="str">
        <f>_xlfn.XLOOKUP(FMECA[[#This Row],[HazardRisk_name]],categories[HazardRisk_Name],categories[HazardRisk])</f>
        <v>Hazard</v>
      </c>
      <c r="H305" t="str">
        <f>_xlfn.XLOOKUP(FMECA[[#This Row],[HazardRisk_name]],categories[HazardRisk_Name],categories[Category])</f>
        <v>Environmental</v>
      </c>
      <c r="I305" t="s">
        <v>718</v>
      </c>
      <c r="J305" s="10">
        <v>5</v>
      </c>
      <c r="K305" t="s">
        <v>2423</v>
      </c>
      <c r="L305" s="10">
        <v>7</v>
      </c>
      <c r="M305" t="s">
        <v>2423</v>
      </c>
      <c r="N305" s="10">
        <f>FMECA[[#This Row],[probability_value]]*FMECA[[#This Row],[consequence_value]]</f>
        <v>35</v>
      </c>
      <c r="O305" s="10" t="str">
        <f>IF(AND(FMECA[[#This Row],[Score]]&gt;=0, 9&gt;=FMECA[[#This Row],[Score]]), "UNDETECTABLE", IF(AND(FMECA[[#This Row],[Score]]&gt;=10, 24&gt;=FMECA[[#This Row],[Score]]), "MODERATE", IF(AND(FMECA[[#This Row],[Score]]&gt;=25, 35&gt;=FMECA[[#This Row],[Score]]), "HIGH", IF(AND(FMECA[[#This Row],[Score]]&gt;=36, 50&gt;=FMECA[[#This Row],[Score]]), "VERY HIGH", "Check Formula"))))</f>
        <v>HIGH</v>
      </c>
      <c r="P305" s="10" t="s">
        <v>777</v>
      </c>
      <c r="Q305" t="s">
        <v>1132</v>
      </c>
      <c r="R305" t="s">
        <v>780</v>
      </c>
      <c r="S305" t="s">
        <v>783</v>
      </c>
      <c r="T305" t="s">
        <v>793</v>
      </c>
      <c r="AA305" t="s">
        <v>1162</v>
      </c>
    </row>
    <row r="306" spans="1:27" x14ac:dyDescent="0.2">
      <c r="A306" s="225" t="s">
        <v>154</v>
      </c>
      <c r="B306" t="s">
        <v>63</v>
      </c>
      <c r="C306" t="s">
        <v>73</v>
      </c>
      <c r="D306" t="s">
        <v>223</v>
      </c>
      <c r="E306" t="s">
        <v>216</v>
      </c>
      <c r="F306" s="226" t="s">
        <v>217</v>
      </c>
      <c r="G306" t="str">
        <f>_xlfn.XLOOKUP(FMECA[[#This Row],[HazardRisk_name]],categories[HazardRisk_Name],categories[HazardRisk])</f>
        <v>Hazard</v>
      </c>
      <c r="H306" t="str">
        <f>_xlfn.XLOOKUP(FMECA[[#This Row],[HazardRisk_name]],categories[HazardRisk_Name],categories[Category])</f>
        <v>Environmental</v>
      </c>
      <c r="I306" t="s">
        <v>684</v>
      </c>
      <c r="J306" s="10">
        <v>4</v>
      </c>
      <c r="K306" t="s">
        <v>2423</v>
      </c>
      <c r="L306" s="10">
        <v>7</v>
      </c>
      <c r="M306" t="s">
        <v>2423</v>
      </c>
      <c r="N306" s="10">
        <f>FMECA[[#This Row],[probability_value]]*FMECA[[#This Row],[consequence_value]]</f>
        <v>28</v>
      </c>
      <c r="O306" s="10" t="str">
        <f>IF(AND(FMECA[[#This Row],[Score]]&gt;=0, 9&gt;=FMECA[[#This Row],[Score]]), "UNDETECTABLE", IF(AND(FMECA[[#This Row],[Score]]&gt;=10, 24&gt;=FMECA[[#This Row],[Score]]), "MODERATE", IF(AND(FMECA[[#This Row],[Score]]&gt;=25, 35&gt;=FMECA[[#This Row],[Score]]), "HIGH", IF(AND(FMECA[[#This Row],[Score]]&gt;=36, 50&gt;=FMECA[[#This Row],[Score]]), "VERY HIGH", "Check Formula"))))</f>
        <v>HIGH</v>
      </c>
      <c r="P306" s="10" t="s">
        <v>777</v>
      </c>
      <c r="Q306" t="s">
        <v>1132</v>
      </c>
      <c r="R306" t="s">
        <v>780</v>
      </c>
      <c r="S306" t="s">
        <v>783</v>
      </c>
      <c r="T306" t="s">
        <v>793</v>
      </c>
      <c r="W306" t="s">
        <v>2424</v>
      </c>
      <c r="X306" t="s">
        <v>470</v>
      </c>
      <c r="Y306" t="s">
        <v>2425</v>
      </c>
      <c r="Z306" t="s">
        <v>2426</v>
      </c>
      <c r="AA306" t="s">
        <v>1162</v>
      </c>
    </row>
    <row r="307" spans="1:27" x14ac:dyDescent="0.2">
      <c r="A307" s="225" t="s">
        <v>155</v>
      </c>
      <c r="B307" t="s">
        <v>63</v>
      </c>
      <c r="C307" t="s">
        <v>73</v>
      </c>
      <c r="D307" t="s">
        <v>220</v>
      </c>
      <c r="E307" t="s">
        <v>218</v>
      </c>
      <c r="F307" s="226" t="s">
        <v>219</v>
      </c>
      <c r="G307" t="str">
        <f>_xlfn.XLOOKUP(FMECA[[#This Row],[HazardRisk_name]],categories[HazardRisk_Name],categories[HazardRisk])</f>
        <v>Risk</v>
      </c>
      <c r="H307" t="str">
        <f>_xlfn.XLOOKUP(FMECA[[#This Row],[HazardRisk_name]],categories[HazardRisk_Name],categories[Category])</f>
        <v>Social</v>
      </c>
      <c r="I307" t="s">
        <v>621</v>
      </c>
      <c r="J307" s="10">
        <v>4</v>
      </c>
      <c r="K307" t="s">
        <v>2497</v>
      </c>
      <c r="L307" s="10">
        <v>7</v>
      </c>
      <c r="M307" t="s">
        <v>2497</v>
      </c>
      <c r="N307" s="10">
        <f>FMECA[[#This Row],[probability_value]]*FMECA[[#This Row],[consequence_value]]</f>
        <v>28</v>
      </c>
      <c r="O307" s="10" t="str">
        <f>IF(AND(FMECA[[#This Row],[Score]]&gt;=0, 9&gt;=FMECA[[#This Row],[Score]]), "UNDETECTABLE", IF(AND(FMECA[[#This Row],[Score]]&gt;=10, 24&gt;=FMECA[[#This Row],[Score]]), "MODERATE", IF(AND(FMECA[[#This Row],[Score]]&gt;=25, 35&gt;=FMECA[[#This Row],[Score]]), "HIGH", IF(AND(FMECA[[#This Row],[Score]]&gt;=36, 50&gt;=FMECA[[#This Row],[Score]]), "VERY HIGH", "Check Formula"))))</f>
        <v>HIGH</v>
      </c>
      <c r="P307" s="10" t="s">
        <v>767</v>
      </c>
      <c r="Q307" t="s">
        <v>1132</v>
      </c>
      <c r="R307" t="s">
        <v>780</v>
      </c>
      <c r="S307" t="s">
        <v>784</v>
      </c>
      <c r="T307" t="s">
        <v>793</v>
      </c>
      <c r="AA307" t="s">
        <v>1162</v>
      </c>
    </row>
    <row r="308" spans="1:27" x14ac:dyDescent="0.2">
      <c r="A308" s="225" t="s">
        <v>155</v>
      </c>
      <c r="B308" t="s">
        <v>63</v>
      </c>
      <c r="C308" t="s">
        <v>73</v>
      </c>
      <c r="D308" t="s">
        <v>220</v>
      </c>
      <c r="E308" t="s">
        <v>218</v>
      </c>
      <c r="F308" s="226" t="s">
        <v>219</v>
      </c>
      <c r="G308" t="str">
        <f>_xlfn.XLOOKUP(FMECA[[#This Row],[HazardRisk_name]],categories[HazardRisk_Name],categories[HazardRisk])</f>
        <v>Hazard</v>
      </c>
      <c r="H308" t="str">
        <f>_xlfn.XLOOKUP(FMECA[[#This Row],[HazardRisk_name]],categories[HazardRisk_Name],categories[Category])</f>
        <v>Technological</v>
      </c>
      <c r="I308" t="s">
        <v>1311</v>
      </c>
      <c r="J308" s="10">
        <v>4</v>
      </c>
      <c r="K308" t="s">
        <v>2498</v>
      </c>
      <c r="L308" s="10">
        <v>10</v>
      </c>
      <c r="M308" t="s">
        <v>2498</v>
      </c>
      <c r="N308" s="10">
        <f>FMECA[[#This Row],[probability_value]]*FMECA[[#This Row],[consequence_value]]</f>
        <v>40</v>
      </c>
      <c r="O308"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308" s="10" t="s">
        <v>767</v>
      </c>
      <c r="Q308" t="s">
        <v>1132</v>
      </c>
      <c r="R308" t="s">
        <v>780</v>
      </c>
      <c r="S308" t="s">
        <v>784</v>
      </c>
      <c r="T308" t="s">
        <v>793</v>
      </c>
      <c r="U308" t="s">
        <v>2499</v>
      </c>
      <c r="V308" t="s">
        <v>470</v>
      </c>
      <c r="W308" t="s">
        <v>1868</v>
      </c>
      <c r="X308" t="s">
        <v>470</v>
      </c>
      <c r="AA308" t="s">
        <v>1162</v>
      </c>
    </row>
    <row r="309" spans="1:27" x14ac:dyDescent="0.2">
      <c r="A309" s="225" t="s">
        <v>155</v>
      </c>
      <c r="B309" t="s">
        <v>63</v>
      </c>
      <c r="C309" t="s">
        <v>73</v>
      </c>
      <c r="D309" t="s">
        <v>220</v>
      </c>
      <c r="E309" t="s">
        <v>218</v>
      </c>
      <c r="F309" s="226" t="s">
        <v>219</v>
      </c>
      <c r="G309" t="str">
        <f>_xlfn.XLOOKUP(FMECA[[#This Row],[HazardRisk_name]],categories[HazardRisk_Name],categories[HazardRisk])</f>
        <v>Hazard</v>
      </c>
      <c r="H309" t="str">
        <f>_xlfn.XLOOKUP(FMECA[[#This Row],[HazardRisk_name]],categories[HazardRisk_Name],categories[Category])</f>
        <v>Operational</v>
      </c>
      <c r="I309" t="s">
        <v>595</v>
      </c>
      <c r="J309" s="10">
        <v>4</v>
      </c>
      <c r="K309" t="s">
        <v>2498</v>
      </c>
      <c r="L309" s="10">
        <v>10</v>
      </c>
      <c r="M309" t="s">
        <v>2498</v>
      </c>
      <c r="N309" s="10">
        <f>FMECA[[#This Row],[probability_value]]*FMECA[[#This Row],[consequence_value]]</f>
        <v>40</v>
      </c>
      <c r="O309"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309" s="10" t="s">
        <v>767</v>
      </c>
      <c r="Q309" t="s">
        <v>1132</v>
      </c>
      <c r="R309" t="s">
        <v>780</v>
      </c>
      <c r="S309" t="s">
        <v>784</v>
      </c>
      <c r="T309" t="s">
        <v>793</v>
      </c>
      <c r="U309" t="s">
        <v>2499</v>
      </c>
      <c r="V309" t="s">
        <v>470</v>
      </c>
      <c r="W309" t="s">
        <v>1868</v>
      </c>
      <c r="X309" t="s">
        <v>470</v>
      </c>
      <c r="AA309" t="s">
        <v>1162</v>
      </c>
    </row>
    <row r="310" spans="1:27" x14ac:dyDescent="0.2">
      <c r="A310" s="225" t="s">
        <v>155</v>
      </c>
      <c r="B310" t="s">
        <v>63</v>
      </c>
      <c r="C310" t="s">
        <v>73</v>
      </c>
      <c r="D310" t="s">
        <v>220</v>
      </c>
      <c r="E310" t="s">
        <v>218</v>
      </c>
      <c r="F310" s="226" t="s">
        <v>219</v>
      </c>
      <c r="G310" t="str">
        <f>_xlfn.XLOOKUP(FMECA[[#This Row],[HazardRisk_name]],categories[HazardRisk_Name],categories[HazardRisk])</f>
        <v>Risk</v>
      </c>
      <c r="H310" t="str">
        <f>_xlfn.XLOOKUP(FMECA[[#This Row],[HazardRisk_name]],categories[HazardRisk_Name],categories[Category])</f>
        <v>Navigational</v>
      </c>
      <c r="I310" t="s">
        <v>589</v>
      </c>
      <c r="J310" s="10">
        <v>4</v>
      </c>
      <c r="K310" t="s">
        <v>2509</v>
      </c>
      <c r="L310" s="10">
        <v>5</v>
      </c>
      <c r="M310" t="s">
        <v>2509</v>
      </c>
      <c r="N310" s="10">
        <f>FMECA[[#This Row],[probability_value]]*FMECA[[#This Row],[consequence_value]]</f>
        <v>20</v>
      </c>
      <c r="O31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10" s="10" t="s">
        <v>767</v>
      </c>
      <c r="Q310" t="s">
        <v>1132</v>
      </c>
      <c r="R310" t="s">
        <v>780</v>
      </c>
      <c r="S310" t="s">
        <v>784</v>
      </c>
      <c r="T310" t="s">
        <v>793</v>
      </c>
      <c r="AA310" t="s">
        <v>1162</v>
      </c>
    </row>
    <row r="311" spans="1:27" x14ac:dyDescent="0.2">
      <c r="A311" s="225" t="s">
        <v>155</v>
      </c>
      <c r="B311" t="s">
        <v>63</v>
      </c>
      <c r="C311" t="s">
        <v>73</v>
      </c>
      <c r="D311" t="s">
        <v>220</v>
      </c>
      <c r="E311" t="s">
        <v>218</v>
      </c>
      <c r="F311" s="226" t="s">
        <v>219</v>
      </c>
      <c r="G311" t="str">
        <f>_xlfn.XLOOKUP(FMECA[[#This Row],[HazardRisk_name]],categories[HazardRisk_Name],categories[HazardRisk])</f>
        <v>Risk</v>
      </c>
      <c r="H311" t="str">
        <f>_xlfn.XLOOKUP(FMECA[[#This Row],[HazardRisk_name]],categories[HazardRisk_Name],categories[Category])</f>
        <v>Operational</v>
      </c>
      <c r="I311" t="s">
        <v>1313</v>
      </c>
      <c r="J311" s="10">
        <v>3</v>
      </c>
      <c r="K311" t="s">
        <v>2509</v>
      </c>
      <c r="L311" s="10">
        <v>4</v>
      </c>
      <c r="M311" t="s">
        <v>2509</v>
      </c>
      <c r="N311" s="10">
        <f>FMECA[[#This Row],[probability_value]]*FMECA[[#This Row],[consequence_value]]</f>
        <v>12</v>
      </c>
      <c r="O31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11" s="10" t="s">
        <v>767</v>
      </c>
      <c r="Q311" t="s">
        <v>1132</v>
      </c>
      <c r="R311" t="s">
        <v>780</v>
      </c>
      <c r="S311" t="s">
        <v>784</v>
      </c>
      <c r="T311" t="s">
        <v>793</v>
      </c>
      <c r="AA311" t="s">
        <v>1162</v>
      </c>
    </row>
    <row r="312" spans="1:27" x14ac:dyDescent="0.2">
      <c r="A312" s="225" t="s">
        <v>155</v>
      </c>
      <c r="B312" t="s">
        <v>63</v>
      </c>
      <c r="C312" t="s">
        <v>73</v>
      </c>
      <c r="D312" t="s">
        <v>220</v>
      </c>
      <c r="E312" t="s">
        <v>218</v>
      </c>
      <c r="F312" s="226" t="s">
        <v>219</v>
      </c>
      <c r="G312" t="str">
        <f>_xlfn.XLOOKUP(FMECA[[#This Row],[HazardRisk_name]],categories[HazardRisk_Name],categories[HazardRisk])</f>
        <v>Hazard</v>
      </c>
      <c r="H312" t="str">
        <f>_xlfn.XLOOKUP(FMECA[[#This Row],[HazardRisk_name]],categories[HazardRisk_Name],categories[Category])</f>
        <v>Environmental</v>
      </c>
      <c r="I312" t="s">
        <v>600</v>
      </c>
      <c r="J312" s="10">
        <v>2</v>
      </c>
      <c r="K312" t="s">
        <v>2509</v>
      </c>
      <c r="L312" s="10">
        <v>7</v>
      </c>
      <c r="M312" t="s">
        <v>2509</v>
      </c>
      <c r="N312" s="10">
        <f>FMECA[[#This Row],[probability_value]]*FMECA[[#This Row],[consequence_value]]</f>
        <v>14</v>
      </c>
      <c r="O31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12" s="10" t="s">
        <v>767</v>
      </c>
      <c r="Q312" t="s">
        <v>1132</v>
      </c>
      <c r="R312" t="s">
        <v>780</v>
      </c>
      <c r="S312" t="s">
        <v>784</v>
      </c>
      <c r="T312" t="s">
        <v>793</v>
      </c>
      <c r="AA312" t="s">
        <v>1162</v>
      </c>
    </row>
    <row r="313" spans="1:27" x14ac:dyDescent="0.2">
      <c r="A313" s="225" t="s">
        <v>155</v>
      </c>
      <c r="B313" t="s">
        <v>63</v>
      </c>
      <c r="C313" t="s">
        <v>73</v>
      </c>
      <c r="D313" t="s">
        <v>220</v>
      </c>
      <c r="E313" t="s">
        <v>218</v>
      </c>
      <c r="F313" s="226" t="s">
        <v>219</v>
      </c>
      <c r="G313" t="str">
        <f>_xlfn.XLOOKUP(FMECA[[#This Row],[HazardRisk_name]],categories[HazardRisk_Name],categories[HazardRisk])</f>
        <v>Risk</v>
      </c>
      <c r="H313" t="str">
        <f>_xlfn.XLOOKUP(FMECA[[#This Row],[HazardRisk_name]],categories[HazardRisk_Name],categories[Category])</f>
        <v>Operational</v>
      </c>
      <c r="I313" t="s">
        <v>537</v>
      </c>
      <c r="J313" s="10">
        <v>2</v>
      </c>
      <c r="K313" t="s">
        <v>2509</v>
      </c>
      <c r="L313" s="10">
        <v>7</v>
      </c>
      <c r="M313" t="s">
        <v>2509</v>
      </c>
      <c r="N313" s="10">
        <f>FMECA[[#This Row],[probability_value]]*FMECA[[#This Row],[consequence_value]]</f>
        <v>14</v>
      </c>
      <c r="O31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13" s="10" t="s">
        <v>767</v>
      </c>
      <c r="Q313" t="s">
        <v>1132</v>
      </c>
      <c r="R313" t="s">
        <v>780</v>
      </c>
      <c r="S313" t="s">
        <v>784</v>
      </c>
      <c r="T313" t="s">
        <v>793</v>
      </c>
      <c r="AA313" t="s">
        <v>1162</v>
      </c>
    </row>
    <row r="314" spans="1:27" x14ac:dyDescent="0.2">
      <c r="A314" s="225" t="s">
        <v>155</v>
      </c>
      <c r="B314" t="s">
        <v>63</v>
      </c>
      <c r="C314" t="s">
        <v>73</v>
      </c>
      <c r="D314" t="s">
        <v>220</v>
      </c>
      <c r="E314" t="s">
        <v>218</v>
      </c>
      <c r="F314" s="226" t="s">
        <v>219</v>
      </c>
      <c r="G314" t="str">
        <f>_xlfn.XLOOKUP(FMECA[[#This Row],[HazardRisk_name]],categories[HazardRisk_Name],categories[HazardRisk])</f>
        <v>Risk</v>
      </c>
      <c r="H314" t="str">
        <f>_xlfn.XLOOKUP(FMECA[[#This Row],[HazardRisk_name]],categories[HazardRisk_Name],categories[Category])</f>
        <v>Navigational</v>
      </c>
      <c r="I314" t="s">
        <v>1312</v>
      </c>
      <c r="J314" s="10">
        <v>2</v>
      </c>
      <c r="K314" t="s">
        <v>2509</v>
      </c>
      <c r="L314" s="10">
        <v>7</v>
      </c>
      <c r="M314" t="s">
        <v>2509</v>
      </c>
      <c r="N314" s="10">
        <f>FMECA[[#This Row],[probability_value]]*FMECA[[#This Row],[consequence_value]]</f>
        <v>14</v>
      </c>
      <c r="O31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14" s="10" t="s">
        <v>767</v>
      </c>
      <c r="Q314" t="s">
        <v>1132</v>
      </c>
      <c r="R314" t="s">
        <v>780</v>
      </c>
      <c r="S314" t="s">
        <v>784</v>
      </c>
      <c r="T314" t="s">
        <v>793</v>
      </c>
      <c r="AA314" t="s">
        <v>1162</v>
      </c>
    </row>
    <row r="315" spans="1:27" x14ac:dyDescent="0.2">
      <c r="A315" s="225" t="s">
        <v>155</v>
      </c>
      <c r="B315" t="s">
        <v>63</v>
      </c>
      <c r="C315" t="s">
        <v>73</v>
      </c>
      <c r="D315" t="s">
        <v>220</v>
      </c>
      <c r="E315" t="s">
        <v>218</v>
      </c>
      <c r="F315" s="226" t="s">
        <v>219</v>
      </c>
      <c r="G315" t="str">
        <f>_xlfn.XLOOKUP(FMECA[[#This Row],[HazardRisk_name]],categories[HazardRisk_Name],categories[HazardRisk])</f>
        <v>Hazard</v>
      </c>
      <c r="H315" t="str">
        <f>_xlfn.XLOOKUP(FMECA[[#This Row],[HazardRisk_name]],categories[HazardRisk_Name],categories[Category])</f>
        <v>Environmental</v>
      </c>
      <c r="I315" t="s">
        <v>684</v>
      </c>
      <c r="J315" s="10">
        <v>4</v>
      </c>
      <c r="K315" t="s">
        <v>2500</v>
      </c>
      <c r="L315" s="10">
        <v>7</v>
      </c>
      <c r="M315" t="s">
        <v>2500</v>
      </c>
      <c r="N315" s="10">
        <f>FMECA[[#This Row],[probability_value]]*FMECA[[#This Row],[consequence_value]]</f>
        <v>28</v>
      </c>
      <c r="O315" s="10" t="str">
        <f>IF(AND(FMECA[[#This Row],[Score]]&gt;=0, 9&gt;=FMECA[[#This Row],[Score]]), "UNDETECTABLE", IF(AND(FMECA[[#This Row],[Score]]&gt;=10, 24&gt;=FMECA[[#This Row],[Score]]), "MODERATE", IF(AND(FMECA[[#This Row],[Score]]&gt;=25, 35&gt;=FMECA[[#This Row],[Score]]), "HIGH", IF(AND(FMECA[[#This Row],[Score]]&gt;=36, 50&gt;=FMECA[[#This Row],[Score]]), "VERY HIGH", "Check Formula"))))</f>
        <v>HIGH</v>
      </c>
      <c r="P315" s="10" t="s">
        <v>767</v>
      </c>
      <c r="Q315" t="s">
        <v>1132</v>
      </c>
      <c r="R315" t="s">
        <v>780</v>
      </c>
      <c r="S315" t="s">
        <v>784</v>
      </c>
      <c r="T315" t="s">
        <v>793</v>
      </c>
      <c r="AA315" t="s">
        <v>1162</v>
      </c>
    </row>
    <row r="316" spans="1:27" x14ac:dyDescent="0.2">
      <c r="A316" s="225" t="s">
        <v>155</v>
      </c>
      <c r="B316" t="s">
        <v>63</v>
      </c>
      <c r="C316" t="s">
        <v>73</v>
      </c>
      <c r="D316" t="s">
        <v>220</v>
      </c>
      <c r="E316" t="s">
        <v>218</v>
      </c>
      <c r="F316" s="226" t="s">
        <v>219</v>
      </c>
      <c r="G316" t="str">
        <f>_xlfn.XLOOKUP(FMECA[[#This Row],[HazardRisk_name]],categories[HazardRisk_Name],categories[HazardRisk])</f>
        <v>Hazard</v>
      </c>
      <c r="H316" t="str">
        <f>_xlfn.XLOOKUP(FMECA[[#This Row],[HazardRisk_name]],categories[HazardRisk_Name],categories[Category])</f>
        <v>Sea Ice</v>
      </c>
      <c r="I316" t="s">
        <v>673</v>
      </c>
      <c r="J316" s="10">
        <v>4</v>
      </c>
      <c r="K316" t="s">
        <v>2500</v>
      </c>
      <c r="L316" s="10">
        <v>7</v>
      </c>
      <c r="M316" t="s">
        <v>2500</v>
      </c>
      <c r="N316" s="10">
        <f>FMECA[[#This Row],[probability_value]]*FMECA[[#This Row],[consequence_value]]</f>
        <v>28</v>
      </c>
      <c r="O316" s="10" t="str">
        <f>IF(AND(FMECA[[#This Row],[Score]]&gt;=0, 9&gt;=FMECA[[#This Row],[Score]]), "UNDETECTABLE", IF(AND(FMECA[[#This Row],[Score]]&gt;=10, 24&gt;=FMECA[[#This Row],[Score]]), "MODERATE", IF(AND(FMECA[[#This Row],[Score]]&gt;=25, 35&gt;=FMECA[[#This Row],[Score]]), "HIGH", IF(AND(FMECA[[#This Row],[Score]]&gt;=36, 50&gt;=FMECA[[#This Row],[Score]]), "VERY HIGH", "Check Formula"))))</f>
        <v>HIGH</v>
      </c>
      <c r="P316" s="10" t="s">
        <v>767</v>
      </c>
      <c r="Q316" t="s">
        <v>1132</v>
      </c>
      <c r="R316" t="s">
        <v>780</v>
      </c>
      <c r="S316" t="s">
        <v>784</v>
      </c>
      <c r="T316" t="s">
        <v>793</v>
      </c>
      <c r="AA316" t="s">
        <v>1162</v>
      </c>
    </row>
    <row r="317" spans="1:27" x14ac:dyDescent="0.2">
      <c r="A317" s="225" t="s">
        <v>155</v>
      </c>
      <c r="B317" t="s">
        <v>63</v>
      </c>
      <c r="C317" t="s">
        <v>73</v>
      </c>
      <c r="D317" t="s">
        <v>220</v>
      </c>
      <c r="E317" t="s">
        <v>218</v>
      </c>
      <c r="F317" s="226" t="s">
        <v>219</v>
      </c>
      <c r="G317" t="str">
        <f>_xlfn.XLOOKUP(FMECA[[#This Row],[HazardRisk_name]],categories[HazardRisk_Name],categories[HazardRisk])</f>
        <v>Hazard</v>
      </c>
      <c r="H317" t="str">
        <f>_xlfn.XLOOKUP(FMECA[[#This Row],[HazardRisk_name]],categories[HazardRisk_Name],categories[Category])</f>
        <v>Environmental</v>
      </c>
      <c r="I317" t="s">
        <v>485</v>
      </c>
      <c r="J317" s="10">
        <v>4</v>
      </c>
      <c r="K317" t="s">
        <v>2500</v>
      </c>
      <c r="L317" s="10">
        <v>4</v>
      </c>
      <c r="M317" t="s">
        <v>2500</v>
      </c>
      <c r="N317" s="10">
        <f>FMECA[[#This Row],[probability_value]]*FMECA[[#This Row],[consequence_value]]</f>
        <v>16</v>
      </c>
      <c r="O31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17" s="10" t="s">
        <v>767</v>
      </c>
      <c r="Q317" t="s">
        <v>1132</v>
      </c>
      <c r="R317" t="s">
        <v>780</v>
      </c>
      <c r="S317" t="s">
        <v>784</v>
      </c>
      <c r="T317" t="s">
        <v>793</v>
      </c>
      <c r="AA317" t="s">
        <v>1162</v>
      </c>
    </row>
    <row r="318" spans="1:27" x14ac:dyDescent="0.2">
      <c r="A318" s="225" t="s">
        <v>155</v>
      </c>
      <c r="B318" t="s">
        <v>63</v>
      </c>
      <c r="C318" t="s">
        <v>73</v>
      </c>
      <c r="D318" t="s">
        <v>220</v>
      </c>
      <c r="E318" t="s">
        <v>218</v>
      </c>
      <c r="F318" s="226" t="s">
        <v>219</v>
      </c>
      <c r="G318" t="str">
        <f>_xlfn.XLOOKUP(FMECA[[#This Row],[HazardRisk_name]],categories[HazardRisk_Name],categories[HazardRisk])</f>
        <v>Hazard</v>
      </c>
      <c r="H318" t="str">
        <f>_xlfn.XLOOKUP(FMECA[[#This Row],[HazardRisk_name]],categories[HazardRisk_Name],categories[Category])</f>
        <v>Human</v>
      </c>
      <c r="I318" t="s">
        <v>590</v>
      </c>
      <c r="J318" s="10">
        <v>5</v>
      </c>
      <c r="K318" t="s">
        <v>2501</v>
      </c>
      <c r="L318" s="10">
        <v>7</v>
      </c>
      <c r="M318" t="s">
        <v>2501</v>
      </c>
      <c r="N318" s="10">
        <f>FMECA[[#This Row],[probability_value]]*FMECA[[#This Row],[consequence_value]]</f>
        <v>35</v>
      </c>
      <c r="O318" s="10" t="str">
        <f>IF(AND(FMECA[[#This Row],[Score]]&gt;=0, 9&gt;=FMECA[[#This Row],[Score]]), "UNDETECTABLE", IF(AND(FMECA[[#This Row],[Score]]&gt;=10, 24&gt;=FMECA[[#This Row],[Score]]), "MODERATE", IF(AND(FMECA[[#This Row],[Score]]&gt;=25, 35&gt;=FMECA[[#This Row],[Score]]), "HIGH", IF(AND(FMECA[[#This Row],[Score]]&gt;=36, 50&gt;=FMECA[[#This Row],[Score]]), "VERY HIGH", "Check Formula"))))</f>
        <v>HIGH</v>
      </c>
      <c r="P318" s="10" t="s">
        <v>767</v>
      </c>
      <c r="Q318" t="s">
        <v>1132</v>
      </c>
      <c r="R318" t="s">
        <v>780</v>
      </c>
      <c r="S318" t="s">
        <v>784</v>
      </c>
      <c r="T318" t="s">
        <v>793</v>
      </c>
      <c r="AA318" t="s">
        <v>1162</v>
      </c>
    </row>
    <row r="319" spans="1:27" x14ac:dyDescent="0.2">
      <c r="A319" s="225" t="s">
        <v>155</v>
      </c>
      <c r="B319" t="s">
        <v>63</v>
      </c>
      <c r="C319" t="s">
        <v>73</v>
      </c>
      <c r="D319" t="s">
        <v>220</v>
      </c>
      <c r="E319" t="s">
        <v>218</v>
      </c>
      <c r="F319" s="226" t="s">
        <v>219</v>
      </c>
      <c r="G319" t="str">
        <f>_xlfn.XLOOKUP(FMECA[[#This Row],[HazardRisk_name]],categories[HazardRisk_Name],categories[HazardRisk])</f>
        <v>Risk</v>
      </c>
      <c r="H319" t="str">
        <f>_xlfn.XLOOKUP(FMECA[[#This Row],[HazardRisk_name]],categories[HazardRisk_Name],categories[Category])</f>
        <v>Political</v>
      </c>
      <c r="I319" t="s">
        <v>622</v>
      </c>
      <c r="J319" s="10">
        <v>4</v>
      </c>
      <c r="K319" t="s">
        <v>2502</v>
      </c>
      <c r="L319" s="10">
        <v>4</v>
      </c>
      <c r="M319" t="s">
        <v>2502</v>
      </c>
      <c r="N319" s="10">
        <f>FMECA[[#This Row],[probability_value]]*FMECA[[#This Row],[consequence_value]]</f>
        <v>16</v>
      </c>
      <c r="O31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19" s="10" t="s">
        <v>767</v>
      </c>
      <c r="Q319" t="s">
        <v>1132</v>
      </c>
      <c r="R319" t="s">
        <v>780</v>
      </c>
      <c r="S319" t="s">
        <v>784</v>
      </c>
      <c r="T319" t="s">
        <v>793</v>
      </c>
      <c r="AA319" t="s">
        <v>1162</v>
      </c>
    </row>
    <row r="320" spans="1:27" x14ac:dyDescent="0.2">
      <c r="A320" s="225" t="s">
        <v>155</v>
      </c>
      <c r="B320" t="s">
        <v>63</v>
      </c>
      <c r="C320" t="s">
        <v>73</v>
      </c>
      <c r="D320" t="s">
        <v>220</v>
      </c>
      <c r="E320" t="s">
        <v>218</v>
      </c>
      <c r="F320" s="226" t="s">
        <v>219</v>
      </c>
      <c r="G320" t="str">
        <f>_xlfn.XLOOKUP(FMECA[[#This Row],[HazardRisk_name]],categories[HazardRisk_Name],categories[HazardRisk])</f>
        <v>Risk</v>
      </c>
      <c r="H320" t="str">
        <f>_xlfn.XLOOKUP(FMECA[[#This Row],[HazardRisk_name]],categories[HazardRisk_Name],categories[Category])</f>
        <v>Navigational</v>
      </c>
      <c r="I320" t="s">
        <v>587</v>
      </c>
      <c r="J320" s="10">
        <v>3</v>
      </c>
      <c r="K320" t="s">
        <v>2509</v>
      </c>
      <c r="L320" s="10">
        <v>5</v>
      </c>
      <c r="M320" t="s">
        <v>2509</v>
      </c>
      <c r="N320" s="10">
        <f>FMECA[[#This Row],[probability_value]]*FMECA[[#This Row],[consequence_value]]</f>
        <v>15</v>
      </c>
      <c r="O32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20" s="10" t="s">
        <v>767</v>
      </c>
      <c r="Q320" t="s">
        <v>1132</v>
      </c>
      <c r="R320" t="s">
        <v>780</v>
      </c>
      <c r="S320" t="s">
        <v>784</v>
      </c>
      <c r="T320" t="s">
        <v>793</v>
      </c>
      <c r="AA320" t="s">
        <v>1162</v>
      </c>
    </row>
    <row r="321" spans="1:27" x14ac:dyDescent="0.2">
      <c r="A321" s="225" t="s">
        <v>155</v>
      </c>
      <c r="B321" t="s">
        <v>63</v>
      </c>
      <c r="C321" t="s">
        <v>73</v>
      </c>
      <c r="D321" t="s">
        <v>220</v>
      </c>
      <c r="E321" t="s">
        <v>218</v>
      </c>
      <c r="F321" s="226" t="s">
        <v>219</v>
      </c>
      <c r="G321" t="str">
        <f>_xlfn.XLOOKUP(FMECA[[#This Row],[HazardRisk_name]],categories[HazardRisk_Name],categories[HazardRisk])</f>
        <v>Risk</v>
      </c>
      <c r="H321" t="str">
        <f>_xlfn.XLOOKUP(FMECA[[#This Row],[HazardRisk_name]],categories[HazardRisk_Name],categories[Category])</f>
        <v>Navigational</v>
      </c>
      <c r="I321" t="s">
        <v>556</v>
      </c>
      <c r="J321" s="10">
        <v>3</v>
      </c>
      <c r="K321" t="s">
        <v>2510</v>
      </c>
      <c r="L321" s="10">
        <v>7</v>
      </c>
      <c r="M321" t="s">
        <v>2510</v>
      </c>
      <c r="N321" s="10">
        <f>FMECA[[#This Row],[probability_value]]*FMECA[[#This Row],[consequence_value]]</f>
        <v>21</v>
      </c>
      <c r="O32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21" s="10" t="s">
        <v>767</v>
      </c>
      <c r="Q321" t="s">
        <v>1132</v>
      </c>
      <c r="R321" t="s">
        <v>780</v>
      </c>
      <c r="S321" t="s">
        <v>784</v>
      </c>
      <c r="T321" t="s">
        <v>793</v>
      </c>
      <c r="AA321" t="s">
        <v>1162</v>
      </c>
    </row>
    <row r="322" spans="1:27" x14ac:dyDescent="0.2">
      <c r="A322" s="225" t="s">
        <v>155</v>
      </c>
      <c r="B322" t="s">
        <v>63</v>
      </c>
      <c r="C322" t="s">
        <v>73</v>
      </c>
      <c r="D322" t="s">
        <v>220</v>
      </c>
      <c r="E322" t="s">
        <v>218</v>
      </c>
      <c r="F322" s="226" t="s">
        <v>219</v>
      </c>
      <c r="G322" t="str">
        <f>_xlfn.XLOOKUP(FMECA[[#This Row],[HazardRisk_name]],categories[HazardRisk_Name],categories[HazardRisk])</f>
        <v>Risk</v>
      </c>
      <c r="H322" t="str">
        <f>_xlfn.XLOOKUP(FMECA[[#This Row],[HazardRisk_name]],categories[HazardRisk_Name],categories[Category])</f>
        <v>Navigational</v>
      </c>
      <c r="I322" t="s">
        <v>586</v>
      </c>
      <c r="J322" s="10">
        <v>3</v>
      </c>
      <c r="K322" t="s">
        <v>2360</v>
      </c>
      <c r="L322" s="10">
        <v>4</v>
      </c>
      <c r="M322" t="s">
        <v>2360</v>
      </c>
      <c r="N322" s="10">
        <f>FMECA[[#This Row],[probability_value]]*FMECA[[#This Row],[consequence_value]]</f>
        <v>12</v>
      </c>
      <c r="O32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22" s="10" t="s">
        <v>767</v>
      </c>
      <c r="Q322" t="s">
        <v>1132</v>
      </c>
      <c r="R322" t="s">
        <v>780</v>
      </c>
      <c r="S322" t="s">
        <v>784</v>
      </c>
      <c r="T322" t="s">
        <v>793</v>
      </c>
      <c r="U322" t="s">
        <v>2504</v>
      </c>
      <c r="V322" t="s">
        <v>470</v>
      </c>
      <c r="W322" t="s">
        <v>2505</v>
      </c>
      <c r="X322" t="s">
        <v>466</v>
      </c>
      <c r="AA322" t="s">
        <v>1162</v>
      </c>
    </row>
    <row r="323" spans="1:27" x14ac:dyDescent="0.2">
      <c r="A323" s="225" t="s">
        <v>155</v>
      </c>
      <c r="B323" t="s">
        <v>63</v>
      </c>
      <c r="C323" t="s">
        <v>73</v>
      </c>
      <c r="D323" t="s">
        <v>220</v>
      </c>
      <c r="E323" t="s">
        <v>218</v>
      </c>
      <c r="F323" s="226" t="s">
        <v>219</v>
      </c>
      <c r="G323" t="str">
        <f>_xlfn.XLOOKUP(FMECA[[#This Row],[HazardRisk_name]],categories[HazardRisk_Name],categories[HazardRisk])</f>
        <v>Risk</v>
      </c>
      <c r="H323" t="str">
        <f>_xlfn.XLOOKUP(FMECA[[#This Row],[HazardRisk_name]],categories[HazardRisk_Name],categories[Category])</f>
        <v>Navigational</v>
      </c>
      <c r="I323" t="s">
        <v>705</v>
      </c>
      <c r="J323" s="10">
        <v>3</v>
      </c>
      <c r="K323" t="s">
        <v>2508</v>
      </c>
      <c r="L323" s="10">
        <v>4</v>
      </c>
      <c r="M323" t="s">
        <v>2508</v>
      </c>
      <c r="N323" s="10">
        <f>FMECA[[#This Row],[probability_value]]*FMECA[[#This Row],[consequence_value]]</f>
        <v>12</v>
      </c>
      <c r="O32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23" s="10" t="s">
        <v>767</v>
      </c>
      <c r="Q323" t="s">
        <v>1132</v>
      </c>
      <c r="R323" t="s">
        <v>780</v>
      </c>
      <c r="S323" t="s">
        <v>784</v>
      </c>
      <c r="T323" t="s">
        <v>793</v>
      </c>
      <c r="W323" t="s">
        <v>2505</v>
      </c>
      <c r="X323" t="s">
        <v>466</v>
      </c>
      <c r="AA323" t="s">
        <v>1162</v>
      </c>
    </row>
    <row r="324" spans="1:27" ht="34" x14ac:dyDescent="0.2">
      <c r="A324" s="225" t="s">
        <v>155</v>
      </c>
      <c r="B324" t="s">
        <v>63</v>
      </c>
      <c r="C324" t="s">
        <v>73</v>
      </c>
      <c r="D324" t="s">
        <v>220</v>
      </c>
      <c r="E324" t="s">
        <v>218</v>
      </c>
      <c r="F324" s="226" t="s">
        <v>219</v>
      </c>
      <c r="G324" t="str">
        <f>_xlfn.XLOOKUP(FMECA[[#This Row],[HazardRisk_name]],categories[HazardRisk_Name],categories[HazardRisk])</f>
        <v>Risk</v>
      </c>
      <c r="H324" t="str">
        <f>_xlfn.XLOOKUP(FMECA[[#This Row],[HazardRisk_name]],categories[HazardRisk_Name],categories[Category])</f>
        <v>Operational</v>
      </c>
      <c r="I324" s="15" t="s">
        <v>1320</v>
      </c>
      <c r="J324" s="10">
        <v>2</v>
      </c>
      <c r="K324" t="s">
        <v>2503</v>
      </c>
      <c r="L324" s="10">
        <v>7</v>
      </c>
      <c r="M324" t="s">
        <v>2503</v>
      </c>
      <c r="N324" s="10">
        <f>FMECA[[#This Row],[probability_value]]*FMECA[[#This Row],[consequence_value]]</f>
        <v>14</v>
      </c>
      <c r="O32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24" s="10" t="s">
        <v>767</v>
      </c>
      <c r="Q324" t="s">
        <v>1132</v>
      </c>
      <c r="R324" t="s">
        <v>780</v>
      </c>
      <c r="S324" t="s">
        <v>784</v>
      </c>
      <c r="T324" t="s">
        <v>793</v>
      </c>
      <c r="U324" t="s">
        <v>2506</v>
      </c>
      <c r="V324" t="s">
        <v>466</v>
      </c>
      <c r="W324" t="s">
        <v>2507</v>
      </c>
      <c r="X324" t="s">
        <v>466</v>
      </c>
      <c r="AA324" t="s">
        <v>1162</v>
      </c>
    </row>
    <row r="325" spans="1:27" x14ac:dyDescent="0.2">
      <c r="A325" s="225" t="s">
        <v>156</v>
      </c>
      <c r="B325" t="s">
        <v>63</v>
      </c>
      <c r="C325" t="s">
        <v>73</v>
      </c>
      <c r="D325" t="s">
        <v>204</v>
      </c>
      <c r="E325" t="s">
        <v>224</v>
      </c>
      <c r="F325" s="226" t="s">
        <v>225</v>
      </c>
      <c r="G325" t="str">
        <f>_xlfn.XLOOKUP(FMECA[[#This Row],[HazardRisk_name]],categories[HazardRisk_Name],categories[HazardRisk])</f>
        <v>Risk</v>
      </c>
      <c r="H325" t="str">
        <f>_xlfn.XLOOKUP(FMECA[[#This Row],[HazardRisk_name]],categories[HazardRisk_Name],categories[Category])</f>
        <v>Navigational</v>
      </c>
      <c r="I325" t="s">
        <v>582</v>
      </c>
      <c r="J325" s="10">
        <v>3</v>
      </c>
      <c r="K325" t="s">
        <v>2511</v>
      </c>
      <c r="L325" s="10">
        <v>7</v>
      </c>
      <c r="M325" t="s">
        <v>2511</v>
      </c>
      <c r="N325" s="10">
        <f>FMECA[[#This Row],[probability_value]]*FMECA[[#This Row],[consequence_value]]</f>
        <v>21</v>
      </c>
      <c r="O32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25" s="10" t="s">
        <v>785</v>
      </c>
      <c r="Q325" t="s">
        <v>1162</v>
      </c>
      <c r="R325" t="s">
        <v>771</v>
      </c>
      <c r="S325" t="s">
        <v>786</v>
      </c>
      <c r="T325" t="s">
        <v>793</v>
      </c>
      <c r="AA325" t="s">
        <v>1162</v>
      </c>
    </row>
    <row r="326" spans="1:27" x14ac:dyDescent="0.2">
      <c r="A326" s="225" t="s">
        <v>156</v>
      </c>
      <c r="B326" t="s">
        <v>63</v>
      </c>
      <c r="C326" t="s">
        <v>73</v>
      </c>
      <c r="D326" t="s">
        <v>204</v>
      </c>
      <c r="E326" t="s">
        <v>224</v>
      </c>
      <c r="F326" s="226" t="s">
        <v>225</v>
      </c>
      <c r="G326" t="str">
        <f>_xlfn.XLOOKUP(FMECA[[#This Row],[HazardRisk_name]],categories[HazardRisk_Name],categories[HazardRisk])</f>
        <v>Risk</v>
      </c>
      <c r="H326" t="str">
        <f>_xlfn.XLOOKUP(FMECA[[#This Row],[HazardRisk_name]],categories[HazardRisk_Name],categories[Category])</f>
        <v>Political</v>
      </c>
      <c r="I326" t="s">
        <v>622</v>
      </c>
      <c r="J326" s="10">
        <v>5</v>
      </c>
      <c r="K326" t="s">
        <v>2524</v>
      </c>
      <c r="L326" s="10">
        <v>4</v>
      </c>
      <c r="M326" t="s">
        <v>2524</v>
      </c>
      <c r="N326" s="10">
        <f>FMECA[[#This Row],[probability_value]]*FMECA[[#This Row],[consequence_value]]</f>
        <v>20</v>
      </c>
      <c r="O32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26" s="10" t="s">
        <v>785</v>
      </c>
      <c r="Q326" t="s">
        <v>1162</v>
      </c>
      <c r="R326" t="s">
        <v>771</v>
      </c>
      <c r="S326" t="s">
        <v>786</v>
      </c>
      <c r="T326" t="s">
        <v>793</v>
      </c>
      <c r="U326" t="s">
        <v>2525</v>
      </c>
      <c r="V326" t="s">
        <v>466</v>
      </c>
      <c r="W326" t="s">
        <v>2526</v>
      </c>
      <c r="X326" t="s">
        <v>449</v>
      </c>
      <c r="AA326" t="s">
        <v>1162</v>
      </c>
    </row>
    <row r="327" spans="1:27" x14ac:dyDescent="0.2">
      <c r="A327" s="225" t="s">
        <v>156</v>
      </c>
      <c r="B327" t="s">
        <v>63</v>
      </c>
      <c r="C327" t="s">
        <v>73</v>
      </c>
      <c r="D327" t="s">
        <v>204</v>
      </c>
      <c r="E327" t="s">
        <v>224</v>
      </c>
      <c r="F327" s="226" t="s">
        <v>225</v>
      </c>
      <c r="G327" t="str">
        <f>_xlfn.XLOOKUP(FMECA[[#This Row],[HazardRisk_name]],categories[HazardRisk_Name],categories[HazardRisk])</f>
        <v>Hazard</v>
      </c>
      <c r="H327" t="str">
        <f>_xlfn.XLOOKUP(FMECA[[#This Row],[HazardRisk_name]],categories[HazardRisk_Name],categories[Category])</f>
        <v>Navigational</v>
      </c>
      <c r="I327" t="s">
        <v>484</v>
      </c>
      <c r="J327" s="10">
        <v>4</v>
      </c>
      <c r="K327" t="s">
        <v>2518</v>
      </c>
      <c r="L327" s="10">
        <v>7</v>
      </c>
      <c r="M327" t="s">
        <v>2518</v>
      </c>
      <c r="N327" s="10">
        <f>FMECA[[#This Row],[probability_value]]*FMECA[[#This Row],[consequence_value]]</f>
        <v>28</v>
      </c>
      <c r="O327" s="10" t="str">
        <f>IF(AND(FMECA[[#This Row],[Score]]&gt;=0, 9&gt;=FMECA[[#This Row],[Score]]), "UNDETECTABLE", IF(AND(FMECA[[#This Row],[Score]]&gt;=10, 24&gt;=FMECA[[#This Row],[Score]]), "MODERATE", IF(AND(FMECA[[#This Row],[Score]]&gt;=25, 35&gt;=FMECA[[#This Row],[Score]]), "HIGH", IF(AND(FMECA[[#This Row],[Score]]&gt;=36, 50&gt;=FMECA[[#This Row],[Score]]), "VERY HIGH", "Check Formula"))))</f>
        <v>HIGH</v>
      </c>
      <c r="P327" s="10" t="s">
        <v>785</v>
      </c>
      <c r="Q327" t="s">
        <v>1162</v>
      </c>
      <c r="R327" t="s">
        <v>771</v>
      </c>
      <c r="S327" t="s">
        <v>786</v>
      </c>
      <c r="T327" t="s">
        <v>793</v>
      </c>
      <c r="U327" t="s">
        <v>2519</v>
      </c>
      <c r="V327" t="s">
        <v>466</v>
      </c>
      <c r="W327" t="s">
        <v>2520</v>
      </c>
      <c r="X327" t="s">
        <v>470</v>
      </c>
      <c r="AA327" t="s">
        <v>1162</v>
      </c>
    </row>
    <row r="328" spans="1:27" x14ac:dyDescent="0.2">
      <c r="A328" s="225" t="s">
        <v>156</v>
      </c>
      <c r="B328" t="s">
        <v>63</v>
      </c>
      <c r="C328" t="s">
        <v>73</v>
      </c>
      <c r="D328" t="s">
        <v>204</v>
      </c>
      <c r="E328" t="s">
        <v>224</v>
      </c>
      <c r="F328" s="226" t="s">
        <v>225</v>
      </c>
      <c r="G328" t="str">
        <f>_xlfn.XLOOKUP(FMECA[[#This Row],[HazardRisk_name]],categories[HazardRisk_Name],categories[HazardRisk])</f>
        <v>Hazard</v>
      </c>
      <c r="H328" t="str">
        <f>_xlfn.XLOOKUP(FMECA[[#This Row],[HazardRisk_name]],categories[HazardRisk_Name],categories[Category])</f>
        <v>Sea Ice</v>
      </c>
      <c r="I328" t="s">
        <v>447</v>
      </c>
      <c r="J328" s="10">
        <v>5</v>
      </c>
      <c r="K328" t="s">
        <v>2518</v>
      </c>
      <c r="L328" s="10">
        <v>7</v>
      </c>
      <c r="M328" t="s">
        <v>2518</v>
      </c>
      <c r="N328" s="10">
        <f>FMECA[[#This Row],[probability_value]]*FMECA[[#This Row],[consequence_value]]</f>
        <v>35</v>
      </c>
      <c r="O328" s="10" t="str">
        <f>IF(AND(FMECA[[#This Row],[Score]]&gt;=0, 9&gt;=FMECA[[#This Row],[Score]]), "UNDETECTABLE", IF(AND(FMECA[[#This Row],[Score]]&gt;=10, 24&gt;=FMECA[[#This Row],[Score]]), "MODERATE", IF(AND(FMECA[[#This Row],[Score]]&gt;=25, 35&gt;=FMECA[[#This Row],[Score]]), "HIGH", IF(AND(FMECA[[#This Row],[Score]]&gt;=36, 50&gt;=FMECA[[#This Row],[Score]]), "VERY HIGH", "Check Formula"))))</f>
        <v>HIGH</v>
      </c>
      <c r="P328" s="10" t="s">
        <v>785</v>
      </c>
      <c r="Q328" t="s">
        <v>1162</v>
      </c>
      <c r="R328" t="s">
        <v>771</v>
      </c>
      <c r="S328" t="s">
        <v>786</v>
      </c>
      <c r="T328" t="s">
        <v>793</v>
      </c>
      <c r="U328" t="s">
        <v>2522</v>
      </c>
      <c r="V328" t="s">
        <v>466</v>
      </c>
      <c r="W328" t="s">
        <v>2521</v>
      </c>
      <c r="X328" t="s">
        <v>470</v>
      </c>
      <c r="AA328" t="s">
        <v>1162</v>
      </c>
    </row>
    <row r="329" spans="1:27" x14ac:dyDescent="0.2">
      <c r="A329" s="225" t="s">
        <v>156</v>
      </c>
      <c r="B329" t="s">
        <v>63</v>
      </c>
      <c r="C329" t="s">
        <v>73</v>
      </c>
      <c r="D329" t="s">
        <v>204</v>
      </c>
      <c r="E329" t="s">
        <v>224</v>
      </c>
      <c r="F329" s="226" t="s">
        <v>225</v>
      </c>
      <c r="G329" t="str">
        <f>_xlfn.XLOOKUP(FMECA[[#This Row],[HazardRisk_name]],categories[HazardRisk_Name],categories[HazardRisk])</f>
        <v>Risk</v>
      </c>
      <c r="H329" t="str">
        <f>_xlfn.XLOOKUP(FMECA[[#This Row],[HazardRisk_name]],categories[HazardRisk_Name],categories[Category])</f>
        <v>Navigational</v>
      </c>
      <c r="I329" t="s">
        <v>589</v>
      </c>
      <c r="J329" s="10">
        <v>4</v>
      </c>
      <c r="K329" t="s">
        <v>2518</v>
      </c>
      <c r="L329" s="10">
        <v>5</v>
      </c>
      <c r="M329" t="s">
        <v>2518</v>
      </c>
      <c r="N329" s="10">
        <f>FMECA[[#This Row],[probability_value]]*FMECA[[#This Row],[consequence_value]]</f>
        <v>20</v>
      </c>
      <c r="O32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29" s="10" t="s">
        <v>785</v>
      </c>
      <c r="Q329" t="s">
        <v>1162</v>
      </c>
      <c r="R329" t="s">
        <v>771</v>
      </c>
      <c r="S329" t="s">
        <v>786</v>
      </c>
      <c r="T329" t="s">
        <v>793</v>
      </c>
      <c r="U329" t="s">
        <v>2523</v>
      </c>
      <c r="V329" t="s">
        <v>466</v>
      </c>
      <c r="W329" t="s">
        <v>2520</v>
      </c>
      <c r="X329" t="s">
        <v>470</v>
      </c>
      <c r="AA329" t="s">
        <v>1162</v>
      </c>
    </row>
    <row r="330" spans="1:27" x14ac:dyDescent="0.2">
      <c r="A330" s="225" t="s">
        <v>156</v>
      </c>
      <c r="B330" t="s">
        <v>63</v>
      </c>
      <c r="C330" t="s">
        <v>73</v>
      </c>
      <c r="D330" t="s">
        <v>204</v>
      </c>
      <c r="E330" t="s">
        <v>224</v>
      </c>
      <c r="F330" s="226" t="s">
        <v>225</v>
      </c>
      <c r="G330" t="str">
        <f>_xlfn.XLOOKUP(FMECA[[#This Row],[HazardRisk_name]],categories[HazardRisk_Name],categories[HazardRisk])</f>
        <v>Risk</v>
      </c>
      <c r="H330" t="str">
        <f>_xlfn.XLOOKUP(FMECA[[#This Row],[HazardRisk_name]],categories[HazardRisk_Name],categories[Category])</f>
        <v>Operational</v>
      </c>
      <c r="I330" t="s">
        <v>681</v>
      </c>
      <c r="J330" s="10">
        <v>5</v>
      </c>
      <c r="K330" t="s">
        <v>2513</v>
      </c>
      <c r="L330" s="10">
        <v>7</v>
      </c>
      <c r="M330" t="s">
        <v>2513</v>
      </c>
      <c r="N330" s="10">
        <f>FMECA[[#This Row],[probability_value]]*FMECA[[#This Row],[consequence_value]]</f>
        <v>35</v>
      </c>
      <c r="O330" s="10" t="str">
        <f>IF(AND(FMECA[[#This Row],[Score]]&gt;=0, 9&gt;=FMECA[[#This Row],[Score]]), "UNDETECTABLE", IF(AND(FMECA[[#This Row],[Score]]&gt;=10, 24&gt;=FMECA[[#This Row],[Score]]), "MODERATE", IF(AND(FMECA[[#This Row],[Score]]&gt;=25, 35&gt;=FMECA[[#This Row],[Score]]), "HIGH", IF(AND(FMECA[[#This Row],[Score]]&gt;=36, 50&gt;=FMECA[[#This Row],[Score]]), "VERY HIGH", "Check Formula"))))</f>
        <v>HIGH</v>
      </c>
      <c r="P330" s="10" t="s">
        <v>785</v>
      </c>
      <c r="Q330" t="s">
        <v>1162</v>
      </c>
      <c r="R330" t="s">
        <v>771</v>
      </c>
      <c r="S330" t="s">
        <v>786</v>
      </c>
      <c r="T330" t="s">
        <v>793</v>
      </c>
      <c r="U330" t="s">
        <v>2515</v>
      </c>
      <c r="V330" t="s">
        <v>466</v>
      </c>
      <c r="W330" t="s">
        <v>2516</v>
      </c>
      <c r="X330" t="s">
        <v>466</v>
      </c>
      <c r="AA330" t="s">
        <v>1162</v>
      </c>
    </row>
    <row r="331" spans="1:27" x14ac:dyDescent="0.2">
      <c r="A331" s="225" t="s">
        <v>156</v>
      </c>
      <c r="B331" t="s">
        <v>63</v>
      </c>
      <c r="C331" t="s">
        <v>73</v>
      </c>
      <c r="D331" t="s">
        <v>204</v>
      </c>
      <c r="E331" t="s">
        <v>224</v>
      </c>
      <c r="F331" s="226" t="s">
        <v>225</v>
      </c>
      <c r="G331" t="str">
        <f>_xlfn.XLOOKUP(FMECA[[#This Row],[HazardRisk_name]],categories[HazardRisk_Name],categories[HazardRisk])</f>
        <v>Risk</v>
      </c>
      <c r="H331" t="str">
        <f>_xlfn.XLOOKUP(FMECA[[#This Row],[HazardRisk_name]],categories[HazardRisk_Name],categories[Category])</f>
        <v>Sea Ice</v>
      </c>
      <c r="I331" t="s">
        <v>480</v>
      </c>
      <c r="J331" s="10">
        <v>4</v>
      </c>
      <c r="K331" t="s">
        <v>2513</v>
      </c>
      <c r="L331" s="10">
        <v>7</v>
      </c>
      <c r="M331" t="s">
        <v>2513</v>
      </c>
      <c r="N331" s="10">
        <f>FMECA[[#This Row],[probability_value]]*FMECA[[#This Row],[consequence_value]]</f>
        <v>28</v>
      </c>
      <c r="O331" s="10" t="str">
        <f>IF(AND(FMECA[[#This Row],[Score]]&gt;=0, 9&gt;=FMECA[[#This Row],[Score]]), "UNDETECTABLE", IF(AND(FMECA[[#This Row],[Score]]&gt;=10, 24&gt;=FMECA[[#This Row],[Score]]), "MODERATE", IF(AND(FMECA[[#This Row],[Score]]&gt;=25, 35&gt;=FMECA[[#This Row],[Score]]), "HIGH", IF(AND(FMECA[[#This Row],[Score]]&gt;=36, 50&gt;=FMECA[[#This Row],[Score]]), "VERY HIGH", "Check Formula"))))</f>
        <v>HIGH</v>
      </c>
      <c r="P331" s="10" t="s">
        <v>785</v>
      </c>
      <c r="Q331" t="s">
        <v>1162</v>
      </c>
      <c r="R331" t="s">
        <v>771</v>
      </c>
      <c r="S331" t="s">
        <v>786</v>
      </c>
      <c r="T331" t="s">
        <v>793</v>
      </c>
      <c r="U331" t="s">
        <v>2514</v>
      </c>
      <c r="V331" t="s">
        <v>466</v>
      </c>
      <c r="W331" t="s">
        <v>2517</v>
      </c>
      <c r="X331" t="s">
        <v>466</v>
      </c>
      <c r="AA331" t="s">
        <v>1162</v>
      </c>
    </row>
    <row r="332" spans="1:27" x14ac:dyDescent="0.2">
      <c r="A332" s="225" t="s">
        <v>156</v>
      </c>
      <c r="B332" t="s">
        <v>63</v>
      </c>
      <c r="C332" t="s">
        <v>73</v>
      </c>
      <c r="D332" t="s">
        <v>204</v>
      </c>
      <c r="E332" t="s">
        <v>224</v>
      </c>
      <c r="F332" s="226" t="s">
        <v>225</v>
      </c>
      <c r="G332" t="str">
        <f>_xlfn.XLOOKUP(FMECA[[#This Row],[HazardRisk_name]],categories[HazardRisk_Name],categories[HazardRisk])</f>
        <v>Hazard</v>
      </c>
      <c r="H332" t="str">
        <f>_xlfn.XLOOKUP(FMECA[[#This Row],[HazardRisk_name]],categories[HazardRisk_Name],categories[Category])</f>
        <v>Navigational</v>
      </c>
      <c r="I332" t="s">
        <v>496</v>
      </c>
      <c r="J332" s="10">
        <v>3</v>
      </c>
      <c r="K332" t="s">
        <v>2511</v>
      </c>
      <c r="L332" s="10">
        <v>7</v>
      </c>
      <c r="M332" t="s">
        <v>2511</v>
      </c>
      <c r="N332" s="10">
        <f>FMECA[[#This Row],[probability_value]]*FMECA[[#This Row],[consequence_value]]</f>
        <v>21</v>
      </c>
      <c r="O33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32" s="10" t="s">
        <v>785</v>
      </c>
      <c r="Q332" t="s">
        <v>1162</v>
      </c>
      <c r="R332" t="s">
        <v>771</v>
      </c>
      <c r="S332" t="s">
        <v>786</v>
      </c>
      <c r="T332" t="s">
        <v>793</v>
      </c>
      <c r="W332" t="s">
        <v>2512</v>
      </c>
      <c r="X332" t="s">
        <v>466</v>
      </c>
      <c r="Y332" t="s">
        <v>1153</v>
      </c>
      <c r="Z332" t="s">
        <v>2527</v>
      </c>
      <c r="AA332" t="s">
        <v>1132</v>
      </c>
    </row>
    <row r="333" spans="1:27" x14ac:dyDescent="0.2">
      <c r="A333" s="225" t="s">
        <v>156</v>
      </c>
      <c r="B333" t="s">
        <v>63</v>
      </c>
      <c r="C333" t="s">
        <v>73</v>
      </c>
      <c r="D333" t="s">
        <v>204</v>
      </c>
      <c r="E333" t="s">
        <v>224</v>
      </c>
      <c r="F333" s="226" t="s">
        <v>225</v>
      </c>
      <c r="G333" t="str">
        <f>_xlfn.XLOOKUP(FMECA[[#This Row],[HazardRisk_name]],categories[HazardRisk_Name],categories[HazardRisk])</f>
        <v>Risk</v>
      </c>
      <c r="H333" t="str">
        <f>_xlfn.XLOOKUP(FMECA[[#This Row],[HazardRisk_name]],categories[HazardRisk_Name],categories[Category])</f>
        <v>Navigational</v>
      </c>
      <c r="I333" t="s">
        <v>703</v>
      </c>
      <c r="J333" s="10">
        <v>3</v>
      </c>
      <c r="K333" t="s">
        <v>2511</v>
      </c>
      <c r="L333" s="10">
        <v>4</v>
      </c>
      <c r="M333" t="s">
        <v>2511</v>
      </c>
      <c r="N333" s="10">
        <f>FMECA[[#This Row],[probability_value]]*FMECA[[#This Row],[consequence_value]]</f>
        <v>12</v>
      </c>
      <c r="O33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33" s="10" t="s">
        <v>785</v>
      </c>
      <c r="Q333" t="s">
        <v>1162</v>
      </c>
      <c r="R333" t="s">
        <v>771</v>
      </c>
      <c r="S333" t="s">
        <v>786</v>
      </c>
      <c r="T333" t="s">
        <v>793</v>
      </c>
      <c r="AA333" t="s">
        <v>1162</v>
      </c>
    </row>
    <row r="334" spans="1:27" x14ac:dyDescent="0.2">
      <c r="A334" s="225" t="s">
        <v>157</v>
      </c>
      <c r="B334" t="s">
        <v>63</v>
      </c>
      <c r="C334" t="s">
        <v>73</v>
      </c>
      <c r="D334" t="s">
        <v>228</v>
      </c>
      <c r="E334" t="s">
        <v>226</v>
      </c>
      <c r="F334" s="226" t="s">
        <v>227</v>
      </c>
      <c r="G334" t="str">
        <f>_xlfn.XLOOKUP(FMECA[[#This Row],[HazardRisk_name]],categories[HazardRisk_Name],categories[HazardRisk])</f>
        <v>Risk</v>
      </c>
      <c r="H334" t="str">
        <f>_xlfn.XLOOKUP(FMECA[[#This Row],[HazardRisk_name]],categories[HazardRisk_Name],categories[Category])</f>
        <v>Sea Ice</v>
      </c>
      <c r="I334" t="s">
        <v>480</v>
      </c>
      <c r="J334" s="10">
        <v>1</v>
      </c>
      <c r="K334" t="s">
        <v>2531</v>
      </c>
      <c r="L334" s="10">
        <v>7</v>
      </c>
      <c r="M334" t="s">
        <v>2531</v>
      </c>
      <c r="N334" s="10">
        <f>FMECA[[#This Row],[probability_value]]*FMECA[[#This Row],[consequence_value]]</f>
        <v>7</v>
      </c>
      <c r="O334"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334" s="10" t="s">
        <v>770</v>
      </c>
      <c r="Q334" t="s">
        <v>1162</v>
      </c>
      <c r="R334" t="s">
        <v>771</v>
      </c>
      <c r="S334" t="s">
        <v>787</v>
      </c>
      <c r="T334" t="s">
        <v>793</v>
      </c>
      <c r="W334" t="s">
        <v>2532</v>
      </c>
      <c r="X334" t="s">
        <v>466</v>
      </c>
      <c r="Y334" t="s">
        <v>2540</v>
      </c>
      <c r="Z334" t="s">
        <v>2541</v>
      </c>
      <c r="AA334" t="s">
        <v>1162</v>
      </c>
    </row>
    <row r="335" spans="1:27" x14ac:dyDescent="0.2">
      <c r="A335" s="225" t="s">
        <v>157</v>
      </c>
      <c r="B335" t="s">
        <v>63</v>
      </c>
      <c r="C335" t="s">
        <v>73</v>
      </c>
      <c r="D335" t="s">
        <v>228</v>
      </c>
      <c r="E335" t="s">
        <v>226</v>
      </c>
      <c r="F335" s="226" t="s">
        <v>227</v>
      </c>
      <c r="G335" t="str">
        <f>_xlfn.XLOOKUP(FMECA[[#This Row],[HazardRisk_name]],categories[HazardRisk_Name],categories[HazardRisk])</f>
        <v>Risk</v>
      </c>
      <c r="H335" t="str">
        <f>_xlfn.XLOOKUP(FMECA[[#This Row],[HazardRisk_name]],categories[HazardRisk_Name],categories[Category])</f>
        <v>Environmental</v>
      </c>
      <c r="I335" t="s">
        <v>625</v>
      </c>
      <c r="J335" s="10">
        <v>4</v>
      </c>
      <c r="K335" t="s">
        <v>2528</v>
      </c>
      <c r="L335" s="10">
        <v>7</v>
      </c>
      <c r="M335" t="s">
        <v>2528</v>
      </c>
      <c r="N335" s="10">
        <f>FMECA[[#This Row],[probability_value]]*FMECA[[#This Row],[consequence_value]]</f>
        <v>28</v>
      </c>
      <c r="O335" s="10" t="str">
        <f>IF(AND(FMECA[[#This Row],[Score]]&gt;=0, 9&gt;=FMECA[[#This Row],[Score]]), "UNDETECTABLE", IF(AND(FMECA[[#This Row],[Score]]&gt;=10, 24&gt;=FMECA[[#This Row],[Score]]), "MODERATE", IF(AND(FMECA[[#This Row],[Score]]&gt;=25, 35&gt;=FMECA[[#This Row],[Score]]), "HIGH", IF(AND(FMECA[[#This Row],[Score]]&gt;=36, 50&gt;=FMECA[[#This Row],[Score]]), "VERY HIGH", "Check Formula"))))</f>
        <v>HIGH</v>
      </c>
      <c r="P335" s="10" t="s">
        <v>770</v>
      </c>
      <c r="Q335" t="s">
        <v>1162</v>
      </c>
      <c r="R335" t="s">
        <v>771</v>
      </c>
      <c r="S335" t="s">
        <v>787</v>
      </c>
      <c r="T335" t="s">
        <v>793</v>
      </c>
      <c r="U335" t="s">
        <v>2529</v>
      </c>
      <c r="V335" t="s">
        <v>466</v>
      </c>
      <c r="W335" t="s">
        <v>2530</v>
      </c>
      <c r="X335" t="s">
        <v>470</v>
      </c>
      <c r="Y335" t="s">
        <v>2540</v>
      </c>
      <c r="Z335" t="s">
        <v>2541</v>
      </c>
      <c r="AA335" t="s">
        <v>1162</v>
      </c>
    </row>
    <row r="336" spans="1:27" x14ac:dyDescent="0.2">
      <c r="A336" s="225" t="s">
        <v>157</v>
      </c>
      <c r="B336" t="s">
        <v>63</v>
      </c>
      <c r="C336" t="s">
        <v>73</v>
      </c>
      <c r="D336" t="s">
        <v>228</v>
      </c>
      <c r="E336" t="s">
        <v>226</v>
      </c>
      <c r="F336" s="226" t="s">
        <v>227</v>
      </c>
      <c r="G336" t="str">
        <f>_xlfn.XLOOKUP(FMECA[[#This Row],[HazardRisk_name]],categories[HazardRisk_Name],categories[HazardRisk])</f>
        <v>Risk</v>
      </c>
      <c r="H336" t="str">
        <f>_xlfn.XLOOKUP(FMECA[[#This Row],[HazardRisk_name]],categories[HazardRisk_Name],categories[Category])</f>
        <v>Political</v>
      </c>
      <c r="I336" t="s">
        <v>711</v>
      </c>
      <c r="J336" s="10">
        <v>5</v>
      </c>
      <c r="K336" t="s">
        <v>2535</v>
      </c>
      <c r="L336" s="10">
        <v>4</v>
      </c>
      <c r="M336" t="s">
        <v>2535</v>
      </c>
      <c r="N336" s="10">
        <f>FMECA[[#This Row],[probability_value]]*FMECA[[#This Row],[consequence_value]]</f>
        <v>20</v>
      </c>
      <c r="O33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36" s="10" t="s">
        <v>770</v>
      </c>
      <c r="Q336" t="s">
        <v>1162</v>
      </c>
      <c r="R336" t="s">
        <v>771</v>
      </c>
      <c r="S336" t="s">
        <v>787</v>
      </c>
      <c r="T336" t="s">
        <v>793</v>
      </c>
      <c r="U336" t="s">
        <v>2536</v>
      </c>
      <c r="V336" t="s">
        <v>466</v>
      </c>
      <c r="W336" t="s">
        <v>2537</v>
      </c>
      <c r="X336" t="s">
        <v>470</v>
      </c>
      <c r="Y336" t="s">
        <v>2540</v>
      </c>
      <c r="Z336" t="s">
        <v>2541</v>
      </c>
      <c r="AA336" t="s">
        <v>1162</v>
      </c>
    </row>
    <row r="337" spans="1:27" x14ac:dyDescent="0.2">
      <c r="A337" s="225" t="s">
        <v>157</v>
      </c>
      <c r="B337" t="s">
        <v>63</v>
      </c>
      <c r="C337" t="s">
        <v>73</v>
      </c>
      <c r="D337" t="s">
        <v>228</v>
      </c>
      <c r="E337" t="s">
        <v>226</v>
      </c>
      <c r="F337" s="226" t="s">
        <v>227</v>
      </c>
      <c r="G337" t="str">
        <f>_xlfn.XLOOKUP(FMECA[[#This Row],[HazardRisk_name]],categories[HazardRisk_Name],categories[HazardRisk])</f>
        <v>Risk</v>
      </c>
      <c r="H337" t="str">
        <f>_xlfn.XLOOKUP(FMECA[[#This Row],[HazardRisk_name]],categories[HazardRisk_Name],categories[Category])</f>
        <v>Economic</v>
      </c>
      <c r="I337" t="s">
        <v>463</v>
      </c>
      <c r="J337" s="10">
        <v>5</v>
      </c>
      <c r="K337" t="s">
        <v>2538</v>
      </c>
      <c r="L337" s="10">
        <v>4</v>
      </c>
      <c r="M337" t="s">
        <v>2538</v>
      </c>
      <c r="N337" s="10">
        <f>FMECA[[#This Row],[probability_value]]*FMECA[[#This Row],[consequence_value]]</f>
        <v>20</v>
      </c>
      <c r="O33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37" s="10" t="s">
        <v>770</v>
      </c>
      <c r="Q337" t="s">
        <v>1162</v>
      </c>
      <c r="R337" t="s">
        <v>771</v>
      </c>
      <c r="S337" t="s">
        <v>787</v>
      </c>
      <c r="T337" t="s">
        <v>793</v>
      </c>
      <c r="U337" t="s">
        <v>2539</v>
      </c>
      <c r="V337" t="s">
        <v>466</v>
      </c>
      <c r="Y337" t="s">
        <v>2540</v>
      </c>
      <c r="Z337" t="s">
        <v>2541</v>
      </c>
      <c r="AA337" t="s">
        <v>1162</v>
      </c>
    </row>
    <row r="338" spans="1:27" x14ac:dyDescent="0.2">
      <c r="A338" s="225" t="s">
        <v>157</v>
      </c>
      <c r="B338" t="s">
        <v>63</v>
      </c>
      <c r="C338" t="s">
        <v>73</v>
      </c>
      <c r="D338" t="s">
        <v>228</v>
      </c>
      <c r="E338" t="s">
        <v>226</v>
      </c>
      <c r="F338" s="226" t="s">
        <v>227</v>
      </c>
      <c r="G338" t="str">
        <f>_xlfn.XLOOKUP(FMECA[[#This Row],[HazardRisk_name]],categories[HazardRisk_Name],categories[HazardRisk])</f>
        <v>Hazard</v>
      </c>
      <c r="H338" t="str">
        <f>_xlfn.XLOOKUP(FMECA[[#This Row],[HazardRisk_name]],categories[HazardRisk_Name],categories[Category])</f>
        <v>Operational</v>
      </c>
      <c r="I338" t="s">
        <v>1315</v>
      </c>
      <c r="J338" s="10">
        <v>4</v>
      </c>
      <c r="K338" t="s">
        <v>1986</v>
      </c>
      <c r="L338" s="10">
        <v>10</v>
      </c>
      <c r="M338" t="s">
        <v>1986</v>
      </c>
      <c r="N338" s="10">
        <f>FMECA[[#This Row],[probability_value]]*FMECA[[#This Row],[consequence_value]]</f>
        <v>40</v>
      </c>
      <c r="O338"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338" s="10" t="s">
        <v>770</v>
      </c>
      <c r="Q338" t="s">
        <v>1162</v>
      </c>
      <c r="R338" t="s">
        <v>771</v>
      </c>
      <c r="S338" t="s">
        <v>787</v>
      </c>
      <c r="T338" t="s">
        <v>793</v>
      </c>
      <c r="Y338" t="s">
        <v>2540</v>
      </c>
      <c r="Z338" t="s">
        <v>2541</v>
      </c>
      <c r="AA338" t="s">
        <v>1162</v>
      </c>
    </row>
    <row r="339" spans="1:27" x14ac:dyDescent="0.2">
      <c r="A339" s="225" t="s">
        <v>157</v>
      </c>
      <c r="B339" t="s">
        <v>63</v>
      </c>
      <c r="C339" t="s">
        <v>73</v>
      </c>
      <c r="D339" t="s">
        <v>228</v>
      </c>
      <c r="E339" t="s">
        <v>226</v>
      </c>
      <c r="F339" s="226" t="s">
        <v>227</v>
      </c>
      <c r="G339" t="str">
        <f>_xlfn.XLOOKUP(FMECA[[#This Row],[HazardRisk_name]],categories[HazardRisk_Name],categories[HazardRisk])</f>
        <v>Risk</v>
      </c>
      <c r="H339" t="str">
        <f>_xlfn.XLOOKUP(FMECA[[#This Row],[HazardRisk_name]],categories[HazardRisk_Name],categories[Category])</f>
        <v>Operational</v>
      </c>
      <c r="I339" t="s">
        <v>537</v>
      </c>
      <c r="J339" s="10">
        <v>5</v>
      </c>
      <c r="K339" t="s">
        <v>1986</v>
      </c>
      <c r="L339" s="10">
        <v>7</v>
      </c>
      <c r="M339" t="s">
        <v>1986</v>
      </c>
      <c r="N339" s="10">
        <f>FMECA[[#This Row],[probability_value]]*FMECA[[#This Row],[consequence_value]]</f>
        <v>35</v>
      </c>
      <c r="O339" s="10" t="str">
        <f>IF(AND(FMECA[[#This Row],[Score]]&gt;=0, 9&gt;=FMECA[[#This Row],[Score]]), "UNDETECTABLE", IF(AND(FMECA[[#This Row],[Score]]&gt;=10, 24&gt;=FMECA[[#This Row],[Score]]), "MODERATE", IF(AND(FMECA[[#This Row],[Score]]&gt;=25, 35&gt;=FMECA[[#This Row],[Score]]), "HIGH", IF(AND(FMECA[[#This Row],[Score]]&gt;=36, 50&gt;=FMECA[[#This Row],[Score]]), "VERY HIGH", "Check Formula"))))</f>
        <v>HIGH</v>
      </c>
      <c r="P339" s="10" t="s">
        <v>770</v>
      </c>
      <c r="Q339" t="s">
        <v>1162</v>
      </c>
      <c r="R339" t="s">
        <v>771</v>
      </c>
      <c r="S339" t="s">
        <v>787</v>
      </c>
      <c r="T339" t="s">
        <v>793</v>
      </c>
      <c r="Y339" t="s">
        <v>2540</v>
      </c>
      <c r="Z339" t="s">
        <v>2541</v>
      </c>
      <c r="AA339" t="s">
        <v>1162</v>
      </c>
    </row>
    <row r="340" spans="1:27" x14ac:dyDescent="0.2">
      <c r="A340" s="225" t="s">
        <v>157</v>
      </c>
      <c r="B340" t="s">
        <v>63</v>
      </c>
      <c r="C340" t="s">
        <v>73</v>
      </c>
      <c r="D340" t="s">
        <v>228</v>
      </c>
      <c r="E340" t="s">
        <v>226</v>
      </c>
      <c r="F340" s="226" t="s">
        <v>227</v>
      </c>
      <c r="G340" t="str">
        <f>_xlfn.XLOOKUP(FMECA[[#This Row],[HazardRisk_name]],categories[HazardRisk_Name],categories[HazardRisk])</f>
        <v>Hazard</v>
      </c>
      <c r="H340" t="str">
        <f>_xlfn.XLOOKUP(FMECA[[#This Row],[HazardRisk_name]],categories[HazardRisk_Name],categories[Category])</f>
        <v>Technological</v>
      </c>
      <c r="I340" t="s">
        <v>1311</v>
      </c>
      <c r="J340" s="10">
        <v>5</v>
      </c>
      <c r="K340" t="s">
        <v>1986</v>
      </c>
      <c r="L340" s="10">
        <v>4</v>
      </c>
      <c r="M340" t="s">
        <v>1986</v>
      </c>
      <c r="N340" s="10">
        <f>FMECA[[#This Row],[probability_value]]*FMECA[[#This Row],[consequence_value]]</f>
        <v>20</v>
      </c>
      <c r="O34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40" s="10" t="s">
        <v>770</v>
      </c>
      <c r="Q340" t="s">
        <v>1162</v>
      </c>
      <c r="R340" t="s">
        <v>771</v>
      </c>
      <c r="S340" t="s">
        <v>787</v>
      </c>
      <c r="T340" t="s">
        <v>793</v>
      </c>
      <c r="Y340" t="s">
        <v>2540</v>
      </c>
      <c r="Z340" t="s">
        <v>2541</v>
      </c>
      <c r="AA340" t="s">
        <v>1162</v>
      </c>
    </row>
    <row r="341" spans="1:27" x14ac:dyDescent="0.2">
      <c r="A341" s="225" t="s">
        <v>157</v>
      </c>
      <c r="B341" t="s">
        <v>63</v>
      </c>
      <c r="C341" t="s">
        <v>73</v>
      </c>
      <c r="D341" t="s">
        <v>228</v>
      </c>
      <c r="E341" t="s">
        <v>226</v>
      </c>
      <c r="F341" s="226" t="s">
        <v>227</v>
      </c>
      <c r="G341" t="str">
        <f>_xlfn.XLOOKUP(FMECA[[#This Row],[HazardRisk_name]],categories[HazardRisk_Name],categories[HazardRisk])</f>
        <v>Risk</v>
      </c>
      <c r="H341" t="str">
        <f>_xlfn.XLOOKUP(FMECA[[#This Row],[HazardRisk_name]],categories[HazardRisk_Name],categories[Category])</f>
        <v>Operational</v>
      </c>
      <c r="I341" t="s">
        <v>1313</v>
      </c>
      <c r="J341" s="10">
        <v>4</v>
      </c>
      <c r="K341" t="s">
        <v>1986</v>
      </c>
      <c r="L341" s="10">
        <v>4</v>
      </c>
      <c r="M341" t="s">
        <v>1986</v>
      </c>
      <c r="N341" s="10">
        <f>FMECA[[#This Row],[probability_value]]*FMECA[[#This Row],[consequence_value]]</f>
        <v>16</v>
      </c>
      <c r="O34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41" s="10" t="s">
        <v>770</v>
      </c>
      <c r="Q341" t="s">
        <v>1162</v>
      </c>
      <c r="R341" t="s">
        <v>771</v>
      </c>
      <c r="S341" t="s">
        <v>787</v>
      </c>
      <c r="T341" t="s">
        <v>793</v>
      </c>
      <c r="Y341" t="s">
        <v>2540</v>
      </c>
      <c r="Z341" t="s">
        <v>2541</v>
      </c>
      <c r="AA341" t="s">
        <v>1162</v>
      </c>
    </row>
    <row r="342" spans="1:27" x14ac:dyDescent="0.2">
      <c r="A342" s="225" t="s">
        <v>157</v>
      </c>
      <c r="B342" t="s">
        <v>63</v>
      </c>
      <c r="C342" t="s">
        <v>73</v>
      </c>
      <c r="D342" t="s">
        <v>228</v>
      </c>
      <c r="E342" t="s">
        <v>226</v>
      </c>
      <c r="F342" s="226" t="s">
        <v>227</v>
      </c>
      <c r="G342" t="str">
        <f>_xlfn.XLOOKUP(FMECA[[#This Row],[HazardRisk_name]],categories[HazardRisk_Name],categories[HazardRisk])</f>
        <v>Hazard</v>
      </c>
      <c r="H342" t="str">
        <f>_xlfn.XLOOKUP(FMECA[[#This Row],[HazardRisk_name]],categories[HazardRisk_Name],categories[Category])</f>
        <v>Operational</v>
      </c>
      <c r="I342" t="s">
        <v>533</v>
      </c>
      <c r="J342" s="10">
        <v>3</v>
      </c>
      <c r="K342" t="s">
        <v>1986</v>
      </c>
      <c r="L342" s="10">
        <v>4</v>
      </c>
      <c r="M342" t="s">
        <v>1986</v>
      </c>
      <c r="N342" s="10">
        <f>FMECA[[#This Row],[probability_value]]*FMECA[[#This Row],[consequence_value]]</f>
        <v>12</v>
      </c>
      <c r="O34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42" s="10" t="s">
        <v>770</v>
      </c>
      <c r="Q342" t="s">
        <v>1162</v>
      </c>
      <c r="R342" t="s">
        <v>771</v>
      </c>
      <c r="S342" t="s">
        <v>787</v>
      </c>
      <c r="T342" t="s">
        <v>793</v>
      </c>
      <c r="Y342" t="s">
        <v>2540</v>
      </c>
      <c r="Z342" t="s">
        <v>2541</v>
      </c>
      <c r="AA342" t="s">
        <v>1162</v>
      </c>
    </row>
    <row r="343" spans="1:27" x14ac:dyDescent="0.2">
      <c r="A343" s="225" t="s">
        <v>157</v>
      </c>
      <c r="B343" t="s">
        <v>63</v>
      </c>
      <c r="C343" t="s">
        <v>73</v>
      </c>
      <c r="D343" t="s">
        <v>228</v>
      </c>
      <c r="E343" t="s">
        <v>226</v>
      </c>
      <c r="F343" s="226" t="s">
        <v>227</v>
      </c>
      <c r="G343" t="str">
        <f>_xlfn.XLOOKUP(FMECA[[#This Row],[HazardRisk_name]],categories[HazardRisk_Name],categories[HazardRisk])</f>
        <v>Risk</v>
      </c>
      <c r="H343" t="str">
        <f>_xlfn.XLOOKUP(FMECA[[#This Row],[HazardRisk_name]],categories[HazardRisk_Name],categories[Category])</f>
        <v>Assessment</v>
      </c>
      <c r="I343" t="s">
        <v>667</v>
      </c>
      <c r="J343" s="10">
        <v>4</v>
      </c>
      <c r="K343" t="s">
        <v>2533</v>
      </c>
      <c r="L343" s="10">
        <v>4</v>
      </c>
      <c r="M343" t="s">
        <v>2533</v>
      </c>
      <c r="N343" s="10">
        <f>FMECA[[#This Row],[probability_value]]*FMECA[[#This Row],[consequence_value]]</f>
        <v>16</v>
      </c>
      <c r="O34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43" s="10" t="s">
        <v>770</v>
      </c>
      <c r="Q343" t="s">
        <v>1162</v>
      </c>
      <c r="R343" t="s">
        <v>771</v>
      </c>
      <c r="S343" t="s">
        <v>787</v>
      </c>
      <c r="T343" t="s">
        <v>793</v>
      </c>
      <c r="U343" t="s">
        <v>2534</v>
      </c>
      <c r="V343" t="s">
        <v>470</v>
      </c>
      <c r="Y343" t="s">
        <v>2540</v>
      </c>
      <c r="Z343" t="s">
        <v>2541</v>
      </c>
      <c r="AA343" t="s">
        <v>1162</v>
      </c>
    </row>
    <row r="344" spans="1:27" x14ac:dyDescent="0.2">
      <c r="A344" s="225" t="s">
        <v>157</v>
      </c>
      <c r="B344" t="s">
        <v>63</v>
      </c>
      <c r="C344" t="s">
        <v>73</v>
      </c>
      <c r="D344" t="s">
        <v>228</v>
      </c>
      <c r="E344" t="s">
        <v>226</v>
      </c>
      <c r="F344" s="226" t="s">
        <v>227</v>
      </c>
      <c r="G344" t="str">
        <f>_xlfn.XLOOKUP(FMECA[[#This Row],[HazardRisk_name]],categories[HazardRisk_Name],categories[HazardRisk])</f>
        <v>Hazard</v>
      </c>
      <c r="H344" t="str">
        <f>_xlfn.XLOOKUP(FMECA[[#This Row],[HazardRisk_name]],categories[HazardRisk_Name],categories[Category])</f>
        <v>Environmental</v>
      </c>
      <c r="I344" t="s">
        <v>525</v>
      </c>
      <c r="J344" s="10">
        <v>3</v>
      </c>
      <c r="K344" t="s">
        <v>2531</v>
      </c>
      <c r="L344" s="10">
        <v>7</v>
      </c>
      <c r="M344" t="s">
        <v>2531</v>
      </c>
      <c r="N344" s="10">
        <f>FMECA[[#This Row],[probability_value]]*FMECA[[#This Row],[consequence_value]]</f>
        <v>21</v>
      </c>
      <c r="O34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44" s="10" t="s">
        <v>770</v>
      </c>
      <c r="Q344" t="s">
        <v>1162</v>
      </c>
      <c r="R344" t="s">
        <v>771</v>
      </c>
      <c r="S344" t="s">
        <v>787</v>
      </c>
      <c r="T344" t="s">
        <v>793</v>
      </c>
      <c r="W344" t="s">
        <v>2532</v>
      </c>
      <c r="X344" t="s">
        <v>466</v>
      </c>
      <c r="Y344" t="s">
        <v>2540</v>
      </c>
      <c r="Z344" t="s">
        <v>2541</v>
      </c>
      <c r="AA344" t="s">
        <v>1162</v>
      </c>
    </row>
    <row r="345" spans="1:27" x14ac:dyDescent="0.2">
      <c r="A345" s="225" t="s">
        <v>157</v>
      </c>
      <c r="B345" t="s">
        <v>63</v>
      </c>
      <c r="C345" t="s">
        <v>73</v>
      </c>
      <c r="D345" t="s">
        <v>228</v>
      </c>
      <c r="E345" t="s">
        <v>226</v>
      </c>
      <c r="F345" s="226" t="s">
        <v>227</v>
      </c>
      <c r="G345" t="str">
        <f>_xlfn.XLOOKUP(FMECA[[#This Row],[HazardRisk_name]],categories[HazardRisk_Name],categories[HazardRisk])</f>
        <v>Hazard</v>
      </c>
      <c r="H345" t="str">
        <f>_xlfn.XLOOKUP(FMECA[[#This Row],[HazardRisk_name]],categories[HazardRisk_Name],categories[Category])</f>
        <v>Environmental</v>
      </c>
      <c r="I345" t="s">
        <v>485</v>
      </c>
      <c r="J345" s="10">
        <v>3</v>
      </c>
      <c r="K345" t="s">
        <v>2531</v>
      </c>
      <c r="L345" s="10">
        <v>7</v>
      </c>
      <c r="M345" t="s">
        <v>2531</v>
      </c>
      <c r="N345" s="10">
        <f>FMECA[[#This Row],[probability_value]]*FMECA[[#This Row],[consequence_value]]</f>
        <v>21</v>
      </c>
      <c r="O34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45" s="10" t="s">
        <v>770</v>
      </c>
      <c r="Q345" t="s">
        <v>1162</v>
      </c>
      <c r="R345" t="s">
        <v>771</v>
      </c>
      <c r="S345" t="s">
        <v>787</v>
      </c>
      <c r="T345" t="s">
        <v>793</v>
      </c>
      <c r="W345" t="s">
        <v>2532</v>
      </c>
      <c r="X345" t="s">
        <v>466</v>
      </c>
      <c r="Y345" t="s">
        <v>2540</v>
      </c>
      <c r="Z345" t="s">
        <v>2541</v>
      </c>
      <c r="AA345" t="s">
        <v>1162</v>
      </c>
    </row>
    <row r="346" spans="1:27" x14ac:dyDescent="0.2">
      <c r="A346" s="225" t="s">
        <v>157</v>
      </c>
      <c r="B346" t="s">
        <v>63</v>
      </c>
      <c r="C346" t="s">
        <v>73</v>
      </c>
      <c r="D346" t="s">
        <v>228</v>
      </c>
      <c r="E346" t="s">
        <v>226</v>
      </c>
      <c r="F346" s="226" t="s">
        <v>227</v>
      </c>
      <c r="G346" t="str">
        <f>_xlfn.XLOOKUP(FMECA[[#This Row],[HazardRisk_name]],categories[HazardRisk_Name],categories[HazardRisk])</f>
        <v>Risk</v>
      </c>
      <c r="H346" t="str">
        <f>_xlfn.XLOOKUP(FMECA[[#This Row],[HazardRisk_name]],categories[HazardRisk_Name],categories[Category])</f>
        <v>Social</v>
      </c>
      <c r="I346" t="s">
        <v>628</v>
      </c>
      <c r="J346" s="10">
        <v>3</v>
      </c>
      <c r="K346" t="s">
        <v>1986</v>
      </c>
      <c r="L346" s="10">
        <v>10</v>
      </c>
      <c r="M346" t="s">
        <v>1986</v>
      </c>
      <c r="N346" s="10">
        <f>FMECA[[#This Row],[probability_value]]*FMECA[[#This Row],[consequence_value]]</f>
        <v>30</v>
      </c>
      <c r="O346" s="10" t="str">
        <f>IF(AND(FMECA[[#This Row],[Score]]&gt;=0, 9&gt;=FMECA[[#This Row],[Score]]), "UNDETECTABLE", IF(AND(FMECA[[#This Row],[Score]]&gt;=10, 24&gt;=FMECA[[#This Row],[Score]]), "MODERATE", IF(AND(FMECA[[#This Row],[Score]]&gt;=25, 35&gt;=FMECA[[#This Row],[Score]]), "HIGH", IF(AND(FMECA[[#This Row],[Score]]&gt;=36, 50&gt;=FMECA[[#This Row],[Score]]), "VERY HIGH", "Check Formula"))))</f>
        <v>HIGH</v>
      </c>
      <c r="P346" s="10" t="s">
        <v>770</v>
      </c>
      <c r="Q346" t="s">
        <v>1162</v>
      </c>
      <c r="R346" t="s">
        <v>771</v>
      </c>
      <c r="S346" t="s">
        <v>787</v>
      </c>
      <c r="T346" t="s">
        <v>793</v>
      </c>
      <c r="Y346" t="s">
        <v>2540</v>
      </c>
      <c r="Z346" t="s">
        <v>2541</v>
      </c>
      <c r="AA346" t="s">
        <v>1162</v>
      </c>
    </row>
    <row r="347" spans="1:27" x14ac:dyDescent="0.2">
      <c r="A347" s="225" t="s">
        <v>157</v>
      </c>
      <c r="B347" t="s">
        <v>63</v>
      </c>
      <c r="C347" t="s">
        <v>73</v>
      </c>
      <c r="D347" t="s">
        <v>228</v>
      </c>
      <c r="E347" t="s">
        <v>226</v>
      </c>
      <c r="F347" s="226" t="s">
        <v>227</v>
      </c>
      <c r="G347" t="str">
        <f>_xlfn.XLOOKUP(FMECA[[#This Row],[HazardRisk_name]],categories[HazardRisk_Name],categories[HazardRisk])</f>
        <v>Hazard</v>
      </c>
      <c r="H347" t="str">
        <f>_xlfn.XLOOKUP(FMECA[[#This Row],[HazardRisk_name]],categories[HazardRisk_Name],categories[Category])</f>
        <v>Operational</v>
      </c>
      <c r="I347" t="s">
        <v>595</v>
      </c>
      <c r="J347" s="10">
        <v>5</v>
      </c>
      <c r="K347" t="s">
        <v>1986</v>
      </c>
      <c r="L347" s="10">
        <v>7</v>
      </c>
      <c r="M347" t="s">
        <v>1986</v>
      </c>
      <c r="N347" s="10">
        <f>FMECA[[#This Row],[probability_value]]*FMECA[[#This Row],[consequence_value]]</f>
        <v>35</v>
      </c>
      <c r="O347" s="10" t="str">
        <f>IF(AND(FMECA[[#This Row],[Score]]&gt;=0, 9&gt;=FMECA[[#This Row],[Score]]), "UNDETECTABLE", IF(AND(FMECA[[#This Row],[Score]]&gt;=10, 24&gt;=FMECA[[#This Row],[Score]]), "MODERATE", IF(AND(FMECA[[#This Row],[Score]]&gt;=25, 35&gt;=FMECA[[#This Row],[Score]]), "HIGH", IF(AND(FMECA[[#This Row],[Score]]&gt;=36, 50&gt;=FMECA[[#This Row],[Score]]), "VERY HIGH", "Check Formula"))))</f>
        <v>HIGH</v>
      </c>
      <c r="P347" s="10" t="s">
        <v>770</v>
      </c>
      <c r="Q347" t="s">
        <v>1162</v>
      </c>
      <c r="R347" t="s">
        <v>771</v>
      </c>
      <c r="S347" t="s">
        <v>787</v>
      </c>
      <c r="T347" t="s">
        <v>793</v>
      </c>
      <c r="Y347" t="s">
        <v>2540</v>
      </c>
      <c r="Z347" t="s">
        <v>2541</v>
      </c>
      <c r="AA347" t="s">
        <v>1162</v>
      </c>
    </row>
    <row r="348" spans="1:27" x14ac:dyDescent="0.2">
      <c r="A348" s="225" t="s">
        <v>157</v>
      </c>
      <c r="B348" t="s">
        <v>63</v>
      </c>
      <c r="C348" t="s">
        <v>73</v>
      </c>
      <c r="D348" t="s">
        <v>228</v>
      </c>
      <c r="E348" t="s">
        <v>226</v>
      </c>
      <c r="F348" s="226" t="s">
        <v>227</v>
      </c>
      <c r="G348" t="str">
        <f>_xlfn.XLOOKUP(FMECA[[#This Row],[HazardRisk_name]],categories[HazardRisk_Name],categories[HazardRisk])</f>
        <v>Risk</v>
      </c>
      <c r="H348" t="str">
        <f>_xlfn.XLOOKUP(FMECA[[#This Row],[HazardRisk_name]],categories[HazardRisk_Name],categories[Category])</f>
        <v>Social</v>
      </c>
      <c r="I348" t="s">
        <v>569</v>
      </c>
      <c r="J348" s="10">
        <v>4</v>
      </c>
      <c r="K348" t="s">
        <v>2531</v>
      </c>
      <c r="L348" s="10">
        <v>7</v>
      </c>
      <c r="M348" t="s">
        <v>2531</v>
      </c>
      <c r="N348" s="10">
        <f>FMECA[[#This Row],[probability_value]]*FMECA[[#This Row],[consequence_value]]</f>
        <v>28</v>
      </c>
      <c r="O348" s="10" t="str">
        <f>IF(AND(FMECA[[#This Row],[Score]]&gt;=0, 9&gt;=FMECA[[#This Row],[Score]]), "UNDETECTABLE", IF(AND(FMECA[[#This Row],[Score]]&gt;=10, 24&gt;=FMECA[[#This Row],[Score]]), "MODERATE", IF(AND(FMECA[[#This Row],[Score]]&gt;=25, 35&gt;=FMECA[[#This Row],[Score]]), "HIGH", IF(AND(FMECA[[#This Row],[Score]]&gt;=36, 50&gt;=FMECA[[#This Row],[Score]]), "VERY HIGH", "Check Formula"))))</f>
        <v>HIGH</v>
      </c>
      <c r="P348" s="10" t="s">
        <v>770</v>
      </c>
      <c r="Q348" t="s">
        <v>1162</v>
      </c>
      <c r="R348" t="s">
        <v>771</v>
      </c>
      <c r="S348" t="s">
        <v>787</v>
      </c>
      <c r="T348" t="s">
        <v>793</v>
      </c>
      <c r="W348" t="s">
        <v>2532</v>
      </c>
      <c r="X348" t="s">
        <v>466</v>
      </c>
      <c r="Y348" t="s">
        <v>2540</v>
      </c>
      <c r="Z348" t="s">
        <v>2541</v>
      </c>
      <c r="AA348" t="s">
        <v>1162</v>
      </c>
    </row>
    <row r="349" spans="1:27" x14ac:dyDescent="0.2">
      <c r="A349" s="225" t="s">
        <v>157</v>
      </c>
      <c r="B349" t="s">
        <v>63</v>
      </c>
      <c r="C349" t="s">
        <v>73</v>
      </c>
      <c r="D349" t="s">
        <v>228</v>
      </c>
      <c r="E349" t="s">
        <v>226</v>
      </c>
      <c r="F349" s="226" t="s">
        <v>227</v>
      </c>
      <c r="G349" t="str">
        <f>_xlfn.XLOOKUP(FMECA[[#This Row],[HazardRisk_name]],categories[HazardRisk_Name],categories[HazardRisk])</f>
        <v>Risk</v>
      </c>
      <c r="H349" t="str">
        <f>_xlfn.XLOOKUP(FMECA[[#This Row],[HazardRisk_name]],categories[HazardRisk_Name],categories[Category])</f>
        <v>Navigational</v>
      </c>
      <c r="I349" t="s">
        <v>1312</v>
      </c>
      <c r="J349" s="10">
        <v>4</v>
      </c>
      <c r="K349" t="s">
        <v>1986</v>
      </c>
      <c r="L349" s="10">
        <v>7</v>
      </c>
      <c r="M349" t="s">
        <v>1986</v>
      </c>
      <c r="N349" s="10">
        <f>FMECA[[#This Row],[probability_value]]*FMECA[[#This Row],[consequence_value]]</f>
        <v>28</v>
      </c>
      <c r="O349" s="10" t="str">
        <f>IF(AND(FMECA[[#This Row],[Score]]&gt;=0, 9&gt;=FMECA[[#This Row],[Score]]), "UNDETECTABLE", IF(AND(FMECA[[#This Row],[Score]]&gt;=10, 24&gt;=FMECA[[#This Row],[Score]]), "MODERATE", IF(AND(FMECA[[#This Row],[Score]]&gt;=25, 35&gt;=FMECA[[#This Row],[Score]]), "HIGH", IF(AND(FMECA[[#This Row],[Score]]&gt;=36, 50&gt;=FMECA[[#This Row],[Score]]), "VERY HIGH", "Check Formula"))))</f>
        <v>HIGH</v>
      </c>
      <c r="P349" s="10" t="s">
        <v>770</v>
      </c>
      <c r="Q349" t="s">
        <v>1162</v>
      </c>
      <c r="R349" t="s">
        <v>771</v>
      </c>
      <c r="S349" t="s">
        <v>787</v>
      </c>
      <c r="T349" t="s">
        <v>793</v>
      </c>
      <c r="Y349" t="s">
        <v>2540</v>
      </c>
      <c r="Z349" t="s">
        <v>2541</v>
      </c>
      <c r="AA349" t="s">
        <v>1162</v>
      </c>
    </row>
    <row r="350" spans="1:27" x14ac:dyDescent="0.2">
      <c r="A350" s="225" t="s">
        <v>157</v>
      </c>
      <c r="B350" t="s">
        <v>63</v>
      </c>
      <c r="C350" t="s">
        <v>73</v>
      </c>
      <c r="D350" t="s">
        <v>228</v>
      </c>
      <c r="E350" t="s">
        <v>226</v>
      </c>
      <c r="F350" s="226" t="s">
        <v>227</v>
      </c>
      <c r="G350" t="str">
        <f>_xlfn.XLOOKUP(FMECA[[#This Row],[HazardRisk_name]],categories[HazardRisk_Name],categories[HazardRisk])</f>
        <v>Risk</v>
      </c>
      <c r="H350" t="str">
        <f>_xlfn.XLOOKUP(FMECA[[#This Row],[HazardRisk_name]],categories[HazardRisk_Name],categories[Category])</f>
        <v>Operational</v>
      </c>
      <c r="I350" t="s">
        <v>572</v>
      </c>
      <c r="J350" s="10">
        <v>4</v>
      </c>
      <c r="K350" t="s">
        <v>1986</v>
      </c>
      <c r="L350" s="10">
        <v>7</v>
      </c>
      <c r="M350" t="s">
        <v>1986</v>
      </c>
      <c r="N350" s="10">
        <f>FMECA[[#This Row],[probability_value]]*FMECA[[#This Row],[consequence_value]]</f>
        <v>28</v>
      </c>
      <c r="O350" s="10" t="str">
        <f>IF(AND(FMECA[[#This Row],[Score]]&gt;=0, 9&gt;=FMECA[[#This Row],[Score]]), "UNDETECTABLE", IF(AND(FMECA[[#This Row],[Score]]&gt;=10, 24&gt;=FMECA[[#This Row],[Score]]), "MODERATE", IF(AND(FMECA[[#This Row],[Score]]&gt;=25, 35&gt;=FMECA[[#This Row],[Score]]), "HIGH", IF(AND(FMECA[[#This Row],[Score]]&gt;=36, 50&gt;=FMECA[[#This Row],[Score]]), "VERY HIGH", "Check Formula"))))</f>
        <v>HIGH</v>
      </c>
      <c r="P350" s="10" t="s">
        <v>770</v>
      </c>
      <c r="Q350" t="s">
        <v>1162</v>
      </c>
      <c r="R350" t="s">
        <v>771</v>
      </c>
      <c r="S350" t="s">
        <v>787</v>
      </c>
      <c r="T350" t="s">
        <v>793</v>
      </c>
      <c r="Y350" t="s">
        <v>2540</v>
      </c>
      <c r="Z350" t="s">
        <v>2541</v>
      </c>
      <c r="AA350" t="s">
        <v>1162</v>
      </c>
    </row>
    <row r="351" spans="1:27" x14ac:dyDescent="0.2">
      <c r="A351" s="225" t="s">
        <v>158</v>
      </c>
      <c r="B351" t="s">
        <v>63</v>
      </c>
      <c r="C351" t="s">
        <v>237</v>
      </c>
      <c r="D351" t="s">
        <v>235</v>
      </c>
      <c r="E351" t="s">
        <v>229</v>
      </c>
      <c r="F351" s="226" t="s">
        <v>230</v>
      </c>
      <c r="G351" t="str">
        <f>_xlfn.XLOOKUP(FMECA[[#This Row],[HazardRisk_name]],categories[HazardRisk_Name],categories[HazardRisk])</f>
        <v>Hazard</v>
      </c>
      <c r="H351" t="str">
        <f>_xlfn.XLOOKUP(FMECA[[#This Row],[HazardRisk_name]],categories[HazardRisk_Name],categories[Category])</f>
        <v>Pollutants</v>
      </c>
      <c r="I351" t="s">
        <v>636</v>
      </c>
      <c r="J351" s="10">
        <v>5</v>
      </c>
      <c r="K351" t="s">
        <v>2548</v>
      </c>
      <c r="L351" s="10">
        <v>7</v>
      </c>
      <c r="M351" t="s">
        <v>2548</v>
      </c>
      <c r="N351" s="10">
        <f>FMECA[[#This Row],[probability_value]]*FMECA[[#This Row],[consequence_value]]</f>
        <v>35</v>
      </c>
      <c r="O351" s="10" t="str">
        <f>IF(AND(FMECA[[#This Row],[Score]]&gt;=0, 9&gt;=FMECA[[#This Row],[Score]]), "UNDETECTABLE", IF(AND(FMECA[[#This Row],[Score]]&gt;=10, 24&gt;=FMECA[[#This Row],[Score]]), "MODERATE", IF(AND(FMECA[[#This Row],[Score]]&gt;=25, 35&gt;=FMECA[[#This Row],[Score]]), "HIGH", IF(AND(FMECA[[#This Row],[Score]]&gt;=36, 50&gt;=FMECA[[#This Row],[Score]]), "VERY HIGH", "Check Formula"))))</f>
        <v>HIGH</v>
      </c>
      <c r="P351" s="10" t="s">
        <v>785</v>
      </c>
      <c r="Q351" t="s">
        <v>1132</v>
      </c>
      <c r="R351" t="s">
        <v>771</v>
      </c>
      <c r="S351" t="s">
        <v>788</v>
      </c>
      <c r="T351" t="s">
        <v>1132</v>
      </c>
      <c r="Y351" t="s">
        <v>2549</v>
      </c>
      <c r="Z351" t="s">
        <v>2550</v>
      </c>
      <c r="AA351" t="s">
        <v>1132</v>
      </c>
    </row>
    <row r="352" spans="1:27" x14ac:dyDescent="0.2">
      <c r="A352" s="225" t="s">
        <v>158</v>
      </c>
      <c r="B352" t="s">
        <v>63</v>
      </c>
      <c r="C352" t="s">
        <v>237</v>
      </c>
      <c r="D352" t="s">
        <v>235</v>
      </c>
      <c r="E352" t="s">
        <v>229</v>
      </c>
      <c r="F352" s="226" t="s">
        <v>230</v>
      </c>
      <c r="G352" t="str">
        <f>_xlfn.XLOOKUP(FMECA[[#This Row],[HazardRisk_name]],categories[HazardRisk_Name],categories[HazardRisk])</f>
        <v>Hazard</v>
      </c>
      <c r="H352" t="str">
        <f>_xlfn.XLOOKUP(FMECA[[#This Row],[HazardRisk_name]],categories[HazardRisk_Name],categories[Category])</f>
        <v>Pollutants</v>
      </c>
      <c r="I352" t="s">
        <v>710</v>
      </c>
      <c r="J352" s="10">
        <v>5</v>
      </c>
      <c r="K352" t="s">
        <v>2548</v>
      </c>
      <c r="L352" s="10">
        <v>7</v>
      </c>
      <c r="M352" t="s">
        <v>2548</v>
      </c>
      <c r="N352" s="10">
        <f>FMECA[[#This Row],[probability_value]]*FMECA[[#This Row],[consequence_value]]</f>
        <v>35</v>
      </c>
      <c r="O352" s="10" t="str">
        <f>IF(AND(FMECA[[#This Row],[Score]]&gt;=0, 9&gt;=FMECA[[#This Row],[Score]]), "UNDETECTABLE", IF(AND(FMECA[[#This Row],[Score]]&gt;=10, 24&gt;=FMECA[[#This Row],[Score]]), "MODERATE", IF(AND(FMECA[[#This Row],[Score]]&gt;=25, 35&gt;=FMECA[[#This Row],[Score]]), "HIGH", IF(AND(FMECA[[#This Row],[Score]]&gt;=36, 50&gt;=FMECA[[#This Row],[Score]]), "VERY HIGH", "Check Formula"))))</f>
        <v>HIGH</v>
      </c>
      <c r="P352" s="10" t="s">
        <v>785</v>
      </c>
      <c r="Q352" t="s">
        <v>1132</v>
      </c>
      <c r="R352" t="s">
        <v>771</v>
      </c>
      <c r="S352" t="s">
        <v>788</v>
      </c>
      <c r="T352" t="s">
        <v>1132</v>
      </c>
      <c r="AA352" t="s">
        <v>1162</v>
      </c>
    </row>
    <row r="353" spans="1:27" x14ac:dyDescent="0.2">
      <c r="A353" s="225" t="s">
        <v>158</v>
      </c>
      <c r="B353" t="s">
        <v>63</v>
      </c>
      <c r="C353" t="s">
        <v>237</v>
      </c>
      <c r="D353" t="s">
        <v>235</v>
      </c>
      <c r="E353" t="s">
        <v>229</v>
      </c>
      <c r="F353" s="226" t="s">
        <v>230</v>
      </c>
      <c r="G353" t="str">
        <f>_xlfn.XLOOKUP(FMECA[[#This Row],[HazardRisk_name]],categories[HazardRisk_Name],categories[HazardRisk])</f>
        <v>Risk</v>
      </c>
      <c r="H353" t="str">
        <f>_xlfn.XLOOKUP(FMECA[[#This Row],[HazardRisk_name]],categories[HazardRisk_Name],categories[Category])</f>
        <v>Social</v>
      </c>
      <c r="I353" t="s">
        <v>687</v>
      </c>
      <c r="J353" s="10">
        <v>3</v>
      </c>
      <c r="K353" t="s">
        <v>2542</v>
      </c>
      <c r="L353" s="10">
        <v>5</v>
      </c>
      <c r="M353" t="s">
        <v>2542</v>
      </c>
      <c r="N353" s="10">
        <f>FMECA[[#This Row],[probability_value]]*FMECA[[#This Row],[consequence_value]]</f>
        <v>15</v>
      </c>
      <c r="O35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53" s="10" t="s">
        <v>785</v>
      </c>
      <c r="Q353" t="s">
        <v>1132</v>
      </c>
      <c r="R353" t="s">
        <v>771</v>
      </c>
      <c r="S353" t="s">
        <v>788</v>
      </c>
      <c r="T353" t="s">
        <v>1132</v>
      </c>
      <c r="U353" t="s">
        <v>2544</v>
      </c>
      <c r="V353" t="s">
        <v>466</v>
      </c>
      <c r="W353" t="s">
        <v>2543</v>
      </c>
      <c r="X353" t="s">
        <v>470</v>
      </c>
      <c r="AA353" t="s">
        <v>1162</v>
      </c>
    </row>
    <row r="354" spans="1:27" x14ac:dyDescent="0.2">
      <c r="A354" s="225" t="s">
        <v>158</v>
      </c>
      <c r="B354" t="s">
        <v>63</v>
      </c>
      <c r="C354" t="s">
        <v>237</v>
      </c>
      <c r="D354" t="s">
        <v>235</v>
      </c>
      <c r="E354" t="s">
        <v>229</v>
      </c>
      <c r="F354" s="226" t="s">
        <v>230</v>
      </c>
      <c r="G354" t="str">
        <f>_xlfn.XLOOKUP(FMECA[[#This Row],[HazardRisk_name]],categories[HazardRisk_Name],categories[HazardRisk])</f>
        <v>Risk</v>
      </c>
      <c r="H354" t="str">
        <f>_xlfn.XLOOKUP(FMECA[[#This Row],[HazardRisk_name]],categories[HazardRisk_Name],categories[Category])</f>
        <v>Environmental</v>
      </c>
      <c r="I354" t="s">
        <v>554</v>
      </c>
      <c r="J354" s="10">
        <v>3</v>
      </c>
      <c r="K354" t="s">
        <v>2555</v>
      </c>
      <c r="L354" s="10">
        <v>7</v>
      </c>
      <c r="M354" t="s">
        <v>2555</v>
      </c>
      <c r="N354" s="10">
        <f>FMECA[[#This Row],[probability_value]]*FMECA[[#This Row],[consequence_value]]</f>
        <v>21</v>
      </c>
      <c r="O35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54" s="10" t="s">
        <v>785</v>
      </c>
      <c r="Q354" t="s">
        <v>1132</v>
      </c>
      <c r="R354" t="s">
        <v>771</v>
      </c>
      <c r="S354" t="s">
        <v>788</v>
      </c>
      <c r="T354" t="s">
        <v>1132</v>
      </c>
    </row>
    <row r="355" spans="1:27" x14ac:dyDescent="0.2">
      <c r="A355" s="225" t="s">
        <v>158</v>
      </c>
      <c r="B355" t="s">
        <v>63</v>
      </c>
      <c r="C355" t="s">
        <v>237</v>
      </c>
      <c r="D355" t="s">
        <v>235</v>
      </c>
      <c r="E355" t="s">
        <v>229</v>
      </c>
      <c r="F355" s="226" t="s">
        <v>230</v>
      </c>
      <c r="G355" t="str">
        <f>_xlfn.XLOOKUP(FMECA[[#This Row],[HazardRisk_name]],categories[HazardRisk_Name],categories[HazardRisk])</f>
        <v>Risk</v>
      </c>
      <c r="H355" t="str">
        <f>_xlfn.XLOOKUP(FMECA[[#This Row],[HazardRisk_name]],categories[HazardRisk_Name],categories[Category])</f>
        <v>Environmental</v>
      </c>
      <c r="I355" t="s">
        <v>644</v>
      </c>
      <c r="J355" s="10">
        <v>3</v>
      </c>
      <c r="K355" t="s">
        <v>2555</v>
      </c>
      <c r="L355" s="10">
        <v>7</v>
      </c>
      <c r="M355" t="s">
        <v>2555</v>
      </c>
      <c r="N355" s="10">
        <f>FMECA[[#This Row],[probability_value]]*FMECA[[#This Row],[consequence_value]]</f>
        <v>21</v>
      </c>
      <c r="O35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55" s="10" t="s">
        <v>785</v>
      </c>
      <c r="Q355" t="s">
        <v>1132</v>
      </c>
      <c r="R355" t="s">
        <v>771</v>
      </c>
      <c r="S355" t="s">
        <v>788</v>
      </c>
      <c r="T355" t="s">
        <v>1132</v>
      </c>
      <c r="AA355" t="s">
        <v>1162</v>
      </c>
    </row>
    <row r="356" spans="1:27" x14ac:dyDescent="0.2">
      <c r="A356" s="225" t="s">
        <v>158</v>
      </c>
      <c r="B356" t="s">
        <v>63</v>
      </c>
      <c r="C356" t="s">
        <v>237</v>
      </c>
      <c r="D356" t="s">
        <v>235</v>
      </c>
      <c r="E356" t="s">
        <v>229</v>
      </c>
      <c r="F356" s="226" t="s">
        <v>230</v>
      </c>
      <c r="G356" t="str">
        <f>_xlfn.XLOOKUP(FMECA[[#This Row],[HazardRisk_name]],categories[HazardRisk_Name],categories[HazardRisk])</f>
        <v>Hazard</v>
      </c>
      <c r="H356" t="str">
        <f>_xlfn.XLOOKUP(FMECA[[#This Row],[HazardRisk_name]],categories[HazardRisk_Name],categories[Category])</f>
        <v>Environmental</v>
      </c>
      <c r="I356" t="s">
        <v>684</v>
      </c>
      <c r="J356" s="10">
        <v>5</v>
      </c>
      <c r="K356" t="s">
        <v>2556</v>
      </c>
      <c r="L356" s="10">
        <v>7</v>
      </c>
      <c r="M356" t="s">
        <v>2556</v>
      </c>
      <c r="N356" s="10">
        <f>FMECA[[#This Row],[probability_value]]*FMECA[[#This Row],[consequence_value]]</f>
        <v>35</v>
      </c>
      <c r="O356" s="10" t="str">
        <f>IF(AND(FMECA[[#This Row],[Score]]&gt;=0, 9&gt;=FMECA[[#This Row],[Score]]), "UNDETECTABLE", IF(AND(FMECA[[#This Row],[Score]]&gt;=10, 24&gt;=FMECA[[#This Row],[Score]]), "MODERATE", IF(AND(FMECA[[#This Row],[Score]]&gt;=25, 35&gt;=FMECA[[#This Row],[Score]]), "HIGH", IF(AND(FMECA[[#This Row],[Score]]&gt;=36, 50&gt;=FMECA[[#This Row],[Score]]), "VERY HIGH", "Check Formula"))))</f>
        <v>HIGH</v>
      </c>
      <c r="P356" s="10" t="s">
        <v>785</v>
      </c>
      <c r="Q356" t="s">
        <v>1132</v>
      </c>
      <c r="R356" t="s">
        <v>771</v>
      </c>
      <c r="S356" t="s">
        <v>788</v>
      </c>
      <c r="T356" t="s">
        <v>1132</v>
      </c>
      <c r="AA356" t="s">
        <v>1162</v>
      </c>
    </row>
    <row r="357" spans="1:27" x14ac:dyDescent="0.2">
      <c r="A357" s="225" t="s">
        <v>158</v>
      </c>
      <c r="B357" t="s">
        <v>63</v>
      </c>
      <c r="C357" t="s">
        <v>237</v>
      </c>
      <c r="D357" t="s">
        <v>235</v>
      </c>
      <c r="E357" t="s">
        <v>229</v>
      </c>
      <c r="F357" s="226" t="s">
        <v>230</v>
      </c>
      <c r="G357" t="str">
        <f>_xlfn.XLOOKUP(FMECA[[#This Row],[HazardRisk_name]],categories[HazardRisk_Name],categories[HazardRisk])</f>
        <v>Risk</v>
      </c>
      <c r="H357" t="str">
        <f>_xlfn.XLOOKUP(FMECA[[#This Row],[HazardRisk_name]],categories[HazardRisk_Name],categories[Category])</f>
        <v>Social</v>
      </c>
      <c r="I357" t="s">
        <v>569</v>
      </c>
      <c r="J357" s="10">
        <v>5</v>
      </c>
      <c r="K357" t="s">
        <v>2556</v>
      </c>
      <c r="L357" s="10">
        <v>7</v>
      </c>
      <c r="M357" t="s">
        <v>2556</v>
      </c>
      <c r="N357" s="10">
        <f>FMECA[[#This Row],[probability_value]]*FMECA[[#This Row],[consequence_value]]</f>
        <v>35</v>
      </c>
      <c r="O357" s="10" t="str">
        <f>IF(AND(FMECA[[#This Row],[Score]]&gt;=0, 9&gt;=FMECA[[#This Row],[Score]]), "UNDETECTABLE", IF(AND(FMECA[[#This Row],[Score]]&gt;=10, 24&gt;=FMECA[[#This Row],[Score]]), "MODERATE", IF(AND(FMECA[[#This Row],[Score]]&gt;=25, 35&gt;=FMECA[[#This Row],[Score]]), "HIGH", IF(AND(FMECA[[#This Row],[Score]]&gt;=36, 50&gt;=FMECA[[#This Row],[Score]]), "VERY HIGH", "Check Formula"))))</f>
        <v>HIGH</v>
      </c>
      <c r="P357" s="10" t="s">
        <v>785</v>
      </c>
      <c r="Q357" t="s">
        <v>1132</v>
      </c>
      <c r="R357" t="s">
        <v>771</v>
      </c>
      <c r="S357" t="s">
        <v>788</v>
      </c>
      <c r="T357" t="s">
        <v>1132</v>
      </c>
      <c r="U357" t="s">
        <v>2557</v>
      </c>
      <c r="V357" t="s">
        <v>466</v>
      </c>
      <c r="W357" t="s">
        <v>2559</v>
      </c>
      <c r="X357" t="s">
        <v>466</v>
      </c>
      <c r="AA357" t="s">
        <v>1162</v>
      </c>
    </row>
    <row r="358" spans="1:27" x14ac:dyDescent="0.2">
      <c r="A358" s="225" t="s">
        <v>158</v>
      </c>
      <c r="B358" t="s">
        <v>63</v>
      </c>
      <c r="C358" t="s">
        <v>237</v>
      </c>
      <c r="D358" t="s">
        <v>235</v>
      </c>
      <c r="E358" t="s">
        <v>229</v>
      </c>
      <c r="F358" s="226" t="s">
        <v>230</v>
      </c>
      <c r="G358" t="str">
        <f>_xlfn.XLOOKUP(FMECA[[#This Row],[HazardRisk_name]],categories[HazardRisk_Name],categories[HazardRisk])</f>
        <v>Risk</v>
      </c>
      <c r="H358" t="str">
        <f>_xlfn.XLOOKUP(FMECA[[#This Row],[HazardRisk_name]],categories[HazardRisk_Name],categories[Category])</f>
        <v>Pollutants</v>
      </c>
      <c r="I358" t="s">
        <v>627</v>
      </c>
      <c r="J358" s="10">
        <v>2</v>
      </c>
      <c r="K358" t="s">
        <v>2554</v>
      </c>
      <c r="L358" s="10">
        <v>10</v>
      </c>
      <c r="M358" t="s">
        <v>2554</v>
      </c>
      <c r="N358" s="10">
        <f>FMECA[[#This Row],[probability_value]]*FMECA[[#This Row],[consequence_value]]</f>
        <v>20</v>
      </c>
      <c r="O35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58" s="10" t="s">
        <v>785</v>
      </c>
      <c r="Q358" t="s">
        <v>1132</v>
      </c>
      <c r="R358" t="s">
        <v>771</v>
      </c>
      <c r="S358" t="s">
        <v>788</v>
      </c>
      <c r="T358" t="s">
        <v>1132</v>
      </c>
      <c r="AA358" t="s">
        <v>1162</v>
      </c>
    </row>
    <row r="359" spans="1:27" x14ac:dyDescent="0.2">
      <c r="A359" s="225" t="s">
        <v>158</v>
      </c>
      <c r="B359" t="s">
        <v>63</v>
      </c>
      <c r="C359" t="s">
        <v>237</v>
      </c>
      <c r="D359" t="s">
        <v>235</v>
      </c>
      <c r="E359" t="s">
        <v>229</v>
      </c>
      <c r="F359" s="226" t="s">
        <v>230</v>
      </c>
      <c r="G359" t="str">
        <f>_xlfn.XLOOKUP(FMECA[[#This Row],[HazardRisk_name]],categories[HazardRisk_Name],categories[HazardRisk])</f>
        <v>Risk</v>
      </c>
      <c r="H359" t="str">
        <f>_xlfn.XLOOKUP(FMECA[[#This Row],[HazardRisk_name]],categories[HazardRisk_Name],categories[Category])</f>
        <v>Operational</v>
      </c>
      <c r="I359" t="s">
        <v>572</v>
      </c>
      <c r="J359" s="10">
        <v>3</v>
      </c>
      <c r="K359" t="s">
        <v>2556</v>
      </c>
      <c r="L359" s="10">
        <v>7</v>
      </c>
      <c r="M359" t="s">
        <v>2556</v>
      </c>
      <c r="N359" s="10">
        <f>FMECA[[#This Row],[probability_value]]*FMECA[[#This Row],[consequence_value]]</f>
        <v>21</v>
      </c>
      <c r="O35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59" s="10" t="s">
        <v>785</v>
      </c>
      <c r="Q359" t="s">
        <v>1132</v>
      </c>
      <c r="R359" t="s">
        <v>771</v>
      </c>
      <c r="S359" t="s">
        <v>788</v>
      </c>
      <c r="T359" t="s">
        <v>1132</v>
      </c>
      <c r="U359" t="s">
        <v>2557</v>
      </c>
      <c r="V359" t="s">
        <v>466</v>
      </c>
      <c r="W359" t="s">
        <v>2558</v>
      </c>
      <c r="X359" t="s">
        <v>470</v>
      </c>
      <c r="AA359" t="s">
        <v>1162</v>
      </c>
    </row>
    <row r="360" spans="1:27" x14ac:dyDescent="0.2">
      <c r="A360" s="225" t="s">
        <v>158</v>
      </c>
      <c r="B360" t="s">
        <v>63</v>
      </c>
      <c r="C360" t="s">
        <v>237</v>
      </c>
      <c r="D360" t="s">
        <v>235</v>
      </c>
      <c r="E360" t="s">
        <v>229</v>
      </c>
      <c r="F360" s="226" t="s">
        <v>230</v>
      </c>
      <c r="G360" t="str">
        <f>_xlfn.XLOOKUP(FMECA[[#This Row],[HazardRisk_name]],categories[HazardRisk_Name],categories[HazardRisk])</f>
        <v>Risk</v>
      </c>
      <c r="H360" t="str">
        <f>_xlfn.XLOOKUP(FMECA[[#This Row],[HazardRisk_name]],categories[HazardRisk_Name],categories[Category])</f>
        <v>Economic</v>
      </c>
      <c r="I360" t="s">
        <v>592</v>
      </c>
      <c r="J360" s="10">
        <v>3</v>
      </c>
      <c r="K360" t="s">
        <v>2359</v>
      </c>
      <c r="L360" s="10">
        <v>10</v>
      </c>
      <c r="M360" t="s">
        <v>2359</v>
      </c>
      <c r="N360" s="10">
        <f>FMECA[[#This Row],[probability_value]]*FMECA[[#This Row],[consequence_value]]</f>
        <v>30</v>
      </c>
      <c r="O360" s="10" t="str">
        <f>IF(AND(FMECA[[#This Row],[Score]]&gt;=0, 9&gt;=FMECA[[#This Row],[Score]]), "UNDETECTABLE", IF(AND(FMECA[[#This Row],[Score]]&gt;=10, 24&gt;=FMECA[[#This Row],[Score]]), "MODERATE", IF(AND(FMECA[[#This Row],[Score]]&gt;=25, 35&gt;=FMECA[[#This Row],[Score]]), "HIGH", IF(AND(FMECA[[#This Row],[Score]]&gt;=36, 50&gt;=FMECA[[#This Row],[Score]]), "VERY HIGH", "Check Formula"))))</f>
        <v>HIGH</v>
      </c>
      <c r="P360" s="10" t="s">
        <v>785</v>
      </c>
      <c r="Q360" t="s">
        <v>1132</v>
      </c>
      <c r="R360" t="s">
        <v>771</v>
      </c>
      <c r="S360" t="s">
        <v>788</v>
      </c>
      <c r="T360" t="s">
        <v>1132</v>
      </c>
    </row>
    <row r="361" spans="1:27" x14ac:dyDescent="0.2">
      <c r="A361" s="225" t="s">
        <v>158</v>
      </c>
      <c r="B361" t="s">
        <v>63</v>
      </c>
      <c r="C361" t="s">
        <v>237</v>
      </c>
      <c r="D361" t="s">
        <v>235</v>
      </c>
      <c r="E361" t="s">
        <v>229</v>
      </c>
      <c r="F361" s="226" t="s">
        <v>230</v>
      </c>
      <c r="G361" t="str">
        <f>_xlfn.XLOOKUP(FMECA[[#This Row],[HazardRisk_name]],categories[HazardRisk_Name],categories[HazardRisk])</f>
        <v>Risk</v>
      </c>
      <c r="H361" t="str">
        <f>_xlfn.XLOOKUP(FMECA[[#This Row],[HazardRisk_name]],categories[HazardRisk_Name],categories[Category])</f>
        <v>Economic</v>
      </c>
      <c r="I361" t="s">
        <v>464</v>
      </c>
      <c r="J361" s="10">
        <v>5</v>
      </c>
      <c r="K361" t="s">
        <v>2358</v>
      </c>
      <c r="L361" s="10">
        <v>4</v>
      </c>
      <c r="M361" t="s">
        <v>2358</v>
      </c>
      <c r="N361" s="10">
        <f>FMECA[[#This Row],[probability_value]]*FMECA[[#This Row],[consequence_value]]</f>
        <v>20</v>
      </c>
      <c r="O36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61" s="10" t="s">
        <v>785</v>
      </c>
      <c r="Q361" t="s">
        <v>1132</v>
      </c>
      <c r="R361" t="s">
        <v>771</v>
      </c>
      <c r="S361" t="s">
        <v>788</v>
      </c>
      <c r="T361" t="s">
        <v>1132</v>
      </c>
    </row>
    <row r="362" spans="1:27" x14ac:dyDescent="0.2">
      <c r="A362" s="225" t="s">
        <v>158</v>
      </c>
      <c r="B362" t="s">
        <v>63</v>
      </c>
      <c r="C362" t="s">
        <v>237</v>
      </c>
      <c r="D362" t="s">
        <v>235</v>
      </c>
      <c r="E362" t="s">
        <v>229</v>
      </c>
      <c r="F362" s="226" t="s">
        <v>230</v>
      </c>
      <c r="G362" t="str">
        <f>_xlfn.XLOOKUP(FMECA[[#This Row],[HazardRisk_name]],categories[HazardRisk_Name],categories[HazardRisk])</f>
        <v>Hazard</v>
      </c>
      <c r="H362" t="str">
        <f>_xlfn.XLOOKUP(FMECA[[#This Row],[HazardRisk_name]],categories[HazardRisk_Name],categories[Category])</f>
        <v>Pollutants</v>
      </c>
      <c r="I362" t="s">
        <v>844</v>
      </c>
      <c r="J362" s="10">
        <v>4</v>
      </c>
      <c r="K362" t="s">
        <v>2548</v>
      </c>
      <c r="L362" s="10">
        <v>7</v>
      </c>
      <c r="M362" t="s">
        <v>2548</v>
      </c>
      <c r="N362" s="10">
        <f>FMECA[[#This Row],[probability_value]]*FMECA[[#This Row],[consequence_value]]</f>
        <v>28</v>
      </c>
      <c r="O362" s="10" t="str">
        <f>IF(AND(FMECA[[#This Row],[Score]]&gt;=0, 9&gt;=FMECA[[#This Row],[Score]]), "UNDETECTABLE", IF(AND(FMECA[[#This Row],[Score]]&gt;=10, 24&gt;=FMECA[[#This Row],[Score]]), "MODERATE", IF(AND(FMECA[[#This Row],[Score]]&gt;=25, 35&gt;=FMECA[[#This Row],[Score]]), "HIGH", IF(AND(FMECA[[#This Row],[Score]]&gt;=36, 50&gt;=FMECA[[#This Row],[Score]]), "VERY HIGH", "Check Formula"))))</f>
        <v>HIGH</v>
      </c>
      <c r="P362" s="10" t="s">
        <v>785</v>
      </c>
      <c r="Q362" t="s">
        <v>1132</v>
      </c>
      <c r="R362" t="s">
        <v>771</v>
      </c>
      <c r="S362" t="s">
        <v>788</v>
      </c>
      <c r="T362" t="s">
        <v>1132</v>
      </c>
    </row>
    <row r="363" spans="1:27" x14ac:dyDescent="0.2">
      <c r="A363" s="225" t="s">
        <v>158</v>
      </c>
      <c r="B363" t="s">
        <v>63</v>
      </c>
      <c r="C363" t="s">
        <v>237</v>
      </c>
      <c r="D363" t="s">
        <v>235</v>
      </c>
      <c r="E363" t="s">
        <v>229</v>
      </c>
      <c r="F363" s="226" t="s">
        <v>230</v>
      </c>
      <c r="G363" t="str">
        <f>_xlfn.XLOOKUP(FMECA[[#This Row],[HazardRisk_name]],categories[HazardRisk_Name],categories[HazardRisk])</f>
        <v>Risk</v>
      </c>
      <c r="H363" t="str">
        <f>_xlfn.XLOOKUP(FMECA[[#This Row],[HazardRisk_name]],categories[HazardRisk_Name],categories[Category])</f>
        <v>Environmental</v>
      </c>
      <c r="I363" t="s">
        <v>1219</v>
      </c>
      <c r="J363" s="10">
        <v>4</v>
      </c>
      <c r="K363" t="s">
        <v>2548</v>
      </c>
      <c r="L363" s="10">
        <v>7</v>
      </c>
      <c r="M363" t="s">
        <v>2548</v>
      </c>
      <c r="N363" s="10">
        <f>FMECA[[#This Row],[probability_value]]*FMECA[[#This Row],[consequence_value]]</f>
        <v>28</v>
      </c>
      <c r="O363" s="10" t="str">
        <f>IF(AND(FMECA[[#This Row],[Score]]&gt;=0, 9&gt;=FMECA[[#This Row],[Score]]), "UNDETECTABLE", IF(AND(FMECA[[#This Row],[Score]]&gt;=10, 24&gt;=FMECA[[#This Row],[Score]]), "MODERATE", IF(AND(FMECA[[#This Row],[Score]]&gt;=25, 35&gt;=FMECA[[#This Row],[Score]]), "HIGH", IF(AND(FMECA[[#This Row],[Score]]&gt;=36, 50&gt;=FMECA[[#This Row],[Score]]), "VERY HIGH", "Check Formula"))))</f>
        <v>HIGH</v>
      </c>
      <c r="P363" s="10" t="s">
        <v>785</v>
      </c>
      <c r="Q363" t="s">
        <v>1132</v>
      </c>
      <c r="R363" t="s">
        <v>771</v>
      </c>
      <c r="S363" t="s">
        <v>788</v>
      </c>
      <c r="T363" t="s">
        <v>1132</v>
      </c>
    </row>
    <row r="364" spans="1:27" x14ac:dyDescent="0.2">
      <c r="A364" s="225" t="s">
        <v>158</v>
      </c>
      <c r="B364" t="s">
        <v>63</v>
      </c>
      <c r="C364" t="s">
        <v>237</v>
      </c>
      <c r="D364" t="s">
        <v>235</v>
      </c>
      <c r="E364" t="s">
        <v>229</v>
      </c>
      <c r="F364" s="226" t="s">
        <v>230</v>
      </c>
      <c r="G364" t="str">
        <f>_xlfn.XLOOKUP(FMECA[[#This Row],[HazardRisk_name]],categories[HazardRisk_Name],categories[HazardRisk])</f>
        <v>Risk</v>
      </c>
      <c r="H364" t="str">
        <f>_xlfn.XLOOKUP(FMECA[[#This Row],[HazardRisk_name]],categories[HazardRisk_Name],categories[Category])</f>
        <v>Operational</v>
      </c>
      <c r="I364" t="s">
        <v>681</v>
      </c>
      <c r="J364" s="10">
        <v>5</v>
      </c>
      <c r="K364" s="9" t="s">
        <v>2548</v>
      </c>
      <c r="L364" s="10">
        <v>4</v>
      </c>
      <c r="M364" s="9" t="s">
        <v>2548</v>
      </c>
      <c r="N364" s="10">
        <f>FMECA[[#This Row],[probability_value]]*FMECA[[#This Row],[consequence_value]]</f>
        <v>20</v>
      </c>
      <c r="O36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64" s="10" t="s">
        <v>785</v>
      </c>
      <c r="Q364" t="s">
        <v>1132</v>
      </c>
      <c r="R364" t="s">
        <v>771</v>
      </c>
      <c r="S364" t="s">
        <v>788</v>
      </c>
      <c r="T364" t="s">
        <v>1132</v>
      </c>
    </row>
    <row r="365" spans="1:27" x14ac:dyDescent="0.2">
      <c r="A365" s="225" t="s">
        <v>158</v>
      </c>
      <c r="B365" t="s">
        <v>63</v>
      </c>
      <c r="C365" t="s">
        <v>237</v>
      </c>
      <c r="D365" t="s">
        <v>235</v>
      </c>
      <c r="E365" t="s">
        <v>229</v>
      </c>
      <c r="F365" s="226" t="s">
        <v>230</v>
      </c>
      <c r="G365" t="str">
        <f>_xlfn.XLOOKUP(FMECA[[#This Row],[HazardRisk_name]],categories[HazardRisk_Name],categories[HazardRisk])</f>
        <v>Risk</v>
      </c>
      <c r="H365" t="str">
        <f>_xlfn.XLOOKUP(FMECA[[#This Row],[HazardRisk_name]],categories[HazardRisk_Name],categories[Category])</f>
        <v>Political</v>
      </c>
      <c r="I365" t="s">
        <v>711</v>
      </c>
      <c r="J365" s="10">
        <v>5</v>
      </c>
      <c r="K365" t="s">
        <v>2545</v>
      </c>
      <c r="L365" s="10">
        <v>7</v>
      </c>
      <c r="M365" t="s">
        <v>2545</v>
      </c>
      <c r="N365" s="10">
        <f>FMECA[[#This Row],[probability_value]]*FMECA[[#This Row],[consequence_value]]</f>
        <v>35</v>
      </c>
      <c r="O365" s="10" t="str">
        <f>IF(AND(FMECA[[#This Row],[Score]]&gt;=0, 9&gt;=FMECA[[#This Row],[Score]]), "UNDETECTABLE", IF(AND(FMECA[[#This Row],[Score]]&gt;=10, 24&gt;=FMECA[[#This Row],[Score]]), "MODERATE", IF(AND(FMECA[[#This Row],[Score]]&gt;=25, 35&gt;=FMECA[[#This Row],[Score]]), "HIGH", IF(AND(FMECA[[#This Row],[Score]]&gt;=36, 50&gt;=FMECA[[#This Row],[Score]]), "VERY HIGH", "Check Formula"))))</f>
        <v>HIGH</v>
      </c>
      <c r="P365" s="10" t="s">
        <v>785</v>
      </c>
      <c r="Q365" t="s">
        <v>1132</v>
      </c>
      <c r="R365" t="s">
        <v>771</v>
      </c>
      <c r="S365" t="s">
        <v>788</v>
      </c>
      <c r="T365" t="s">
        <v>1132</v>
      </c>
      <c r="U365" t="s">
        <v>2546</v>
      </c>
      <c r="V365" t="s">
        <v>466</v>
      </c>
      <c r="W365" t="s">
        <v>2547</v>
      </c>
      <c r="X365" t="s">
        <v>466</v>
      </c>
      <c r="AA365" t="s">
        <v>1162</v>
      </c>
    </row>
    <row r="366" spans="1:27" x14ac:dyDescent="0.2">
      <c r="A366" s="225" t="s">
        <v>158</v>
      </c>
      <c r="B366" t="s">
        <v>63</v>
      </c>
      <c r="C366" t="s">
        <v>237</v>
      </c>
      <c r="D366" t="s">
        <v>235</v>
      </c>
      <c r="E366" t="s">
        <v>229</v>
      </c>
      <c r="F366" s="226" t="s">
        <v>230</v>
      </c>
      <c r="G366" t="str">
        <f>_xlfn.XLOOKUP(FMECA[[#This Row],[HazardRisk_name]],categories[HazardRisk_Name],categories[HazardRisk])</f>
        <v>Risk</v>
      </c>
      <c r="H366" t="str">
        <f>_xlfn.XLOOKUP(FMECA[[#This Row],[HazardRisk_name]],categories[HazardRisk_Name],categories[Category])</f>
        <v>Community</v>
      </c>
      <c r="I366" t="s">
        <v>562</v>
      </c>
      <c r="J366" s="10">
        <v>4</v>
      </c>
      <c r="K366" t="s">
        <v>2542</v>
      </c>
      <c r="L366" s="10">
        <v>10</v>
      </c>
      <c r="M366" t="s">
        <v>2542</v>
      </c>
      <c r="N366" s="10">
        <f>FMECA[[#This Row],[probability_value]]*FMECA[[#This Row],[consequence_value]]</f>
        <v>40</v>
      </c>
      <c r="O366"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366" s="10" t="s">
        <v>785</v>
      </c>
      <c r="Q366" t="s">
        <v>1132</v>
      </c>
      <c r="R366" t="s">
        <v>771</v>
      </c>
      <c r="S366" t="s">
        <v>788</v>
      </c>
      <c r="T366" t="s">
        <v>1132</v>
      </c>
      <c r="U366" t="s">
        <v>2544</v>
      </c>
      <c r="V366" t="s">
        <v>466</v>
      </c>
      <c r="W366" t="s">
        <v>2543</v>
      </c>
      <c r="X366" t="s">
        <v>470</v>
      </c>
      <c r="AA366" t="s">
        <v>1162</v>
      </c>
    </row>
    <row r="367" spans="1:27" x14ac:dyDescent="0.2">
      <c r="A367" s="225" t="s">
        <v>158</v>
      </c>
      <c r="B367" t="s">
        <v>63</v>
      </c>
      <c r="C367" t="s">
        <v>237</v>
      </c>
      <c r="D367" t="s">
        <v>235</v>
      </c>
      <c r="E367" t="s">
        <v>229</v>
      </c>
      <c r="F367" s="226" t="s">
        <v>230</v>
      </c>
      <c r="G367" t="str">
        <f>_xlfn.XLOOKUP(FMECA[[#This Row],[HazardRisk_name]],categories[HazardRisk_Name],categories[HazardRisk])</f>
        <v>Risk</v>
      </c>
      <c r="H367" t="str">
        <f>_xlfn.XLOOKUP(FMECA[[#This Row],[HazardRisk_name]],categories[HazardRisk_Name],categories[Category])</f>
        <v>Social</v>
      </c>
      <c r="I367" t="s">
        <v>686</v>
      </c>
      <c r="J367" s="10">
        <v>4</v>
      </c>
      <c r="K367" t="s">
        <v>2542</v>
      </c>
      <c r="L367" s="10">
        <v>10</v>
      </c>
      <c r="M367" t="s">
        <v>2542</v>
      </c>
      <c r="N367" s="10">
        <f>FMECA[[#This Row],[probability_value]]*FMECA[[#This Row],[consequence_value]]</f>
        <v>40</v>
      </c>
      <c r="O367"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367" s="10" t="s">
        <v>785</v>
      </c>
      <c r="Q367" t="s">
        <v>1132</v>
      </c>
      <c r="R367" t="s">
        <v>771</v>
      </c>
      <c r="S367" t="s">
        <v>788</v>
      </c>
      <c r="T367" t="s">
        <v>1132</v>
      </c>
      <c r="U367" t="s">
        <v>2544</v>
      </c>
      <c r="V367" t="s">
        <v>466</v>
      </c>
      <c r="W367" t="s">
        <v>2543</v>
      </c>
      <c r="X367" t="s">
        <v>470</v>
      </c>
      <c r="AA367" t="s">
        <v>1162</v>
      </c>
    </row>
    <row r="368" spans="1:27" x14ac:dyDescent="0.2">
      <c r="A368" s="225" t="s">
        <v>158</v>
      </c>
      <c r="B368" t="s">
        <v>63</v>
      </c>
      <c r="C368" t="s">
        <v>237</v>
      </c>
      <c r="D368" t="s">
        <v>235</v>
      </c>
      <c r="E368" t="s">
        <v>229</v>
      </c>
      <c r="F368" s="226" t="s">
        <v>230</v>
      </c>
      <c r="G368" t="str">
        <f>_xlfn.XLOOKUP(FMECA[[#This Row],[HazardRisk_name]],categories[HazardRisk_Name],categories[HazardRisk])</f>
        <v>Risk</v>
      </c>
      <c r="H368" t="str">
        <f>_xlfn.XLOOKUP(FMECA[[#This Row],[HazardRisk_name]],categories[HazardRisk_Name],categories[Category])</f>
        <v>Economic</v>
      </c>
      <c r="I368" t="s">
        <v>701</v>
      </c>
      <c r="J368" s="10">
        <v>3</v>
      </c>
      <c r="K368" t="s">
        <v>2551</v>
      </c>
      <c r="L368" s="10">
        <v>4</v>
      </c>
      <c r="M368" t="s">
        <v>2551</v>
      </c>
      <c r="N368" s="10">
        <f>FMECA[[#This Row],[probability_value]]*FMECA[[#This Row],[consequence_value]]</f>
        <v>12</v>
      </c>
      <c r="O36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68" s="10" t="s">
        <v>785</v>
      </c>
      <c r="Q368" t="s">
        <v>1132</v>
      </c>
      <c r="R368" t="s">
        <v>771</v>
      </c>
      <c r="S368" t="s">
        <v>788</v>
      </c>
      <c r="T368" t="s">
        <v>1132</v>
      </c>
      <c r="U368" t="s">
        <v>2552</v>
      </c>
      <c r="V368" t="s">
        <v>470</v>
      </c>
      <c r="W368" t="s">
        <v>2553</v>
      </c>
      <c r="X368" t="s">
        <v>466</v>
      </c>
      <c r="AA368" t="s">
        <v>1162</v>
      </c>
    </row>
    <row r="369" spans="1:27" x14ac:dyDescent="0.2">
      <c r="A369" s="225" t="s">
        <v>159</v>
      </c>
      <c r="B369" t="s">
        <v>63</v>
      </c>
      <c r="C369" t="s">
        <v>237</v>
      </c>
      <c r="D369" t="s">
        <v>236</v>
      </c>
      <c r="E369" t="s">
        <v>231</v>
      </c>
      <c r="F369" s="226" t="s">
        <v>232</v>
      </c>
      <c r="G369" t="str">
        <f>_xlfn.XLOOKUP(FMECA[[#This Row],[HazardRisk_name]],categories[HazardRisk_Name],categories[HazardRisk])</f>
        <v>Hazard</v>
      </c>
      <c r="H369" t="str">
        <f>_xlfn.XLOOKUP(FMECA[[#This Row],[HazardRisk_name]],categories[HazardRisk_Name],categories[Category])</f>
        <v>Environmental</v>
      </c>
      <c r="I369" t="s">
        <v>483</v>
      </c>
      <c r="J369" s="10">
        <v>5</v>
      </c>
      <c r="K369" t="s">
        <v>1769</v>
      </c>
      <c r="L369" s="10">
        <v>4</v>
      </c>
      <c r="M369" t="s">
        <v>1769</v>
      </c>
      <c r="N369" s="10">
        <f>FMECA[[#This Row],[probability_value]]*FMECA[[#This Row],[consequence_value]]</f>
        <v>20</v>
      </c>
      <c r="O36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69" s="10" t="s">
        <v>770</v>
      </c>
      <c r="Q369" t="s">
        <v>1162</v>
      </c>
      <c r="R369" t="s">
        <v>773</v>
      </c>
      <c r="S369" t="s">
        <v>789</v>
      </c>
      <c r="T369" t="s">
        <v>793</v>
      </c>
      <c r="U369" t="s">
        <v>676</v>
      </c>
      <c r="AA369" t="s">
        <v>1162</v>
      </c>
    </row>
    <row r="370" spans="1:27" x14ac:dyDescent="0.2">
      <c r="A370" s="225" t="s">
        <v>159</v>
      </c>
      <c r="B370" t="s">
        <v>63</v>
      </c>
      <c r="C370" t="s">
        <v>237</v>
      </c>
      <c r="D370" t="s">
        <v>236</v>
      </c>
      <c r="E370" t="s">
        <v>231</v>
      </c>
      <c r="F370" s="226" t="s">
        <v>232</v>
      </c>
      <c r="G370" t="str">
        <f>_xlfn.XLOOKUP(FMECA[[#This Row],[HazardRisk_name]],categories[HazardRisk_Name],categories[HazardRisk])</f>
        <v>Risk</v>
      </c>
      <c r="H370" t="str">
        <f>_xlfn.XLOOKUP(FMECA[[#This Row],[HazardRisk_name]],categories[HazardRisk_Name],categories[Category])</f>
        <v>Assessment</v>
      </c>
      <c r="I370" t="s">
        <v>667</v>
      </c>
      <c r="J370" s="10">
        <v>5</v>
      </c>
      <c r="K370" t="s">
        <v>2560</v>
      </c>
      <c r="L370" s="10">
        <v>7</v>
      </c>
      <c r="M370" t="s">
        <v>2560</v>
      </c>
      <c r="N370" s="10">
        <f>FMECA[[#This Row],[probability_value]]*FMECA[[#This Row],[consequence_value]]</f>
        <v>35</v>
      </c>
      <c r="O370" s="10" t="str">
        <f>IF(AND(FMECA[[#This Row],[Score]]&gt;=0, 9&gt;=FMECA[[#This Row],[Score]]), "UNDETECTABLE", IF(AND(FMECA[[#This Row],[Score]]&gt;=10, 24&gt;=FMECA[[#This Row],[Score]]), "MODERATE", IF(AND(FMECA[[#This Row],[Score]]&gt;=25, 35&gt;=FMECA[[#This Row],[Score]]), "HIGH", IF(AND(FMECA[[#This Row],[Score]]&gt;=36, 50&gt;=FMECA[[#This Row],[Score]]), "VERY HIGH", "Check Formula"))))</f>
        <v>HIGH</v>
      </c>
      <c r="P370" s="10" t="s">
        <v>770</v>
      </c>
      <c r="Q370" t="s">
        <v>1162</v>
      </c>
      <c r="R370" t="s">
        <v>773</v>
      </c>
      <c r="S370" t="s">
        <v>789</v>
      </c>
      <c r="T370" t="s">
        <v>793</v>
      </c>
      <c r="AA370" t="s">
        <v>1162</v>
      </c>
    </row>
    <row r="371" spans="1:27" x14ac:dyDescent="0.2">
      <c r="A371" s="225" t="s">
        <v>159</v>
      </c>
      <c r="B371" t="s">
        <v>63</v>
      </c>
      <c r="C371" t="s">
        <v>237</v>
      </c>
      <c r="D371" t="s">
        <v>236</v>
      </c>
      <c r="E371" t="s">
        <v>231</v>
      </c>
      <c r="F371" s="226" t="s">
        <v>232</v>
      </c>
      <c r="G371" t="str">
        <f>_xlfn.XLOOKUP(FMECA[[#This Row],[HazardRisk_name]],categories[HazardRisk_Name],categories[HazardRisk])</f>
        <v>Risk</v>
      </c>
      <c r="H371" t="str">
        <f>_xlfn.XLOOKUP(FMECA[[#This Row],[HazardRisk_name]],categories[HazardRisk_Name],categories[Category])</f>
        <v>Pollutants</v>
      </c>
      <c r="I371" t="s">
        <v>627</v>
      </c>
      <c r="J371" s="10">
        <v>2</v>
      </c>
      <c r="K371" t="s">
        <v>2560</v>
      </c>
      <c r="L371" s="10">
        <v>7</v>
      </c>
      <c r="M371" t="s">
        <v>2560</v>
      </c>
      <c r="N371" s="10">
        <f>FMECA[[#This Row],[probability_value]]*FMECA[[#This Row],[consequence_value]]</f>
        <v>14</v>
      </c>
      <c r="O37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71" s="10" t="s">
        <v>770</v>
      </c>
      <c r="Q371" t="s">
        <v>1162</v>
      </c>
      <c r="R371" t="s">
        <v>773</v>
      </c>
      <c r="S371" t="s">
        <v>789</v>
      </c>
      <c r="T371" t="s">
        <v>793</v>
      </c>
      <c r="AA371" t="s">
        <v>1162</v>
      </c>
    </row>
    <row r="372" spans="1:27" x14ac:dyDescent="0.2">
      <c r="A372" s="225" t="s">
        <v>159</v>
      </c>
      <c r="B372" t="s">
        <v>63</v>
      </c>
      <c r="C372" t="s">
        <v>237</v>
      </c>
      <c r="D372" t="s">
        <v>236</v>
      </c>
      <c r="E372" t="s">
        <v>231</v>
      </c>
      <c r="F372" s="226" t="s">
        <v>232</v>
      </c>
      <c r="G372" t="str">
        <f>_xlfn.XLOOKUP(FMECA[[#This Row],[HazardRisk_name]],categories[HazardRisk_Name],categories[HazardRisk])</f>
        <v>Hazard</v>
      </c>
      <c r="H372" t="str">
        <f>_xlfn.XLOOKUP(FMECA[[#This Row],[HazardRisk_name]],categories[HazardRisk_Name],categories[Category])</f>
        <v>Environmental</v>
      </c>
      <c r="I372" t="s">
        <v>600</v>
      </c>
      <c r="J372" s="10">
        <v>3</v>
      </c>
      <c r="K372" t="s">
        <v>1769</v>
      </c>
      <c r="L372" s="10">
        <v>4</v>
      </c>
      <c r="M372" t="s">
        <v>1769</v>
      </c>
      <c r="N372" s="10">
        <f>FMECA[[#This Row],[probability_value]]*FMECA[[#This Row],[consequence_value]]</f>
        <v>12</v>
      </c>
      <c r="O37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72" s="10" t="s">
        <v>770</v>
      </c>
      <c r="Q372" t="s">
        <v>1162</v>
      </c>
      <c r="R372" t="s">
        <v>773</v>
      </c>
      <c r="S372" t="s">
        <v>789</v>
      </c>
      <c r="T372" t="s">
        <v>793</v>
      </c>
      <c r="AA372" t="s">
        <v>1162</v>
      </c>
    </row>
    <row r="373" spans="1:27" x14ac:dyDescent="0.2">
      <c r="A373" s="225" t="s">
        <v>159</v>
      </c>
      <c r="B373" t="s">
        <v>63</v>
      </c>
      <c r="C373" t="s">
        <v>237</v>
      </c>
      <c r="D373" t="s">
        <v>236</v>
      </c>
      <c r="E373" t="s">
        <v>231</v>
      </c>
      <c r="F373" s="226" t="s">
        <v>232</v>
      </c>
      <c r="G373" t="str">
        <f>_xlfn.XLOOKUP(FMECA[[#This Row],[HazardRisk_name]],categories[HazardRisk_Name],categories[HazardRisk])</f>
        <v>Hazard</v>
      </c>
      <c r="H373" t="str">
        <f>_xlfn.XLOOKUP(FMECA[[#This Row],[HazardRisk_name]],categories[HazardRisk_Name],categories[Category])</f>
        <v>Sea Ice</v>
      </c>
      <c r="I373" t="s">
        <v>673</v>
      </c>
      <c r="J373" s="10">
        <v>1</v>
      </c>
      <c r="K373" t="s">
        <v>1769</v>
      </c>
      <c r="L373" s="10">
        <v>5</v>
      </c>
      <c r="M373" t="s">
        <v>1769</v>
      </c>
      <c r="N373" s="10">
        <f>FMECA[[#This Row],[probability_value]]*FMECA[[#This Row],[consequence_value]]</f>
        <v>5</v>
      </c>
      <c r="O373"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373" s="10" t="s">
        <v>770</v>
      </c>
      <c r="Q373" t="s">
        <v>1162</v>
      </c>
      <c r="R373" t="s">
        <v>773</v>
      </c>
      <c r="S373" t="s">
        <v>789</v>
      </c>
      <c r="T373" t="s">
        <v>793</v>
      </c>
      <c r="AA373" t="s">
        <v>1162</v>
      </c>
    </row>
    <row r="374" spans="1:27" x14ac:dyDescent="0.2">
      <c r="A374" s="225" t="s">
        <v>159</v>
      </c>
      <c r="B374" t="s">
        <v>63</v>
      </c>
      <c r="C374" t="s">
        <v>237</v>
      </c>
      <c r="D374" t="s">
        <v>236</v>
      </c>
      <c r="E374" t="s">
        <v>231</v>
      </c>
      <c r="F374" s="226" t="s">
        <v>232</v>
      </c>
      <c r="G374" t="str">
        <f>_xlfn.XLOOKUP(FMECA[[#This Row],[HazardRisk_name]],categories[HazardRisk_Name],categories[HazardRisk])</f>
        <v>Hazard</v>
      </c>
      <c r="H374" t="str">
        <f>_xlfn.XLOOKUP(FMECA[[#This Row],[HazardRisk_name]],categories[HazardRisk_Name],categories[Category])</f>
        <v>Sea Ice</v>
      </c>
      <c r="I374" t="s">
        <v>675</v>
      </c>
      <c r="J374" s="10">
        <v>3</v>
      </c>
      <c r="K374" t="s">
        <v>1769</v>
      </c>
      <c r="L374" s="10">
        <v>4</v>
      </c>
      <c r="M374" t="s">
        <v>1769</v>
      </c>
      <c r="N374" s="10">
        <f>FMECA[[#This Row],[probability_value]]*FMECA[[#This Row],[consequence_value]]</f>
        <v>12</v>
      </c>
      <c r="O37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74" s="10" t="s">
        <v>770</v>
      </c>
      <c r="Q374" t="s">
        <v>1162</v>
      </c>
      <c r="R374" t="s">
        <v>773</v>
      </c>
      <c r="S374" t="s">
        <v>789</v>
      </c>
      <c r="T374" t="s">
        <v>793</v>
      </c>
      <c r="AA374" t="s">
        <v>1162</v>
      </c>
    </row>
    <row r="375" spans="1:27" x14ac:dyDescent="0.2">
      <c r="A375" s="225" t="s">
        <v>159</v>
      </c>
      <c r="B375" t="s">
        <v>63</v>
      </c>
      <c r="C375" t="s">
        <v>237</v>
      </c>
      <c r="D375" t="s">
        <v>236</v>
      </c>
      <c r="E375" t="s">
        <v>231</v>
      </c>
      <c r="F375" s="226" t="s">
        <v>232</v>
      </c>
      <c r="G375" t="str">
        <f>_xlfn.XLOOKUP(FMECA[[#This Row],[HazardRisk_name]],categories[HazardRisk_Name],categories[HazardRisk])</f>
        <v>Risk</v>
      </c>
      <c r="H375" t="str">
        <f>_xlfn.XLOOKUP(FMECA[[#This Row],[HazardRisk_name]],categories[HazardRisk_Name],categories[Category])</f>
        <v>Navigational</v>
      </c>
      <c r="I375" t="s">
        <v>589</v>
      </c>
      <c r="J375" s="10">
        <v>3</v>
      </c>
      <c r="K375" t="s">
        <v>2561</v>
      </c>
      <c r="L375" s="10">
        <v>7</v>
      </c>
      <c r="M375" t="s">
        <v>2561</v>
      </c>
      <c r="N375" s="10">
        <f>FMECA[[#This Row],[probability_value]]*FMECA[[#This Row],[consequence_value]]</f>
        <v>21</v>
      </c>
      <c r="O37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75" s="10" t="s">
        <v>770</v>
      </c>
      <c r="Q375" t="s">
        <v>1162</v>
      </c>
      <c r="R375" t="s">
        <v>773</v>
      </c>
      <c r="S375" t="s">
        <v>789</v>
      </c>
      <c r="T375" t="s">
        <v>793</v>
      </c>
      <c r="U375" t="s">
        <v>2562</v>
      </c>
      <c r="V375" t="s">
        <v>470</v>
      </c>
      <c r="W375" t="s">
        <v>2563</v>
      </c>
      <c r="X375" t="s">
        <v>470</v>
      </c>
      <c r="AA375" t="s">
        <v>1162</v>
      </c>
    </row>
    <row r="376" spans="1:27" x14ac:dyDescent="0.2">
      <c r="A376" s="225" t="s">
        <v>159</v>
      </c>
      <c r="B376" t="s">
        <v>63</v>
      </c>
      <c r="C376" t="s">
        <v>237</v>
      </c>
      <c r="D376" t="s">
        <v>236</v>
      </c>
      <c r="E376" t="s">
        <v>231</v>
      </c>
      <c r="F376" s="226" t="s">
        <v>232</v>
      </c>
      <c r="G376" t="str">
        <f>_xlfn.XLOOKUP(FMECA[[#This Row],[HazardRisk_name]],categories[HazardRisk_Name],categories[HazardRisk])</f>
        <v>Hazard</v>
      </c>
      <c r="H376" t="str">
        <f>_xlfn.XLOOKUP(FMECA[[#This Row],[HazardRisk_name]],categories[HazardRisk_Name],categories[Category])</f>
        <v>Environmental</v>
      </c>
      <c r="I376" t="s">
        <v>485</v>
      </c>
      <c r="J376" s="10">
        <v>5</v>
      </c>
      <c r="K376" t="s">
        <v>1769</v>
      </c>
      <c r="L376" s="10">
        <v>7</v>
      </c>
      <c r="M376" t="s">
        <v>1769</v>
      </c>
      <c r="N376" s="10">
        <f>FMECA[[#This Row],[probability_value]]*FMECA[[#This Row],[consequence_value]]</f>
        <v>35</v>
      </c>
      <c r="O376" s="10" t="str">
        <f>IF(AND(FMECA[[#This Row],[Score]]&gt;=0, 9&gt;=FMECA[[#This Row],[Score]]), "UNDETECTABLE", IF(AND(FMECA[[#This Row],[Score]]&gt;=10, 24&gt;=FMECA[[#This Row],[Score]]), "MODERATE", IF(AND(FMECA[[#This Row],[Score]]&gt;=25, 35&gt;=FMECA[[#This Row],[Score]]), "HIGH", IF(AND(FMECA[[#This Row],[Score]]&gt;=36, 50&gt;=FMECA[[#This Row],[Score]]), "VERY HIGH", "Check Formula"))))</f>
        <v>HIGH</v>
      </c>
      <c r="P376" s="10" t="s">
        <v>770</v>
      </c>
      <c r="Q376" t="s">
        <v>1162</v>
      </c>
      <c r="R376" t="s">
        <v>773</v>
      </c>
      <c r="S376" t="s">
        <v>789</v>
      </c>
      <c r="T376" t="s">
        <v>793</v>
      </c>
      <c r="AA376" t="s">
        <v>1162</v>
      </c>
    </row>
    <row r="377" spans="1:27" x14ac:dyDescent="0.2">
      <c r="A377" s="225" t="s">
        <v>160</v>
      </c>
      <c r="B377" t="s">
        <v>63</v>
      </c>
      <c r="C377" t="s">
        <v>237</v>
      </c>
      <c r="D377" t="s">
        <v>130</v>
      </c>
      <c r="E377" t="s">
        <v>233</v>
      </c>
      <c r="F377" s="226" t="s">
        <v>234</v>
      </c>
      <c r="G377" t="str">
        <f>_xlfn.XLOOKUP(FMECA[[#This Row],[HazardRisk_name]],categories[HazardRisk_Name],categories[HazardRisk])</f>
        <v>Hazard</v>
      </c>
      <c r="H377" t="str">
        <f>_xlfn.XLOOKUP(FMECA[[#This Row],[HazardRisk_name]],categories[HazardRisk_Name],categories[Category])</f>
        <v>Sea Ice</v>
      </c>
      <c r="I377" t="s">
        <v>563</v>
      </c>
      <c r="J377" s="10">
        <v>5</v>
      </c>
      <c r="K377" t="s">
        <v>2566</v>
      </c>
      <c r="L377" s="10">
        <v>4</v>
      </c>
      <c r="M377" t="s">
        <v>2566</v>
      </c>
      <c r="N377" s="10">
        <f>FMECA[[#This Row],[probability_value]]*FMECA[[#This Row],[consequence_value]]</f>
        <v>20</v>
      </c>
      <c r="O37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77" s="10" t="s">
        <v>770</v>
      </c>
      <c r="Q377" t="s">
        <v>1132</v>
      </c>
      <c r="R377" t="s">
        <v>780</v>
      </c>
      <c r="S377" t="s">
        <v>2565</v>
      </c>
      <c r="T377" t="s">
        <v>793</v>
      </c>
      <c r="AA377" t="s">
        <v>1162</v>
      </c>
    </row>
    <row r="378" spans="1:27" x14ac:dyDescent="0.2">
      <c r="A378" s="225" t="s">
        <v>160</v>
      </c>
      <c r="B378" t="s">
        <v>63</v>
      </c>
      <c r="C378" t="s">
        <v>237</v>
      </c>
      <c r="D378" t="s">
        <v>130</v>
      </c>
      <c r="E378" t="s">
        <v>233</v>
      </c>
      <c r="F378" s="226" t="s">
        <v>234</v>
      </c>
      <c r="G378" t="str">
        <f>_xlfn.XLOOKUP(FMECA[[#This Row],[HazardRisk_name]],categories[HazardRisk_Name],categories[HazardRisk])</f>
        <v>Risk</v>
      </c>
      <c r="H378" t="str">
        <f>_xlfn.XLOOKUP(FMECA[[#This Row],[HazardRisk_name]],categories[HazardRisk_Name],categories[Category])</f>
        <v>Political</v>
      </c>
      <c r="I378" t="s">
        <v>711</v>
      </c>
      <c r="J378" s="10">
        <v>5</v>
      </c>
      <c r="K378" t="s">
        <v>2566</v>
      </c>
      <c r="L378" s="10">
        <v>7</v>
      </c>
      <c r="M378" t="s">
        <v>2566</v>
      </c>
      <c r="N378" s="10">
        <f>FMECA[[#This Row],[probability_value]]*FMECA[[#This Row],[consequence_value]]</f>
        <v>35</v>
      </c>
      <c r="O378" s="10" t="str">
        <f>IF(AND(FMECA[[#This Row],[Score]]&gt;=0, 9&gt;=FMECA[[#This Row],[Score]]), "UNDETECTABLE", IF(AND(FMECA[[#This Row],[Score]]&gt;=10, 24&gt;=FMECA[[#This Row],[Score]]), "MODERATE", IF(AND(FMECA[[#This Row],[Score]]&gt;=25, 35&gt;=FMECA[[#This Row],[Score]]), "HIGH", IF(AND(FMECA[[#This Row],[Score]]&gt;=36, 50&gt;=FMECA[[#This Row],[Score]]), "VERY HIGH", "Check Formula"))))</f>
        <v>HIGH</v>
      </c>
      <c r="P378" s="10" t="s">
        <v>770</v>
      </c>
      <c r="Q378" t="s">
        <v>1132</v>
      </c>
      <c r="R378" t="s">
        <v>780</v>
      </c>
      <c r="S378" t="s">
        <v>2565</v>
      </c>
      <c r="T378" t="s">
        <v>793</v>
      </c>
      <c r="U378" t="s">
        <v>2572</v>
      </c>
      <c r="V378" t="s">
        <v>466</v>
      </c>
      <c r="AA378" t="s">
        <v>1162</v>
      </c>
    </row>
    <row r="379" spans="1:27" x14ac:dyDescent="0.2">
      <c r="A379" s="225" t="s">
        <v>160</v>
      </c>
      <c r="B379" t="s">
        <v>63</v>
      </c>
      <c r="C379" t="s">
        <v>237</v>
      </c>
      <c r="D379" t="s">
        <v>130</v>
      </c>
      <c r="E379" t="s">
        <v>233</v>
      </c>
      <c r="F379" s="226" t="s">
        <v>234</v>
      </c>
      <c r="G379" t="str">
        <f>_xlfn.XLOOKUP(FMECA[[#This Row],[HazardRisk_name]],categories[HazardRisk_Name],categories[HazardRisk])</f>
        <v>Risk</v>
      </c>
      <c r="H379" t="str">
        <f>_xlfn.XLOOKUP(FMECA[[#This Row],[HazardRisk_name]],categories[HazardRisk_Name],categories[Category])</f>
        <v>Social</v>
      </c>
      <c r="I379" t="s">
        <v>621</v>
      </c>
      <c r="J379" s="10">
        <v>4</v>
      </c>
      <c r="K379" t="s">
        <v>2564</v>
      </c>
      <c r="L379" s="10">
        <v>7</v>
      </c>
      <c r="M379" t="s">
        <v>2564</v>
      </c>
      <c r="N379" s="10">
        <f>FMECA[[#This Row],[probability_value]]*FMECA[[#This Row],[consequence_value]]</f>
        <v>28</v>
      </c>
      <c r="O379" s="10" t="str">
        <f>IF(AND(FMECA[[#This Row],[Score]]&gt;=0, 9&gt;=FMECA[[#This Row],[Score]]), "UNDETECTABLE", IF(AND(FMECA[[#This Row],[Score]]&gt;=10, 24&gt;=FMECA[[#This Row],[Score]]), "MODERATE", IF(AND(FMECA[[#This Row],[Score]]&gt;=25, 35&gt;=FMECA[[#This Row],[Score]]), "HIGH", IF(AND(FMECA[[#This Row],[Score]]&gt;=36, 50&gt;=FMECA[[#This Row],[Score]]), "VERY HIGH", "Check Formula"))))</f>
        <v>HIGH</v>
      </c>
      <c r="P379" s="10" t="s">
        <v>770</v>
      </c>
      <c r="Q379" t="s">
        <v>1132</v>
      </c>
      <c r="R379" t="s">
        <v>780</v>
      </c>
      <c r="S379" t="s">
        <v>2565</v>
      </c>
      <c r="T379" t="s">
        <v>793</v>
      </c>
      <c r="U379" t="s">
        <v>2573</v>
      </c>
      <c r="V379" t="s">
        <v>466</v>
      </c>
      <c r="W379" t="s">
        <v>2574</v>
      </c>
      <c r="X379" t="s">
        <v>470</v>
      </c>
      <c r="AA379" t="s">
        <v>1162</v>
      </c>
    </row>
    <row r="380" spans="1:27" x14ac:dyDescent="0.2">
      <c r="A380" s="225" t="s">
        <v>160</v>
      </c>
      <c r="B380" t="s">
        <v>63</v>
      </c>
      <c r="C380" t="s">
        <v>237</v>
      </c>
      <c r="D380" t="s">
        <v>130</v>
      </c>
      <c r="E380" t="s">
        <v>233</v>
      </c>
      <c r="F380" s="226" t="s">
        <v>234</v>
      </c>
      <c r="G380" t="str">
        <f>_xlfn.XLOOKUP(FMECA[[#This Row],[HazardRisk_name]],categories[HazardRisk_Name],categories[HazardRisk])</f>
        <v>Risk</v>
      </c>
      <c r="H380" t="str">
        <f>_xlfn.XLOOKUP(FMECA[[#This Row],[HazardRisk_name]],categories[HazardRisk_Name],categories[Category])</f>
        <v>Economic</v>
      </c>
      <c r="I380" t="s">
        <v>464</v>
      </c>
      <c r="J380" s="10">
        <v>4</v>
      </c>
      <c r="K380" t="s">
        <v>2569</v>
      </c>
      <c r="L380" s="10">
        <v>7</v>
      </c>
      <c r="M380" t="s">
        <v>2569</v>
      </c>
      <c r="N380" s="10">
        <f>FMECA[[#This Row],[probability_value]]*FMECA[[#This Row],[consequence_value]]</f>
        <v>28</v>
      </c>
      <c r="O380" s="10" t="str">
        <f>IF(AND(FMECA[[#This Row],[Score]]&gt;=0, 9&gt;=FMECA[[#This Row],[Score]]), "UNDETECTABLE", IF(AND(FMECA[[#This Row],[Score]]&gt;=10, 24&gt;=FMECA[[#This Row],[Score]]), "MODERATE", IF(AND(FMECA[[#This Row],[Score]]&gt;=25, 35&gt;=FMECA[[#This Row],[Score]]), "HIGH", IF(AND(FMECA[[#This Row],[Score]]&gt;=36, 50&gt;=FMECA[[#This Row],[Score]]), "VERY HIGH", "Check Formula"))))</f>
        <v>HIGH</v>
      </c>
      <c r="P380" s="10" t="s">
        <v>770</v>
      </c>
      <c r="Q380" t="s">
        <v>1132</v>
      </c>
      <c r="R380" t="s">
        <v>780</v>
      </c>
      <c r="S380" t="s">
        <v>2565</v>
      </c>
      <c r="T380" t="s">
        <v>793</v>
      </c>
      <c r="W380" t="s">
        <v>2570</v>
      </c>
      <c r="X380" t="s">
        <v>470</v>
      </c>
      <c r="AA380" t="s">
        <v>1162</v>
      </c>
    </row>
    <row r="381" spans="1:27" x14ac:dyDescent="0.2">
      <c r="A381" s="225" t="s">
        <v>160</v>
      </c>
      <c r="B381" t="s">
        <v>63</v>
      </c>
      <c r="C381" t="s">
        <v>237</v>
      </c>
      <c r="D381" t="s">
        <v>130</v>
      </c>
      <c r="E381" t="s">
        <v>233</v>
      </c>
      <c r="F381" s="226" t="s">
        <v>234</v>
      </c>
      <c r="G381" t="str">
        <f>_xlfn.XLOOKUP(FMECA[[#This Row],[HazardRisk_name]],categories[HazardRisk_Name],categories[HazardRisk])</f>
        <v>Risk</v>
      </c>
      <c r="H381" t="str">
        <f>_xlfn.XLOOKUP(FMECA[[#This Row],[HazardRisk_name]],categories[HazardRisk_Name],categories[Category])</f>
        <v>Economic</v>
      </c>
      <c r="I381" t="s">
        <v>701</v>
      </c>
      <c r="J381" s="10">
        <v>5</v>
      </c>
      <c r="K381" t="s">
        <v>2554</v>
      </c>
      <c r="L381" s="10">
        <v>7</v>
      </c>
      <c r="M381" t="s">
        <v>2554</v>
      </c>
      <c r="N381" s="10">
        <f>FMECA[[#This Row],[probability_value]]*FMECA[[#This Row],[consequence_value]]</f>
        <v>35</v>
      </c>
      <c r="O381" s="10" t="str">
        <f>IF(AND(FMECA[[#This Row],[Score]]&gt;=0, 9&gt;=FMECA[[#This Row],[Score]]), "UNDETECTABLE", IF(AND(FMECA[[#This Row],[Score]]&gt;=10, 24&gt;=FMECA[[#This Row],[Score]]), "MODERATE", IF(AND(FMECA[[#This Row],[Score]]&gt;=25, 35&gt;=FMECA[[#This Row],[Score]]), "HIGH", IF(AND(FMECA[[#This Row],[Score]]&gt;=36, 50&gt;=FMECA[[#This Row],[Score]]), "VERY HIGH", "Check Formula"))))</f>
        <v>HIGH</v>
      </c>
      <c r="P381" s="10" t="s">
        <v>770</v>
      </c>
      <c r="Q381" t="s">
        <v>1132</v>
      </c>
      <c r="R381" t="s">
        <v>780</v>
      </c>
      <c r="S381" t="s">
        <v>2565</v>
      </c>
      <c r="T381" t="s">
        <v>793</v>
      </c>
      <c r="W381" t="s">
        <v>2570</v>
      </c>
      <c r="X381" t="s">
        <v>470</v>
      </c>
      <c r="AA381" t="s">
        <v>1162</v>
      </c>
    </row>
    <row r="382" spans="1:27" x14ac:dyDescent="0.2">
      <c r="A382" s="225" t="s">
        <v>160</v>
      </c>
      <c r="B382" t="s">
        <v>63</v>
      </c>
      <c r="C382" t="s">
        <v>237</v>
      </c>
      <c r="D382" t="s">
        <v>130</v>
      </c>
      <c r="E382" t="s">
        <v>233</v>
      </c>
      <c r="F382" s="226" t="s">
        <v>234</v>
      </c>
      <c r="G382" t="str">
        <f>_xlfn.XLOOKUP(FMECA[[#This Row],[HazardRisk_name]],categories[HazardRisk_Name],categories[HazardRisk])</f>
        <v>Risk</v>
      </c>
      <c r="H382" t="str">
        <f>_xlfn.XLOOKUP(FMECA[[#This Row],[HazardRisk_name]],categories[HazardRisk_Name],categories[Category])</f>
        <v>Economic</v>
      </c>
      <c r="I382" t="s">
        <v>463</v>
      </c>
      <c r="J382" s="10">
        <v>4</v>
      </c>
      <c r="K382" t="s">
        <v>2567</v>
      </c>
      <c r="L382" s="10">
        <v>7</v>
      </c>
      <c r="M382" t="s">
        <v>2567</v>
      </c>
      <c r="N382" s="10">
        <f>FMECA[[#This Row],[probability_value]]*FMECA[[#This Row],[consequence_value]]</f>
        <v>28</v>
      </c>
      <c r="O382" s="10" t="str">
        <f>IF(AND(FMECA[[#This Row],[Score]]&gt;=0, 9&gt;=FMECA[[#This Row],[Score]]), "UNDETECTABLE", IF(AND(FMECA[[#This Row],[Score]]&gt;=10, 24&gt;=FMECA[[#This Row],[Score]]), "MODERATE", IF(AND(FMECA[[#This Row],[Score]]&gt;=25, 35&gt;=FMECA[[#This Row],[Score]]), "HIGH", IF(AND(FMECA[[#This Row],[Score]]&gt;=36, 50&gt;=FMECA[[#This Row],[Score]]), "VERY HIGH", "Check Formula"))))</f>
        <v>HIGH</v>
      </c>
      <c r="P382" s="10" t="s">
        <v>770</v>
      </c>
      <c r="Q382" t="s">
        <v>1132</v>
      </c>
      <c r="R382" t="s">
        <v>780</v>
      </c>
      <c r="S382" t="s">
        <v>2565</v>
      </c>
      <c r="T382" t="s">
        <v>793</v>
      </c>
      <c r="W382" t="s">
        <v>2570</v>
      </c>
      <c r="X382" t="s">
        <v>470</v>
      </c>
      <c r="AA382" t="s">
        <v>1162</v>
      </c>
    </row>
    <row r="383" spans="1:27" x14ac:dyDescent="0.2">
      <c r="A383" s="225" t="s">
        <v>160</v>
      </c>
      <c r="B383" t="s">
        <v>63</v>
      </c>
      <c r="C383" t="s">
        <v>237</v>
      </c>
      <c r="D383" t="s">
        <v>130</v>
      </c>
      <c r="E383" t="s">
        <v>233</v>
      </c>
      <c r="F383" s="226" t="s">
        <v>234</v>
      </c>
      <c r="G383" t="str">
        <f>_xlfn.XLOOKUP(FMECA[[#This Row],[HazardRisk_name]],categories[HazardRisk_Name],categories[HazardRisk])</f>
        <v>Hazard</v>
      </c>
      <c r="H383" t="str">
        <f>_xlfn.XLOOKUP(FMECA[[#This Row],[HazardRisk_name]],categories[HazardRisk_Name],categories[Category])</f>
        <v>Operational</v>
      </c>
      <c r="I383" t="s">
        <v>595</v>
      </c>
      <c r="J383" s="10">
        <v>4</v>
      </c>
      <c r="K383" t="s">
        <v>2568</v>
      </c>
      <c r="L383" s="10">
        <v>4</v>
      </c>
      <c r="M383" t="s">
        <v>2568</v>
      </c>
      <c r="N383" s="10">
        <f>FMECA[[#This Row],[probability_value]]*FMECA[[#This Row],[consequence_value]]</f>
        <v>16</v>
      </c>
      <c r="O38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83" s="10" t="s">
        <v>770</v>
      </c>
      <c r="Q383" t="s">
        <v>1132</v>
      </c>
      <c r="R383" t="s">
        <v>780</v>
      </c>
      <c r="S383" t="s">
        <v>2565</v>
      </c>
      <c r="T383" t="s">
        <v>793</v>
      </c>
      <c r="AA383" t="s">
        <v>1162</v>
      </c>
    </row>
    <row r="384" spans="1:27" x14ac:dyDescent="0.2">
      <c r="A384" s="225" t="s">
        <v>160</v>
      </c>
      <c r="B384" t="s">
        <v>63</v>
      </c>
      <c r="C384" t="s">
        <v>237</v>
      </c>
      <c r="D384" t="s">
        <v>130</v>
      </c>
      <c r="E384" t="s">
        <v>233</v>
      </c>
      <c r="F384" s="226" t="s">
        <v>234</v>
      </c>
      <c r="G384" t="str">
        <f>_xlfn.XLOOKUP(FMECA[[#This Row],[HazardRisk_name]],categories[HazardRisk_Name],categories[HazardRisk])</f>
        <v>Risk</v>
      </c>
      <c r="H384" t="str">
        <f>_xlfn.XLOOKUP(FMECA[[#This Row],[HazardRisk_name]],categories[HazardRisk_Name],categories[Category])</f>
        <v>Social</v>
      </c>
      <c r="I384" t="s">
        <v>569</v>
      </c>
      <c r="J384" s="10">
        <v>5</v>
      </c>
      <c r="K384" t="s">
        <v>2568</v>
      </c>
      <c r="L384" s="10">
        <v>7</v>
      </c>
      <c r="M384" t="s">
        <v>2568</v>
      </c>
      <c r="N384" s="10">
        <f>FMECA[[#This Row],[probability_value]]*FMECA[[#This Row],[consequence_value]]</f>
        <v>35</v>
      </c>
      <c r="O384" s="10" t="str">
        <f>IF(AND(FMECA[[#This Row],[Score]]&gt;=0, 9&gt;=FMECA[[#This Row],[Score]]), "UNDETECTABLE", IF(AND(FMECA[[#This Row],[Score]]&gt;=10, 24&gt;=FMECA[[#This Row],[Score]]), "MODERATE", IF(AND(FMECA[[#This Row],[Score]]&gt;=25, 35&gt;=FMECA[[#This Row],[Score]]), "HIGH", IF(AND(FMECA[[#This Row],[Score]]&gt;=36, 50&gt;=FMECA[[#This Row],[Score]]), "VERY HIGH", "Check Formula"))))</f>
        <v>HIGH</v>
      </c>
      <c r="P384" s="10" t="s">
        <v>770</v>
      </c>
      <c r="Q384" t="s">
        <v>1132</v>
      </c>
      <c r="R384" t="s">
        <v>780</v>
      </c>
      <c r="S384" t="s">
        <v>2565</v>
      </c>
      <c r="T384" t="s">
        <v>793</v>
      </c>
      <c r="AA384" t="s">
        <v>1162</v>
      </c>
    </row>
    <row r="385" spans="1:27" x14ac:dyDescent="0.2">
      <c r="A385" s="225" t="s">
        <v>160</v>
      </c>
      <c r="B385" t="s">
        <v>63</v>
      </c>
      <c r="C385" t="s">
        <v>237</v>
      </c>
      <c r="D385" t="s">
        <v>130</v>
      </c>
      <c r="E385" t="s">
        <v>233</v>
      </c>
      <c r="F385" s="226" t="s">
        <v>234</v>
      </c>
      <c r="G385" t="str">
        <f>_xlfn.XLOOKUP(FMECA[[#This Row],[HazardRisk_name]],categories[HazardRisk_Name],categories[HazardRisk])</f>
        <v>Risk</v>
      </c>
      <c r="H385" t="str">
        <f>_xlfn.XLOOKUP(FMECA[[#This Row],[HazardRisk_name]],categories[HazardRisk_Name],categories[Category])</f>
        <v>Operational</v>
      </c>
      <c r="I385" t="s">
        <v>572</v>
      </c>
      <c r="J385" s="10">
        <v>4</v>
      </c>
      <c r="K385" t="s">
        <v>2568</v>
      </c>
      <c r="L385" s="10">
        <v>7</v>
      </c>
      <c r="M385" t="s">
        <v>2568</v>
      </c>
      <c r="N385" s="10">
        <f>FMECA[[#This Row],[probability_value]]*FMECA[[#This Row],[consequence_value]]</f>
        <v>28</v>
      </c>
      <c r="O385" s="10" t="str">
        <f>IF(AND(FMECA[[#This Row],[Score]]&gt;=0, 9&gt;=FMECA[[#This Row],[Score]]), "UNDETECTABLE", IF(AND(FMECA[[#This Row],[Score]]&gt;=10, 24&gt;=FMECA[[#This Row],[Score]]), "MODERATE", IF(AND(FMECA[[#This Row],[Score]]&gt;=25, 35&gt;=FMECA[[#This Row],[Score]]), "HIGH", IF(AND(FMECA[[#This Row],[Score]]&gt;=36, 50&gt;=FMECA[[#This Row],[Score]]), "VERY HIGH", "Check Formula"))))</f>
        <v>HIGH</v>
      </c>
      <c r="P385" s="10" t="s">
        <v>770</v>
      </c>
      <c r="Q385" t="s">
        <v>1132</v>
      </c>
      <c r="R385" t="s">
        <v>780</v>
      </c>
      <c r="S385" t="s">
        <v>2565</v>
      </c>
      <c r="T385" t="s">
        <v>793</v>
      </c>
      <c r="AA385" t="s">
        <v>1162</v>
      </c>
    </row>
    <row r="386" spans="1:27" x14ac:dyDescent="0.2">
      <c r="A386" s="225" t="s">
        <v>160</v>
      </c>
      <c r="B386" t="s">
        <v>63</v>
      </c>
      <c r="C386" t="s">
        <v>237</v>
      </c>
      <c r="D386" t="s">
        <v>130</v>
      </c>
      <c r="E386" t="s">
        <v>233</v>
      </c>
      <c r="F386" s="226" t="s">
        <v>234</v>
      </c>
      <c r="G386" t="str">
        <f>_xlfn.XLOOKUP(FMECA[[#This Row],[HazardRisk_name]],categories[HazardRisk_Name],categories[HazardRisk])</f>
        <v>Hazard</v>
      </c>
      <c r="H386" t="str">
        <f>_xlfn.XLOOKUP(FMECA[[#This Row],[HazardRisk_name]],categories[HazardRisk_Name],categories[Category])</f>
        <v>Navigational</v>
      </c>
      <c r="I386" t="s">
        <v>496</v>
      </c>
      <c r="J386" s="10">
        <v>4</v>
      </c>
      <c r="K386" t="s">
        <v>2571</v>
      </c>
      <c r="L386" s="10">
        <v>7</v>
      </c>
      <c r="M386" t="s">
        <v>2571</v>
      </c>
      <c r="N386" s="10">
        <f>FMECA[[#This Row],[probability_value]]*FMECA[[#This Row],[consequence_value]]</f>
        <v>28</v>
      </c>
      <c r="O386" s="10" t="str">
        <f>IF(AND(FMECA[[#This Row],[Score]]&gt;=0, 9&gt;=FMECA[[#This Row],[Score]]), "UNDETECTABLE", IF(AND(FMECA[[#This Row],[Score]]&gt;=10, 24&gt;=FMECA[[#This Row],[Score]]), "MODERATE", IF(AND(FMECA[[#This Row],[Score]]&gt;=25, 35&gt;=FMECA[[#This Row],[Score]]), "HIGH", IF(AND(FMECA[[#This Row],[Score]]&gt;=36, 50&gt;=FMECA[[#This Row],[Score]]), "VERY HIGH", "Check Formula"))))</f>
        <v>HIGH</v>
      </c>
      <c r="P386" s="10" t="s">
        <v>770</v>
      </c>
      <c r="Q386" t="s">
        <v>1132</v>
      </c>
      <c r="R386" t="s">
        <v>780</v>
      </c>
      <c r="S386" t="s">
        <v>2565</v>
      </c>
      <c r="T386" t="s">
        <v>793</v>
      </c>
      <c r="AA386" t="s">
        <v>1162</v>
      </c>
    </row>
    <row r="387" spans="1:27" x14ac:dyDescent="0.2">
      <c r="A387" s="225" t="s">
        <v>161</v>
      </c>
      <c r="B387" t="s">
        <v>63</v>
      </c>
      <c r="C387" t="s">
        <v>245</v>
      </c>
      <c r="D387" t="s">
        <v>243</v>
      </c>
      <c r="E387" t="s">
        <v>241</v>
      </c>
      <c r="F387" s="226" t="s">
        <v>239</v>
      </c>
      <c r="G387" t="str">
        <f>_xlfn.XLOOKUP(FMECA[[#This Row],[HazardRisk_name]],categories[HazardRisk_Name],categories[HazardRisk])</f>
        <v>Risk</v>
      </c>
      <c r="H387" t="str">
        <f>_xlfn.XLOOKUP(FMECA[[#This Row],[HazardRisk_name]],categories[HazardRisk_Name],categories[Category])</f>
        <v>Political</v>
      </c>
      <c r="I387" t="s">
        <v>476</v>
      </c>
      <c r="J387" s="10">
        <v>3</v>
      </c>
      <c r="K387" t="s">
        <v>2578</v>
      </c>
      <c r="L387" s="10">
        <v>7</v>
      </c>
      <c r="M387" t="s">
        <v>2578</v>
      </c>
      <c r="N387" s="10">
        <f>FMECA[[#This Row],[probability_value]]*FMECA[[#This Row],[consequence_value]]</f>
        <v>21</v>
      </c>
      <c r="O38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87" s="10" t="s">
        <v>770</v>
      </c>
      <c r="Q387" t="s">
        <v>1132</v>
      </c>
      <c r="R387" t="s">
        <v>773</v>
      </c>
      <c r="S387" t="s">
        <v>790</v>
      </c>
      <c r="T387" t="s">
        <v>793</v>
      </c>
      <c r="AA387" t="s">
        <v>1162</v>
      </c>
    </row>
    <row r="388" spans="1:27" x14ac:dyDescent="0.2">
      <c r="A388" s="225" t="s">
        <v>161</v>
      </c>
      <c r="B388" t="s">
        <v>63</v>
      </c>
      <c r="C388" t="s">
        <v>245</v>
      </c>
      <c r="D388" t="s">
        <v>243</v>
      </c>
      <c r="E388" t="s">
        <v>241</v>
      </c>
      <c r="F388" s="226" t="s">
        <v>239</v>
      </c>
      <c r="G388" t="str">
        <f>_xlfn.XLOOKUP(FMECA[[#This Row],[HazardRisk_name]],categories[HazardRisk_Name],categories[HazardRisk])</f>
        <v>Risk</v>
      </c>
      <c r="H388" t="str">
        <f>_xlfn.XLOOKUP(FMECA[[#This Row],[HazardRisk_name]],categories[HazardRisk_Name],categories[Category])</f>
        <v>Political</v>
      </c>
      <c r="I388" t="s">
        <v>707</v>
      </c>
      <c r="J388" s="10">
        <v>5</v>
      </c>
      <c r="K388" t="s">
        <v>1333</v>
      </c>
      <c r="L388" s="10">
        <v>4</v>
      </c>
      <c r="M388" t="s">
        <v>2579</v>
      </c>
      <c r="N388" s="10">
        <f>FMECA[[#This Row],[probability_value]]*FMECA[[#This Row],[consequence_value]]</f>
        <v>20</v>
      </c>
      <c r="O38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88" s="10" t="s">
        <v>770</v>
      </c>
      <c r="Q388" t="s">
        <v>1132</v>
      </c>
      <c r="R388" t="s">
        <v>773</v>
      </c>
      <c r="S388" t="s">
        <v>790</v>
      </c>
      <c r="T388" t="s">
        <v>793</v>
      </c>
      <c r="AA388" t="s">
        <v>1162</v>
      </c>
    </row>
    <row r="389" spans="1:27" x14ac:dyDescent="0.2">
      <c r="A389" s="225" t="s">
        <v>161</v>
      </c>
      <c r="B389" t="s">
        <v>63</v>
      </c>
      <c r="C389" t="s">
        <v>245</v>
      </c>
      <c r="D389" t="s">
        <v>243</v>
      </c>
      <c r="E389" t="s">
        <v>241</v>
      </c>
      <c r="F389" s="226" t="s">
        <v>239</v>
      </c>
      <c r="G389" t="str">
        <f>_xlfn.XLOOKUP(FMECA[[#This Row],[HazardRisk_name]],categories[HazardRisk_Name],categories[HazardRisk])</f>
        <v>Hazard</v>
      </c>
      <c r="H389" t="str">
        <f>_xlfn.XLOOKUP(FMECA[[#This Row],[HazardRisk_name]],categories[HazardRisk_Name],categories[Category])</f>
        <v>Technological</v>
      </c>
      <c r="I389" t="s">
        <v>1311</v>
      </c>
      <c r="J389" s="10">
        <v>5</v>
      </c>
      <c r="K389" t="s">
        <v>2577</v>
      </c>
      <c r="L389" s="10">
        <v>7</v>
      </c>
      <c r="M389" t="s">
        <v>2577</v>
      </c>
      <c r="N389" s="10">
        <f>FMECA[[#This Row],[probability_value]]*FMECA[[#This Row],[consequence_value]]</f>
        <v>35</v>
      </c>
      <c r="O389" s="10" t="str">
        <f>IF(AND(FMECA[[#This Row],[Score]]&gt;=0, 9&gt;=FMECA[[#This Row],[Score]]), "UNDETECTABLE", IF(AND(FMECA[[#This Row],[Score]]&gt;=10, 24&gt;=FMECA[[#This Row],[Score]]), "MODERATE", IF(AND(FMECA[[#This Row],[Score]]&gt;=25, 35&gt;=FMECA[[#This Row],[Score]]), "HIGH", IF(AND(FMECA[[#This Row],[Score]]&gt;=36, 50&gt;=FMECA[[#This Row],[Score]]), "VERY HIGH", "Check Formula"))))</f>
        <v>HIGH</v>
      </c>
      <c r="P389" s="10" t="s">
        <v>770</v>
      </c>
      <c r="Q389" t="s">
        <v>1132</v>
      </c>
      <c r="R389" t="s">
        <v>773</v>
      </c>
      <c r="S389" t="s">
        <v>790</v>
      </c>
      <c r="T389" t="s">
        <v>793</v>
      </c>
      <c r="AA389" t="s">
        <v>1162</v>
      </c>
    </row>
    <row r="390" spans="1:27" x14ac:dyDescent="0.2">
      <c r="A390" s="225" t="s">
        <v>161</v>
      </c>
      <c r="B390" t="s">
        <v>63</v>
      </c>
      <c r="C390" t="s">
        <v>245</v>
      </c>
      <c r="D390" t="s">
        <v>243</v>
      </c>
      <c r="E390" t="s">
        <v>241</v>
      </c>
      <c r="F390" s="226" t="s">
        <v>239</v>
      </c>
      <c r="G390" t="str">
        <f>_xlfn.XLOOKUP(FMECA[[#This Row],[HazardRisk_name]],categories[HazardRisk_Name],categories[HazardRisk])</f>
        <v>Risk</v>
      </c>
      <c r="H390" t="str">
        <f>_xlfn.XLOOKUP(FMECA[[#This Row],[HazardRisk_name]],categories[HazardRisk_Name],categories[Category])</f>
        <v>Political</v>
      </c>
      <c r="I390" t="s">
        <v>540</v>
      </c>
      <c r="J390" s="10">
        <v>4</v>
      </c>
      <c r="K390" t="s">
        <v>1615</v>
      </c>
      <c r="L390" s="10">
        <v>4</v>
      </c>
      <c r="M390" t="s">
        <v>1615</v>
      </c>
      <c r="N390" s="10">
        <f>FMECA[[#This Row],[probability_value]]*FMECA[[#This Row],[consequence_value]]</f>
        <v>16</v>
      </c>
      <c r="O39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90" s="10" t="s">
        <v>770</v>
      </c>
      <c r="Q390" t="s">
        <v>1132</v>
      </c>
      <c r="R390" t="s">
        <v>773</v>
      </c>
      <c r="S390" t="s">
        <v>790</v>
      </c>
      <c r="T390" t="s">
        <v>793</v>
      </c>
      <c r="AA390" t="s">
        <v>1162</v>
      </c>
    </row>
    <row r="391" spans="1:27" x14ac:dyDescent="0.2">
      <c r="A391" s="225" t="s">
        <v>161</v>
      </c>
      <c r="B391" t="s">
        <v>63</v>
      </c>
      <c r="C391" t="s">
        <v>245</v>
      </c>
      <c r="D391" t="s">
        <v>243</v>
      </c>
      <c r="E391" t="s">
        <v>241</v>
      </c>
      <c r="F391" s="226" t="s">
        <v>239</v>
      </c>
      <c r="G391" t="str">
        <f>_xlfn.XLOOKUP(FMECA[[#This Row],[HazardRisk_name]],categories[HazardRisk_Name],categories[HazardRisk])</f>
        <v>Risk</v>
      </c>
      <c r="H391" t="str">
        <f>_xlfn.XLOOKUP(FMECA[[#This Row],[HazardRisk_name]],categories[HazardRisk_Name],categories[Category])</f>
        <v>Political</v>
      </c>
      <c r="I391" t="s">
        <v>629</v>
      </c>
      <c r="J391" s="10">
        <v>4</v>
      </c>
      <c r="K391" t="s">
        <v>1615</v>
      </c>
      <c r="L391" s="10">
        <v>7</v>
      </c>
      <c r="M391" t="s">
        <v>1615</v>
      </c>
      <c r="N391" s="10">
        <f>FMECA[[#This Row],[probability_value]]*FMECA[[#This Row],[consequence_value]]</f>
        <v>28</v>
      </c>
      <c r="O391" s="10" t="str">
        <f>IF(AND(FMECA[[#This Row],[Score]]&gt;=0, 9&gt;=FMECA[[#This Row],[Score]]), "UNDETECTABLE", IF(AND(FMECA[[#This Row],[Score]]&gt;=10, 24&gt;=FMECA[[#This Row],[Score]]), "MODERATE", IF(AND(FMECA[[#This Row],[Score]]&gt;=25, 35&gt;=FMECA[[#This Row],[Score]]), "HIGH", IF(AND(FMECA[[#This Row],[Score]]&gt;=36, 50&gt;=FMECA[[#This Row],[Score]]), "VERY HIGH", "Check Formula"))))</f>
        <v>HIGH</v>
      </c>
      <c r="P391" s="10" t="s">
        <v>770</v>
      </c>
      <c r="Q391" t="s">
        <v>1132</v>
      </c>
      <c r="R391" t="s">
        <v>773</v>
      </c>
      <c r="S391" t="s">
        <v>790</v>
      </c>
      <c r="T391" t="s">
        <v>793</v>
      </c>
      <c r="AA391" t="s">
        <v>1162</v>
      </c>
    </row>
    <row r="392" spans="1:27" x14ac:dyDescent="0.2">
      <c r="A392" s="225" t="s">
        <v>161</v>
      </c>
      <c r="B392" t="s">
        <v>63</v>
      </c>
      <c r="C392" t="s">
        <v>245</v>
      </c>
      <c r="D392" t="s">
        <v>243</v>
      </c>
      <c r="E392" t="s">
        <v>241</v>
      </c>
      <c r="F392" s="226" t="s">
        <v>239</v>
      </c>
      <c r="G392" t="str">
        <f>_xlfn.XLOOKUP(FMECA[[#This Row],[HazardRisk_name]],categories[HazardRisk_Name],categories[HazardRisk])</f>
        <v>Risk</v>
      </c>
      <c r="H392" t="str">
        <f>_xlfn.XLOOKUP(FMECA[[#This Row],[HazardRisk_name]],categories[HazardRisk_Name],categories[Category])</f>
        <v>Political</v>
      </c>
      <c r="I392" t="s">
        <v>622</v>
      </c>
      <c r="J392" s="10">
        <v>4</v>
      </c>
      <c r="K392" t="s">
        <v>1615</v>
      </c>
      <c r="L392" s="10">
        <v>7</v>
      </c>
      <c r="M392" t="s">
        <v>1615</v>
      </c>
      <c r="N392" s="10">
        <f>FMECA[[#This Row],[probability_value]]*FMECA[[#This Row],[consequence_value]]</f>
        <v>28</v>
      </c>
      <c r="O392" s="10" t="str">
        <f>IF(AND(FMECA[[#This Row],[Score]]&gt;=0, 9&gt;=FMECA[[#This Row],[Score]]), "UNDETECTABLE", IF(AND(FMECA[[#This Row],[Score]]&gt;=10, 24&gt;=FMECA[[#This Row],[Score]]), "MODERATE", IF(AND(FMECA[[#This Row],[Score]]&gt;=25, 35&gt;=FMECA[[#This Row],[Score]]), "HIGH", IF(AND(FMECA[[#This Row],[Score]]&gt;=36, 50&gt;=FMECA[[#This Row],[Score]]), "VERY HIGH", "Check Formula"))))</f>
        <v>HIGH</v>
      </c>
      <c r="P392" s="10" t="s">
        <v>770</v>
      </c>
      <c r="Q392" t="s">
        <v>1132</v>
      </c>
      <c r="R392" t="s">
        <v>773</v>
      </c>
      <c r="S392" t="s">
        <v>790</v>
      </c>
      <c r="T392" t="s">
        <v>793</v>
      </c>
      <c r="AA392" t="s">
        <v>1162</v>
      </c>
    </row>
    <row r="393" spans="1:27" x14ac:dyDescent="0.2">
      <c r="A393" s="225" t="s">
        <v>161</v>
      </c>
      <c r="B393" t="s">
        <v>63</v>
      </c>
      <c r="C393" t="s">
        <v>245</v>
      </c>
      <c r="D393" t="s">
        <v>243</v>
      </c>
      <c r="E393" t="s">
        <v>241</v>
      </c>
      <c r="F393" s="226" t="s">
        <v>239</v>
      </c>
      <c r="G393" t="str">
        <f>_xlfn.XLOOKUP(FMECA[[#This Row],[HazardRisk_name]],categories[HazardRisk_Name],categories[HazardRisk])</f>
        <v>Risk</v>
      </c>
      <c r="H393" t="str">
        <f>_xlfn.XLOOKUP(FMECA[[#This Row],[HazardRisk_name]],categories[HazardRisk_Name],categories[Category])</f>
        <v>Political</v>
      </c>
      <c r="I393" t="s">
        <v>690</v>
      </c>
      <c r="J393" s="10">
        <v>5</v>
      </c>
      <c r="K393" t="s">
        <v>2360</v>
      </c>
      <c r="L393" s="10">
        <v>7</v>
      </c>
      <c r="M393" t="s">
        <v>2580</v>
      </c>
      <c r="N393" s="10">
        <f>FMECA[[#This Row],[probability_value]]*FMECA[[#This Row],[consequence_value]]</f>
        <v>35</v>
      </c>
      <c r="O393" s="10" t="str">
        <f>IF(AND(FMECA[[#This Row],[Score]]&gt;=0, 9&gt;=FMECA[[#This Row],[Score]]), "UNDETECTABLE", IF(AND(FMECA[[#This Row],[Score]]&gt;=10, 24&gt;=FMECA[[#This Row],[Score]]), "MODERATE", IF(AND(FMECA[[#This Row],[Score]]&gt;=25, 35&gt;=FMECA[[#This Row],[Score]]), "HIGH", IF(AND(FMECA[[#This Row],[Score]]&gt;=36, 50&gt;=FMECA[[#This Row],[Score]]), "VERY HIGH", "Check Formula"))))</f>
        <v>HIGH</v>
      </c>
      <c r="P393" s="10" t="s">
        <v>770</v>
      </c>
      <c r="Q393" t="s">
        <v>1132</v>
      </c>
      <c r="R393" t="s">
        <v>773</v>
      </c>
      <c r="S393" t="s">
        <v>790</v>
      </c>
      <c r="T393" t="s">
        <v>793</v>
      </c>
      <c r="AA393" t="s">
        <v>1162</v>
      </c>
    </row>
    <row r="394" spans="1:27" x14ac:dyDescent="0.2">
      <c r="A394" s="225" t="s">
        <v>161</v>
      </c>
      <c r="B394" t="s">
        <v>63</v>
      </c>
      <c r="C394" t="s">
        <v>245</v>
      </c>
      <c r="D394" t="s">
        <v>243</v>
      </c>
      <c r="E394" t="s">
        <v>241</v>
      </c>
      <c r="F394" s="226" t="s">
        <v>239</v>
      </c>
      <c r="G394" t="str">
        <f>_xlfn.XLOOKUP(FMECA[[#This Row],[HazardRisk_name]],categories[HazardRisk_Name],categories[HazardRisk])</f>
        <v>Risk</v>
      </c>
      <c r="H394" t="str">
        <f>_xlfn.XLOOKUP(FMECA[[#This Row],[HazardRisk_name]],categories[HazardRisk_Name],categories[Category])</f>
        <v>Political</v>
      </c>
      <c r="I394" t="s">
        <v>689</v>
      </c>
      <c r="J394" s="10">
        <v>4</v>
      </c>
      <c r="K394" t="s">
        <v>2575</v>
      </c>
      <c r="L394" s="10">
        <v>4</v>
      </c>
      <c r="M394" t="s">
        <v>2575</v>
      </c>
      <c r="N394" s="10">
        <f>FMECA[[#This Row],[probability_value]]*FMECA[[#This Row],[consequence_value]]</f>
        <v>16</v>
      </c>
      <c r="O39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94" s="10" t="s">
        <v>770</v>
      </c>
      <c r="Q394" t="s">
        <v>1132</v>
      </c>
      <c r="R394" t="s">
        <v>773</v>
      </c>
      <c r="S394" t="s">
        <v>790</v>
      </c>
      <c r="T394" t="s">
        <v>793</v>
      </c>
      <c r="AA394" t="s">
        <v>1162</v>
      </c>
    </row>
    <row r="395" spans="1:27" x14ac:dyDescent="0.2">
      <c r="A395" s="225" t="s">
        <v>161</v>
      </c>
      <c r="B395" t="s">
        <v>63</v>
      </c>
      <c r="C395" t="s">
        <v>245</v>
      </c>
      <c r="D395" t="s">
        <v>243</v>
      </c>
      <c r="E395" t="s">
        <v>241</v>
      </c>
      <c r="F395" s="226" t="s">
        <v>239</v>
      </c>
      <c r="G395" t="str">
        <f>_xlfn.XLOOKUP(FMECA[[#This Row],[HazardRisk_name]],categories[HazardRisk_Name],categories[HazardRisk])</f>
        <v>Risk</v>
      </c>
      <c r="H395" t="str">
        <f>_xlfn.XLOOKUP(FMECA[[#This Row],[HazardRisk_name]],categories[HazardRisk_Name],categories[Category])</f>
        <v>Political</v>
      </c>
      <c r="I395" t="s">
        <v>711</v>
      </c>
      <c r="J395" s="10">
        <v>4</v>
      </c>
      <c r="K395" t="s">
        <v>2576</v>
      </c>
      <c r="L395" s="10">
        <v>7</v>
      </c>
      <c r="M395" t="s">
        <v>2576</v>
      </c>
      <c r="N395" s="10">
        <f>FMECA[[#This Row],[probability_value]]*FMECA[[#This Row],[consequence_value]]</f>
        <v>28</v>
      </c>
      <c r="O395" s="10" t="str">
        <f>IF(AND(FMECA[[#This Row],[Score]]&gt;=0, 9&gt;=FMECA[[#This Row],[Score]]), "UNDETECTABLE", IF(AND(FMECA[[#This Row],[Score]]&gt;=10, 24&gt;=FMECA[[#This Row],[Score]]), "MODERATE", IF(AND(FMECA[[#This Row],[Score]]&gt;=25, 35&gt;=FMECA[[#This Row],[Score]]), "HIGH", IF(AND(FMECA[[#This Row],[Score]]&gt;=36, 50&gt;=FMECA[[#This Row],[Score]]), "VERY HIGH", "Check Formula"))))</f>
        <v>HIGH</v>
      </c>
      <c r="P395" s="10" t="s">
        <v>770</v>
      </c>
      <c r="Q395" t="s">
        <v>1132</v>
      </c>
      <c r="R395" t="s">
        <v>773</v>
      </c>
      <c r="S395" t="s">
        <v>790</v>
      </c>
      <c r="T395" t="s">
        <v>793</v>
      </c>
      <c r="AA395" t="s">
        <v>1162</v>
      </c>
    </row>
    <row r="396" spans="1:27" x14ac:dyDescent="0.2">
      <c r="A396" s="225" t="s">
        <v>162</v>
      </c>
      <c r="B396" t="s">
        <v>63</v>
      </c>
      <c r="C396" t="s">
        <v>73</v>
      </c>
      <c r="D396" t="s">
        <v>244</v>
      </c>
      <c r="E396" t="s">
        <v>242</v>
      </c>
      <c r="F396" s="226" t="s">
        <v>240</v>
      </c>
      <c r="G396" t="str">
        <f>_xlfn.XLOOKUP(FMECA[[#This Row],[HazardRisk_name]],categories[HazardRisk_Name],categories[HazardRisk])</f>
        <v>Risk</v>
      </c>
      <c r="H396" t="str">
        <f>_xlfn.XLOOKUP(FMECA[[#This Row],[HazardRisk_name]],categories[HazardRisk_Name],categories[Category])</f>
        <v>Pollutants</v>
      </c>
      <c r="I396" t="s">
        <v>547</v>
      </c>
      <c r="J396" s="10">
        <v>5</v>
      </c>
      <c r="K396" t="s">
        <v>2604</v>
      </c>
      <c r="L396" s="10">
        <v>7</v>
      </c>
      <c r="M396" t="s">
        <v>2603</v>
      </c>
      <c r="N396" s="10">
        <f>FMECA[[#This Row],[probability_value]]*FMECA[[#This Row],[consequence_value]]</f>
        <v>35</v>
      </c>
      <c r="O396" s="10" t="str">
        <f>IF(AND(FMECA[[#This Row],[Score]]&gt;=0, 9&gt;=FMECA[[#This Row],[Score]]), "UNDETECTABLE", IF(AND(FMECA[[#This Row],[Score]]&gt;=10, 24&gt;=FMECA[[#This Row],[Score]]), "MODERATE", IF(AND(FMECA[[#This Row],[Score]]&gt;=25, 35&gt;=FMECA[[#This Row],[Score]]), "HIGH", IF(AND(FMECA[[#This Row],[Score]]&gt;=36, 50&gt;=FMECA[[#This Row],[Score]]), "VERY HIGH", "Check Formula"))))</f>
        <v>HIGH</v>
      </c>
      <c r="P396" s="10" t="s">
        <v>770</v>
      </c>
      <c r="Q396" t="s">
        <v>1162</v>
      </c>
      <c r="R396" t="s">
        <v>780</v>
      </c>
      <c r="S396" t="s">
        <v>2377</v>
      </c>
      <c r="T396" t="s">
        <v>793</v>
      </c>
      <c r="Y396" t="s">
        <v>1153</v>
      </c>
      <c r="Z396" t="s">
        <v>2608</v>
      </c>
      <c r="AA396" t="s">
        <v>1162</v>
      </c>
    </row>
    <row r="397" spans="1:27" x14ac:dyDescent="0.2">
      <c r="A397" s="225" t="s">
        <v>162</v>
      </c>
      <c r="B397" t="s">
        <v>63</v>
      </c>
      <c r="C397" t="s">
        <v>73</v>
      </c>
      <c r="D397" t="s">
        <v>244</v>
      </c>
      <c r="E397" t="s">
        <v>242</v>
      </c>
      <c r="F397" s="226" t="s">
        <v>240</v>
      </c>
      <c r="G397" t="str">
        <f>_xlfn.XLOOKUP(FMECA[[#This Row],[HazardRisk_name]],categories[HazardRisk_Name],categories[HazardRisk])</f>
        <v>Hazard</v>
      </c>
      <c r="H397" t="str">
        <f>_xlfn.XLOOKUP(FMECA[[#This Row],[HazardRisk_name]],categories[HazardRisk_Name],categories[Category])</f>
        <v>Sea Ice</v>
      </c>
      <c r="I397" t="s">
        <v>673</v>
      </c>
      <c r="J397" s="10">
        <v>4</v>
      </c>
      <c r="K397" t="s">
        <v>2605</v>
      </c>
      <c r="L397" s="10">
        <v>7</v>
      </c>
      <c r="M397" t="s">
        <v>2605</v>
      </c>
      <c r="N397" s="10">
        <f>FMECA[[#This Row],[probability_value]]*FMECA[[#This Row],[consequence_value]]</f>
        <v>28</v>
      </c>
      <c r="O397" s="10" t="str">
        <f>IF(AND(FMECA[[#This Row],[Score]]&gt;=0, 9&gt;=FMECA[[#This Row],[Score]]), "UNDETECTABLE", IF(AND(FMECA[[#This Row],[Score]]&gt;=10, 24&gt;=FMECA[[#This Row],[Score]]), "MODERATE", IF(AND(FMECA[[#This Row],[Score]]&gt;=25, 35&gt;=FMECA[[#This Row],[Score]]), "HIGH", IF(AND(FMECA[[#This Row],[Score]]&gt;=36, 50&gt;=FMECA[[#This Row],[Score]]), "VERY HIGH", "Check Formula"))))</f>
        <v>HIGH</v>
      </c>
      <c r="P397" s="10" t="s">
        <v>770</v>
      </c>
      <c r="Q397" t="s">
        <v>1162</v>
      </c>
      <c r="R397" t="s">
        <v>780</v>
      </c>
      <c r="S397" t="s">
        <v>2377</v>
      </c>
      <c r="T397" t="s">
        <v>793</v>
      </c>
      <c r="Y397" t="s">
        <v>1153</v>
      </c>
      <c r="Z397" t="s">
        <v>2608</v>
      </c>
      <c r="AA397" t="s">
        <v>1162</v>
      </c>
    </row>
    <row r="398" spans="1:27" x14ac:dyDescent="0.2">
      <c r="A398" s="225" t="s">
        <v>162</v>
      </c>
      <c r="B398" t="s">
        <v>63</v>
      </c>
      <c r="C398" t="s">
        <v>73</v>
      </c>
      <c r="D398" t="s">
        <v>244</v>
      </c>
      <c r="E398" t="s">
        <v>242</v>
      </c>
      <c r="F398" s="226" t="s">
        <v>240</v>
      </c>
      <c r="G398" t="str">
        <f>_xlfn.XLOOKUP(FMECA[[#This Row],[HazardRisk_name]],categories[HazardRisk_Name],categories[HazardRisk])</f>
        <v>Hazard</v>
      </c>
      <c r="H398" t="str">
        <f>_xlfn.XLOOKUP(FMECA[[#This Row],[HazardRisk_name]],categories[HazardRisk_Name],categories[Category])</f>
        <v>Technological</v>
      </c>
      <c r="I398" t="s">
        <v>1311</v>
      </c>
      <c r="J398" s="10">
        <v>5</v>
      </c>
      <c r="K398" t="s">
        <v>2606</v>
      </c>
      <c r="L398" s="10">
        <v>4</v>
      </c>
      <c r="M398" t="s">
        <v>2606</v>
      </c>
      <c r="N398" s="10">
        <f>FMECA[[#This Row],[probability_value]]*FMECA[[#This Row],[consequence_value]]</f>
        <v>20</v>
      </c>
      <c r="O39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98" s="10" t="s">
        <v>770</v>
      </c>
      <c r="Q398" t="s">
        <v>1162</v>
      </c>
      <c r="R398" t="s">
        <v>780</v>
      </c>
      <c r="S398" t="s">
        <v>2377</v>
      </c>
      <c r="T398" t="s">
        <v>793</v>
      </c>
      <c r="Y398" t="s">
        <v>1153</v>
      </c>
      <c r="Z398" t="s">
        <v>2608</v>
      </c>
      <c r="AA398" t="s">
        <v>1162</v>
      </c>
    </row>
    <row r="399" spans="1:27" x14ac:dyDescent="0.2">
      <c r="A399" s="225" t="s">
        <v>162</v>
      </c>
      <c r="B399" t="s">
        <v>63</v>
      </c>
      <c r="C399" t="s">
        <v>73</v>
      </c>
      <c r="D399" t="s">
        <v>244</v>
      </c>
      <c r="E399" t="s">
        <v>242</v>
      </c>
      <c r="F399" s="226" t="s">
        <v>240</v>
      </c>
      <c r="G399" t="str">
        <f>_xlfn.XLOOKUP(FMECA[[#This Row],[HazardRisk_name]],categories[HazardRisk_Name],categories[HazardRisk])</f>
        <v>Risk</v>
      </c>
      <c r="H399" t="str">
        <f>_xlfn.XLOOKUP(FMECA[[#This Row],[HazardRisk_name]],categories[HazardRisk_Name],categories[Category])</f>
        <v>Operational</v>
      </c>
      <c r="I399" t="s">
        <v>688</v>
      </c>
      <c r="J399" s="10">
        <v>5</v>
      </c>
      <c r="K399" t="s">
        <v>2606</v>
      </c>
      <c r="L399" s="10">
        <v>4</v>
      </c>
      <c r="M399" t="s">
        <v>2606</v>
      </c>
      <c r="N399" s="10">
        <f>FMECA[[#This Row],[probability_value]]*FMECA[[#This Row],[consequence_value]]</f>
        <v>20</v>
      </c>
      <c r="O39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399" s="10" t="s">
        <v>770</v>
      </c>
      <c r="Q399" t="s">
        <v>1162</v>
      </c>
      <c r="R399" t="s">
        <v>780</v>
      </c>
      <c r="S399" t="s">
        <v>2377</v>
      </c>
      <c r="T399" t="s">
        <v>793</v>
      </c>
      <c r="Y399" t="s">
        <v>1153</v>
      </c>
      <c r="Z399" t="s">
        <v>2608</v>
      </c>
      <c r="AA399" t="s">
        <v>1162</v>
      </c>
    </row>
    <row r="400" spans="1:27" x14ac:dyDescent="0.2">
      <c r="A400" s="225" t="s">
        <v>162</v>
      </c>
      <c r="B400" t="s">
        <v>63</v>
      </c>
      <c r="C400" t="s">
        <v>73</v>
      </c>
      <c r="D400" t="s">
        <v>244</v>
      </c>
      <c r="E400" t="s">
        <v>242</v>
      </c>
      <c r="F400" s="226" t="s">
        <v>240</v>
      </c>
      <c r="G400" t="str">
        <f>_xlfn.XLOOKUP(FMECA[[#This Row],[HazardRisk_name]],categories[HazardRisk_Name],categories[HazardRisk])</f>
        <v>Risk</v>
      </c>
      <c r="H400" t="str">
        <f>_xlfn.XLOOKUP(FMECA[[#This Row],[HazardRisk_name]],categories[HazardRisk_Name],categories[Category])</f>
        <v>Economic</v>
      </c>
      <c r="I400" t="s">
        <v>701</v>
      </c>
      <c r="J400" s="10">
        <v>4</v>
      </c>
      <c r="K400" t="s">
        <v>2602</v>
      </c>
      <c r="L400" s="10">
        <v>7</v>
      </c>
      <c r="M400" t="s">
        <v>2602</v>
      </c>
      <c r="N400" s="10">
        <f>FMECA[[#This Row],[probability_value]]*FMECA[[#This Row],[consequence_value]]</f>
        <v>28</v>
      </c>
      <c r="O400" s="10" t="str">
        <f>IF(AND(FMECA[[#This Row],[Score]]&gt;=0, 9&gt;=FMECA[[#This Row],[Score]]), "UNDETECTABLE", IF(AND(FMECA[[#This Row],[Score]]&gt;=10, 24&gt;=FMECA[[#This Row],[Score]]), "MODERATE", IF(AND(FMECA[[#This Row],[Score]]&gt;=25, 35&gt;=FMECA[[#This Row],[Score]]), "HIGH", IF(AND(FMECA[[#This Row],[Score]]&gt;=36, 50&gt;=FMECA[[#This Row],[Score]]), "VERY HIGH", "Check Formula"))))</f>
        <v>HIGH</v>
      </c>
      <c r="P400" s="10" t="s">
        <v>770</v>
      </c>
      <c r="Q400" t="s">
        <v>1162</v>
      </c>
      <c r="R400" t="s">
        <v>780</v>
      </c>
      <c r="S400" t="s">
        <v>2377</v>
      </c>
      <c r="T400" t="s">
        <v>793</v>
      </c>
      <c r="Y400" t="s">
        <v>1153</v>
      </c>
      <c r="Z400" t="s">
        <v>2608</v>
      </c>
      <c r="AA400" t="s">
        <v>1162</v>
      </c>
    </row>
    <row r="401" spans="1:27" x14ac:dyDescent="0.2">
      <c r="A401" s="225" t="s">
        <v>162</v>
      </c>
      <c r="B401" t="s">
        <v>63</v>
      </c>
      <c r="C401" t="s">
        <v>73</v>
      </c>
      <c r="D401" t="s">
        <v>244</v>
      </c>
      <c r="E401" t="s">
        <v>242</v>
      </c>
      <c r="F401" s="226" t="s">
        <v>240</v>
      </c>
      <c r="G401" t="str">
        <f>_xlfn.XLOOKUP(FMECA[[#This Row],[HazardRisk_name]],categories[HazardRisk_Name],categories[HazardRisk])</f>
        <v>Hazard</v>
      </c>
      <c r="H401" t="str">
        <f>_xlfn.XLOOKUP(FMECA[[#This Row],[HazardRisk_name]],categories[HazardRisk_Name],categories[Category])</f>
        <v>Pollutants</v>
      </c>
      <c r="I401" t="s">
        <v>630</v>
      </c>
      <c r="J401" s="10">
        <v>5</v>
      </c>
      <c r="K401" t="s">
        <v>2607</v>
      </c>
      <c r="L401" s="10">
        <v>10</v>
      </c>
      <c r="M401" t="s">
        <v>2607</v>
      </c>
      <c r="N401" s="10">
        <f>FMECA[[#This Row],[probability_value]]*FMECA[[#This Row],[consequence_value]]</f>
        <v>50</v>
      </c>
      <c r="O401"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401" s="10" t="s">
        <v>770</v>
      </c>
      <c r="Q401" t="s">
        <v>1162</v>
      </c>
      <c r="R401" t="s">
        <v>780</v>
      </c>
      <c r="S401" t="s">
        <v>2377</v>
      </c>
      <c r="T401" t="s">
        <v>793</v>
      </c>
      <c r="Y401" t="s">
        <v>1153</v>
      </c>
      <c r="Z401" t="s">
        <v>2608</v>
      </c>
      <c r="AA401" t="s">
        <v>1162</v>
      </c>
    </row>
    <row r="402" spans="1:27" x14ac:dyDescent="0.2">
      <c r="A402" s="225" t="s">
        <v>163</v>
      </c>
      <c r="B402" t="s">
        <v>63</v>
      </c>
      <c r="C402" t="s">
        <v>73</v>
      </c>
      <c r="D402" t="s">
        <v>247</v>
      </c>
      <c r="E402" t="s">
        <v>248</v>
      </c>
      <c r="F402" s="226" t="s">
        <v>246</v>
      </c>
      <c r="G402" t="str">
        <f>_xlfn.XLOOKUP(FMECA[[#This Row],[HazardRisk_name]],categories[HazardRisk_Name],categories[HazardRisk])</f>
        <v>Risk</v>
      </c>
      <c r="H402" t="str">
        <f>_xlfn.XLOOKUP(FMECA[[#This Row],[HazardRisk_name]],categories[HazardRisk_Name],categories[Category])</f>
        <v>Pollutants</v>
      </c>
      <c r="I402" t="s">
        <v>640</v>
      </c>
      <c r="J402" s="10">
        <v>4</v>
      </c>
      <c r="K402" t="s">
        <v>2614</v>
      </c>
      <c r="L402" s="10">
        <v>7</v>
      </c>
      <c r="M402" t="s">
        <v>2614</v>
      </c>
      <c r="N402" s="10">
        <f>FMECA[[#This Row],[probability_value]]*FMECA[[#This Row],[consequence_value]]</f>
        <v>28</v>
      </c>
      <c r="O402" s="10" t="str">
        <f>IF(AND(FMECA[[#This Row],[Score]]&gt;=0, 9&gt;=FMECA[[#This Row],[Score]]), "UNDETECTABLE", IF(AND(FMECA[[#This Row],[Score]]&gt;=10, 24&gt;=FMECA[[#This Row],[Score]]), "MODERATE", IF(AND(FMECA[[#This Row],[Score]]&gt;=25, 35&gt;=FMECA[[#This Row],[Score]]), "HIGH", IF(AND(FMECA[[#This Row],[Score]]&gt;=36, 50&gt;=FMECA[[#This Row],[Score]]), "VERY HIGH", "Check Formula"))))</f>
        <v>HIGH</v>
      </c>
      <c r="P402" s="10" t="s">
        <v>767</v>
      </c>
      <c r="Q402" t="s">
        <v>1162</v>
      </c>
      <c r="R402" t="s">
        <v>773</v>
      </c>
      <c r="S402" t="s">
        <v>1162</v>
      </c>
      <c r="U402" t="s">
        <v>2615</v>
      </c>
      <c r="V402" t="s">
        <v>466</v>
      </c>
      <c r="W402" t="s">
        <v>2616</v>
      </c>
      <c r="X402" t="s">
        <v>470</v>
      </c>
      <c r="AA402" t="s">
        <v>1162</v>
      </c>
    </row>
    <row r="403" spans="1:27" x14ac:dyDescent="0.2">
      <c r="A403" s="225" t="s">
        <v>163</v>
      </c>
      <c r="B403" t="s">
        <v>63</v>
      </c>
      <c r="C403" t="s">
        <v>73</v>
      </c>
      <c r="D403" t="s">
        <v>247</v>
      </c>
      <c r="E403" t="s">
        <v>248</v>
      </c>
      <c r="F403" s="226" t="s">
        <v>246</v>
      </c>
      <c r="G403" t="str">
        <f>_xlfn.XLOOKUP(FMECA[[#This Row],[HazardRisk_name]],categories[HazardRisk_Name],categories[HazardRisk])</f>
        <v>Hazard</v>
      </c>
      <c r="H403" t="str">
        <f>_xlfn.XLOOKUP(FMECA[[#This Row],[HazardRisk_name]],categories[HazardRisk_Name],categories[Category])</f>
        <v>Navigational</v>
      </c>
      <c r="I403" t="s">
        <v>496</v>
      </c>
      <c r="J403" s="10">
        <v>5</v>
      </c>
      <c r="K403" t="s">
        <v>2620</v>
      </c>
      <c r="L403" s="10">
        <v>4</v>
      </c>
      <c r="M403" t="s">
        <v>2620</v>
      </c>
      <c r="N403" s="10">
        <f>FMECA[[#This Row],[probability_value]]*FMECA[[#This Row],[consequence_value]]</f>
        <v>20</v>
      </c>
      <c r="O40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03" s="10" t="s">
        <v>767</v>
      </c>
      <c r="Q403" t="s">
        <v>1162</v>
      </c>
      <c r="R403" t="s">
        <v>773</v>
      </c>
      <c r="S403" t="s">
        <v>1162</v>
      </c>
      <c r="AA403" t="s">
        <v>1162</v>
      </c>
    </row>
    <row r="404" spans="1:27" x14ac:dyDescent="0.2">
      <c r="A404" s="225" t="s">
        <v>163</v>
      </c>
      <c r="B404" t="s">
        <v>63</v>
      </c>
      <c r="C404" t="s">
        <v>73</v>
      </c>
      <c r="D404" t="s">
        <v>247</v>
      </c>
      <c r="E404" t="s">
        <v>248</v>
      </c>
      <c r="F404" s="226" t="s">
        <v>246</v>
      </c>
      <c r="G404" t="str">
        <f>_xlfn.XLOOKUP(FMECA[[#This Row],[HazardRisk_name]],categories[HazardRisk_Name],categories[HazardRisk])</f>
        <v>Risk</v>
      </c>
      <c r="H404" t="str">
        <f>_xlfn.XLOOKUP(FMECA[[#This Row],[HazardRisk_name]],categories[HazardRisk_Name],categories[Category])</f>
        <v>Technological</v>
      </c>
      <c r="I404" t="s">
        <v>692</v>
      </c>
      <c r="J404" s="10">
        <v>4</v>
      </c>
      <c r="K404" t="s">
        <v>2618</v>
      </c>
      <c r="L404" s="10">
        <v>4</v>
      </c>
      <c r="M404" t="s">
        <v>2618</v>
      </c>
      <c r="N404" s="10">
        <f>FMECA[[#This Row],[probability_value]]*FMECA[[#This Row],[consequence_value]]</f>
        <v>16</v>
      </c>
      <c r="O40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04" s="10" t="s">
        <v>767</v>
      </c>
      <c r="Q404" t="s">
        <v>1162</v>
      </c>
      <c r="R404" t="s">
        <v>773</v>
      </c>
      <c r="S404" t="s">
        <v>1162</v>
      </c>
      <c r="AA404" t="s">
        <v>1162</v>
      </c>
    </row>
    <row r="405" spans="1:27" x14ac:dyDescent="0.2">
      <c r="A405" s="225" t="s">
        <v>163</v>
      </c>
      <c r="B405" t="s">
        <v>63</v>
      </c>
      <c r="C405" t="s">
        <v>73</v>
      </c>
      <c r="D405" t="s">
        <v>247</v>
      </c>
      <c r="E405" t="s">
        <v>248</v>
      </c>
      <c r="F405" s="226" t="s">
        <v>246</v>
      </c>
      <c r="G405" t="str">
        <f>_xlfn.XLOOKUP(FMECA[[#This Row],[HazardRisk_name]],categories[HazardRisk_Name],categories[HazardRisk])</f>
        <v>Risk</v>
      </c>
      <c r="H405" t="str">
        <f>_xlfn.XLOOKUP(FMECA[[#This Row],[HazardRisk_name]],categories[HazardRisk_Name],categories[Category])</f>
        <v>Pollutants</v>
      </c>
      <c r="I405" t="s">
        <v>547</v>
      </c>
      <c r="J405" s="10">
        <v>3</v>
      </c>
      <c r="K405" t="s">
        <v>2617</v>
      </c>
      <c r="L405" s="10">
        <v>7</v>
      </c>
      <c r="M405" t="s">
        <v>2617</v>
      </c>
      <c r="N405" s="10">
        <f>FMECA[[#This Row],[probability_value]]*FMECA[[#This Row],[consequence_value]]</f>
        <v>21</v>
      </c>
      <c r="O40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05" s="10" t="s">
        <v>767</v>
      </c>
      <c r="Q405" t="s">
        <v>1162</v>
      </c>
      <c r="R405" t="s">
        <v>773</v>
      </c>
      <c r="S405" t="s">
        <v>1162</v>
      </c>
      <c r="AA405" t="s">
        <v>1162</v>
      </c>
    </row>
    <row r="406" spans="1:27" x14ac:dyDescent="0.2">
      <c r="A406" s="225" t="s">
        <v>163</v>
      </c>
      <c r="B406" t="s">
        <v>63</v>
      </c>
      <c r="C406" t="s">
        <v>73</v>
      </c>
      <c r="D406" t="s">
        <v>247</v>
      </c>
      <c r="E406" t="s">
        <v>248</v>
      </c>
      <c r="F406" s="226" t="s">
        <v>246</v>
      </c>
      <c r="G406" t="str">
        <f>_xlfn.XLOOKUP(FMECA[[#This Row],[HazardRisk_name]],categories[HazardRisk_Name],categories[HazardRisk])</f>
        <v>Risk</v>
      </c>
      <c r="H406" t="str">
        <f>_xlfn.XLOOKUP(FMECA[[#This Row],[HazardRisk_name]],categories[HazardRisk_Name],categories[Category])</f>
        <v>Navigational</v>
      </c>
      <c r="I406" t="s">
        <v>474</v>
      </c>
      <c r="J406" s="10">
        <v>3</v>
      </c>
      <c r="K406" t="s">
        <v>2619</v>
      </c>
      <c r="L406" s="10">
        <v>4</v>
      </c>
      <c r="M406" t="s">
        <v>2619</v>
      </c>
      <c r="N406" s="10">
        <f>FMECA[[#This Row],[probability_value]]*FMECA[[#This Row],[consequence_value]]</f>
        <v>12</v>
      </c>
      <c r="O40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06" s="10" t="s">
        <v>767</v>
      </c>
      <c r="Q406" t="s">
        <v>1162</v>
      </c>
      <c r="R406" t="s">
        <v>773</v>
      </c>
      <c r="S406" t="s">
        <v>1162</v>
      </c>
      <c r="AA406" t="s">
        <v>1162</v>
      </c>
    </row>
    <row r="407" spans="1:27" x14ac:dyDescent="0.2">
      <c r="A407" s="225" t="s">
        <v>163</v>
      </c>
      <c r="B407" t="s">
        <v>63</v>
      </c>
      <c r="C407" t="s">
        <v>73</v>
      </c>
      <c r="D407" t="s">
        <v>247</v>
      </c>
      <c r="E407" t="s">
        <v>248</v>
      </c>
      <c r="F407" s="226" t="s">
        <v>246</v>
      </c>
      <c r="G407" t="str">
        <f>_xlfn.XLOOKUP(FMECA[[#This Row],[HazardRisk_name]],categories[HazardRisk_Name],categories[HazardRisk])</f>
        <v>Hazard</v>
      </c>
      <c r="H407" t="str">
        <f>_xlfn.XLOOKUP(FMECA[[#This Row],[HazardRisk_name]],categories[HazardRisk_Name],categories[Category])</f>
        <v>Pollutants</v>
      </c>
      <c r="I407" t="s">
        <v>636</v>
      </c>
      <c r="J407" s="10">
        <v>5</v>
      </c>
      <c r="K407" t="s">
        <v>2612</v>
      </c>
      <c r="L407" s="10">
        <v>7</v>
      </c>
      <c r="M407" t="s">
        <v>2612</v>
      </c>
      <c r="N407" s="10">
        <f>FMECA[[#This Row],[probability_value]]*FMECA[[#This Row],[consequence_value]]</f>
        <v>35</v>
      </c>
      <c r="O407" s="10" t="str">
        <f>IF(AND(FMECA[[#This Row],[Score]]&gt;=0, 9&gt;=FMECA[[#This Row],[Score]]), "UNDETECTABLE", IF(AND(FMECA[[#This Row],[Score]]&gt;=10, 24&gt;=FMECA[[#This Row],[Score]]), "MODERATE", IF(AND(FMECA[[#This Row],[Score]]&gt;=25, 35&gt;=FMECA[[#This Row],[Score]]), "HIGH", IF(AND(FMECA[[#This Row],[Score]]&gt;=36, 50&gt;=FMECA[[#This Row],[Score]]), "VERY HIGH", "Check Formula"))))</f>
        <v>HIGH</v>
      </c>
      <c r="P407" s="10" t="s">
        <v>767</v>
      </c>
      <c r="Q407" t="s">
        <v>1162</v>
      </c>
      <c r="R407" t="s">
        <v>773</v>
      </c>
      <c r="S407" t="s">
        <v>1162</v>
      </c>
      <c r="U407" t="s">
        <v>1954</v>
      </c>
      <c r="V407" t="s">
        <v>466</v>
      </c>
      <c r="W407" t="s">
        <v>2613</v>
      </c>
      <c r="X407" t="s">
        <v>470</v>
      </c>
      <c r="AA407" t="s">
        <v>1162</v>
      </c>
    </row>
    <row r="408" spans="1:27" x14ac:dyDescent="0.2">
      <c r="A408" s="225" t="s">
        <v>163</v>
      </c>
      <c r="B408" t="s">
        <v>63</v>
      </c>
      <c r="C408" t="s">
        <v>73</v>
      </c>
      <c r="D408" t="s">
        <v>247</v>
      </c>
      <c r="E408" t="s">
        <v>248</v>
      </c>
      <c r="F408" s="226" t="s">
        <v>246</v>
      </c>
      <c r="G408" t="str">
        <f>_xlfn.XLOOKUP(FMECA[[#This Row],[HazardRisk_name]],categories[HazardRisk_Name],categories[HazardRisk])</f>
        <v>Risk</v>
      </c>
      <c r="H408" t="str">
        <f>_xlfn.XLOOKUP(FMECA[[#This Row],[HazardRisk_name]],categories[HazardRisk_Name],categories[Category])</f>
        <v>Environmental</v>
      </c>
      <c r="I408" t="s">
        <v>1219</v>
      </c>
      <c r="J408" s="10">
        <v>5</v>
      </c>
      <c r="K408" t="s">
        <v>2612</v>
      </c>
      <c r="L408" s="10">
        <v>7</v>
      </c>
      <c r="M408" t="s">
        <v>2612</v>
      </c>
      <c r="N408" s="10">
        <f>FMECA[[#This Row],[probability_value]]*FMECA[[#This Row],[consequence_value]]</f>
        <v>35</v>
      </c>
      <c r="O408" s="10" t="str">
        <f>IF(AND(FMECA[[#This Row],[Score]]&gt;=0, 9&gt;=FMECA[[#This Row],[Score]]), "UNDETECTABLE", IF(AND(FMECA[[#This Row],[Score]]&gt;=10, 24&gt;=FMECA[[#This Row],[Score]]), "MODERATE", IF(AND(FMECA[[#This Row],[Score]]&gt;=25, 35&gt;=FMECA[[#This Row],[Score]]), "HIGH", IF(AND(FMECA[[#This Row],[Score]]&gt;=36, 50&gt;=FMECA[[#This Row],[Score]]), "VERY HIGH", "Check Formula"))))</f>
        <v>HIGH</v>
      </c>
      <c r="P408" s="10" t="s">
        <v>767</v>
      </c>
      <c r="Q408" t="s">
        <v>1162</v>
      </c>
      <c r="R408" t="s">
        <v>773</v>
      </c>
      <c r="S408" t="s">
        <v>1162</v>
      </c>
      <c r="U408" t="s">
        <v>1954</v>
      </c>
      <c r="V408" t="s">
        <v>466</v>
      </c>
      <c r="W408" t="s">
        <v>2613</v>
      </c>
      <c r="X408" t="s">
        <v>470</v>
      </c>
    </row>
    <row r="409" spans="1:27" x14ac:dyDescent="0.2">
      <c r="A409" s="225" t="s">
        <v>163</v>
      </c>
      <c r="B409" t="s">
        <v>63</v>
      </c>
      <c r="C409" t="s">
        <v>73</v>
      </c>
      <c r="D409" t="s">
        <v>247</v>
      </c>
      <c r="E409" t="s">
        <v>248</v>
      </c>
      <c r="F409" s="226" t="s">
        <v>246</v>
      </c>
      <c r="G409" t="str">
        <f>_xlfn.XLOOKUP(FMECA[[#This Row],[HazardRisk_name]],categories[HazardRisk_Name],categories[HazardRisk])</f>
        <v>Hazard</v>
      </c>
      <c r="H409" t="str">
        <f>_xlfn.XLOOKUP(FMECA[[#This Row],[HazardRisk_name]],categories[HazardRisk_Name],categories[Category])</f>
        <v>Sea Ice</v>
      </c>
      <c r="I409" t="s">
        <v>673</v>
      </c>
      <c r="J409" s="10">
        <v>4</v>
      </c>
      <c r="K409" t="s">
        <v>2609</v>
      </c>
      <c r="L409" s="10">
        <v>7</v>
      </c>
      <c r="M409" t="s">
        <v>2609</v>
      </c>
      <c r="N409" s="10">
        <f>FMECA[[#This Row],[probability_value]]*FMECA[[#This Row],[consequence_value]]</f>
        <v>28</v>
      </c>
      <c r="O409" s="10" t="str">
        <f>IF(AND(FMECA[[#This Row],[Score]]&gt;=0, 9&gt;=FMECA[[#This Row],[Score]]), "UNDETECTABLE", IF(AND(FMECA[[#This Row],[Score]]&gt;=10, 24&gt;=FMECA[[#This Row],[Score]]), "MODERATE", IF(AND(FMECA[[#This Row],[Score]]&gt;=25, 35&gt;=FMECA[[#This Row],[Score]]), "HIGH", IF(AND(FMECA[[#This Row],[Score]]&gt;=36, 50&gt;=FMECA[[#This Row],[Score]]), "VERY HIGH", "Check Formula"))))</f>
        <v>HIGH</v>
      </c>
      <c r="P409" s="10" t="s">
        <v>767</v>
      </c>
      <c r="Q409" t="s">
        <v>1162</v>
      </c>
      <c r="R409" t="s">
        <v>773</v>
      </c>
      <c r="S409" t="s">
        <v>1162</v>
      </c>
      <c r="U409" t="s">
        <v>2610</v>
      </c>
      <c r="V409" t="s">
        <v>466</v>
      </c>
      <c r="W409" t="s">
        <v>2611</v>
      </c>
      <c r="X409" t="s">
        <v>470</v>
      </c>
    </row>
    <row r="410" spans="1:27" x14ac:dyDescent="0.2">
      <c r="A410" s="225" t="s">
        <v>163</v>
      </c>
      <c r="B410" t="s">
        <v>63</v>
      </c>
      <c r="C410" t="s">
        <v>73</v>
      </c>
      <c r="D410" t="s">
        <v>247</v>
      </c>
      <c r="E410" t="s">
        <v>248</v>
      </c>
      <c r="F410" s="226" t="s">
        <v>246</v>
      </c>
      <c r="G410" t="str">
        <f>_xlfn.XLOOKUP(FMECA[[#This Row],[HazardRisk_name]],categories[HazardRisk_Name],categories[HazardRisk])</f>
        <v>Hazard</v>
      </c>
      <c r="H410" t="str">
        <f>_xlfn.XLOOKUP(FMECA[[#This Row],[HazardRisk_name]],categories[HazardRisk_Name],categories[Category])</f>
        <v>Sea Ice</v>
      </c>
      <c r="I410" t="s">
        <v>447</v>
      </c>
      <c r="J410" s="10">
        <v>3</v>
      </c>
      <c r="K410" t="s">
        <v>2609</v>
      </c>
      <c r="L410" s="10">
        <v>10</v>
      </c>
      <c r="M410" t="s">
        <v>2609</v>
      </c>
      <c r="N410" s="10">
        <f>FMECA[[#This Row],[probability_value]]*FMECA[[#This Row],[consequence_value]]</f>
        <v>30</v>
      </c>
      <c r="O410" s="10" t="str">
        <f>IF(AND(FMECA[[#This Row],[Score]]&gt;=0, 9&gt;=FMECA[[#This Row],[Score]]), "UNDETECTABLE", IF(AND(FMECA[[#This Row],[Score]]&gt;=10, 24&gt;=FMECA[[#This Row],[Score]]), "MODERATE", IF(AND(FMECA[[#This Row],[Score]]&gt;=25, 35&gt;=FMECA[[#This Row],[Score]]), "HIGH", IF(AND(FMECA[[#This Row],[Score]]&gt;=36, 50&gt;=FMECA[[#This Row],[Score]]), "VERY HIGH", "Check Formula"))))</f>
        <v>HIGH</v>
      </c>
      <c r="P410" s="10" t="s">
        <v>767</v>
      </c>
      <c r="Q410" t="s">
        <v>1162</v>
      </c>
      <c r="R410" t="s">
        <v>773</v>
      </c>
      <c r="S410" t="s">
        <v>1162</v>
      </c>
      <c r="U410" t="s">
        <v>2610</v>
      </c>
      <c r="V410" t="s">
        <v>466</v>
      </c>
      <c r="W410" t="s">
        <v>2611</v>
      </c>
      <c r="X410" t="s">
        <v>470</v>
      </c>
    </row>
    <row r="411" spans="1:27" x14ac:dyDescent="0.2">
      <c r="A411" s="225" t="s">
        <v>163</v>
      </c>
      <c r="B411" t="s">
        <v>63</v>
      </c>
      <c r="C411" t="s">
        <v>73</v>
      </c>
      <c r="D411" t="s">
        <v>247</v>
      </c>
      <c r="E411" t="s">
        <v>248</v>
      </c>
      <c r="F411" s="226" t="s">
        <v>246</v>
      </c>
      <c r="G411" t="str">
        <f>_xlfn.XLOOKUP(FMECA[[#This Row],[HazardRisk_name]],categories[HazardRisk_Name],categories[HazardRisk])</f>
        <v>Hazard</v>
      </c>
      <c r="H411" t="str">
        <f>_xlfn.XLOOKUP(FMECA[[#This Row],[HazardRisk_name]],categories[HazardRisk_Name],categories[Category])</f>
        <v>Sea Ice</v>
      </c>
      <c r="I411" t="s">
        <v>563</v>
      </c>
      <c r="J411" s="10">
        <v>4</v>
      </c>
      <c r="K411" t="s">
        <v>2609</v>
      </c>
      <c r="L411" s="10">
        <v>7</v>
      </c>
      <c r="M411" t="s">
        <v>2609</v>
      </c>
      <c r="N411" s="10">
        <f>FMECA[[#This Row],[probability_value]]*FMECA[[#This Row],[consequence_value]]</f>
        <v>28</v>
      </c>
      <c r="O411" s="10" t="str">
        <f>IF(AND(FMECA[[#This Row],[Score]]&gt;=0, 9&gt;=FMECA[[#This Row],[Score]]), "UNDETECTABLE", IF(AND(FMECA[[#This Row],[Score]]&gt;=10, 24&gt;=FMECA[[#This Row],[Score]]), "MODERATE", IF(AND(FMECA[[#This Row],[Score]]&gt;=25, 35&gt;=FMECA[[#This Row],[Score]]), "HIGH", IF(AND(FMECA[[#This Row],[Score]]&gt;=36, 50&gt;=FMECA[[#This Row],[Score]]), "VERY HIGH", "Check Formula"))))</f>
        <v>HIGH</v>
      </c>
      <c r="P411" s="10" t="s">
        <v>767</v>
      </c>
      <c r="Q411" t="s">
        <v>1162</v>
      </c>
      <c r="R411" t="s">
        <v>773</v>
      </c>
      <c r="S411" t="s">
        <v>1162</v>
      </c>
      <c r="U411" t="s">
        <v>2610</v>
      </c>
      <c r="V411" t="s">
        <v>466</v>
      </c>
      <c r="W411" t="s">
        <v>2611</v>
      </c>
      <c r="X411" t="s">
        <v>470</v>
      </c>
      <c r="AA411" t="s">
        <v>1162</v>
      </c>
    </row>
    <row r="412" spans="1:27" x14ac:dyDescent="0.2">
      <c r="A412" s="225" t="s">
        <v>164</v>
      </c>
      <c r="B412" t="s">
        <v>63</v>
      </c>
      <c r="C412" t="s">
        <v>249</v>
      </c>
      <c r="D412" t="s">
        <v>263</v>
      </c>
      <c r="E412" t="s">
        <v>271</v>
      </c>
      <c r="F412" s="226" t="s">
        <v>256</v>
      </c>
      <c r="G412" t="str">
        <f>_xlfn.XLOOKUP(FMECA[[#This Row],[HazardRisk_name]],categories[HazardRisk_Name],categories[HazardRisk])</f>
        <v>Hazard</v>
      </c>
      <c r="H412" t="str">
        <f>_xlfn.XLOOKUP(FMECA[[#This Row],[HazardRisk_name]],categories[HazardRisk_Name],categories[Category])</f>
        <v>Environmental</v>
      </c>
      <c r="I412" t="s">
        <v>693</v>
      </c>
      <c r="J412" s="10">
        <v>3</v>
      </c>
      <c r="K412" t="s">
        <v>2487</v>
      </c>
      <c r="L412" s="10">
        <v>7</v>
      </c>
      <c r="M412" t="s">
        <v>2487</v>
      </c>
      <c r="N412" s="10">
        <f>FMECA[[#This Row],[probability_value]]*FMECA[[#This Row],[consequence_value]]</f>
        <v>21</v>
      </c>
      <c r="O41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12" s="10" t="s">
        <v>777</v>
      </c>
      <c r="Q412" t="s">
        <v>778</v>
      </c>
      <c r="R412" t="s">
        <v>773</v>
      </c>
      <c r="S412" t="s">
        <v>2332</v>
      </c>
      <c r="T412" t="s">
        <v>1132</v>
      </c>
      <c r="W412" t="s">
        <v>2491</v>
      </c>
      <c r="X412" t="s">
        <v>466</v>
      </c>
      <c r="Y412" t="s">
        <v>2489</v>
      </c>
      <c r="Z412" t="s">
        <v>2490</v>
      </c>
      <c r="AA412" t="s">
        <v>1132</v>
      </c>
    </row>
    <row r="413" spans="1:27" x14ac:dyDescent="0.2">
      <c r="A413" s="225" t="s">
        <v>164</v>
      </c>
      <c r="B413" t="s">
        <v>63</v>
      </c>
      <c r="C413" t="s">
        <v>249</v>
      </c>
      <c r="D413" t="s">
        <v>263</v>
      </c>
      <c r="E413" t="s">
        <v>271</v>
      </c>
      <c r="F413" s="226" t="s">
        <v>256</v>
      </c>
      <c r="G413" t="str">
        <f>_xlfn.XLOOKUP(FMECA[[#This Row],[HazardRisk_name]],categories[HazardRisk_Name],categories[HazardRisk])</f>
        <v>Risk</v>
      </c>
      <c r="H413" t="str">
        <f>_xlfn.XLOOKUP(FMECA[[#This Row],[HazardRisk_name]],categories[HazardRisk_Name],categories[Category])</f>
        <v>Navigational</v>
      </c>
      <c r="I413" t="s">
        <v>589</v>
      </c>
      <c r="J413" s="10">
        <v>3</v>
      </c>
      <c r="K413" t="s">
        <v>2487</v>
      </c>
      <c r="L413" s="10">
        <v>7</v>
      </c>
      <c r="M413" t="s">
        <v>2487</v>
      </c>
      <c r="N413" s="10">
        <f>FMECA[[#This Row],[probability_value]]*FMECA[[#This Row],[consequence_value]]</f>
        <v>21</v>
      </c>
      <c r="O41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13" s="10" t="s">
        <v>777</v>
      </c>
      <c r="Q413" t="s">
        <v>778</v>
      </c>
      <c r="R413" t="s">
        <v>773</v>
      </c>
      <c r="S413" t="s">
        <v>2332</v>
      </c>
      <c r="T413" t="s">
        <v>1132</v>
      </c>
      <c r="U413" t="s">
        <v>2492</v>
      </c>
      <c r="V413" t="s">
        <v>466</v>
      </c>
      <c r="Y413" t="s">
        <v>2489</v>
      </c>
      <c r="Z413" t="s">
        <v>2490</v>
      </c>
      <c r="AA413" t="s">
        <v>1132</v>
      </c>
    </row>
    <row r="414" spans="1:27" x14ac:dyDescent="0.2">
      <c r="A414" s="225" t="s">
        <v>164</v>
      </c>
      <c r="B414" t="s">
        <v>63</v>
      </c>
      <c r="C414" t="s">
        <v>249</v>
      </c>
      <c r="D414" t="s">
        <v>263</v>
      </c>
      <c r="E414" t="s">
        <v>271</v>
      </c>
      <c r="F414" s="226" t="s">
        <v>256</v>
      </c>
      <c r="G414" t="str">
        <f>_xlfn.XLOOKUP(FMECA[[#This Row],[HazardRisk_name]],categories[HazardRisk_Name],categories[HazardRisk])</f>
        <v>Risk</v>
      </c>
      <c r="H414" t="str">
        <f>_xlfn.XLOOKUP(FMECA[[#This Row],[HazardRisk_name]],categories[HazardRisk_Name],categories[Category])</f>
        <v>Social</v>
      </c>
      <c r="I414" t="s">
        <v>569</v>
      </c>
      <c r="J414" s="10">
        <v>4</v>
      </c>
      <c r="K414" t="s">
        <v>2482</v>
      </c>
      <c r="L414" s="10">
        <v>7</v>
      </c>
      <c r="M414" t="s">
        <v>2482</v>
      </c>
      <c r="N414" s="10">
        <f>FMECA[[#This Row],[probability_value]]*FMECA[[#This Row],[consequence_value]]</f>
        <v>28</v>
      </c>
      <c r="O414" s="10" t="str">
        <f>IF(AND(FMECA[[#This Row],[Score]]&gt;=0, 9&gt;=FMECA[[#This Row],[Score]]), "UNDETECTABLE", IF(AND(FMECA[[#This Row],[Score]]&gt;=10, 24&gt;=FMECA[[#This Row],[Score]]), "MODERATE", IF(AND(FMECA[[#This Row],[Score]]&gt;=25, 35&gt;=FMECA[[#This Row],[Score]]), "HIGH", IF(AND(FMECA[[#This Row],[Score]]&gt;=36, 50&gt;=FMECA[[#This Row],[Score]]), "VERY HIGH", "Check Formula"))))</f>
        <v>HIGH</v>
      </c>
      <c r="P414" s="10" t="s">
        <v>777</v>
      </c>
      <c r="Q414" t="s">
        <v>778</v>
      </c>
      <c r="R414" t="s">
        <v>773</v>
      </c>
      <c r="S414" t="s">
        <v>2332</v>
      </c>
      <c r="T414" t="s">
        <v>1132</v>
      </c>
      <c r="Y414" t="s">
        <v>2489</v>
      </c>
      <c r="Z414" t="s">
        <v>2490</v>
      </c>
      <c r="AA414" t="s">
        <v>1132</v>
      </c>
    </row>
    <row r="415" spans="1:27" x14ac:dyDescent="0.2">
      <c r="A415" s="225" t="s">
        <v>164</v>
      </c>
      <c r="B415" t="s">
        <v>63</v>
      </c>
      <c r="C415" t="s">
        <v>249</v>
      </c>
      <c r="D415" t="s">
        <v>263</v>
      </c>
      <c r="E415" t="s">
        <v>271</v>
      </c>
      <c r="F415" s="226" t="s">
        <v>256</v>
      </c>
      <c r="G415" t="str">
        <f>_xlfn.XLOOKUP(FMECA[[#This Row],[HazardRisk_name]],categories[HazardRisk_Name],categories[HazardRisk])</f>
        <v>Risk</v>
      </c>
      <c r="H415" t="str">
        <f>_xlfn.XLOOKUP(FMECA[[#This Row],[HazardRisk_name]],categories[HazardRisk_Name],categories[Category])</f>
        <v>Pollutants</v>
      </c>
      <c r="I415" t="s">
        <v>627</v>
      </c>
      <c r="J415" s="10">
        <v>3</v>
      </c>
      <c r="K415" t="s">
        <v>2483</v>
      </c>
      <c r="L415" s="10">
        <v>7</v>
      </c>
      <c r="M415" t="s">
        <v>2483</v>
      </c>
      <c r="N415" s="10">
        <f>FMECA[[#This Row],[probability_value]]*FMECA[[#This Row],[consequence_value]]</f>
        <v>21</v>
      </c>
      <c r="O41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15" s="10" t="s">
        <v>777</v>
      </c>
      <c r="Q415" t="s">
        <v>778</v>
      </c>
      <c r="R415" t="s">
        <v>773</v>
      </c>
      <c r="S415" t="s">
        <v>2332</v>
      </c>
      <c r="T415" t="s">
        <v>1132</v>
      </c>
      <c r="U415" t="s">
        <v>2493</v>
      </c>
      <c r="V415" t="s">
        <v>466</v>
      </c>
      <c r="W415" t="s">
        <v>2494</v>
      </c>
      <c r="X415" t="s">
        <v>470</v>
      </c>
      <c r="Y415" t="s">
        <v>2489</v>
      </c>
      <c r="Z415" t="s">
        <v>2490</v>
      </c>
      <c r="AA415" t="s">
        <v>1132</v>
      </c>
    </row>
    <row r="416" spans="1:27" x14ac:dyDescent="0.2">
      <c r="A416" s="225" t="s">
        <v>164</v>
      </c>
      <c r="B416" t="s">
        <v>63</v>
      </c>
      <c r="C416" t="s">
        <v>249</v>
      </c>
      <c r="D416" t="s">
        <v>263</v>
      </c>
      <c r="E416" t="s">
        <v>271</v>
      </c>
      <c r="F416" s="226" t="s">
        <v>256</v>
      </c>
      <c r="G416" t="str">
        <f>_xlfn.XLOOKUP(FMECA[[#This Row],[HazardRisk_name]],categories[HazardRisk_Name],categories[HazardRisk])</f>
        <v>Risk</v>
      </c>
      <c r="H416" t="str">
        <f>_xlfn.XLOOKUP(FMECA[[#This Row],[HazardRisk_name]],categories[HazardRisk_Name],categories[Category])</f>
        <v>Operational</v>
      </c>
      <c r="I416" t="s">
        <v>694</v>
      </c>
      <c r="J416" s="10">
        <v>4</v>
      </c>
      <c r="K416" t="s">
        <v>2488</v>
      </c>
      <c r="L416" s="10">
        <v>4</v>
      </c>
      <c r="M416" t="s">
        <v>2488</v>
      </c>
      <c r="N416" s="10">
        <f>FMECA[[#This Row],[probability_value]]*FMECA[[#This Row],[consequence_value]]</f>
        <v>16</v>
      </c>
      <c r="O41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16" s="10" t="s">
        <v>777</v>
      </c>
      <c r="Q416" t="s">
        <v>778</v>
      </c>
      <c r="R416" t="s">
        <v>773</v>
      </c>
      <c r="S416" t="s">
        <v>2332</v>
      </c>
      <c r="T416" t="s">
        <v>1132</v>
      </c>
      <c r="Y416" t="s">
        <v>2489</v>
      </c>
      <c r="Z416" t="s">
        <v>2490</v>
      </c>
      <c r="AA416" t="s">
        <v>1132</v>
      </c>
    </row>
    <row r="417" spans="1:27" x14ac:dyDescent="0.2">
      <c r="A417" s="225" t="s">
        <v>164</v>
      </c>
      <c r="B417" t="s">
        <v>63</v>
      </c>
      <c r="C417" t="s">
        <v>249</v>
      </c>
      <c r="D417" t="s">
        <v>263</v>
      </c>
      <c r="E417" t="s">
        <v>271</v>
      </c>
      <c r="F417" s="226" t="s">
        <v>256</v>
      </c>
      <c r="G417" t="str">
        <f>_xlfn.XLOOKUP(FMECA[[#This Row],[HazardRisk_name]],categories[HazardRisk_Name],categories[HazardRisk])</f>
        <v>Risk</v>
      </c>
      <c r="H417" t="str">
        <f>_xlfn.XLOOKUP(FMECA[[#This Row],[HazardRisk_name]],categories[HazardRisk_Name],categories[Category])</f>
        <v>Environmental</v>
      </c>
      <c r="I417" t="s">
        <v>573</v>
      </c>
      <c r="J417" s="10">
        <v>5</v>
      </c>
      <c r="K417" t="s">
        <v>2488</v>
      </c>
      <c r="L417" s="10">
        <v>4</v>
      </c>
      <c r="M417" t="s">
        <v>2488</v>
      </c>
      <c r="N417" s="10">
        <f>FMECA[[#This Row],[probability_value]]*FMECA[[#This Row],[consequence_value]]</f>
        <v>20</v>
      </c>
      <c r="O41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17" s="10" t="s">
        <v>777</v>
      </c>
      <c r="Q417" t="s">
        <v>778</v>
      </c>
      <c r="R417" t="s">
        <v>773</v>
      </c>
      <c r="S417" t="s">
        <v>2332</v>
      </c>
      <c r="T417" t="s">
        <v>1132</v>
      </c>
      <c r="U417" t="s">
        <v>1335</v>
      </c>
      <c r="V417" t="s">
        <v>466</v>
      </c>
      <c r="Y417" t="s">
        <v>2489</v>
      </c>
      <c r="Z417" t="s">
        <v>2490</v>
      </c>
      <c r="AA417" t="s">
        <v>1132</v>
      </c>
    </row>
    <row r="418" spans="1:27" x14ac:dyDescent="0.2">
      <c r="A418" s="225" t="s">
        <v>164</v>
      </c>
      <c r="B418" t="s">
        <v>63</v>
      </c>
      <c r="C418" t="s">
        <v>249</v>
      </c>
      <c r="D418" t="s">
        <v>263</v>
      </c>
      <c r="E418" t="s">
        <v>271</v>
      </c>
      <c r="F418" s="226" t="s">
        <v>256</v>
      </c>
      <c r="G418" t="str">
        <f>_xlfn.XLOOKUP(FMECA[[#This Row],[HazardRisk_name]],categories[HazardRisk_Name],categories[HazardRisk])</f>
        <v>Risk</v>
      </c>
      <c r="H418" t="str">
        <f>_xlfn.XLOOKUP(FMECA[[#This Row],[HazardRisk_name]],categories[HazardRisk_Name],categories[Category])</f>
        <v>Navigational</v>
      </c>
      <c r="I418" t="s">
        <v>474</v>
      </c>
      <c r="J418" s="10">
        <v>4</v>
      </c>
      <c r="K418" t="s">
        <v>2486</v>
      </c>
      <c r="L418" s="10">
        <v>4</v>
      </c>
      <c r="M418" t="s">
        <v>2486</v>
      </c>
      <c r="N418" s="10">
        <f>FMECA[[#This Row],[probability_value]]*FMECA[[#This Row],[consequence_value]]</f>
        <v>16</v>
      </c>
      <c r="O41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18" s="10" t="s">
        <v>777</v>
      </c>
      <c r="Q418" t="s">
        <v>778</v>
      </c>
      <c r="R418" t="s">
        <v>773</v>
      </c>
      <c r="S418" t="s">
        <v>2332</v>
      </c>
      <c r="T418" t="s">
        <v>1132</v>
      </c>
      <c r="U418" t="s">
        <v>2495</v>
      </c>
      <c r="V418" t="s">
        <v>466</v>
      </c>
      <c r="W418" t="s">
        <v>2496</v>
      </c>
      <c r="X418" t="s">
        <v>466</v>
      </c>
      <c r="Y418" t="s">
        <v>2489</v>
      </c>
      <c r="Z418" t="s">
        <v>2490</v>
      </c>
      <c r="AA418" t="s">
        <v>1132</v>
      </c>
    </row>
    <row r="419" spans="1:27" x14ac:dyDescent="0.2">
      <c r="A419" s="225" t="s">
        <v>164</v>
      </c>
      <c r="B419" t="s">
        <v>63</v>
      </c>
      <c r="C419" t="s">
        <v>249</v>
      </c>
      <c r="D419" t="s">
        <v>263</v>
      </c>
      <c r="E419" t="s">
        <v>271</v>
      </c>
      <c r="F419" s="226" t="s">
        <v>256</v>
      </c>
      <c r="G419" t="str">
        <f>_xlfn.XLOOKUP(FMECA[[#This Row],[HazardRisk_name]],categories[HazardRisk_Name],categories[HazardRisk])</f>
        <v>Risk</v>
      </c>
      <c r="H419" t="str">
        <f>_xlfn.XLOOKUP(FMECA[[#This Row],[HazardRisk_name]],categories[HazardRisk_Name],categories[Category])</f>
        <v>Economic</v>
      </c>
      <c r="I419" t="s">
        <v>592</v>
      </c>
      <c r="J419" s="10">
        <v>4</v>
      </c>
      <c r="K419" t="s">
        <v>2483</v>
      </c>
      <c r="L419" s="10">
        <v>7</v>
      </c>
      <c r="M419" t="s">
        <v>2483</v>
      </c>
      <c r="N419" s="10">
        <f>FMECA[[#This Row],[probability_value]]*FMECA[[#This Row],[consequence_value]]</f>
        <v>28</v>
      </c>
      <c r="O419" s="10" t="str">
        <f>IF(AND(FMECA[[#This Row],[Score]]&gt;=0, 9&gt;=FMECA[[#This Row],[Score]]), "UNDETECTABLE", IF(AND(FMECA[[#This Row],[Score]]&gt;=10, 24&gt;=FMECA[[#This Row],[Score]]), "MODERATE", IF(AND(FMECA[[#This Row],[Score]]&gt;=25, 35&gt;=FMECA[[#This Row],[Score]]), "HIGH", IF(AND(FMECA[[#This Row],[Score]]&gt;=36, 50&gt;=FMECA[[#This Row],[Score]]), "VERY HIGH", "Check Formula"))))</f>
        <v>HIGH</v>
      </c>
      <c r="P419" s="10" t="s">
        <v>777</v>
      </c>
      <c r="Q419" t="s">
        <v>778</v>
      </c>
      <c r="R419" t="s">
        <v>773</v>
      </c>
      <c r="S419" t="s">
        <v>2332</v>
      </c>
      <c r="T419" t="s">
        <v>1132</v>
      </c>
      <c r="U419" t="s">
        <v>2479</v>
      </c>
      <c r="V419" t="s">
        <v>466</v>
      </c>
      <c r="W419" t="s">
        <v>2484</v>
      </c>
      <c r="X419" t="s">
        <v>466</v>
      </c>
      <c r="Y419" t="s">
        <v>2489</v>
      </c>
      <c r="Z419" t="s">
        <v>2490</v>
      </c>
      <c r="AA419" t="s">
        <v>1132</v>
      </c>
    </row>
    <row r="420" spans="1:27" x14ac:dyDescent="0.2">
      <c r="A420" s="225" t="s">
        <v>164</v>
      </c>
      <c r="B420" t="s">
        <v>63</v>
      </c>
      <c r="C420" t="s">
        <v>249</v>
      </c>
      <c r="D420" t="s">
        <v>263</v>
      </c>
      <c r="E420" t="s">
        <v>271</v>
      </c>
      <c r="F420" s="226" t="s">
        <v>256</v>
      </c>
      <c r="G420" t="str">
        <f>_xlfn.XLOOKUP(FMECA[[#This Row],[HazardRisk_name]],categories[HazardRisk_Name],categories[HazardRisk])</f>
        <v>Risk</v>
      </c>
      <c r="H420" t="str">
        <f>_xlfn.XLOOKUP(FMECA[[#This Row],[HazardRisk_name]],categories[HazardRisk_Name],categories[Category])</f>
        <v>Social</v>
      </c>
      <c r="I420" t="s">
        <v>628</v>
      </c>
      <c r="J420" s="10">
        <v>4</v>
      </c>
      <c r="K420" t="s">
        <v>2483</v>
      </c>
      <c r="L420" s="10">
        <v>7</v>
      </c>
      <c r="M420" t="s">
        <v>2483</v>
      </c>
      <c r="N420" s="10">
        <f>FMECA[[#This Row],[probability_value]]*FMECA[[#This Row],[consequence_value]]</f>
        <v>28</v>
      </c>
      <c r="O420" s="10" t="str">
        <f>IF(AND(FMECA[[#This Row],[Score]]&gt;=0, 9&gt;=FMECA[[#This Row],[Score]]), "UNDETECTABLE", IF(AND(FMECA[[#This Row],[Score]]&gt;=10, 24&gt;=FMECA[[#This Row],[Score]]), "MODERATE", IF(AND(FMECA[[#This Row],[Score]]&gt;=25, 35&gt;=FMECA[[#This Row],[Score]]), "HIGH", IF(AND(FMECA[[#This Row],[Score]]&gt;=36, 50&gt;=FMECA[[#This Row],[Score]]), "VERY HIGH", "Check Formula"))))</f>
        <v>HIGH</v>
      </c>
      <c r="P420" s="10" t="s">
        <v>777</v>
      </c>
      <c r="Q420" t="s">
        <v>778</v>
      </c>
      <c r="R420" t="s">
        <v>773</v>
      </c>
      <c r="S420" t="s">
        <v>2332</v>
      </c>
      <c r="T420" t="s">
        <v>1132</v>
      </c>
      <c r="U420" t="s">
        <v>2479</v>
      </c>
      <c r="V420" t="s">
        <v>466</v>
      </c>
      <c r="W420" t="s">
        <v>2484</v>
      </c>
      <c r="X420" t="s">
        <v>466</v>
      </c>
      <c r="Y420" t="s">
        <v>2489</v>
      </c>
      <c r="Z420" t="s">
        <v>2490</v>
      </c>
      <c r="AA420" t="s">
        <v>1132</v>
      </c>
    </row>
    <row r="421" spans="1:27" x14ac:dyDescent="0.2">
      <c r="A421" s="225" t="s">
        <v>164</v>
      </c>
      <c r="B421" t="s">
        <v>63</v>
      </c>
      <c r="C421" t="s">
        <v>249</v>
      </c>
      <c r="D421" t="s">
        <v>263</v>
      </c>
      <c r="E421" t="s">
        <v>271</v>
      </c>
      <c r="F421" s="226" t="s">
        <v>256</v>
      </c>
      <c r="G421" t="str">
        <f>_xlfn.XLOOKUP(FMECA[[#This Row],[HazardRisk_name]],categories[HazardRisk_Name],categories[HazardRisk])</f>
        <v>Risk</v>
      </c>
      <c r="H421" t="str">
        <f>_xlfn.XLOOKUP(FMECA[[#This Row],[HazardRisk_name]],categories[HazardRisk_Name],categories[Category])</f>
        <v>Sea Ice</v>
      </c>
      <c r="I421" t="s">
        <v>480</v>
      </c>
      <c r="J421" s="10">
        <v>4</v>
      </c>
      <c r="K421" t="s">
        <v>2483</v>
      </c>
      <c r="L421" s="10">
        <v>7</v>
      </c>
      <c r="M421" t="s">
        <v>2483</v>
      </c>
      <c r="N421" s="10">
        <f>FMECA[[#This Row],[probability_value]]*FMECA[[#This Row],[consequence_value]]</f>
        <v>28</v>
      </c>
      <c r="O421" s="10" t="str">
        <f>IF(AND(FMECA[[#This Row],[Score]]&gt;=0, 9&gt;=FMECA[[#This Row],[Score]]), "UNDETECTABLE", IF(AND(FMECA[[#This Row],[Score]]&gt;=10, 24&gt;=FMECA[[#This Row],[Score]]), "MODERATE", IF(AND(FMECA[[#This Row],[Score]]&gt;=25, 35&gt;=FMECA[[#This Row],[Score]]), "HIGH", IF(AND(FMECA[[#This Row],[Score]]&gt;=36, 50&gt;=FMECA[[#This Row],[Score]]), "VERY HIGH", "Check Formula"))))</f>
        <v>HIGH</v>
      </c>
      <c r="P421" s="10" t="s">
        <v>777</v>
      </c>
      <c r="Q421" t="s">
        <v>778</v>
      </c>
      <c r="R421" t="s">
        <v>773</v>
      </c>
      <c r="S421" t="s">
        <v>2332</v>
      </c>
      <c r="T421" t="s">
        <v>1132</v>
      </c>
      <c r="U421" t="s">
        <v>2479</v>
      </c>
      <c r="V421" t="s">
        <v>466</v>
      </c>
      <c r="W421" t="s">
        <v>2485</v>
      </c>
      <c r="X421" t="s">
        <v>470</v>
      </c>
      <c r="Y421" t="s">
        <v>2489</v>
      </c>
      <c r="Z421" t="s">
        <v>2490</v>
      </c>
      <c r="AA421" t="s">
        <v>1132</v>
      </c>
    </row>
    <row r="422" spans="1:27" x14ac:dyDescent="0.2">
      <c r="A422" s="225" t="s">
        <v>165</v>
      </c>
      <c r="B422" t="s">
        <v>63</v>
      </c>
      <c r="C422" t="s">
        <v>237</v>
      </c>
      <c r="D422" t="s">
        <v>264</v>
      </c>
      <c r="E422" t="s">
        <v>365</v>
      </c>
      <c r="F422" s="226" t="s">
        <v>257</v>
      </c>
      <c r="G422" t="str">
        <f>_xlfn.XLOOKUP(FMECA[[#This Row],[HazardRisk_name]],categories[HazardRisk_Name],categories[HazardRisk])</f>
        <v>Hazard</v>
      </c>
      <c r="H422" t="str">
        <f>_xlfn.XLOOKUP(FMECA[[#This Row],[HazardRisk_name]],categories[HazardRisk_Name],categories[Category])</f>
        <v>Sea Ice</v>
      </c>
      <c r="I422" t="s">
        <v>447</v>
      </c>
      <c r="J422" s="10">
        <v>4</v>
      </c>
      <c r="K422" t="s">
        <v>2455</v>
      </c>
      <c r="L422" s="10">
        <v>10</v>
      </c>
      <c r="M422" t="s">
        <v>2455</v>
      </c>
      <c r="N422" s="10">
        <f>FMECA[[#This Row],[probability_value]]*FMECA[[#This Row],[consequence_value]]</f>
        <v>40</v>
      </c>
      <c r="O422"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422" s="10" t="s">
        <v>770</v>
      </c>
      <c r="Q422" t="s">
        <v>1132</v>
      </c>
      <c r="R422" t="s">
        <v>773</v>
      </c>
      <c r="S422" t="s">
        <v>2376</v>
      </c>
      <c r="T422" t="s">
        <v>793</v>
      </c>
      <c r="AA422" t="s">
        <v>1162</v>
      </c>
    </row>
    <row r="423" spans="1:27" x14ac:dyDescent="0.2">
      <c r="A423" s="225" t="s">
        <v>165</v>
      </c>
      <c r="B423" t="s">
        <v>63</v>
      </c>
      <c r="C423" t="s">
        <v>237</v>
      </c>
      <c r="D423" t="s">
        <v>264</v>
      </c>
      <c r="E423" t="s">
        <v>365</v>
      </c>
      <c r="F423" s="226" t="s">
        <v>257</v>
      </c>
      <c r="G423" t="str">
        <f>_xlfn.XLOOKUP(FMECA[[#This Row],[HazardRisk_name]],categories[HazardRisk_Name],categories[HazardRisk])</f>
        <v>Hazard</v>
      </c>
      <c r="H423" t="str">
        <f>_xlfn.XLOOKUP(FMECA[[#This Row],[HazardRisk_name]],categories[HazardRisk_Name],categories[Category])</f>
        <v>Sea Ice</v>
      </c>
      <c r="I423" t="s">
        <v>448</v>
      </c>
      <c r="J423" s="10">
        <v>4</v>
      </c>
      <c r="K423" t="s">
        <v>2455</v>
      </c>
      <c r="L423" s="10">
        <v>7</v>
      </c>
      <c r="M423" t="s">
        <v>2455</v>
      </c>
      <c r="N423" s="10">
        <f>FMECA[[#This Row],[probability_value]]*FMECA[[#This Row],[consequence_value]]</f>
        <v>28</v>
      </c>
      <c r="O423" s="10" t="str">
        <f>IF(AND(FMECA[[#This Row],[Score]]&gt;=0, 9&gt;=FMECA[[#This Row],[Score]]), "UNDETECTABLE", IF(AND(FMECA[[#This Row],[Score]]&gt;=10, 24&gt;=FMECA[[#This Row],[Score]]), "MODERATE", IF(AND(FMECA[[#This Row],[Score]]&gt;=25, 35&gt;=FMECA[[#This Row],[Score]]), "HIGH", IF(AND(FMECA[[#This Row],[Score]]&gt;=36, 50&gt;=FMECA[[#This Row],[Score]]), "VERY HIGH", "Check Formula"))))</f>
        <v>HIGH</v>
      </c>
      <c r="P423" s="10" t="s">
        <v>770</v>
      </c>
      <c r="Q423" t="s">
        <v>1132</v>
      </c>
      <c r="R423" t="s">
        <v>773</v>
      </c>
      <c r="S423" t="s">
        <v>2376</v>
      </c>
      <c r="T423" t="s">
        <v>793</v>
      </c>
      <c r="AA423" t="s">
        <v>1162</v>
      </c>
    </row>
    <row r="424" spans="1:27" x14ac:dyDescent="0.2">
      <c r="A424" s="225" t="s">
        <v>165</v>
      </c>
      <c r="B424" t="s">
        <v>63</v>
      </c>
      <c r="C424" t="s">
        <v>237</v>
      </c>
      <c r="D424" t="s">
        <v>264</v>
      </c>
      <c r="E424" t="s">
        <v>365</v>
      </c>
      <c r="F424" s="226" t="s">
        <v>257</v>
      </c>
      <c r="G424" t="str">
        <f>_xlfn.XLOOKUP(FMECA[[#This Row],[HazardRisk_name]],categories[HazardRisk_Name],categories[HazardRisk])</f>
        <v>Hazard</v>
      </c>
      <c r="H424" t="str">
        <f>_xlfn.XLOOKUP(FMECA[[#This Row],[HazardRisk_name]],categories[HazardRisk_Name],categories[Category])</f>
        <v>Sea Ice</v>
      </c>
      <c r="I424" t="s">
        <v>563</v>
      </c>
      <c r="J424" s="10">
        <v>4</v>
      </c>
      <c r="K424" t="s">
        <v>2457</v>
      </c>
      <c r="L424" s="10">
        <v>7</v>
      </c>
      <c r="M424" t="s">
        <v>2457</v>
      </c>
      <c r="N424" s="10">
        <f>FMECA[[#This Row],[probability_value]]*FMECA[[#This Row],[consequence_value]]</f>
        <v>28</v>
      </c>
      <c r="O424" s="10" t="str">
        <f>IF(AND(FMECA[[#This Row],[Score]]&gt;=0, 9&gt;=FMECA[[#This Row],[Score]]), "UNDETECTABLE", IF(AND(FMECA[[#This Row],[Score]]&gt;=10, 24&gt;=FMECA[[#This Row],[Score]]), "MODERATE", IF(AND(FMECA[[#This Row],[Score]]&gt;=25, 35&gt;=FMECA[[#This Row],[Score]]), "HIGH", IF(AND(FMECA[[#This Row],[Score]]&gt;=36, 50&gt;=FMECA[[#This Row],[Score]]), "VERY HIGH", "Check Formula"))))</f>
        <v>HIGH</v>
      </c>
      <c r="P424" s="10" t="s">
        <v>770</v>
      </c>
      <c r="Q424" t="s">
        <v>1132</v>
      </c>
      <c r="R424" t="s">
        <v>773</v>
      </c>
      <c r="S424" t="s">
        <v>2376</v>
      </c>
      <c r="T424" t="s">
        <v>793</v>
      </c>
      <c r="AA424" t="s">
        <v>1162</v>
      </c>
    </row>
    <row r="425" spans="1:27" x14ac:dyDescent="0.2">
      <c r="A425" s="225" t="s">
        <v>165</v>
      </c>
      <c r="B425" t="s">
        <v>63</v>
      </c>
      <c r="C425" t="s">
        <v>237</v>
      </c>
      <c r="D425" t="s">
        <v>264</v>
      </c>
      <c r="E425" t="s">
        <v>365</v>
      </c>
      <c r="F425" s="226" t="s">
        <v>257</v>
      </c>
      <c r="G425" t="str">
        <f>_xlfn.XLOOKUP(FMECA[[#This Row],[HazardRisk_name]],categories[HazardRisk_Name],categories[HazardRisk])</f>
        <v>Hazard</v>
      </c>
      <c r="H425" t="str">
        <f>_xlfn.XLOOKUP(FMECA[[#This Row],[HazardRisk_name]],categories[HazardRisk_Name],categories[Category])</f>
        <v>Environmental</v>
      </c>
      <c r="I425" t="s">
        <v>671</v>
      </c>
      <c r="J425" s="10">
        <v>5</v>
      </c>
      <c r="K425" t="s">
        <v>2458</v>
      </c>
      <c r="L425" s="10">
        <v>7</v>
      </c>
      <c r="M425" t="s">
        <v>2458</v>
      </c>
      <c r="N425" s="10">
        <f>FMECA[[#This Row],[probability_value]]*FMECA[[#This Row],[consequence_value]]</f>
        <v>35</v>
      </c>
      <c r="O425" s="10" t="str">
        <f>IF(AND(FMECA[[#This Row],[Score]]&gt;=0, 9&gt;=FMECA[[#This Row],[Score]]), "UNDETECTABLE", IF(AND(FMECA[[#This Row],[Score]]&gt;=10, 24&gt;=FMECA[[#This Row],[Score]]), "MODERATE", IF(AND(FMECA[[#This Row],[Score]]&gt;=25, 35&gt;=FMECA[[#This Row],[Score]]), "HIGH", IF(AND(FMECA[[#This Row],[Score]]&gt;=36, 50&gt;=FMECA[[#This Row],[Score]]), "VERY HIGH", "Check Formula"))))</f>
        <v>HIGH</v>
      </c>
      <c r="P425" s="10" t="s">
        <v>770</v>
      </c>
      <c r="Q425" t="s">
        <v>1132</v>
      </c>
      <c r="R425" t="s">
        <v>773</v>
      </c>
      <c r="S425" t="s">
        <v>2376</v>
      </c>
      <c r="T425" t="s">
        <v>793</v>
      </c>
      <c r="AA425" t="s">
        <v>1162</v>
      </c>
    </row>
    <row r="426" spans="1:27" x14ac:dyDescent="0.2">
      <c r="A426" s="225" t="s">
        <v>165</v>
      </c>
      <c r="B426" t="s">
        <v>63</v>
      </c>
      <c r="C426" t="s">
        <v>237</v>
      </c>
      <c r="D426" t="s">
        <v>264</v>
      </c>
      <c r="E426" t="s">
        <v>365</v>
      </c>
      <c r="F426" s="226" t="s">
        <v>257</v>
      </c>
      <c r="G426" t="str">
        <f>_xlfn.XLOOKUP(FMECA[[#This Row],[HazardRisk_name]],categories[HazardRisk_Name],categories[HazardRisk])</f>
        <v>Hazard</v>
      </c>
      <c r="H426" t="str">
        <f>_xlfn.XLOOKUP(FMECA[[#This Row],[HazardRisk_name]],categories[HazardRisk_Name],categories[Category])</f>
        <v>Sea Ice</v>
      </c>
      <c r="I426" t="s">
        <v>673</v>
      </c>
      <c r="J426" s="10">
        <v>3</v>
      </c>
      <c r="K426" t="s">
        <v>2456</v>
      </c>
      <c r="L426" s="10">
        <v>7</v>
      </c>
      <c r="M426" t="s">
        <v>2456</v>
      </c>
      <c r="N426" s="10">
        <f>FMECA[[#This Row],[probability_value]]*FMECA[[#This Row],[consequence_value]]</f>
        <v>21</v>
      </c>
      <c r="O42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26" s="10" t="s">
        <v>770</v>
      </c>
      <c r="Q426" t="s">
        <v>1132</v>
      </c>
      <c r="R426" t="s">
        <v>773</v>
      </c>
      <c r="S426" t="s">
        <v>2376</v>
      </c>
      <c r="T426" t="s">
        <v>793</v>
      </c>
      <c r="AA426" t="s">
        <v>1162</v>
      </c>
    </row>
    <row r="427" spans="1:27" x14ac:dyDescent="0.2">
      <c r="A427" s="225" t="s">
        <v>166</v>
      </c>
      <c r="B427" t="s">
        <v>63</v>
      </c>
      <c r="C427" t="s">
        <v>237</v>
      </c>
      <c r="D427" t="s">
        <v>265</v>
      </c>
      <c r="E427" t="s">
        <v>272</v>
      </c>
      <c r="F427" s="226" t="s">
        <v>258</v>
      </c>
      <c r="G427" t="str">
        <f>_xlfn.XLOOKUP(FMECA[[#This Row],[HazardRisk_name]],categories[HazardRisk_Name],categories[HazardRisk])</f>
        <v>Risk</v>
      </c>
      <c r="H427" t="str">
        <f>_xlfn.XLOOKUP(FMECA[[#This Row],[HazardRisk_name]],categories[HazardRisk_Name],categories[Category])</f>
        <v>Pollutants</v>
      </c>
      <c r="I427" t="s">
        <v>716</v>
      </c>
      <c r="J427" s="10">
        <v>4</v>
      </c>
      <c r="K427" t="s">
        <v>2474</v>
      </c>
      <c r="L427" s="10">
        <v>10</v>
      </c>
      <c r="M427" t="s">
        <v>2474</v>
      </c>
      <c r="N427" s="10">
        <f>FMECA[[#This Row],[probability_value]]*FMECA[[#This Row],[consequence_value]]</f>
        <v>40</v>
      </c>
      <c r="O427"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427" s="10" t="s">
        <v>770</v>
      </c>
      <c r="Q427" t="s">
        <v>1132</v>
      </c>
      <c r="R427" t="s">
        <v>773</v>
      </c>
      <c r="S427" t="s">
        <v>1162</v>
      </c>
      <c r="T427" t="s">
        <v>793</v>
      </c>
      <c r="Y427" t="s">
        <v>1245</v>
      </c>
      <c r="Z427" t="s">
        <v>2481</v>
      </c>
      <c r="AA427" t="s">
        <v>1162</v>
      </c>
    </row>
    <row r="428" spans="1:27" x14ac:dyDescent="0.2">
      <c r="A428" s="225" t="s">
        <v>166</v>
      </c>
      <c r="B428" t="s">
        <v>63</v>
      </c>
      <c r="C428" t="s">
        <v>237</v>
      </c>
      <c r="D428" t="s">
        <v>265</v>
      </c>
      <c r="E428" t="s">
        <v>272</v>
      </c>
      <c r="F428" s="226" t="s">
        <v>258</v>
      </c>
      <c r="G428" t="str">
        <f>_xlfn.XLOOKUP(FMECA[[#This Row],[HazardRisk_name]],categories[HazardRisk_Name],categories[HazardRisk])</f>
        <v>Hazard</v>
      </c>
      <c r="H428" t="str">
        <f>_xlfn.XLOOKUP(FMECA[[#This Row],[HazardRisk_name]],categories[HazardRisk_Name],categories[Category])</f>
        <v>Environmental</v>
      </c>
      <c r="I428" t="s">
        <v>724</v>
      </c>
      <c r="J428" s="10">
        <v>4</v>
      </c>
      <c r="K428" t="s">
        <v>2478</v>
      </c>
      <c r="L428" s="10">
        <v>7</v>
      </c>
      <c r="M428" t="s">
        <v>2478</v>
      </c>
      <c r="N428" s="10">
        <f>FMECA[[#This Row],[probability_value]]*FMECA[[#This Row],[consequence_value]]</f>
        <v>28</v>
      </c>
      <c r="O428" s="10" t="str">
        <f>IF(AND(FMECA[[#This Row],[Score]]&gt;=0, 9&gt;=FMECA[[#This Row],[Score]]), "UNDETECTABLE", IF(AND(FMECA[[#This Row],[Score]]&gt;=10, 24&gt;=FMECA[[#This Row],[Score]]), "MODERATE", IF(AND(FMECA[[#This Row],[Score]]&gt;=25, 35&gt;=FMECA[[#This Row],[Score]]), "HIGH", IF(AND(FMECA[[#This Row],[Score]]&gt;=36, 50&gt;=FMECA[[#This Row],[Score]]), "VERY HIGH", "Check Formula"))))</f>
        <v>HIGH</v>
      </c>
      <c r="P428" s="10" t="s">
        <v>770</v>
      </c>
      <c r="Q428" t="s">
        <v>1132</v>
      </c>
      <c r="R428" t="s">
        <v>773</v>
      </c>
      <c r="S428" t="s">
        <v>1162</v>
      </c>
      <c r="T428" t="s">
        <v>793</v>
      </c>
      <c r="U428" t="s">
        <v>2479</v>
      </c>
      <c r="V428" t="s">
        <v>466</v>
      </c>
      <c r="W428" t="s">
        <v>2480</v>
      </c>
      <c r="X428" t="s">
        <v>470</v>
      </c>
      <c r="Y428" t="s">
        <v>1245</v>
      </c>
      <c r="Z428" t="s">
        <v>2481</v>
      </c>
      <c r="AA428" t="s">
        <v>1162</v>
      </c>
    </row>
    <row r="429" spans="1:27" x14ac:dyDescent="0.2">
      <c r="A429" s="225" t="s">
        <v>166</v>
      </c>
      <c r="B429" t="s">
        <v>63</v>
      </c>
      <c r="C429" t="s">
        <v>237</v>
      </c>
      <c r="D429" t="s">
        <v>265</v>
      </c>
      <c r="E429" t="s">
        <v>272</v>
      </c>
      <c r="F429" s="226" t="s">
        <v>258</v>
      </c>
      <c r="G429" t="str">
        <f>_xlfn.XLOOKUP(FMECA[[#This Row],[HazardRisk_name]],categories[HazardRisk_Name],categories[HazardRisk])</f>
        <v>Risk</v>
      </c>
      <c r="H429" t="str">
        <f>_xlfn.XLOOKUP(FMECA[[#This Row],[HazardRisk_name]],categories[HazardRisk_Name],categories[Category])</f>
        <v>Navigational</v>
      </c>
      <c r="I429" t="s">
        <v>474</v>
      </c>
      <c r="J429" s="10">
        <v>4</v>
      </c>
      <c r="K429" t="s">
        <v>2474</v>
      </c>
      <c r="L429" s="10">
        <v>4</v>
      </c>
      <c r="M429" t="s">
        <v>2474</v>
      </c>
      <c r="N429" s="10">
        <f>FMECA[[#This Row],[probability_value]]*FMECA[[#This Row],[consequence_value]]</f>
        <v>16</v>
      </c>
      <c r="O42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29" s="10" t="s">
        <v>770</v>
      </c>
      <c r="Q429" t="s">
        <v>1132</v>
      </c>
      <c r="R429" t="s">
        <v>773</v>
      </c>
      <c r="S429" t="s">
        <v>1162</v>
      </c>
      <c r="T429" t="s">
        <v>793</v>
      </c>
      <c r="U429" t="s">
        <v>2475</v>
      </c>
      <c r="V429" t="s">
        <v>470</v>
      </c>
      <c r="W429" t="s">
        <v>2477</v>
      </c>
      <c r="X429" t="s">
        <v>470</v>
      </c>
      <c r="Y429" t="s">
        <v>1245</v>
      </c>
      <c r="Z429" t="s">
        <v>2481</v>
      </c>
      <c r="AA429" t="s">
        <v>1162</v>
      </c>
    </row>
    <row r="430" spans="1:27" x14ac:dyDescent="0.2">
      <c r="A430" s="225" t="s">
        <v>166</v>
      </c>
      <c r="B430" t="s">
        <v>63</v>
      </c>
      <c r="C430" t="s">
        <v>237</v>
      </c>
      <c r="D430" t="s">
        <v>265</v>
      </c>
      <c r="E430" t="s">
        <v>272</v>
      </c>
      <c r="F430" s="226" t="s">
        <v>258</v>
      </c>
      <c r="G430" t="str">
        <f>_xlfn.XLOOKUP(FMECA[[#This Row],[HazardRisk_name]],categories[HazardRisk_Name],categories[HazardRisk])</f>
        <v>Risk</v>
      </c>
      <c r="H430" t="str">
        <f>_xlfn.XLOOKUP(FMECA[[#This Row],[HazardRisk_name]],categories[HazardRisk_Name],categories[Category])</f>
        <v>Environmental</v>
      </c>
      <c r="I430" t="s">
        <v>625</v>
      </c>
      <c r="J430" s="10">
        <v>4</v>
      </c>
      <c r="K430" t="s">
        <v>2474</v>
      </c>
      <c r="L430" s="10">
        <v>7</v>
      </c>
      <c r="M430" t="s">
        <v>2474</v>
      </c>
      <c r="N430" s="10">
        <f>FMECA[[#This Row],[probability_value]]*FMECA[[#This Row],[consequence_value]]</f>
        <v>28</v>
      </c>
      <c r="O430" s="10" t="str">
        <f>IF(AND(FMECA[[#This Row],[Score]]&gt;=0, 9&gt;=FMECA[[#This Row],[Score]]), "UNDETECTABLE", IF(AND(FMECA[[#This Row],[Score]]&gt;=10, 24&gt;=FMECA[[#This Row],[Score]]), "MODERATE", IF(AND(FMECA[[#This Row],[Score]]&gt;=25, 35&gt;=FMECA[[#This Row],[Score]]), "HIGH", IF(AND(FMECA[[#This Row],[Score]]&gt;=36, 50&gt;=FMECA[[#This Row],[Score]]), "VERY HIGH", "Check Formula"))))</f>
        <v>HIGH</v>
      </c>
      <c r="P430" s="10" t="s">
        <v>770</v>
      </c>
      <c r="Q430" t="s">
        <v>1132</v>
      </c>
      <c r="R430" t="s">
        <v>773</v>
      </c>
      <c r="S430" t="s">
        <v>1162</v>
      </c>
      <c r="T430" t="s">
        <v>793</v>
      </c>
      <c r="U430" t="s">
        <v>2476</v>
      </c>
      <c r="V430" t="s">
        <v>470</v>
      </c>
      <c r="W430" t="s">
        <v>2477</v>
      </c>
      <c r="X430" t="s">
        <v>470</v>
      </c>
      <c r="Y430" t="s">
        <v>1245</v>
      </c>
      <c r="Z430" t="s">
        <v>2481</v>
      </c>
      <c r="AA430" t="s">
        <v>1162</v>
      </c>
    </row>
    <row r="431" spans="1:27" x14ac:dyDescent="0.2">
      <c r="A431" s="225" t="s">
        <v>166</v>
      </c>
      <c r="B431" t="s">
        <v>63</v>
      </c>
      <c r="C431" t="s">
        <v>237</v>
      </c>
      <c r="D431" t="s">
        <v>265</v>
      </c>
      <c r="E431" t="s">
        <v>272</v>
      </c>
      <c r="F431" s="226" t="s">
        <v>258</v>
      </c>
      <c r="G431" t="str">
        <f>_xlfn.XLOOKUP(FMECA[[#This Row],[HazardRisk_name]],categories[HazardRisk_Name],categories[HazardRisk])</f>
        <v>Risk</v>
      </c>
      <c r="H431" t="str">
        <f>_xlfn.XLOOKUP(FMECA[[#This Row],[HazardRisk_name]],categories[HazardRisk_Name],categories[Category])</f>
        <v>Environmental</v>
      </c>
      <c r="I431" t="s">
        <v>602</v>
      </c>
      <c r="J431" s="10">
        <v>5</v>
      </c>
      <c r="K431" t="s">
        <v>2472</v>
      </c>
      <c r="L431" s="10">
        <v>7</v>
      </c>
      <c r="M431" t="s">
        <v>2472</v>
      </c>
      <c r="N431" s="10">
        <f>FMECA[[#This Row],[probability_value]]*FMECA[[#This Row],[consequence_value]]</f>
        <v>35</v>
      </c>
      <c r="O431" s="10" t="str">
        <f>IF(AND(FMECA[[#This Row],[Score]]&gt;=0, 9&gt;=FMECA[[#This Row],[Score]]), "UNDETECTABLE", IF(AND(FMECA[[#This Row],[Score]]&gt;=10, 24&gt;=FMECA[[#This Row],[Score]]), "MODERATE", IF(AND(FMECA[[#This Row],[Score]]&gt;=25, 35&gt;=FMECA[[#This Row],[Score]]), "HIGH", IF(AND(FMECA[[#This Row],[Score]]&gt;=36, 50&gt;=FMECA[[#This Row],[Score]]), "VERY HIGH", "Check Formula"))))</f>
        <v>HIGH</v>
      </c>
      <c r="P431" s="10" t="s">
        <v>770</v>
      </c>
      <c r="Q431" t="s">
        <v>1132</v>
      </c>
      <c r="R431" t="s">
        <v>773</v>
      </c>
      <c r="S431" t="s">
        <v>1162</v>
      </c>
      <c r="T431" t="s">
        <v>793</v>
      </c>
      <c r="U431" t="s">
        <v>2473</v>
      </c>
      <c r="Y431" t="s">
        <v>1245</v>
      </c>
      <c r="Z431" t="s">
        <v>2481</v>
      </c>
      <c r="AA431" t="s">
        <v>1162</v>
      </c>
    </row>
    <row r="432" spans="1:27" x14ac:dyDescent="0.2">
      <c r="A432" s="225" t="s">
        <v>166</v>
      </c>
      <c r="B432" t="s">
        <v>63</v>
      </c>
      <c r="C432" t="s">
        <v>237</v>
      </c>
      <c r="D432" t="s">
        <v>265</v>
      </c>
      <c r="E432" t="s">
        <v>272</v>
      </c>
      <c r="F432" s="226" t="s">
        <v>258</v>
      </c>
      <c r="G432" t="str">
        <f>_xlfn.XLOOKUP(FMECA[[#This Row],[HazardRisk_name]],categories[HazardRisk_Name],categories[HazardRisk])</f>
        <v>Hazard</v>
      </c>
      <c r="H432" t="str">
        <f>_xlfn.XLOOKUP(FMECA[[#This Row],[HazardRisk_name]],categories[HazardRisk_Name],categories[Category])</f>
        <v>Environmental</v>
      </c>
      <c r="I432" t="s">
        <v>1164</v>
      </c>
      <c r="J432" s="10">
        <v>3</v>
      </c>
      <c r="K432" t="s">
        <v>2472</v>
      </c>
      <c r="L432" s="10">
        <v>7</v>
      </c>
      <c r="M432" t="s">
        <v>2472</v>
      </c>
      <c r="N432" s="10">
        <f>FMECA[[#This Row],[probability_value]]*FMECA[[#This Row],[consequence_value]]</f>
        <v>21</v>
      </c>
      <c r="O43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32" s="10" t="s">
        <v>770</v>
      </c>
      <c r="Q432" t="s">
        <v>1132</v>
      </c>
      <c r="R432" t="s">
        <v>773</v>
      </c>
      <c r="S432" t="s">
        <v>1162</v>
      </c>
      <c r="T432" t="s">
        <v>793</v>
      </c>
      <c r="U432" t="s">
        <v>2224</v>
      </c>
      <c r="Y432" t="s">
        <v>1245</v>
      </c>
      <c r="Z432" t="s">
        <v>2481</v>
      </c>
      <c r="AA432" t="s">
        <v>1162</v>
      </c>
    </row>
    <row r="433" spans="1:27" x14ac:dyDescent="0.2">
      <c r="A433" s="225" t="s">
        <v>166</v>
      </c>
      <c r="B433" t="s">
        <v>63</v>
      </c>
      <c r="C433" t="s">
        <v>237</v>
      </c>
      <c r="D433" t="s">
        <v>265</v>
      </c>
      <c r="E433" t="s">
        <v>272</v>
      </c>
      <c r="F433" s="226" t="s">
        <v>258</v>
      </c>
      <c r="G433" t="str">
        <f>_xlfn.XLOOKUP(FMECA[[#This Row],[HazardRisk_name]],categories[HazardRisk_Name],categories[HazardRisk])</f>
        <v>Risk</v>
      </c>
      <c r="H433" t="str">
        <f>_xlfn.XLOOKUP(FMECA[[#This Row],[HazardRisk_name]],categories[HazardRisk_Name],categories[Category])</f>
        <v>Pollutants</v>
      </c>
      <c r="I433" t="s">
        <v>627</v>
      </c>
      <c r="J433" s="10">
        <v>3</v>
      </c>
      <c r="K433" t="s">
        <v>2474</v>
      </c>
      <c r="L433" s="10">
        <v>10</v>
      </c>
      <c r="M433" t="s">
        <v>2474</v>
      </c>
      <c r="N433" s="10">
        <f>FMECA[[#This Row],[probability_value]]*FMECA[[#This Row],[consequence_value]]</f>
        <v>30</v>
      </c>
      <c r="O433" s="10" t="str">
        <f>IF(AND(FMECA[[#This Row],[Score]]&gt;=0, 9&gt;=FMECA[[#This Row],[Score]]), "UNDETECTABLE", IF(AND(FMECA[[#This Row],[Score]]&gt;=10, 24&gt;=FMECA[[#This Row],[Score]]), "MODERATE", IF(AND(FMECA[[#This Row],[Score]]&gt;=25, 35&gt;=FMECA[[#This Row],[Score]]), "HIGH", IF(AND(FMECA[[#This Row],[Score]]&gt;=36, 50&gt;=FMECA[[#This Row],[Score]]), "VERY HIGH", "Check Formula"))))</f>
        <v>HIGH</v>
      </c>
      <c r="P433" s="10" t="s">
        <v>770</v>
      </c>
      <c r="Q433" t="s">
        <v>1132</v>
      </c>
      <c r="R433" t="s">
        <v>773</v>
      </c>
      <c r="S433" t="s">
        <v>1162</v>
      </c>
      <c r="T433" t="s">
        <v>793</v>
      </c>
      <c r="U433" t="s">
        <v>2476</v>
      </c>
      <c r="V433" t="s">
        <v>470</v>
      </c>
      <c r="W433" t="s">
        <v>2477</v>
      </c>
      <c r="X433" t="s">
        <v>470</v>
      </c>
      <c r="Y433" t="s">
        <v>1245</v>
      </c>
      <c r="Z433" t="s">
        <v>2481</v>
      </c>
      <c r="AA433" t="s">
        <v>1162</v>
      </c>
    </row>
    <row r="434" spans="1:27" x14ac:dyDescent="0.2">
      <c r="A434" s="225" t="s">
        <v>167</v>
      </c>
      <c r="B434" t="s">
        <v>63</v>
      </c>
      <c r="C434" t="s">
        <v>237</v>
      </c>
      <c r="D434" t="s">
        <v>76</v>
      </c>
      <c r="E434" t="s">
        <v>273</v>
      </c>
      <c r="F434" s="226" t="s">
        <v>259</v>
      </c>
      <c r="G434" t="str">
        <f>_xlfn.XLOOKUP(FMECA[[#This Row],[HazardRisk_name]],categories[HazardRisk_Name],categories[HazardRisk])</f>
        <v>Risk</v>
      </c>
      <c r="H434" t="str">
        <f>_xlfn.XLOOKUP(FMECA[[#This Row],[HazardRisk_name]],categories[HazardRisk_Name],categories[Category])</f>
        <v>Assessment</v>
      </c>
      <c r="I434" t="s">
        <v>667</v>
      </c>
      <c r="J434" s="10">
        <v>5</v>
      </c>
      <c r="K434" t="s">
        <v>2598</v>
      </c>
      <c r="L434" s="10">
        <v>4</v>
      </c>
      <c r="M434" t="s">
        <v>2598</v>
      </c>
      <c r="N434" s="10">
        <f>FMECA[[#This Row],[probability_value]]*FMECA[[#This Row],[consequence_value]]</f>
        <v>20</v>
      </c>
      <c r="O43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34" s="10" t="s">
        <v>770</v>
      </c>
      <c r="Q434" t="s">
        <v>1132</v>
      </c>
      <c r="R434" t="s">
        <v>773</v>
      </c>
      <c r="S434" t="s">
        <v>2375</v>
      </c>
      <c r="T434" t="s">
        <v>793</v>
      </c>
      <c r="AA434" t="s">
        <v>1162</v>
      </c>
    </row>
    <row r="435" spans="1:27" x14ac:dyDescent="0.2">
      <c r="A435" s="225" t="s">
        <v>167</v>
      </c>
      <c r="B435" t="s">
        <v>63</v>
      </c>
      <c r="C435" t="s">
        <v>237</v>
      </c>
      <c r="D435" t="s">
        <v>76</v>
      </c>
      <c r="E435" t="s">
        <v>273</v>
      </c>
      <c r="F435" s="226" t="s">
        <v>259</v>
      </c>
      <c r="G435" t="str">
        <f>_xlfn.XLOOKUP(FMECA[[#This Row],[HazardRisk_name]],categories[HazardRisk_Name],categories[HazardRisk])</f>
        <v>Risk</v>
      </c>
      <c r="H435" t="str">
        <f>_xlfn.XLOOKUP(FMECA[[#This Row],[HazardRisk_name]],categories[HazardRisk_Name],categories[Category])</f>
        <v>Economic</v>
      </c>
      <c r="I435" t="s">
        <v>1239</v>
      </c>
      <c r="J435" s="10">
        <v>5</v>
      </c>
      <c r="K435" t="s">
        <v>2597</v>
      </c>
      <c r="L435" s="10">
        <v>7</v>
      </c>
      <c r="M435" t="s">
        <v>2597</v>
      </c>
      <c r="N435" s="10">
        <f>FMECA[[#This Row],[probability_value]]*FMECA[[#This Row],[consequence_value]]</f>
        <v>35</v>
      </c>
      <c r="O435" s="10" t="str">
        <f>IF(AND(FMECA[[#This Row],[Score]]&gt;=0, 9&gt;=FMECA[[#This Row],[Score]]), "UNDETECTABLE", IF(AND(FMECA[[#This Row],[Score]]&gt;=10, 24&gt;=FMECA[[#This Row],[Score]]), "MODERATE", IF(AND(FMECA[[#This Row],[Score]]&gt;=25, 35&gt;=FMECA[[#This Row],[Score]]), "HIGH", IF(AND(FMECA[[#This Row],[Score]]&gt;=36, 50&gt;=FMECA[[#This Row],[Score]]), "VERY HIGH", "Check Formula"))))</f>
        <v>HIGH</v>
      </c>
      <c r="P435" s="10" t="s">
        <v>770</v>
      </c>
      <c r="Q435" t="s">
        <v>1132</v>
      </c>
      <c r="R435" t="s">
        <v>773</v>
      </c>
      <c r="S435" t="s">
        <v>2375</v>
      </c>
      <c r="T435" t="s">
        <v>793</v>
      </c>
      <c r="AA435" t="s">
        <v>1162</v>
      </c>
    </row>
    <row r="436" spans="1:27" x14ac:dyDescent="0.2">
      <c r="A436" s="225" t="s">
        <v>167</v>
      </c>
      <c r="B436" t="s">
        <v>63</v>
      </c>
      <c r="C436" t="s">
        <v>237</v>
      </c>
      <c r="D436" t="s">
        <v>76</v>
      </c>
      <c r="E436" t="s">
        <v>273</v>
      </c>
      <c r="F436" s="226" t="s">
        <v>259</v>
      </c>
      <c r="G436" t="str">
        <f>_xlfn.XLOOKUP(FMECA[[#This Row],[HazardRisk_name]],categories[HazardRisk_Name],categories[HazardRisk])</f>
        <v>Risk</v>
      </c>
      <c r="H436" t="str">
        <f>_xlfn.XLOOKUP(FMECA[[#This Row],[HazardRisk_name]],categories[HazardRisk_Name],categories[Category])</f>
        <v>Economic</v>
      </c>
      <c r="I436" t="s">
        <v>701</v>
      </c>
      <c r="J436" s="10">
        <v>5</v>
      </c>
      <c r="K436" t="s">
        <v>2503</v>
      </c>
      <c r="L436" s="10">
        <v>7</v>
      </c>
      <c r="M436" t="s">
        <v>2503</v>
      </c>
      <c r="N436" s="10">
        <f>FMECA[[#This Row],[probability_value]]*FMECA[[#This Row],[consequence_value]]</f>
        <v>35</v>
      </c>
      <c r="O436" s="10" t="str">
        <f>IF(AND(FMECA[[#This Row],[Score]]&gt;=0, 9&gt;=FMECA[[#This Row],[Score]]), "UNDETECTABLE", IF(AND(FMECA[[#This Row],[Score]]&gt;=10, 24&gt;=FMECA[[#This Row],[Score]]), "MODERATE", IF(AND(FMECA[[#This Row],[Score]]&gt;=25, 35&gt;=FMECA[[#This Row],[Score]]), "HIGH", IF(AND(FMECA[[#This Row],[Score]]&gt;=36, 50&gt;=FMECA[[#This Row],[Score]]), "VERY HIGH", "Check Formula"))))</f>
        <v>HIGH</v>
      </c>
      <c r="P436" s="10" t="s">
        <v>770</v>
      </c>
      <c r="Q436" t="s">
        <v>1132</v>
      </c>
      <c r="R436" t="s">
        <v>773</v>
      </c>
      <c r="S436" t="s">
        <v>2375</v>
      </c>
      <c r="T436" t="s">
        <v>793</v>
      </c>
    </row>
    <row r="437" spans="1:27" x14ac:dyDescent="0.2">
      <c r="A437" s="225" t="s">
        <v>167</v>
      </c>
      <c r="B437" t="s">
        <v>63</v>
      </c>
      <c r="C437" t="s">
        <v>237</v>
      </c>
      <c r="D437" t="s">
        <v>76</v>
      </c>
      <c r="E437" t="s">
        <v>273</v>
      </c>
      <c r="F437" s="226" t="s">
        <v>259</v>
      </c>
      <c r="G437" t="str">
        <f>_xlfn.XLOOKUP(FMECA[[#This Row],[HazardRisk_name]],categories[HazardRisk_Name],categories[HazardRisk])</f>
        <v>Hazard</v>
      </c>
      <c r="H437" t="str">
        <f>_xlfn.XLOOKUP(FMECA[[#This Row],[HazardRisk_name]],categories[HazardRisk_Name],categories[Category])</f>
        <v>Navigational</v>
      </c>
      <c r="I437" t="s">
        <v>496</v>
      </c>
      <c r="J437" s="10">
        <v>4</v>
      </c>
      <c r="K437" t="s">
        <v>1333</v>
      </c>
      <c r="L437" s="10">
        <v>7</v>
      </c>
      <c r="M437" t="s">
        <v>1333</v>
      </c>
      <c r="N437" s="10">
        <f>FMECA[[#This Row],[probability_value]]*FMECA[[#This Row],[consequence_value]]</f>
        <v>28</v>
      </c>
      <c r="O437" s="10" t="str">
        <f>IF(AND(FMECA[[#This Row],[Score]]&gt;=0, 9&gt;=FMECA[[#This Row],[Score]]), "UNDETECTABLE", IF(AND(FMECA[[#This Row],[Score]]&gt;=10, 24&gt;=FMECA[[#This Row],[Score]]), "MODERATE", IF(AND(FMECA[[#This Row],[Score]]&gt;=25, 35&gt;=FMECA[[#This Row],[Score]]), "HIGH", IF(AND(FMECA[[#This Row],[Score]]&gt;=36, 50&gt;=FMECA[[#This Row],[Score]]), "VERY HIGH", "Check Formula"))))</f>
        <v>HIGH</v>
      </c>
      <c r="P437" s="10" t="s">
        <v>770</v>
      </c>
      <c r="Q437" t="s">
        <v>1132</v>
      </c>
      <c r="R437" t="s">
        <v>773</v>
      </c>
      <c r="S437" t="s">
        <v>2375</v>
      </c>
      <c r="T437" t="s">
        <v>793</v>
      </c>
    </row>
    <row r="438" spans="1:27" x14ac:dyDescent="0.2">
      <c r="A438" s="225" t="s">
        <v>167</v>
      </c>
      <c r="B438" t="s">
        <v>63</v>
      </c>
      <c r="C438" t="s">
        <v>237</v>
      </c>
      <c r="D438" t="s">
        <v>76</v>
      </c>
      <c r="E438" t="s">
        <v>273</v>
      </c>
      <c r="F438" s="226" t="s">
        <v>259</v>
      </c>
      <c r="G438" t="str">
        <f>_xlfn.XLOOKUP(FMECA[[#This Row],[HazardRisk_name]],categories[HazardRisk_Name],categories[HazardRisk])</f>
        <v>Hazard</v>
      </c>
      <c r="H438" t="str">
        <f>_xlfn.XLOOKUP(FMECA[[#This Row],[HazardRisk_name]],categories[HazardRisk_Name],categories[Category])</f>
        <v>Environmental</v>
      </c>
      <c r="I438" t="s">
        <v>483</v>
      </c>
      <c r="J438" s="10">
        <v>3</v>
      </c>
      <c r="K438" t="s">
        <v>2599</v>
      </c>
      <c r="L438" s="10">
        <v>4</v>
      </c>
      <c r="M438" t="s">
        <v>2599</v>
      </c>
      <c r="N438" s="10">
        <f>FMECA[[#This Row],[probability_value]]*FMECA[[#This Row],[consequence_value]]</f>
        <v>12</v>
      </c>
      <c r="O43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38" s="10" t="s">
        <v>770</v>
      </c>
      <c r="Q438" t="s">
        <v>1132</v>
      </c>
      <c r="R438" t="s">
        <v>773</v>
      </c>
      <c r="S438" t="s">
        <v>2375</v>
      </c>
      <c r="T438" t="s">
        <v>793</v>
      </c>
    </row>
    <row r="439" spans="1:27" x14ac:dyDescent="0.2">
      <c r="A439" s="225" t="s">
        <v>167</v>
      </c>
      <c r="B439" t="s">
        <v>63</v>
      </c>
      <c r="C439" t="s">
        <v>237</v>
      </c>
      <c r="D439" t="s">
        <v>76</v>
      </c>
      <c r="E439" t="s">
        <v>273</v>
      </c>
      <c r="F439" s="226" t="s">
        <v>259</v>
      </c>
      <c r="G439" t="str">
        <f>_xlfn.XLOOKUP(FMECA[[#This Row],[HazardRisk_name]],categories[HazardRisk_Name],categories[HazardRisk])</f>
        <v>Hazard</v>
      </c>
      <c r="H439" t="str">
        <f>_xlfn.XLOOKUP(FMECA[[#This Row],[HazardRisk_name]],categories[HazardRisk_Name],categories[Category])</f>
        <v>Sea Ice</v>
      </c>
      <c r="I439" t="s">
        <v>447</v>
      </c>
      <c r="J439" s="10">
        <v>4</v>
      </c>
      <c r="K439" t="s">
        <v>2599</v>
      </c>
      <c r="L439" s="10">
        <v>10</v>
      </c>
      <c r="M439" t="s">
        <v>2599</v>
      </c>
      <c r="N439" s="10">
        <f>FMECA[[#This Row],[probability_value]]*FMECA[[#This Row],[consequence_value]]</f>
        <v>40</v>
      </c>
      <c r="O439"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439" s="10" t="s">
        <v>770</v>
      </c>
      <c r="Q439" t="s">
        <v>1132</v>
      </c>
      <c r="R439" t="s">
        <v>773</v>
      </c>
      <c r="S439" t="s">
        <v>2375</v>
      </c>
      <c r="T439" t="s">
        <v>793</v>
      </c>
    </row>
    <row r="440" spans="1:27" x14ac:dyDescent="0.2">
      <c r="A440" s="225" t="s">
        <v>167</v>
      </c>
      <c r="B440" t="s">
        <v>63</v>
      </c>
      <c r="C440" t="s">
        <v>237</v>
      </c>
      <c r="D440" t="s">
        <v>76</v>
      </c>
      <c r="E440" t="s">
        <v>273</v>
      </c>
      <c r="F440" s="226" t="s">
        <v>259</v>
      </c>
      <c r="G440" t="str">
        <f>_xlfn.XLOOKUP(FMECA[[#This Row],[HazardRisk_name]],categories[HazardRisk_Name],categories[HazardRisk])</f>
        <v>Hazard</v>
      </c>
      <c r="H440" t="str">
        <f>_xlfn.XLOOKUP(FMECA[[#This Row],[HazardRisk_name]],categories[HazardRisk_Name],categories[Category])</f>
        <v>Sea Ice</v>
      </c>
      <c r="I440" t="s">
        <v>673</v>
      </c>
      <c r="J440" s="10">
        <v>4</v>
      </c>
      <c r="K440" t="s">
        <v>2600</v>
      </c>
      <c r="L440" s="10">
        <v>7</v>
      </c>
      <c r="M440" t="s">
        <v>2600</v>
      </c>
      <c r="N440" s="10">
        <f>FMECA[[#This Row],[probability_value]]*FMECA[[#This Row],[consequence_value]]</f>
        <v>28</v>
      </c>
      <c r="O440" s="10" t="str">
        <f>IF(AND(FMECA[[#This Row],[Score]]&gt;=0, 9&gt;=FMECA[[#This Row],[Score]]), "UNDETECTABLE", IF(AND(FMECA[[#This Row],[Score]]&gt;=10, 24&gt;=FMECA[[#This Row],[Score]]), "MODERATE", IF(AND(FMECA[[#This Row],[Score]]&gt;=25, 35&gt;=FMECA[[#This Row],[Score]]), "HIGH", IF(AND(FMECA[[#This Row],[Score]]&gt;=36, 50&gt;=FMECA[[#This Row],[Score]]), "VERY HIGH", "Check Formula"))))</f>
        <v>HIGH</v>
      </c>
      <c r="P440" s="10" t="s">
        <v>770</v>
      </c>
      <c r="Q440" t="s">
        <v>1132</v>
      </c>
      <c r="R440" t="s">
        <v>773</v>
      </c>
      <c r="S440" t="s">
        <v>2375</v>
      </c>
      <c r="T440" t="s">
        <v>793</v>
      </c>
      <c r="AA440" t="s">
        <v>1162</v>
      </c>
    </row>
    <row r="441" spans="1:27" x14ac:dyDescent="0.2">
      <c r="A441" s="225" t="s">
        <v>167</v>
      </c>
      <c r="B441" t="s">
        <v>63</v>
      </c>
      <c r="C441" t="s">
        <v>237</v>
      </c>
      <c r="D441" t="s">
        <v>76</v>
      </c>
      <c r="E441" t="s">
        <v>273</v>
      </c>
      <c r="F441" s="226" t="s">
        <v>259</v>
      </c>
      <c r="G441" t="str">
        <f>_xlfn.XLOOKUP(FMECA[[#This Row],[HazardRisk_name]],categories[HazardRisk_Name],categories[HazardRisk])</f>
        <v>Hazard</v>
      </c>
      <c r="H441" t="str">
        <f>_xlfn.XLOOKUP(FMECA[[#This Row],[HazardRisk_name]],categories[HazardRisk_Name],categories[Category])</f>
        <v>Environmental</v>
      </c>
      <c r="I441" t="s">
        <v>600</v>
      </c>
      <c r="J441" s="10">
        <v>4</v>
      </c>
      <c r="K441" t="s">
        <v>2601</v>
      </c>
      <c r="L441" s="10">
        <v>4</v>
      </c>
      <c r="M441" t="s">
        <v>2601</v>
      </c>
      <c r="N441" s="10">
        <f>FMECA[[#This Row],[probability_value]]*FMECA[[#This Row],[consequence_value]]</f>
        <v>16</v>
      </c>
      <c r="O44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41" s="10" t="s">
        <v>770</v>
      </c>
      <c r="Q441" t="s">
        <v>1132</v>
      </c>
      <c r="R441" t="s">
        <v>773</v>
      </c>
      <c r="S441" t="s">
        <v>2375</v>
      </c>
      <c r="T441" t="s">
        <v>793</v>
      </c>
      <c r="AA441" t="s">
        <v>1162</v>
      </c>
    </row>
    <row r="442" spans="1:27" x14ac:dyDescent="0.2">
      <c r="A442" s="225" t="s">
        <v>168</v>
      </c>
      <c r="B442" t="s">
        <v>63</v>
      </c>
      <c r="C442" t="s">
        <v>237</v>
      </c>
      <c r="D442" t="s">
        <v>266</v>
      </c>
      <c r="E442" t="s">
        <v>269</v>
      </c>
      <c r="F442" s="226" t="s">
        <v>260</v>
      </c>
      <c r="G442" t="str">
        <f>_xlfn.XLOOKUP(FMECA[[#This Row],[HazardRisk_name]],categories[HazardRisk_Name],categories[HazardRisk])</f>
        <v>Hazard</v>
      </c>
      <c r="H442" t="str">
        <f>_xlfn.XLOOKUP(FMECA[[#This Row],[HazardRisk_name]],categories[HazardRisk_Name],categories[Category])</f>
        <v>Sea Ice</v>
      </c>
      <c r="I442" t="s">
        <v>447</v>
      </c>
      <c r="J442" s="10">
        <v>4</v>
      </c>
      <c r="K442" t="s">
        <v>2449</v>
      </c>
      <c r="L442" s="10">
        <v>10</v>
      </c>
      <c r="M442" t="s">
        <v>2449</v>
      </c>
      <c r="N442" s="10">
        <f>FMECA[[#This Row],[probability_value]]*FMECA[[#This Row],[consequence_value]]</f>
        <v>40</v>
      </c>
      <c r="O442"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442" s="10" t="s">
        <v>770</v>
      </c>
      <c r="Q442" t="s">
        <v>1132</v>
      </c>
      <c r="R442" t="s">
        <v>773</v>
      </c>
      <c r="S442" t="s">
        <v>2374</v>
      </c>
      <c r="T442" t="s">
        <v>793</v>
      </c>
      <c r="U442" t="s">
        <v>1977</v>
      </c>
      <c r="V442" t="s">
        <v>470</v>
      </c>
      <c r="AA442" t="s">
        <v>1162</v>
      </c>
    </row>
    <row r="443" spans="1:27" x14ac:dyDescent="0.2">
      <c r="A443" s="225" t="s">
        <v>168</v>
      </c>
      <c r="B443" t="s">
        <v>63</v>
      </c>
      <c r="C443" t="s">
        <v>237</v>
      </c>
      <c r="D443" t="s">
        <v>266</v>
      </c>
      <c r="E443" t="s">
        <v>269</v>
      </c>
      <c r="F443" s="226" t="s">
        <v>260</v>
      </c>
      <c r="G443" t="str">
        <f>_xlfn.XLOOKUP(FMECA[[#This Row],[HazardRisk_name]],categories[HazardRisk_Name],categories[HazardRisk])</f>
        <v>Hazard</v>
      </c>
      <c r="H443" t="str">
        <f>_xlfn.XLOOKUP(FMECA[[#This Row],[HazardRisk_name]],categories[HazardRisk_Name],categories[Category])</f>
        <v>Sea Ice</v>
      </c>
      <c r="I443" t="s">
        <v>448</v>
      </c>
      <c r="J443" s="10">
        <v>4</v>
      </c>
      <c r="K443" t="s">
        <v>2359</v>
      </c>
      <c r="L443" s="10">
        <v>7</v>
      </c>
      <c r="M443" t="s">
        <v>2359</v>
      </c>
      <c r="N443" s="10">
        <f>FMECA[[#This Row],[probability_value]]*FMECA[[#This Row],[consequence_value]]</f>
        <v>28</v>
      </c>
      <c r="O443" s="10" t="str">
        <f>IF(AND(FMECA[[#This Row],[Score]]&gt;=0, 9&gt;=FMECA[[#This Row],[Score]]), "UNDETECTABLE", IF(AND(FMECA[[#This Row],[Score]]&gt;=10, 24&gt;=FMECA[[#This Row],[Score]]), "MODERATE", IF(AND(FMECA[[#This Row],[Score]]&gt;=25, 35&gt;=FMECA[[#This Row],[Score]]), "HIGH", IF(AND(FMECA[[#This Row],[Score]]&gt;=36, 50&gt;=FMECA[[#This Row],[Score]]), "VERY HIGH", "Check Formula"))))</f>
        <v>HIGH</v>
      </c>
      <c r="P443" s="10" t="s">
        <v>770</v>
      </c>
      <c r="Q443" t="s">
        <v>1132</v>
      </c>
      <c r="R443" t="s">
        <v>773</v>
      </c>
      <c r="S443" t="s">
        <v>2374</v>
      </c>
      <c r="T443" t="s">
        <v>793</v>
      </c>
      <c r="AA443" t="s">
        <v>1162</v>
      </c>
    </row>
    <row r="444" spans="1:27" x14ac:dyDescent="0.2">
      <c r="A444" s="225" t="s">
        <v>168</v>
      </c>
      <c r="B444" t="s">
        <v>63</v>
      </c>
      <c r="C444" t="s">
        <v>237</v>
      </c>
      <c r="D444" t="s">
        <v>266</v>
      </c>
      <c r="E444" t="s">
        <v>269</v>
      </c>
      <c r="F444" s="226" t="s">
        <v>260</v>
      </c>
      <c r="G444" t="str">
        <f>_xlfn.XLOOKUP(FMECA[[#This Row],[HazardRisk_name]],categories[HazardRisk_Name],categories[HazardRisk])</f>
        <v>Hazard</v>
      </c>
      <c r="H444" t="str">
        <f>_xlfn.XLOOKUP(FMECA[[#This Row],[HazardRisk_name]],categories[HazardRisk_Name],categories[Category])</f>
        <v>Sea Ice</v>
      </c>
      <c r="I444" t="s">
        <v>563</v>
      </c>
      <c r="J444" s="10">
        <v>4</v>
      </c>
      <c r="K444" t="s">
        <v>2450</v>
      </c>
      <c r="L444" s="10">
        <v>7</v>
      </c>
      <c r="M444" t="s">
        <v>2450</v>
      </c>
      <c r="N444" s="10">
        <f>FMECA[[#This Row],[probability_value]]*FMECA[[#This Row],[consequence_value]]</f>
        <v>28</v>
      </c>
      <c r="O444" s="10" t="str">
        <f>IF(AND(FMECA[[#This Row],[Score]]&gt;=0, 9&gt;=FMECA[[#This Row],[Score]]), "UNDETECTABLE", IF(AND(FMECA[[#This Row],[Score]]&gt;=10, 24&gt;=FMECA[[#This Row],[Score]]), "MODERATE", IF(AND(FMECA[[#This Row],[Score]]&gt;=25, 35&gt;=FMECA[[#This Row],[Score]]), "HIGH", IF(AND(FMECA[[#This Row],[Score]]&gt;=36, 50&gt;=FMECA[[#This Row],[Score]]), "VERY HIGH", "Check Formula"))))</f>
        <v>HIGH</v>
      </c>
      <c r="P444" s="10" t="s">
        <v>770</v>
      </c>
      <c r="Q444" t="s">
        <v>1132</v>
      </c>
      <c r="R444" t="s">
        <v>773</v>
      </c>
      <c r="S444" t="s">
        <v>2374</v>
      </c>
      <c r="T444" t="s">
        <v>793</v>
      </c>
      <c r="AA444" t="s">
        <v>1162</v>
      </c>
    </row>
    <row r="445" spans="1:27" x14ac:dyDescent="0.2">
      <c r="A445" s="225" t="s">
        <v>168</v>
      </c>
      <c r="B445" t="s">
        <v>63</v>
      </c>
      <c r="C445" t="s">
        <v>237</v>
      </c>
      <c r="D445" t="s">
        <v>266</v>
      </c>
      <c r="E445" t="s">
        <v>269</v>
      </c>
      <c r="F445" s="226" t="s">
        <v>260</v>
      </c>
      <c r="G445" t="str">
        <f>_xlfn.XLOOKUP(FMECA[[#This Row],[HazardRisk_name]],categories[HazardRisk_Name],categories[HazardRisk])</f>
        <v>Hazard</v>
      </c>
      <c r="H445" t="str">
        <f>_xlfn.XLOOKUP(FMECA[[#This Row],[HazardRisk_name]],categories[HazardRisk_Name],categories[Category])</f>
        <v>Navigational</v>
      </c>
      <c r="I445" t="s">
        <v>637</v>
      </c>
      <c r="J445" s="10">
        <v>4</v>
      </c>
      <c r="K445" t="s">
        <v>2451</v>
      </c>
      <c r="L445" s="10">
        <v>7</v>
      </c>
      <c r="M445" t="s">
        <v>2451</v>
      </c>
      <c r="N445" s="10">
        <f>FMECA[[#This Row],[probability_value]]*FMECA[[#This Row],[consequence_value]]</f>
        <v>28</v>
      </c>
      <c r="O445" s="10" t="str">
        <f>IF(AND(FMECA[[#This Row],[Score]]&gt;=0, 9&gt;=FMECA[[#This Row],[Score]]), "UNDETECTABLE", IF(AND(FMECA[[#This Row],[Score]]&gt;=10, 24&gt;=FMECA[[#This Row],[Score]]), "MODERATE", IF(AND(FMECA[[#This Row],[Score]]&gt;=25, 35&gt;=FMECA[[#This Row],[Score]]), "HIGH", IF(AND(FMECA[[#This Row],[Score]]&gt;=36, 50&gt;=FMECA[[#This Row],[Score]]), "VERY HIGH", "Check Formula"))))</f>
        <v>HIGH</v>
      </c>
      <c r="P445" s="10" t="s">
        <v>770</v>
      </c>
      <c r="Q445" t="s">
        <v>1132</v>
      </c>
      <c r="R445" t="s">
        <v>773</v>
      </c>
      <c r="S445" t="s">
        <v>2374</v>
      </c>
      <c r="T445" t="s">
        <v>793</v>
      </c>
      <c r="U445" t="s">
        <v>2452</v>
      </c>
      <c r="V445" t="s">
        <v>466</v>
      </c>
      <c r="W445" t="s">
        <v>2453</v>
      </c>
      <c r="X445" t="s">
        <v>466</v>
      </c>
      <c r="AA445" t="s">
        <v>1162</v>
      </c>
    </row>
    <row r="446" spans="1:27" x14ac:dyDescent="0.2">
      <c r="A446" s="225" t="s">
        <v>168</v>
      </c>
      <c r="B446" t="s">
        <v>63</v>
      </c>
      <c r="C446" t="s">
        <v>237</v>
      </c>
      <c r="D446" t="s">
        <v>266</v>
      </c>
      <c r="E446" t="s">
        <v>269</v>
      </c>
      <c r="F446" s="226" t="s">
        <v>260</v>
      </c>
      <c r="G446" t="str">
        <f>_xlfn.XLOOKUP(FMECA[[#This Row],[HazardRisk_name]],categories[HazardRisk_Name],categories[HazardRisk])</f>
        <v>Hazard</v>
      </c>
      <c r="H446" t="str">
        <f>_xlfn.XLOOKUP(FMECA[[#This Row],[HazardRisk_name]],categories[HazardRisk_Name],categories[Category])</f>
        <v>Environmental</v>
      </c>
      <c r="I446" t="s">
        <v>600</v>
      </c>
      <c r="J446" s="10">
        <v>4</v>
      </c>
      <c r="K446" t="s">
        <v>2454</v>
      </c>
      <c r="L446" s="10">
        <v>4</v>
      </c>
      <c r="M446" t="s">
        <v>2454</v>
      </c>
      <c r="N446" s="10">
        <f>FMECA[[#This Row],[probability_value]]*FMECA[[#This Row],[consequence_value]]</f>
        <v>16</v>
      </c>
      <c r="O44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46" s="10" t="s">
        <v>770</v>
      </c>
      <c r="Q446" t="s">
        <v>1132</v>
      </c>
      <c r="R446" t="s">
        <v>773</v>
      </c>
      <c r="S446" t="s">
        <v>2374</v>
      </c>
      <c r="T446" t="s">
        <v>793</v>
      </c>
      <c r="AA446" t="s">
        <v>1162</v>
      </c>
    </row>
    <row r="447" spans="1:27" x14ac:dyDescent="0.2">
      <c r="A447" s="225" t="s">
        <v>169</v>
      </c>
      <c r="B447" t="s">
        <v>63</v>
      </c>
      <c r="C447" t="s">
        <v>237</v>
      </c>
      <c r="D447" t="s">
        <v>267</v>
      </c>
      <c r="E447" t="s">
        <v>270</v>
      </c>
      <c r="F447" s="226" t="s">
        <v>261</v>
      </c>
      <c r="G447" t="str">
        <f>_xlfn.XLOOKUP(FMECA[[#This Row],[HazardRisk_name]],categories[HazardRisk_Name],categories[HazardRisk])</f>
        <v>Hazard</v>
      </c>
      <c r="H447" t="str">
        <f>_xlfn.XLOOKUP(FMECA[[#This Row],[HazardRisk_name]],categories[HazardRisk_Name],categories[Category])</f>
        <v>Environmental</v>
      </c>
      <c r="I447" t="s">
        <v>691</v>
      </c>
      <c r="J447" s="10">
        <v>3</v>
      </c>
      <c r="K447" t="s">
        <v>2643</v>
      </c>
      <c r="L447" s="10">
        <v>4</v>
      </c>
      <c r="M447" t="s">
        <v>2643</v>
      </c>
      <c r="N447" s="10">
        <f>FMECA[[#This Row],[probability_value]]*FMECA[[#This Row],[consequence_value]]</f>
        <v>12</v>
      </c>
      <c r="O44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47" s="10" t="s">
        <v>767</v>
      </c>
      <c r="Q447" t="s">
        <v>1162</v>
      </c>
      <c r="R447" t="s">
        <v>780</v>
      </c>
      <c r="S447" t="s">
        <v>2373</v>
      </c>
      <c r="T447" t="s">
        <v>793</v>
      </c>
      <c r="AA447" t="s">
        <v>1162</v>
      </c>
    </row>
    <row r="448" spans="1:27" x14ac:dyDescent="0.2">
      <c r="A448" s="225" t="s">
        <v>169</v>
      </c>
      <c r="B448" t="s">
        <v>63</v>
      </c>
      <c r="C448" t="s">
        <v>237</v>
      </c>
      <c r="D448" t="s">
        <v>267</v>
      </c>
      <c r="E448" t="s">
        <v>270</v>
      </c>
      <c r="F448" s="226" t="s">
        <v>261</v>
      </c>
      <c r="G448" t="str">
        <f>_xlfn.XLOOKUP(FMECA[[#This Row],[HazardRisk_name]],categories[HazardRisk_Name],categories[HazardRisk])</f>
        <v>Risk</v>
      </c>
      <c r="H448" t="str">
        <f>_xlfn.XLOOKUP(FMECA[[#This Row],[HazardRisk_name]],categories[HazardRisk_Name],categories[Category])</f>
        <v>Assessment</v>
      </c>
      <c r="I448" t="s">
        <v>667</v>
      </c>
      <c r="J448" s="10">
        <v>4</v>
      </c>
      <c r="K448" t="s">
        <v>2642</v>
      </c>
      <c r="L448" s="10">
        <v>4</v>
      </c>
      <c r="M448" t="s">
        <v>2642</v>
      </c>
      <c r="N448" s="10">
        <f>FMECA[[#This Row],[probability_value]]*FMECA[[#This Row],[consequence_value]]</f>
        <v>16</v>
      </c>
      <c r="O44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48" s="10" t="s">
        <v>767</v>
      </c>
      <c r="Q448" t="s">
        <v>1162</v>
      </c>
      <c r="R448" t="s">
        <v>780</v>
      </c>
      <c r="S448" t="s">
        <v>2373</v>
      </c>
      <c r="T448" t="s">
        <v>793</v>
      </c>
      <c r="AA448" t="s">
        <v>1162</v>
      </c>
    </row>
    <row r="449" spans="1:27" x14ac:dyDescent="0.2">
      <c r="A449" s="225" t="s">
        <v>169</v>
      </c>
      <c r="B449" t="s">
        <v>63</v>
      </c>
      <c r="C449" t="s">
        <v>237</v>
      </c>
      <c r="D449" t="s">
        <v>267</v>
      </c>
      <c r="E449" t="s">
        <v>270</v>
      </c>
      <c r="F449" s="226" t="s">
        <v>261</v>
      </c>
      <c r="G449" t="str">
        <f>_xlfn.XLOOKUP(FMECA[[#This Row],[HazardRisk_name]],categories[HazardRisk_Name],categories[HazardRisk])</f>
        <v>Hazard</v>
      </c>
      <c r="H449" t="str">
        <f>_xlfn.XLOOKUP(FMECA[[#This Row],[HazardRisk_name]],categories[HazardRisk_Name],categories[Category])</f>
        <v>Sea Ice</v>
      </c>
      <c r="I449" t="s">
        <v>563</v>
      </c>
      <c r="J449" s="10">
        <v>4</v>
      </c>
      <c r="K449" t="s">
        <v>2644</v>
      </c>
      <c r="L449" s="10">
        <v>7</v>
      </c>
      <c r="M449" t="s">
        <v>2644</v>
      </c>
      <c r="N449" s="10">
        <f>FMECA[[#This Row],[probability_value]]*FMECA[[#This Row],[consequence_value]]</f>
        <v>28</v>
      </c>
      <c r="O449" s="10" t="str">
        <f>IF(AND(FMECA[[#This Row],[Score]]&gt;=0, 9&gt;=FMECA[[#This Row],[Score]]), "UNDETECTABLE", IF(AND(FMECA[[#This Row],[Score]]&gt;=10, 24&gt;=FMECA[[#This Row],[Score]]), "MODERATE", IF(AND(FMECA[[#This Row],[Score]]&gt;=25, 35&gt;=FMECA[[#This Row],[Score]]), "HIGH", IF(AND(FMECA[[#This Row],[Score]]&gt;=36, 50&gt;=FMECA[[#This Row],[Score]]), "VERY HIGH", "Check Formula"))))</f>
        <v>HIGH</v>
      </c>
      <c r="P449" s="10" t="s">
        <v>767</v>
      </c>
      <c r="Q449" t="s">
        <v>1162</v>
      </c>
      <c r="R449" t="s">
        <v>780</v>
      </c>
      <c r="S449" t="s">
        <v>2373</v>
      </c>
      <c r="T449" t="s">
        <v>793</v>
      </c>
    </row>
    <row r="450" spans="1:27" x14ac:dyDescent="0.2">
      <c r="A450" s="225" t="s">
        <v>169</v>
      </c>
      <c r="B450" t="s">
        <v>63</v>
      </c>
      <c r="C450" t="s">
        <v>237</v>
      </c>
      <c r="D450" t="s">
        <v>267</v>
      </c>
      <c r="E450" t="s">
        <v>270</v>
      </c>
      <c r="F450" s="226" t="s">
        <v>261</v>
      </c>
      <c r="G450" t="str">
        <f>_xlfn.XLOOKUP(FMECA[[#This Row],[HazardRisk_name]],categories[HazardRisk_Name],categories[HazardRisk])</f>
        <v>Risk</v>
      </c>
      <c r="H450" t="str">
        <f>_xlfn.XLOOKUP(FMECA[[#This Row],[HazardRisk_name]],categories[HazardRisk_Name],categories[Category])</f>
        <v>Environmental</v>
      </c>
      <c r="I450" t="s">
        <v>644</v>
      </c>
      <c r="J450" s="10">
        <v>4</v>
      </c>
      <c r="K450" t="s">
        <v>2645</v>
      </c>
      <c r="L450" s="10">
        <v>10</v>
      </c>
      <c r="M450" t="s">
        <v>2645</v>
      </c>
      <c r="N450" s="10">
        <f>FMECA[[#This Row],[probability_value]]*FMECA[[#This Row],[consequence_value]]</f>
        <v>40</v>
      </c>
      <c r="O450"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450" s="10" t="s">
        <v>767</v>
      </c>
      <c r="Q450" t="s">
        <v>1162</v>
      </c>
      <c r="R450" t="s">
        <v>780</v>
      </c>
      <c r="S450" t="s">
        <v>2373</v>
      </c>
      <c r="T450" t="s">
        <v>793</v>
      </c>
    </row>
    <row r="451" spans="1:27" x14ac:dyDescent="0.2">
      <c r="A451" s="225" t="s">
        <v>169</v>
      </c>
      <c r="B451" t="s">
        <v>63</v>
      </c>
      <c r="C451" t="s">
        <v>237</v>
      </c>
      <c r="D451" t="s">
        <v>267</v>
      </c>
      <c r="E451" t="s">
        <v>270</v>
      </c>
      <c r="F451" s="226" t="s">
        <v>261</v>
      </c>
      <c r="G451" t="str">
        <f>_xlfn.XLOOKUP(FMECA[[#This Row],[HazardRisk_name]],categories[HazardRisk_Name],categories[HazardRisk])</f>
        <v>Risk</v>
      </c>
      <c r="H451" t="str">
        <f>_xlfn.XLOOKUP(FMECA[[#This Row],[HazardRisk_name]],categories[HazardRisk_Name],categories[Category])</f>
        <v>Navigational</v>
      </c>
      <c r="I451" t="s">
        <v>474</v>
      </c>
      <c r="J451" s="10">
        <v>4</v>
      </c>
      <c r="K451" t="s">
        <v>2646</v>
      </c>
      <c r="L451" s="10">
        <v>7</v>
      </c>
      <c r="M451" t="s">
        <v>2646</v>
      </c>
      <c r="N451" s="10">
        <f>FMECA[[#This Row],[probability_value]]*FMECA[[#This Row],[consequence_value]]</f>
        <v>28</v>
      </c>
      <c r="O451" s="10" t="str">
        <f>IF(AND(FMECA[[#This Row],[Score]]&gt;=0, 9&gt;=FMECA[[#This Row],[Score]]), "UNDETECTABLE", IF(AND(FMECA[[#This Row],[Score]]&gt;=10, 24&gt;=FMECA[[#This Row],[Score]]), "MODERATE", IF(AND(FMECA[[#This Row],[Score]]&gt;=25, 35&gt;=FMECA[[#This Row],[Score]]), "HIGH", IF(AND(FMECA[[#This Row],[Score]]&gt;=36, 50&gt;=FMECA[[#This Row],[Score]]), "VERY HIGH", "Check Formula"))))</f>
        <v>HIGH</v>
      </c>
      <c r="P451" s="10" t="s">
        <v>767</v>
      </c>
      <c r="Q451" t="s">
        <v>1162</v>
      </c>
      <c r="R451" t="s">
        <v>780</v>
      </c>
      <c r="S451" t="s">
        <v>2373</v>
      </c>
      <c r="T451" t="s">
        <v>793</v>
      </c>
      <c r="AA451" t="s">
        <v>1162</v>
      </c>
    </row>
    <row r="452" spans="1:27" x14ac:dyDescent="0.2">
      <c r="A452" s="225" t="s">
        <v>169</v>
      </c>
      <c r="B452" t="s">
        <v>63</v>
      </c>
      <c r="C452" t="s">
        <v>237</v>
      </c>
      <c r="D452" t="s">
        <v>267</v>
      </c>
      <c r="E452" t="s">
        <v>270</v>
      </c>
      <c r="F452" s="226" t="s">
        <v>261</v>
      </c>
      <c r="G452" t="str">
        <f>_xlfn.XLOOKUP(FMECA[[#This Row],[HazardRisk_name]],categories[HazardRisk_Name],categories[HazardRisk])</f>
        <v>Risk</v>
      </c>
      <c r="H452" t="str">
        <f>_xlfn.XLOOKUP(FMECA[[#This Row],[HazardRisk_name]],categories[HazardRisk_Name],categories[Category])</f>
        <v>Environmental</v>
      </c>
      <c r="I452" t="s">
        <v>717</v>
      </c>
      <c r="J452" s="10">
        <v>3</v>
      </c>
      <c r="K452" t="s">
        <v>1530</v>
      </c>
      <c r="L452" s="10">
        <v>7</v>
      </c>
      <c r="M452" t="s">
        <v>1333</v>
      </c>
      <c r="N452" s="10">
        <f>FMECA[[#This Row],[probability_value]]*FMECA[[#This Row],[consequence_value]]</f>
        <v>21</v>
      </c>
      <c r="O45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52" s="10" t="s">
        <v>767</v>
      </c>
      <c r="Q452" t="s">
        <v>1162</v>
      </c>
      <c r="R452" t="s">
        <v>780</v>
      </c>
      <c r="S452" t="s">
        <v>2373</v>
      </c>
      <c r="T452" t="s">
        <v>793</v>
      </c>
      <c r="AA452" t="s">
        <v>1162</v>
      </c>
    </row>
    <row r="453" spans="1:27" x14ac:dyDescent="0.2">
      <c r="A453" s="225" t="s">
        <v>170</v>
      </c>
      <c r="B453" t="s">
        <v>63</v>
      </c>
      <c r="C453" t="s">
        <v>237</v>
      </c>
      <c r="D453" t="s">
        <v>268</v>
      </c>
      <c r="E453" t="s">
        <v>274</v>
      </c>
      <c r="F453" s="226" t="s">
        <v>262</v>
      </c>
      <c r="G453" t="str">
        <f>_xlfn.XLOOKUP(FMECA[[#This Row],[HazardRisk_name]],categories[HazardRisk_Name],categories[HazardRisk])</f>
        <v>Risk</v>
      </c>
      <c r="H453" t="str">
        <f>_xlfn.XLOOKUP(FMECA[[#This Row],[HazardRisk_name]],categories[HazardRisk_Name],categories[Category])</f>
        <v>Navigational</v>
      </c>
      <c r="I453" t="s">
        <v>638</v>
      </c>
      <c r="J453" s="10">
        <v>5</v>
      </c>
      <c r="K453" t="s">
        <v>2637</v>
      </c>
      <c r="L453" s="10">
        <v>7</v>
      </c>
      <c r="M453" t="s">
        <v>2637</v>
      </c>
      <c r="N453" s="10">
        <f>FMECA[[#This Row],[probability_value]]*FMECA[[#This Row],[consequence_value]]</f>
        <v>35</v>
      </c>
      <c r="O453" s="10" t="str">
        <f>IF(AND(FMECA[[#This Row],[Score]]&gt;=0, 9&gt;=FMECA[[#This Row],[Score]]), "UNDETECTABLE", IF(AND(FMECA[[#This Row],[Score]]&gt;=10, 24&gt;=FMECA[[#This Row],[Score]]), "MODERATE", IF(AND(FMECA[[#This Row],[Score]]&gt;=25, 35&gt;=FMECA[[#This Row],[Score]]), "HIGH", IF(AND(FMECA[[#This Row],[Score]]&gt;=36, 50&gt;=FMECA[[#This Row],[Score]]), "VERY HIGH", "Check Formula"))))</f>
        <v>HIGH</v>
      </c>
      <c r="P453" s="10" t="s">
        <v>767</v>
      </c>
      <c r="Q453" t="s">
        <v>1162</v>
      </c>
      <c r="R453" t="s">
        <v>780</v>
      </c>
      <c r="S453" t="s">
        <v>2372</v>
      </c>
      <c r="T453" t="s">
        <v>793</v>
      </c>
      <c r="AA453" t="s">
        <v>1162</v>
      </c>
    </row>
    <row r="454" spans="1:27" x14ac:dyDescent="0.2">
      <c r="A454" s="225" t="s">
        <v>170</v>
      </c>
      <c r="B454" t="s">
        <v>63</v>
      </c>
      <c r="C454" t="s">
        <v>237</v>
      </c>
      <c r="D454" t="s">
        <v>268</v>
      </c>
      <c r="E454" t="s">
        <v>274</v>
      </c>
      <c r="F454" s="226" t="s">
        <v>262</v>
      </c>
      <c r="G454" t="str">
        <f>_xlfn.XLOOKUP(FMECA[[#This Row],[HazardRisk_name]],categories[HazardRisk_Name],categories[HazardRisk])</f>
        <v>Risk</v>
      </c>
      <c r="H454" t="str">
        <f>_xlfn.XLOOKUP(FMECA[[#This Row],[HazardRisk_name]],categories[HazardRisk_Name],categories[Category])</f>
        <v>Political</v>
      </c>
      <c r="I454" t="s">
        <v>476</v>
      </c>
      <c r="J454" s="10">
        <v>3</v>
      </c>
      <c r="K454" t="s">
        <v>2639</v>
      </c>
      <c r="L454" s="10">
        <v>7</v>
      </c>
      <c r="M454" t="s">
        <v>2639</v>
      </c>
      <c r="N454" s="10">
        <f>FMECA[[#This Row],[probability_value]]*FMECA[[#This Row],[consequence_value]]</f>
        <v>21</v>
      </c>
      <c r="O45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54" s="10" t="s">
        <v>767</v>
      </c>
      <c r="Q454" t="s">
        <v>1162</v>
      </c>
      <c r="R454" t="s">
        <v>780</v>
      </c>
      <c r="S454" t="s">
        <v>2372</v>
      </c>
      <c r="T454" t="s">
        <v>793</v>
      </c>
      <c r="AA454" t="s">
        <v>1162</v>
      </c>
    </row>
    <row r="455" spans="1:27" x14ac:dyDescent="0.2">
      <c r="A455" s="225" t="s">
        <v>170</v>
      </c>
      <c r="B455" t="s">
        <v>63</v>
      </c>
      <c r="C455" t="s">
        <v>237</v>
      </c>
      <c r="D455" t="s">
        <v>268</v>
      </c>
      <c r="E455" t="s">
        <v>274</v>
      </c>
      <c r="F455" s="226" t="s">
        <v>262</v>
      </c>
      <c r="G455" t="str">
        <f>_xlfn.XLOOKUP(FMECA[[#This Row],[HazardRisk_name]],categories[HazardRisk_Name],categories[HazardRisk])</f>
        <v>Hazard</v>
      </c>
      <c r="H455" t="str">
        <f>_xlfn.XLOOKUP(FMECA[[#This Row],[HazardRisk_name]],categories[HazardRisk_Name],categories[Category])</f>
        <v>Environmental</v>
      </c>
      <c r="I455" t="s">
        <v>684</v>
      </c>
      <c r="J455" s="10">
        <v>3</v>
      </c>
      <c r="K455" t="s">
        <v>2636</v>
      </c>
      <c r="L455" s="10">
        <v>7</v>
      </c>
      <c r="M455" t="s">
        <v>2636</v>
      </c>
      <c r="N455" s="10">
        <f>FMECA[[#This Row],[probability_value]]*FMECA[[#This Row],[consequence_value]]</f>
        <v>21</v>
      </c>
      <c r="O45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55" s="10" t="s">
        <v>767</v>
      </c>
      <c r="Q455" t="s">
        <v>1162</v>
      </c>
      <c r="R455" t="s">
        <v>780</v>
      </c>
      <c r="S455" t="s">
        <v>2372</v>
      </c>
      <c r="T455" t="s">
        <v>793</v>
      </c>
      <c r="AA455" t="s">
        <v>1162</v>
      </c>
    </row>
    <row r="456" spans="1:27" x14ac:dyDescent="0.2">
      <c r="A456" s="225" t="s">
        <v>170</v>
      </c>
      <c r="B456" t="s">
        <v>63</v>
      </c>
      <c r="C456" t="s">
        <v>237</v>
      </c>
      <c r="D456" t="s">
        <v>268</v>
      </c>
      <c r="E456" t="s">
        <v>274</v>
      </c>
      <c r="F456" s="226" t="s">
        <v>262</v>
      </c>
      <c r="G456" t="str">
        <f>_xlfn.XLOOKUP(FMECA[[#This Row],[HazardRisk_name]],categories[HazardRisk_Name],categories[HazardRisk])</f>
        <v>Risk</v>
      </c>
      <c r="H456" t="str">
        <f>_xlfn.XLOOKUP(FMECA[[#This Row],[HazardRisk_name]],categories[HazardRisk_Name],categories[Category])</f>
        <v>Navigational</v>
      </c>
      <c r="I456" t="s">
        <v>589</v>
      </c>
      <c r="J456" s="10">
        <v>3</v>
      </c>
      <c r="K456" t="s">
        <v>2631</v>
      </c>
      <c r="L456" s="10">
        <v>7</v>
      </c>
      <c r="M456" t="s">
        <v>2631</v>
      </c>
      <c r="N456" s="10">
        <f>FMECA[[#This Row],[probability_value]]*FMECA[[#This Row],[consequence_value]]</f>
        <v>21</v>
      </c>
      <c r="O45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56" s="10" t="s">
        <v>767</v>
      </c>
      <c r="Q456" t="s">
        <v>1162</v>
      </c>
      <c r="R456" t="s">
        <v>780</v>
      </c>
      <c r="S456" t="s">
        <v>2372</v>
      </c>
      <c r="T456" t="s">
        <v>793</v>
      </c>
      <c r="AA456" t="s">
        <v>1162</v>
      </c>
    </row>
    <row r="457" spans="1:27" x14ac:dyDescent="0.2">
      <c r="A457" s="225" t="s">
        <v>170</v>
      </c>
      <c r="B457" t="s">
        <v>63</v>
      </c>
      <c r="C457" t="s">
        <v>237</v>
      </c>
      <c r="D457" t="s">
        <v>268</v>
      </c>
      <c r="E457" t="s">
        <v>274</v>
      </c>
      <c r="F457" s="226" t="s">
        <v>262</v>
      </c>
      <c r="G457" t="str">
        <f>_xlfn.XLOOKUP(FMECA[[#This Row],[HazardRisk_name]],categories[HazardRisk_Name],categories[HazardRisk])</f>
        <v>Risk</v>
      </c>
      <c r="H457" t="str">
        <f>_xlfn.XLOOKUP(FMECA[[#This Row],[HazardRisk_name]],categories[HazardRisk_Name],categories[Category])</f>
        <v>Social</v>
      </c>
      <c r="I457" t="s">
        <v>569</v>
      </c>
      <c r="J457" s="10">
        <v>4</v>
      </c>
      <c r="K457" t="s">
        <v>2637</v>
      </c>
      <c r="L457" s="10">
        <v>7</v>
      </c>
      <c r="M457" t="s">
        <v>2637</v>
      </c>
      <c r="N457" s="10">
        <f>FMECA[[#This Row],[probability_value]]*FMECA[[#This Row],[consequence_value]]</f>
        <v>28</v>
      </c>
      <c r="O457" s="10" t="str">
        <f>IF(AND(FMECA[[#This Row],[Score]]&gt;=0, 9&gt;=FMECA[[#This Row],[Score]]), "UNDETECTABLE", IF(AND(FMECA[[#This Row],[Score]]&gt;=10, 24&gt;=FMECA[[#This Row],[Score]]), "MODERATE", IF(AND(FMECA[[#This Row],[Score]]&gt;=25, 35&gt;=FMECA[[#This Row],[Score]]), "HIGH", IF(AND(FMECA[[#This Row],[Score]]&gt;=36, 50&gt;=FMECA[[#This Row],[Score]]), "VERY HIGH", "Check Formula"))))</f>
        <v>HIGH</v>
      </c>
      <c r="P457" s="10" t="s">
        <v>767</v>
      </c>
      <c r="Q457" t="s">
        <v>1162</v>
      </c>
      <c r="R457" t="s">
        <v>780</v>
      </c>
      <c r="S457" t="s">
        <v>2372</v>
      </c>
      <c r="T457" t="s">
        <v>793</v>
      </c>
      <c r="AA457" t="s">
        <v>1162</v>
      </c>
    </row>
    <row r="458" spans="1:27" ht="34" x14ac:dyDescent="0.2">
      <c r="A458" s="225" t="s">
        <v>170</v>
      </c>
      <c r="B458" t="s">
        <v>63</v>
      </c>
      <c r="C458" t="s">
        <v>237</v>
      </c>
      <c r="D458" t="s">
        <v>268</v>
      </c>
      <c r="E458" t="s">
        <v>274</v>
      </c>
      <c r="F458" s="226" t="s">
        <v>262</v>
      </c>
      <c r="G458" t="str">
        <f>_xlfn.XLOOKUP(FMECA[[#This Row],[HazardRisk_name]],categories[HazardRisk_Name],categories[HazardRisk])</f>
        <v>Risk</v>
      </c>
      <c r="H458" t="str">
        <f>_xlfn.XLOOKUP(FMECA[[#This Row],[HazardRisk_name]],categories[HazardRisk_Name],categories[Category])</f>
        <v>Operational</v>
      </c>
      <c r="I458" s="15" t="s">
        <v>1320</v>
      </c>
      <c r="J458" s="10">
        <v>3</v>
      </c>
      <c r="K458" t="s">
        <v>2638</v>
      </c>
      <c r="L458" s="10">
        <v>4</v>
      </c>
      <c r="M458" t="s">
        <v>2638</v>
      </c>
      <c r="N458" s="10">
        <f>FMECA[[#This Row],[probability_value]]*FMECA[[#This Row],[consequence_value]]</f>
        <v>12</v>
      </c>
      <c r="O45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58" s="10" t="s">
        <v>767</v>
      </c>
      <c r="Q458" t="s">
        <v>1162</v>
      </c>
      <c r="R458" t="s">
        <v>780</v>
      </c>
      <c r="S458" t="s">
        <v>2372</v>
      </c>
      <c r="T458" t="s">
        <v>793</v>
      </c>
      <c r="AA458" t="s">
        <v>1162</v>
      </c>
    </row>
    <row r="459" spans="1:27" x14ac:dyDescent="0.2">
      <c r="A459" s="225" t="s">
        <v>170</v>
      </c>
      <c r="B459" t="s">
        <v>63</v>
      </c>
      <c r="C459" t="s">
        <v>237</v>
      </c>
      <c r="D459" t="s">
        <v>268</v>
      </c>
      <c r="E459" t="s">
        <v>274</v>
      </c>
      <c r="F459" s="226" t="s">
        <v>262</v>
      </c>
      <c r="G459" t="str">
        <f>_xlfn.XLOOKUP(FMECA[[#This Row],[HazardRisk_name]],categories[HazardRisk_Name],categories[HazardRisk])</f>
        <v>Hazard</v>
      </c>
      <c r="H459" t="str">
        <f>_xlfn.XLOOKUP(FMECA[[#This Row],[HazardRisk_name]],categories[HazardRisk_Name],categories[Category])</f>
        <v>Environmental</v>
      </c>
      <c r="I459" t="s">
        <v>718</v>
      </c>
      <c r="J459" s="10">
        <v>5</v>
      </c>
      <c r="K459" t="s">
        <v>2640</v>
      </c>
      <c r="L459" s="10">
        <v>7</v>
      </c>
      <c r="M459" t="s">
        <v>2640</v>
      </c>
      <c r="N459" s="10">
        <f>FMECA[[#This Row],[probability_value]]*FMECA[[#This Row],[consequence_value]]</f>
        <v>35</v>
      </c>
      <c r="O459" s="10" t="str">
        <f>IF(AND(FMECA[[#This Row],[Score]]&gt;=0, 9&gt;=FMECA[[#This Row],[Score]]), "UNDETECTABLE", IF(AND(FMECA[[#This Row],[Score]]&gt;=10, 24&gt;=FMECA[[#This Row],[Score]]), "MODERATE", IF(AND(FMECA[[#This Row],[Score]]&gt;=25, 35&gt;=FMECA[[#This Row],[Score]]), "HIGH", IF(AND(FMECA[[#This Row],[Score]]&gt;=36, 50&gt;=FMECA[[#This Row],[Score]]), "VERY HIGH", "Check Formula"))))</f>
        <v>HIGH</v>
      </c>
      <c r="P459" s="10" t="s">
        <v>767</v>
      </c>
      <c r="Q459" t="s">
        <v>1162</v>
      </c>
      <c r="R459" t="s">
        <v>780</v>
      </c>
      <c r="S459" t="s">
        <v>2372</v>
      </c>
      <c r="T459" t="s">
        <v>793</v>
      </c>
      <c r="AA459" t="s">
        <v>1162</v>
      </c>
    </row>
    <row r="460" spans="1:27" x14ac:dyDescent="0.2">
      <c r="A460" s="225" t="s">
        <v>170</v>
      </c>
      <c r="B460" t="s">
        <v>63</v>
      </c>
      <c r="C460" t="s">
        <v>237</v>
      </c>
      <c r="D460" t="s">
        <v>268</v>
      </c>
      <c r="E460" t="s">
        <v>274</v>
      </c>
      <c r="F460" s="226" t="s">
        <v>262</v>
      </c>
      <c r="G460" t="str">
        <f>_xlfn.XLOOKUP(FMECA[[#This Row],[HazardRisk_name]],categories[HazardRisk_Name],categories[HazardRisk])</f>
        <v>Risk</v>
      </c>
      <c r="H460" t="str">
        <f>_xlfn.XLOOKUP(FMECA[[#This Row],[HazardRisk_name]],categories[HazardRisk_Name],categories[Category])</f>
        <v>Navigational</v>
      </c>
      <c r="I460" t="s">
        <v>703</v>
      </c>
      <c r="J460" s="10">
        <v>2</v>
      </c>
      <c r="K460" t="s">
        <v>2641</v>
      </c>
      <c r="L460" s="10">
        <v>10</v>
      </c>
      <c r="M460" t="s">
        <v>2641</v>
      </c>
      <c r="N460" s="10">
        <f>FMECA[[#This Row],[probability_value]]*FMECA[[#This Row],[consequence_value]]</f>
        <v>20</v>
      </c>
      <c r="O46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60" s="10" t="s">
        <v>767</v>
      </c>
      <c r="Q460" t="s">
        <v>1162</v>
      </c>
      <c r="R460" t="s">
        <v>780</v>
      </c>
      <c r="S460" t="s">
        <v>2372</v>
      </c>
      <c r="T460" t="s">
        <v>793</v>
      </c>
      <c r="AA460" t="s">
        <v>1162</v>
      </c>
    </row>
    <row r="461" spans="1:27" x14ac:dyDescent="0.2">
      <c r="A461" s="225" t="s">
        <v>170</v>
      </c>
      <c r="B461" t="s">
        <v>63</v>
      </c>
      <c r="C461" t="s">
        <v>237</v>
      </c>
      <c r="D461" t="s">
        <v>268</v>
      </c>
      <c r="E461" t="s">
        <v>274</v>
      </c>
      <c r="F461" s="226" t="s">
        <v>262</v>
      </c>
      <c r="G461" t="str">
        <f>_xlfn.XLOOKUP(FMECA[[#This Row],[HazardRisk_name]],categories[HazardRisk_Name],categories[HazardRisk])</f>
        <v>Risk</v>
      </c>
      <c r="H461" t="str">
        <f>_xlfn.XLOOKUP(FMECA[[#This Row],[HazardRisk_name]],categories[HazardRisk_Name],categories[Category])</f>
        <v>Political</v>
      </c>
      <c r="I461" t="s">
        <v>536</v>
      </c>
      <c r="J461" s="10">
        <v>5</v>
      </c>
      <c r="K461" t="s">
        <v>2634</v>
      </c>
      <c r="L461" s="10">
        <v>7</v>
      </c>
      <c r="M461" t="s">
        <v>2634</v>
      </c>
      <c r="N461" s="10">
        <f>FMECA[[#This Row],[probability_value]]*FMECA[[#This Row],[consequence_value]]</f>
        <v>35</v>
      </c>
      <c r="O461" s="10" t="str">
        <f>IF(AND(FMECA[[#This Row],[Score]]&gt;=0, 9&gt;=FMECA[[#This Row],[Score]]), "UNDETECTABLE", IF(AND(FMECA[[#This Row],[Score]]&gt;=10, 24&gt;=FMECA[[#This Row],[Score]]), "MODERATE", IF(AND(FMECA[[#This Row],[Score]]&gt;=25, 35&gt;=FMECA[[#This Row],[Score]]), "HIGH", IF(AND(FMECA[[#This Row],[Score]]&gt;=36, 50&gt;=FMECA[[#This Row],[Score]]), "VERY HIGH", "Check Formula"))))</f>
        <v>HIGH</v>
      </c>
      <c r="P461" s="10" t="s">
        <v>767</v>
      </c>
      <c r="Q461" t="s">
        <v>1162</v>
      </c>
      <c r="R461" t="s">
        <v>780</v>
      </c>
      <c r="S461" t="s">
        <v>2372</v>
      </c>
      <c r="T461" t="s">
        <v>793</v>
      </c>
    </row>
    <row r="462" spans="1:27" x14ac:dyDescent="0.2">
      <c r="A462" s="225" t="s">
        <v>170</v>
      </c>
      <c r="B462" t="s">
        <v>63</v>
      </c>
      <c r="C462" t="s">
        <v>237</v>
      </c>
      <c r="D462" t="s">
        <v>268</v>
      </c>
      <c r="E462" t="s">
        <v>274</v>
      </c>
      <c r="F462" s="226" t="s">
        <v>262</v>
      </c>
      <c r="G462" t="str">
        <f>_xlfn.XLOOKUP(FMECA[[#This Row],[HazardRisk_name]],categories[HazardRisk_Name],categories[HazardRisk])</f>
        <v>Risk</v>
      </c>
      <c r="H462" t="str">
        <f>_xlfn.XLOOKUP(FMECA[[#This Row],[HazardRisk_name]],categories[HazardRisk_Name],categories[Category])</f>
        <v>Political</v>
      </c>
      <c r="I462" t="s">
        <v>629</v>
      </c>
      <c r="J462" s="10">
        <v>5</v>
      </c>
      <c r="K462" t="s">
        <v>2635</v>
      </c>
      <c r="L462" s="10">
        <v>7</v>
      </c>
      <c r="M462" t="s">
        <v>2635</v>
      </c>
      <c r="N462" s="10">
        <f>FMECA[[#This Row],[probability_value]]*FMECA[[#This Row],[consequence_value]]</f>
        <v>35</v>
      </c>
      <c r="O462" s="10" t="str">
        <f>IF(AND(FMECA[[#This Row],[Score]]&gt;=0, 9&gt;=FMECA[[#This Row],[Score]]), "UNDETECTABLE", IF(AND(FMECA[[#This Row],[Score]]&gt;=10, 24&gt;=FMECA[[#This Row],[Score]]), "MODERATE", IF(AND(FMECA[[#This Row],[Score]]&gt;=25, 35&gt;=FMECA[[#This Row],[Score]]), "HIGH", IF(AND(FMECA[[#This Row],[Score]]&gt;=36, 50&gt;=FMECA[[#This Row],[Score]]), "VERY HIGH", "Check Formula"))))</f>
        <v>HIGH</v>
      </c>
      <c r="P462" s="10" t="s">
        <v>767</v>
      </c>
      <c r="Q462" t="s">
        <v>1162</v>
      </c>
      <c r="R462" t="s">
        <v>780</v>
      </c>
      <c r="S462" t="s">
        <v>2372</v>
      </c>
      <c r="T462" t="s">
        <v>793</v>
      </c>
    </row>
    <row r="463" spans="1:27" x14ac:dyDescent="0.2">
      <c r="A463" s="225" t="s">
        <v>170</v>
      </c>
      <c r="B463" t="s">
        <v>63</v>
      </c>
      <c r="C463" t="s">
        <v>237</v>
      </c>
      <c r="D463" t="s">
        <v>268</v>
      </c>
      <c r="E463" t="s">
        <v>274</v>
      </c>
      <c r="F463" s="226" t="s">
        <v>262</v>
      </c>
      <c r="G463" t="str">
        <f>_xlfn.XLOOKUP(FMECA[[#This Row],[HazardRisk_name]],categories[HazardRisk_Name],categories[HazardRisk])</f>
        <v>Risk</v>
      </c>
      <c r="H463" t="str">
        <f>_xlfn.XLOOKUP(FMECA[[#This Row],[HazardRisk_name]],categories[HazardRisk_Name],categories[Category])</f>
        <v>Assessment</v>
      </c>
      <c r="I463" t="s">
        <v>623</v>
      </c>
      <c r="J463" s="10">
        <v>4</v>
      </c>
      <c r="K463" t="s">
        <v>2633</v>
      </c>
      <c r="L463" s="10">
        <v>7</v>
      </c>
      <c r="M463" t="s">
        <v>2633</v>
      </c>
      <c r="N463" s="10">
        <f>FMECA[[#This Row],[probability_value]]*FMECA[[#This Row],[consequence_value]]</f>
        <v>28</v>
      </c>
      <c r="O463" s="10" t="str">
        <f>IF(AND(FMECA[[#This Row],[Score]]&gt;=0, 9&gt;=FMECA[[#This Row],[Score]]), "UNDETECTABLE", IF(AND(FMECA[[#This Row],[Score]]&gt;=10, 24&gt;=FMECA[[#This Row],[Score]]), "MODERATE", IF(AND(FMECA[[#This Row],[Score]]&gt;=25, 35&gt;=FMECA[[#This Row],[Score]]), "HIGH", IF(AND(FMECA[[#This Row],[Score]]&gt;=36, 50&gt;=FMECA[[#This Row],[Score]]), "VERY HIGH", "Check Formula"))))</f>
        <v>HIGH</v>
      </c>
      <c r="P463" s="10" t="s">
        <v>767</v>
      </c>
      <c r="Q463" t="s">
        <v>1162</v>
      </c>
      <c r="R463" t="s">
        <v>780</v>
      </c>
      <c r="S463" t="s">
        <v>2372</v>
      </c>
      <c r="T463" t="s">
        <v>793</v>
      </c>
    </row>
    <row r="464" spans="1:27" x14ac:dyDescent="0.2">
      <c r="A464" s="225" t="s">
        <v>170</v>
      </c>
      <c r="B464" t="s">
        <v>63</v>
      </c>
      <c r="C464" t="s">
        <v>237</v>
      </c>
      <c r="D464" t="s">
        <v>268</v>
      </c>
      <c r="E464" t="s">
        <v>274</v>
      </c>
      <c r="F464" s="226" t="s">
        <v>262</v>
      </c>
      <c r="G464" t="str">
        <f>_xlfn.XLOOKUP(FMECA[[#This Row],[HazardRisk_name]],categories[HazardRisk_Name],categories[HazardRisk])</f>
        <v>Risk</v>
      </c>
      <c r="H464" t="str">
        <f>_xlfn.XLOOKUP(FMECA[[#This Row],[HazardRisk_name]],categories[HazardRisk_Name],categories[Category])</f>
        <v>Assessment</v>
      </c>
      <c r="I464" t="s">
        <v>698</v>
      </c>
      <c r="J464" s="10">
        <v>4</v>
      </c>
      <c r="K464" t="s">
        <v>2633</v>
      </c>
      <c r="L464" s="10">
        <v>4</v>
      </c>
      <c r="M464" t="s">
        <v>2633</v>
      </c>
      <c r="N464" s="10">
        <f>FMECA[[#This Row],[probability_value]]*FMECA[[#This Row],[consequence_value]]</f>
        <v>16</v>
      </c>
      <c r="O46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64" s="10" t="s">
        <v>767</v>
      </c>
      <c r="Q464" t="s">
        <v>1162</v>
      </c>
      <c r="R464" t="s">
        <v>780</v>
      </c>
      <c r="S464" t="s">
        <v>2372</v>
      </c>
      <c r="T464" t="s">
        <v>793</v>
      </c>
    </row>
    <row r="465" spans="1:27" x14ac:dyDescent="0.2">
      <c r="A465" s="225" t="s">
        <v>170</v>
      </c>
      <c r="B465" t="s">
        <v>63</v>
      </c>
      <c r="C465" t="s">
        <v>237</v>
      </c>
      <c r="D465" t="s">
        <v>268</v>
      </c>
      <c r="E465" t="s">
        <v>274</v>
      </c>
      <c r="F465" s="226" t="s">
        <v>262</v>
      </c>
      <c r="G465" t="str">
        <f>_xlfn.XLOOKUP(FMECA[[#This Row],[HazardRisk_name]],categories[HazardRisk_Name],categories[HazardRisk])</f>
        <v>Hazard</v>
      </c>
      <c r="H465" t="str">
        <f>_xlfn.XLOOKUP(FMECA[[#This Row],[HazardRisk_name]],categories[HazardRisk_Name],categories[Category])</f>
        <v>Technological</v>
      </c>
      <c r="I465" t="s">
        <v>1311</v>
      </c>
      <c r="J465" s="10">
        <v>4</v>
      </c>
      <c r="K465" t="s">
        <v>2632</v>
      </c>
      <c r="L465" s="10">
        <v>7</v>
      </c>
      <c r="M465" t="s">
        <v>2632</v>
      </c>
      <c r="N465" s="10">
        <f>FMECA[[#This Row],[probability_value]]*FMECA[[#This Row],[consequence_value]]</f>
        <v>28</v>
      </c>
      <c r="O465" s="10" t="str">
        <f>IF(AND(FMECA[[#This Row],[Score]]&gt;=0, 9&gt;=FMECA[[#This Row],[Score]]), "UNDETECTABLE", IF(AND(FMECA[[#This Row],[Score]]&gt;=10, 24&gt;=FMECA[[#This Row],[Score]]), "MODERATE", IF(AND(FMECA[[#This Row],[Score]]&gt;=25, 35&gt;=FMECA[[#This Row],[Score]]), "HIGH", IF(AND(FMECA[[#This Row],[Score]]&gt;=36, 50&gt;=FMECA[[#This Row],[Score]]), "VERY HIGH", "Check Formula"))))</f>
        <v>HIGH</v>
      </c>
      <c r="P465" s="10" t="s">
        <v>767</v>
      </c>
      <c r="Q465" t="s">
        <v>1162</v>
      </c>
      <c r="R465" t="s">
        <v>780</v>
      </c>
      <c r="S465" t="s">
        <v>2372</v>
      </c>
      <c r="T465" t="s">
        <v>793</v>
      </c>
    </row>
    <row r="466" spans="1:27" x14ac:dyDescent="0.2">
      <c r="A466" s="225" t="s">
        <v>170</v>
      </c>
      <c r="B466" t="s">
        <v>63</v>
      </c>
      <c r="C466" t="s">
        <v>237</v>
      </c>
      <c r="D466" t="s">
        <v>268</v>
      </c>
      <c r="E466" t="s">
        <v>274</v>
      </c>
      <c r="F466" s="226" t="s">
        <v>262</v>
      </c>
      <c r="G466" t="str">
        <f>_xlfn.XLOOKUP(FMECA[[#This Row],[HazardRisk_name]],categories[HazardRisk_Name],categories[HazardRisk])</f>
        <v>Risk</v>
      </c>
      <c r="H466" t="str">
        <f>_xlfn.XLOOKUP(FMECA[[#This Row],[HazardRisk_name]],categories[HazardRisk_Name],categories[Category])</f>
        <v>Technological</v>
      </c>
      <c r="I466" t="s">
        <v>692</v>
      </c>
      <c r="J466" s="10">
        <v>5</v>
      </c>
      <c r="K466" t="s">
        <v>2631</v>
      </c>
      <c r="L466" s="10">
        <v>7</v>
      </c>
      <c r="M466" t="s">
        <v>2631</v>
      </c>
      <c r="N466" s="10">
        <f>FMECA[[#This Row],[probability_value]]*FMECA[[#This Row],[consequence_value]]</f>
        <v>35</v>
      </c>
      <c r="O466" s="10" t="str">
        <f>IF(AND(FMECA[[#This Row],[Score]]&gt;=0, 9&gt;=FMECA[[#This Row],[Score]]), "UNDETECTABLE", IF(AND(FMECA[[#This Row],[Score]]&gt;=10, 24&gt;=FMECA[[#This Row],[Score]]), "MODERATE", IF(AND(FMECA[[#This Row],[Score]]&gt;=25, 35&gt;=FMECA[[#This Row],[Score]]), "HIGH", IF(AND(FMECA[[#This Row],[Score]]&gt;=36, 50&gt;=FMECA[[#This Row],[Score]]), "VERY HIGH", "Check Formula"))))</f>
        <v>HIGH</v>
      </c>
      <c r="P466" s="10" t="s">
        <v>767</v>
      </c>
      <c r="Q466" t="s">
        <v>1162</v>
      </c>
      <c r="R466" t="s">
        <v>780</v>
      </c>
      <c r="S466" t="s">
        <v>2372</v>
      </c>
      <c r="T466" t="s">
        <v>793</v>
      </c>
    </row>
    <row r="467" spans="1:27" x14ac:dyDescent="0.2">
      <c r="A467" s="225" t="s">
        <v>170</v>
      </c>
      <c r="B467" t="s">
        <v>63</v>
      </c>
      <c r="C467" t="s">
        <v>237</v>
      </c>
      <c r="D467" t="s">
        <v>268</v>
      </c>
      <c r="E467" t="s">
        <v>274</v>
      </c>
      <c r="F467" s="226" t="s">
        <v>262</v>
      </c>
      <c r="G467" t="str">
        <f>_xlfn.XLOOKUP(FMECA[[#This Row],[HazardRisk_name]],categories[HazardRisk_Name],categories[HazardRisk])</f>
        <v>Risk</v>
      </c>
      <c r="H467" t="str">
        <f>_xlfn.XLOOKUP(FMECA[[#This Row],[HazardRisk_name]],categories[HazardRisk_Name],categories[Category])</f>
        <v>Community</v>
      </c>
      <c r="I467" t="s">
        <v>679</v>
      </c>
      <c r="J467" s="10">
        <v>3</v>
      </c>
      <c r="K467" t="s">
        <v>2630</v>
      </c>
      <c r="L467" s="10">
        <v>7</v>
      </c>
      <c r="M467" t="s">
        <v>2630</v>
      </c>
      <c r="N467" s="10">
        <f>FMECA[[#This Row],[probability_value]]*FMECA[[#This Row],[consequence_value]]</f>
        <v>21</v>
      </c>
      <c r="O46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67" s="10" t="s">
        <v>767</v>
      </c>
      <c r="Q467" t="s">
        <v>1162</v>
      </c>
      <c r="R467" t="s">
        <v>780</v>
      </c>
      <c r="S467" t="s">
        <v>2372</v>
      </c>
      <c r="T467" t="s">
        <v>793</v>
      </c>
    </row>
    <row r="468" spans="1:27" x14ac:dyDescent="0.2">
      <c r="A468" s="225" t="s">
        <v>170</v>
      </c>
      <c r="B468" t="s">
        <v>63</v>
      </c>
      <c r="C468" t="s">
        <v>237</v>
      </c>
      <c r="D468" t="s">
        <v>268</v>
      </c>
      <c r="E468" t="s">
        <v>274</v>
      </c>
      <c r="F468" s="226" t="s">
        <v>262</v>
      </c>
      <c r="G468" t="str">
        <f>_xlfn.XLOOKUP(FMECA[[#This Row],[HazardRisk_name]],categories[HazardRisk_Name],categories[HazardRisk])</f>
        <v>Hazard</v>
      </c>
      <c r="H468" t="str">
        <f>_xlfn.XLOOKUP(FMECA[[#This Row],[HazardRisk_name]],categories[HazardRisk_Name],categories[Category])</f>
        <v>Operational</v>
      </c>
      <c r="I468" t="s">
        <v>1315</v>
      </c>
      <c r="J468" s="10">
        <v>4</v>
      </c>
      <c r="K468" t="s">
        <v>2628</v>
      </c>
      <c r="L468" s="10">
        <v>7</v>
      </c>
      <c r="M468" t="s">
        <v>2628</v>
      </c>
      <c r="N468" s="10">
        <f>FMECA[[#This Row],[probability_value]]*FMECA[[#This Row],[consequence_value]]</f>
        <v>28</v>
      </c>
      <c r="O468" s="10" t="str">
        <f>IF(AND(FMECA[[#This Row],[Score]]&gt;=0, 9&gt;=FMECA[[#This Row],[Score]]), "UNDETECTABLE", IF(AND(FMECA[[#This Row],[Score]]&gt;=10, 24&gt;=FMECA[[#This Row],[Score]]), "MODERATE", IF(AND(FMECA[[#This Row],[Score]]&gt;=25, 35&gt;=FMECA[[#This Row],[Score]]), "HIGH", IF(AND(FMECA[[#This Row],[Score]]&gt;=36, 50&gt;=FMECA[[#This Row],[Score]]), "VERY HIGH", "Check Formula"))))</f>
        <v>HIGH</v>
      </c>
      <c r="P468" s="10" t="s">
        <v>767</v>
      </c>
      <c r="Q468" t="s">
        <v>1162</v>
      </c>
      <c r="R468" t="s">
        <v>780</v>
      </c>
      <c r="S468" t="s">
        <v>2372</v>
      </c>
      <c r="T468" t="s">
        <v>793</v>
      </c>
    </row>
    <row r="469" spans="1:27" x14ac:dyDescent="0.2">
      <c r="A469" s="225" t="s">
        <v>170</v>
      </c>
      <c r="B469" t="s">
        <v>63</v>
      </c>
      <c r="C469" t="s">
        <v>237</v>
      </c>
      <c r="D469" t="s">
        <v>268</v>
      </c>
      <c r="E469" t="s">
        <v>274</v>
      </c>
      <c r="F469" s="226" t="s">
        <v>262</v>
      </c>
      <c r="G469" t="str">
        <f>_xlfn.XLOOKUP(FMECA[[#This Row],[HazardRisk_name]],categories[HazardRisk_Name],categories[HazardRisk])</f>
        <v>Risk</v>
      </c>
      <c r="H469" t="str">
        <f>_xlfn.XLOOKUP(FMECA[[#This Row],[HazardRisk_name]],categories[HazardRisk_Name],categories[Category])</f>
        <v>Political</v>
      </c>
      <c r="I469" t="s">
        <v>711</v>
      </c>
      <c r="J469" s="10">
        <v>4</v>
      </c>
      <c r="K469" t="s">
        <v>2639</v>
      </c>
      <c r="L469" s="10">
        <v>7</v>
      </c>
      <c r="M469" t="s">
        <v>2639</v>
      </c>
      <c r="N469" s="10">
        <f>FMECA[[#This Row],[probability_value]]*FMECA[[#This Row],[consequence_value]]</f>
        <v>28</v>
      </c>
      <c r="O469" s="10" t="str">
        <f>IF(AND(FMECA[[#This Row],[Score]]&gt;=0, 9&gt;=FMECA[[#This Row],[Score]]), "UNDETECTABLE", IF(AND(FMECA[[#This Row],[Score]]&gt;=10, 24&gt;=FMECA[[#This Row],[Score]]), "MODERATE", IF(AND(FMECA[[#This Row],[Score]]&gt;=25, 35&gt;=FMECA[[#This Row],[Score]]), "HIGH", IF(AND(FMECA[[#This Row],[Score]]&gt;=36, 50&gt;=FMECA[[#This Row],[Score]]), "VERY HIGH", "Check Formula"))))</f>
        <v>HIGH</v>
      </c>
      <c r="P469" s="10" t="s">
        <v>767</v>
      </c>
      <c r="Q469" t="s">
        <v>1162</v>
      </c>
      <c r="R469" t="s">
        <v>780</v>
      </c>
      <c r="S469" t="s">
        <v>2372</v>
      </c>
      <c r="T469" t="s">
        <v>793</v>
      </c>
      <c r="AA469" t="s">
        <v>1162</v>
      </c>
    </row>
    <row r="470" spans="1:27" x14ac:dyDescent="0.2">
      <c r="A470" s="225" t="s">
        <v>170</v>
      </c>
      <c r="B470" t="s">
        <v>63</v>
      </c>
      <c r="C470" t="s">
        <v>237</v>
      </c>
      <c r="D470" t="s">
        <v>268</v>
      </c>
      <c r="E470" t="s">
        <v>274</v>
      </c>
      <c r="F470" s="226" t="s">
        <v>262</v>
      </c>
      <c r="G470" t="str">
        <f>_xlfn.XLOOKUP(FMECA[[#This Row],[HazardRisk_name]],categories[HazardRisk_Name],categories[HazardRisk])</f>
        <v>Risk</v>
      </c>
      <c r="H470" t="str">
        <f>_xlfn.XLOOKUP(FMECA[[#This Row],[HazardRisk_name]],categories[HazardRisk_Name],categories[Category])</f>
        <v>Operational</v>
      </c>
      <c r="I470" t="s">
        <v>572</v>
      </c>
      <c r="J470" s="10">
        <v>4</v>
      </c>
      <c r="K470" t="s">
        <v>2629</v>
      </c>
      <c r="L470" s="10">
        <v>10</v>
      </c>
      <c r="M470" t="s">
        <v>2629</v>
      </c>
      <c r="N470" s="10">
        <f>FMECA[[#This Row],[probability_value]]*FMECA[[#This Row],[consequence_value]]</f>
        <v>40</v>
      </c>
      <c r="O470"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470" s="10" t="s">
        <v>767</v>
      </c>
      <c r="Q470" t="s">
        <v>1162</v>
      </c>
      <c r="R470" t="s">
        <v>780</v>
      </c>
      <c r="S470" t="s">
        <v>2372</v>
      </c>
      <c r="T470" t="s">
        <v>793</v>
      </c>
      <c r="AA470" t="s">
        <v>1162</v>
      </c>
    </row>
    <row r="471" spans="1:27" x14ac:dyDescent="0.2">
      <c r="A471" s="225" t="s">
        <v>171</v>
      </c>
      <c r="B471" t="s">
        <v>63</v>
      </c>
      <c r="C471" t="s">
        <v>237</v>
      </c>
      <c r="D471" t="s">
        <v>277</v>
      </c>
      <c r="E471" t="s">
        <v>335</v>
      </c>
      <c r="F471" s="226" t="s">
        <v>275</v>
      </c>
      <c r="G471" t="str">
        <f>_xlfn.XLOOKUP(FMECA[[#This Row],[HazardRisk_name]],categories[HazardRisk_Name],categories[HazardRisk])</f>
        <v>Risk</v>
      </c>
      <c r="H471" t="str">
        <f>_xlfn.XLOOKUP(FMECA[[#This Row],[HazardRisk_name]],categories[HazardRisk_Name],categories[Category])</f>
        <v>Political</v>
      </c>
      <c r="I471" t="s">
        <v>689</v>
      </c>
      <c r="J471" s="10">
        <v>3</v>
      </c>
      <c r="K471" t="s">
        <v>2594</v>
      </c>
      <c r="L471" s="10">
        <v>4</v>
      </c>
      <c r="M471" t="s">
        <v>2594</v>
      </c>
      <c r="N471" s="10">
        <f>FMECA[[#This Row],[probability_value]]*FMECA[[#This Row],[consequence_value]]</f>
        <v>12</v>
      </c>
      <c r="O47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71" s="10" t="s">
        <v>767</v>
      </c>
      <c r="Q471" t="s">
        <v>1132</v>
      </c>
      <c r="R471" t="s">
        <v>773</v>
      </c>
      <c r="S471" t="s">
        <v>2371</v>
      </c>
      <c r="T471" t="s">
        <v>793</v>
      </c>
      <c r="AA471" t="s">
        <v>1162</v>
      </c>
    </row>
    <row r="472" spans="1:27" x14ac:dyDescent="0.2">
      <c r="A472" s="225" t="s">
        <v>171</v>
      </c>
      <c r="B472" t="s">
        <v>63</v>
      </c>
      <c r="C472" t="s">
        <v>237</v>
      </c>
      <c r="D472" t="s">
        <v>277</v>
      </c>
      <c r="E472" t="s">
        <v>335</v>
      </c>
      <c r="F472" s="226" t="s">
        <v>275</v>
      </c>
      <c r="G472" t="str">
        <f>_xlfn.XLOOKUP(FMECA[[#This Row],[HazardRisk_name]],categories[HazardRisk_Name],categories[HazardRisk])</f>
        <v>Hazard</v>
      </c>
      <c r="H472" t="str">
        <f>_xlfn.XLOOKUP(FMECA[[#This Row],[HazardRisk_name]],categories[HazardRisk_Name],categories[Category])</f>
        <v>Sea Ice</v>
      </c>
      <c r="I472" t="s">
        <v>563</v>
      </c>
      <c r="J472" s="10">
        <v>4</v>
      </c>
      <c r="K472" t="s">
        <v>2595</v>
      </c>
      <c r="L472" s="10">
        <v>7</v>
      </c>
      <c r="M472" t="s">
        <v>2595</v>
      </c>
      <c r="N472" s="10">
        <f>FMECA[[#This Row],[probability_value]]*FMECA[[#This Row],[consequence_value]]</f>
        <v>28</v>
      </c>
      <c r="O472" s="10" t="str">
        <f>IF(AND(FMECA[[#This Row],[Score]]&gt;=0, 9&gt;=FMECA[[#This Row],[Score]]), "UNDETECTABLE", IF(AND(FMECA[[#This Row],[Score]]&gt;=10, 24&gt;=FMECA[[#This Row],[Score]]), "MODERATE", IF(AND(FMECA[[#This Row],[Score]]&gt;=25, 35&gt;=FMECA[[#This Row],[Score]]), "HIGH", IF(AND(FMECA[[#This Row],[Score]]&gt;=36, 50&gt;=FMECA[[#This Row],[Score]]), "VERY HIGH", "Check Formula"))))</f>
        <v>HIGH</v>
      </c>
      <c r="P472" s="10" t="s">
        <v>767</v>
      </c>
      <c r="Q472" t="s">
        <v>1132</v>
      </c>
      <c r="R472" t="s">
        <v>773</v>
      </c>
      <c r="S472" t="s">
        <v>2371</v>
      </c>
      <c r="T472" t="s">
        <v>793</v>
      </c>
      <c r="AA472" t="s">
        <v>1162</v>
      </c>
    </row>
    <row r="473" spans="1:27" x14ac:dyDescent="0.2">
      <c r="A473" s="225" t="s">
        <v>171</v>
      </c>
      <c r="B473" t="s">
        <v>63</v>
      </c>
      <c r="C473" t="s">
        <v>237</v>
      </c>
      <c r="D473" t="s">
        <v>277</v>
      </c>
      <c r="E473" t="s">
        <v>335</v>
      </c>
      <c r="F473" s="226" t="s">
        <v>275</v>
      </c>
      <c r="G473" t="str">
        <f>_xlfn.XLOOKUP(FMECA[[#This Row],[HazardRisk_name]],categories[HazardRisk_Name],categories[HazardRisk])</f>
        <v>Risk</v>
      </c>
      <c r="H473" t="str">
        <f>_xlfn.XLOOKUP(FMECA[[#This Row],[HazardRisk_name]],categories[HazardRisk_Name],categories[Category])</f>
        <v>Economic</v>
      </c>
      <c r="I473" t="s">
        <v>701</v>
      </c>
      <c r="J473" s="10">
        <v>4</v>
      </c>
      <c r="K473" t="s">
        <v>2596</v>
      </c>
      <c r="L473" s="10">
        <v>7</v>
      </c>
      <c r="M473" t="s">
        <v>2596</v>
      </c>
      <c r="N473" s="10">
        <f>FMECA[[#This Row],[probability_value]]*FMECA[[#This Row],[consequence_value]]</f>
        <v>28</v>
      </c>
      <c r="O473" s="10" t="str">
        <f>IF(AND(FMECA[[#This Row],[Score]]&gt;=0, 9&gt;=FMECA[[#This Row],[Score]]), "UNDETECTABLE", IF(AND(FMECA[[#This Row],[Score]]&gt;=10, 24&gt;=FMECA[[#This Row],[Score]]), "MODERATE", IF(AND(FMECA[[#This Row],[Score]]&gt;=25, 35&gt;=FMECA[[#This Row],[Score]]), "HIGH", IF(AND(FMECA[[#This Row],[Score]]&gt;=36, 50&gt;=FMECA[[#This Row],[Score]]), "VERY HIGH", "Check Formula"))))</f>
        <v>HIGH</v>
      </c>
      <c r="P473" s="10" t="s">
        <v>767</v>
      </c>
      <c r="Q473" t="s">
        <v>1132</v>
      </c>
      <c r="R473" t="s">
        <v>773</v>
      </c>
      <c r="S473" t="s">
        <v>2371</v>
      </c>
      <c r="T473" t="s">
        <v>793</v>
      </c>
      <c r="AA473" t="s">
        <v>1162</v>
      </c>
    </row>
    <row r="474" spans="1:27" x14ac:dyDescent="0.2">
      <c r="A474" s="225" t="s">
        <v>171</v>
      </c>
      <c r="B474" t="s">
        <v>63</v>
      </c>
      <c r="C474" t="s">
        <v>237</v>
      </c>
      <c r="D474" t="s">
        <v>277</v>
      </c>
      <c r="E474" t="s">
        <v>335</v>
      </c>
      <c r="F474" s="226" t="s">
        <v>275</v>
      </c>
      <c r="G474" t="str">
        <f>_xlfn.XLOOKUP(FMECA[[#This Row],[HazardRisk_name]],categories[HazardRisk_Name],categories[HazardRisk])</f>
        <v>Risk</v>
      </c>
      <c r="H474" t="str">
        <f>_xlfn.XLOOKUP(FMECA[[#This Row],[HazardRisk_name]],categories[HazardRisk_Name],categories[Category])</f>
        <v>Political</v>
      </c>
      <c r="I474" t="s">
        <v>564</v>
      </c>
      <c r="J474" s="10">
        <v>4</v>
      </c>
      <c r="K474" t="s">
        <v>2593</v>
      </c>
      <c r="L474" s="10">
        <v>7</v>
      </c>
      <c r="M474" t="s">
        <v>2593</v>
      </c>
      <c r="N474" s="10">
        <f>FMECA[[#This Row],[probability_value]]*FMECA[[#This Row],[consequence_value]]</f>
        <v>28</v>
      </c>
      <c r="O474" s="10" t="str">
        <f>IF(AND(FMECA[[#This Row],[Score]]&gt;=0, 9&gt;=FMECA[[#This Row],[Score]]), "UNDETECTABLE", IF(AND(FMECA[[#This Row],[Score]]&gt;=10, 24&gt;=FMECA[[#This Row],[Score]]), "MODERATE", IF(AND(FMECA[[#This Row],[Score]]&gt;=25, 35&gt;=FMECA[[#This Row],[Score]]), "HIGH", IF(AND(FMECA[[#This Row],[Score]]&gt;=36, 50&gt;=FMECA[[#This Row],[Score]]), "VERY HIGH", "Check Formula"))))</f>
        <v>HIGH</v>
      </c>
      <c r="P474" s="10" t="s">
        <v>767</v>
      </c>
      <c r="Q474" t="s">
        <v>1132</v>
      </c>
      <c r="R474" t="s">
        <v>773</v>
      </c>
      <c r="S474" t="s">
        <v>2371</v>
      </c>
      <c r="T474" t="s">
        <v>793</v>
      </c>
      <c r="AA474" t="s">
        <v>1162</v>
      </c>
    </row>
    <row r="475" spans="1:27" x14ac:dyDescent="0.2">
      <c r="A475" s="225" t="s">
        <v>171</v>
      </c>
      <c r="B475" t="s">
        <v>63</v>
      </c>
      <c r="C475" t="s">
        <v>237</v>
      </c>
      <c r="D475" t="s">
        <v>277</v>
      </c>
      <c r="E475" t="s">
        <v>335</v>
      </c>
      <c r="F475" s="226" t="s">
        <v>275</v>
      </c>
      <c r="G475" t="str">
        <f>_xlfn.XLOOKUP(FMECA[[#This Row],[HazardRisk_name]],categories[HazardRisk_Name],categories[HazardRisk])</f>
        <v>Risk</v>
      </c>
      <c r="H475" t="str">
        <f>_xlfn.XLOOKUP(FMECA[[#This Row],[HazardRisk_name]],categories[HazardRisk_Name],categories[Category])</f>
        <v>Navigational</v>
      </c>
      <c r="I475" t="s">
        <v>589</v>
      </c>
      <c r="J475" s="10">
        <v>3</v>
      </c>
      <c r="K475" t="s">
        <v>2591</v>
      </c>
      <c r="L475" s="10">
        <v>7</v>
      </c>
      <c r="M475" t="s">
        <v>2591</v>
      </c>
      <c r="N475" s="10">
        <f>FMECA[[#This Row],[probability_value]]*FMECA[[#This Row],[consequence_value]]</f>
        <v>21</v>
      </c>
      <c r="O47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75" s="10" t="s">
        <v>767</v>
      </c>
      <c r="Q475" t="s">
        <v>1132</v>
      </c>
      <c r="R475" t="s">
        <v>773</v>
      </c>
      <c r="S475" t="s">
        <v>2371</v>
      </c>
      <c r="T475" t="s">
        <v>793</v>
      </c>
      <c r="AA475" t="s">
        <v>1162</v>
      </c>
    </row>
    <row r="476" spans="1:27" x14ac:dyDescent="0.2">
      <c r="A476" s="225" t="s">
        <v>171</v>
      </c>
      <c r="B476" t="s">
        <v>63</v>
      </c>
      <c r="C476" t="s">
        <v>237</v>
      </c>
      <c r="D476" t="s">
        <v>277</v>
      </c>
      <c r="E476" t="s">
        <v>335</v>
      </c>
      <c r="F476" s="226" t="s">
        <v>275</v>
      </c>
      <c r="G476" t="str">
        <f>_xlfn.XLOOKUP(FMECA[[#This Row],[HazardRisk_name]],categories[HazardRisk_Name],categories[HazardRisk])</f>
        <v>Risk</v>
      </c>
      <c r="H476" t="str">
        <f>_xlfn.XLOOKUP(FMECA[[#This Row],[HazardRisk_name]],categories[HazardRisk_Name],categories[Category])</f>
        <v>Sea Ice</v>
      </c>
      <c r="I476" t="s">
        <v>480</v>
      </c>
      <c r="J476" s="10">
        <v>4</v>
      </c>
      <c r="K476" t="s">
        <v>2592</v>
      </c>
      <c r="L476" s="10">
        <v>7</v>
      </c>
      <c r="M476" t="s">
        <v>2592</v>
      </c>
      <c r="N476" s="10">
        <f>FMECA[[#This Row],[probability_value]]*FMECA[[#This Row],[consequence_value]]</f>
        <v>28</v>
      </c>
      <c r="O476" s="10" t="str">
        <f>IF(AND(FMECA[[#This Row],[Score]]&gt;=0, 9&gt;=FMECA[[#This Row],[Score]]), "UNDETECTABLE", IF(AND(FMECA[[#This Row],[Score]]&gt;=10, 24&gt;=FMECA[[#This Row],[Score]]), "MODERATE", IF(AND(FMECA[[#This Row],[Score]]&gt;=25, 35&gt;=FMECA[[#This Row],[Score]]), "HIGH", IF(AND(FMECA[[#This Row],[Score]]&gt;=36, 50&gt;=FMECA[[#This Row],[Score]]), "VERY HIGH", "Check Formula"))))</f>
        <v>HIGH</v>
      </c>
      <c r="P476" s="10" t="s">
        <v>767</v>
      </c>
      <c r="Q476" t="s">
        <v>1132</v>
      </c>
      <c r="R476" t="s">
        <v>773</v>
      </c>
      <c r="S476" t="s">
        <v>2371</v>
      </c>
      <c r="T476" t="s">
        <v>793</v>
      </c>
      <c r="AA476" t="s">
        <v>1162</v>
      </c>
    </row>
    <row r="477" spans="1:27" x14ac:dyDescent="0.2">
      <c r="A477" s="225" t="s">
        <v>172</v>
      </c>
      <c r="B477" t="s">
        <v>63</v>
      </c>
      <c r="C477" t="s">
        <v>237</v>
      </c>
      <c r="D477" t="s">
        <v>278</v>
      </c>
      <c r="E477" t="s">
        <v>336</v>
      </c>
      <c r="F477" s="226" t="s">
        <v>276</v>
      </c>
      <c r="G477" t="str">
        <f>_xlfn.XLOOKUP(FMECA[[#This Row],[HazardRisk_name]],categories[HazardRisk_Name],categories[HazardRisk])</f>
        <v>Risk</v>
      </c>
      <c r="H477" t="str">
        <f>_xlfn.XLOOKUP(FMECA[[#This Row],[HazardRisk_name]],categories[HazardRisk_Name],categories[Category])</f>
        <v>Navigational</v>
      </c>
      <c r="I477" t="s">
        <v>638</v>
      </c>
      <c r="J477" s="10">
        <v>3</v>
      </c>
      <c r="K477" t="s">
        <v>2582</v>
      </c>
      <c r="L477" s="10">
        <v>7</v>
      </c>
      <c r="M477" t="s">
        <v>2582</v>
      </c>
      <c r="N477" s="10">
        <f>FMECA[[#This Row],[probability_value]]*FMECA[[#This Row],[consequence_value]]</f>
        <v>21</v>
      </c>
      <c r="O47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77" s="10" t="s">
        <v>777</v>
      </c>
      <c r="Q477" t="s">
        <v>778</v>
      </c>
      <c r="R477" t="s">
        <v>773</v>
      </c>
      <c r="S477" t="s">
        <v>2332</v>
      </c>
      <c r="Y477" t="s">
        <v>2589</v>
      </c>
      <c r="Z477" t="s">
        <v>2590</v>
      </c>
      <c r="AA477" t="s">
        <v>1162</v>
      </c>
    </row>
    <row r="478" spans="1:27" x14ac:dyDescent="0.2">
      <c r="A478" s="225" t="s">
        <v>172</v>
      </c>
      <c r="B478" t="s">
        <v>63</v>
      </c>
      <c r="C478" t="s">
        <v>237</v>
      </c>
      <c r="D478" t="s">
        <v>278</v>
      </c>
      <c r="E478" t="s">
        <v>336</v>
      </c>
      <c r="F478" s="226" t="s">
        <v>276</v>
      </c>
      <c r="G478" t="str">
        <f>_xlfn.XLOOKUP(FMECA[[#This Row],[HazardRisk_name]],categories[HazardRisk_Name],categories[HazardRisk])</f>
        <v>Risk</v>
      </c>
      <c r="H478" t="str">
        <f>_xlfn.XLOOKUP(FMECA[[#This Row],[HazardRisk_name]],categories[HazardRisk_Name],categories[Category])</f>
        <v>Political</v>
      </c>
      <c r="I478" t="s">
        <v>707</v>
      </c>
      <c r="J478" s="10">
        <v>4</v>
      </c>
      <c r="K478" t="s">
        <v>2584</v>
      </c>
      <c r="L478" s="10">
        <v>7</v>
      </c>
      <c r="M478" t="s">
        <v>2584</v>
      </c>
      <c r="N478" s="10">
        <f>FMECA[[#This Row],[probability_value]]*FMECA[[#This Row],[consequence_value]]</f>
        <v>28</v>
      </c>
      <c r="O478" s="10" t="str">
        <f>IF(AND(FMECA[[#This Row],[Score]]&gt;=0, 9&gt;=FMECA[[#This Row],[Score]]), "UNDETECTABLE", IF(AND(FMECA[[#This Row],[Score]]&gt;=10, 24&gt;=FMECA[[#This Row],[Score]]), "MODERATE", IF(AND(FMECA[[#This Row],[Score]]&gt;=25, 35&gt;=FMECA[[#This Row],[Score]]), "HIGH", IF(AND(FMECA[[#This Row],[Score]]&gt;=36, 50&gt;=FMECA[[#This Row],[Score]]), "VERY HIGH", "Check Formula"))))</f>
        <v>HIGH</v>
      </c>
      <c r="P478" s="10" t="s">
        <v>777</v>
      </c>
      <c r="Q478" t="s">
        <v>778</v>
      </c>
      <c r="R478" t="s">
        <v>773</v>
      </c>
      <c r="S478" t="s">
        <v>2332</v>
      </c>
      <c r="Y478" t="s">
        <v>2589</v>
      </c>
      <c r="Z478" t="s">
        <v>2590</v>
      </c>
      <c r="AA478" t="s">
        <v>1162</v>
      </c>
    </row>
    <row r="479" spans="1:27" x14ac:dyDescent="0.2">
      <c r="A479" s="225" t="s">
        <v>172</v>
      </c>
      <c r="B479" t="s">
        <v>63</v>
      </c>
      <c r="C479" t="s">
        <v>237</v>
      </c>
      <c r="D479" t="s">
        <v>278</v>
      </c>
      <c r="E479" t="s">
        <v>336</v>
      </c>
      <c r="F479" s="226" t="s">
        <v>276</v>
      </c>
      <c r="G479" t="str">
        <f>_xlfn.XLOOKUP(FMECA[[#This Row],[HazardRisk_name]],categories[HazardRisk_Name],categories[HazardRisk])</f>
        <v>Risk</v>
      </c>
      <c r="H479" t="str">
        <f>_xlfn.XLOOKUP(FMECA[[#This Row],[HazardRisk_name]],categories[HazardRisk_Name],categories[Category])</f>
        <v>Political</v>
      </c>
      <c r="I479" t="s">
        <v>689</v>
      </c>
      <c r="J479" s="10">
        <v>4</v>
      </c>
      <c r="K479" t="s">
        <v>2584</v>
      </c>
      <c r="L479" s="10">
        <v>4</v>
      </c>
      <c r="M479" t="s">
        <v>2584</v>
      </c>
      <c r="N479" s="10">
        <f>FMECA[[#This Row],[probability_value]]*FMECA[[#This Row],[consequence_value]]</f>
        <v>16</v>
      </c>
      <c r="O47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79" s="10" t="s">
        <v>777</v>
      </c>
      <c r="Q479" t="s">
        <v>778</v>
      </c>
      <c r="R479" t="s">
        <v>773</v>
      </c>
      <c r="S479" t="s">
        <v>2332</v>
      </c>
      <c r="Y479" t="s">
        <v>2589</v>
      </c>
      <c r="Z479" t="s">
        <v>2590</v>
      </c>
      <c r="AA479" t="s">
        <v>1162</v>
      </c>
    </row>
    <row r="480" spans="1:27" x14ac:dyDescent="0.2">
      <c r="A480" s="225" t="s">
        <v>172</v>
      </c>
      <c r="B480" t="s">
        <v>63</v>
      </c>
      <c r="C480" t="s">
        <v>237</v>
      </c>
      <c r="D480" t="s">
        <v>278</v>
      </c>
      <c r="E480" t="s">
        <v>336</v>
      </c>
      <c r="F480" s="226" t="s">
        <v>276</v>
      </c>
      <c r="G480" t="str">
        <f>_xlfn.XLOOKUP(FMECA[[#This Row],[HazardRisk_name]],categories[HazardRisk_Name],categories[HazardRisk])</f>
        <v>Risk</v>
      </c>
      <c r="H480" t="str">
        <f>_xlfn.XLOOKUP(FMECA[[#This Row],[HazardRisk_name]],categories[HazardRisk_Name],categories[Category])</f>
        <v>Social</v>
      </c>
      <c r="I480" t="s">
        <v>569</v>
      </c>
      <c r="J480" s="10">
        <v>5</v>
      </c>
      <c r="K480" t="s">
        <v>2585</v>
      </c>
      <c r="L480" s="10">
        <v>7</v>
      </c>
      <c r="M480" t="s">
        <v>2585</v>
      </c>
      <c r="N480" s="10">
        <f>FMECA[[#This Row],[probability_value]]*FMECA[[#This Row],[consequence_value]]</f>
        <v>35</v>
      </c>
      <c r="O480" s="10" t="str">
        <f>IF(AND(FMECA[[#This Row],[Score]]&gt;=0, 9&gt;=FMECA[[#This Row],[Score]]), "UNDETECTABLE", IF(AND(FMECA[[#This Row],[Score]]&gt;=10, 24&gt;=FMECA[[#This Row],[Score]]), "MODERATE", IF(AND(FMECA[[#This Row],[Score]]&gt;=25, 35&gt;=FMECA[[#This Row],[Score]]), "HIGH", IF(AND(FMECA[[#This Row],[Score]]&gt;=36, 50&gt;=FMECA[[#This Row],[Score]]), "VERY HIGH", "Check Formula"))))</f>
        <v>HIGH</v>
      </c>
      <c r="P480" s="10" t="s">
        <v>777</v>
      </c>
      <c r="Q480" t="s">
        <v>778</v>
      </c>
      <c r="R480" t="s">
        <v>773</v>
      </c>
      <c r="S480" t="s">
        <v>2332</v>
      </c>
      <c r="Y480" t="s">
        <v>2589</v>
      </c>
      <c r="Z480" t="s">
        <v>2590</v>
      </c>
      <c r="AA480" t="s">
        <v>1162</v>
      </c>
    </row>
    <row r="481" spans="1:27" x14ac:dyDescent="0.2">
      <c r="A481" s="225" t="s">
        <v>172</v>
      </c>
      <c r="B481" t="s">
        <v>63</v>
      </c>
      <c r="C481" t="s">
        <v>237</v>
      </c>
      <c r="D481" t="s">
        <v>278</v>
      </c>
      <c r="E481" t="s">
        <v>336</v>
      </c>
      <c r="F481" s="226" t="s">
        <v>276</v>
      </c>
      <c r="G481" t="str">
        <f>_xlfn.XLOOKUP(FMECA[[#This Row],[HazardRisk_name]],categories[HazardRisk_Name],categories[HazardRisk])</f>
        <v>Risk</v>
      </c>
      <c r="H481" t="str">
        <f>_xlfn.XLOOKUP(FMECA[[#This Row],[HazardRisk_name]],categories[HazardRisk_Name],categories[Category])</f>
        <v>Economic</v>
      </c>
      <c r="I481" t="s">
        <v>701</v>
      </c>
      <c r="J481" s="10">
        <v>3</v>
      </c>
      <c r="K481" t="s">
        <v>2587</v>
      </c>
      <c r="L481" s="10">
        <v>4</v>
      </c>
      <c r="M481" t="s">
        <v>2587</v>
      </c>
      <c r="N481" s="10">
        <f>FMECA[[#This Row],[probability_value]]*FMECA[[#This Row],[consequence_value]]</f>
        <v>12</v>
      </c>
      <c r="O48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81" s="10" t="s">
        <v>777</v>
      </c>
      <c r="Q481" t="s">
        <v>778</v>
      </c>
      <c r="R481" t="s">
        <v>773</v>
      </c>
      <c r="S481" t="s">
        <v>2332</v>
      </c>
      <c r="Y481" t="s">
        <v>2589</v>
      </c>
      <c r="Z481" t="s">
        <v>2590</v>
      </c>
      <c r="AA481" t="s">
        <v>1162</v>
      </c>
    </row>
    <row r="482" spans="1:27" x14ac:dyDescent="0.2">
      <c r="A482" s="225" t="s">
        <v>172</v>
      </c>
      <c r="B482" t="s">
        <v>63</v>
      </c>
      <c r="C482" t="s">
        <v>237</v>
      </c>
      <c r="D482" t="s">
        <v>278</v>
      </c>
      <c r="E482" t="s">
        <v>336</v>
      </c>
      <c r="F482" s="226" t="s">
        <v>276</v>
      </c>
      <c r="G482" t="str">
        <f>_xlfn.XLOOKUP(FMECA[[#This Row],[HazardRisk_name]],categories[HazardRisk_Name],categories[HazardRisk])</f>
        <v>Risk</v>
      </c>
      <c r="H482" t="str">
        <f>_xlfn.XLOOKUP(FMECA[[#This Row],[HazardRisk_name]],categories[HazardRisk_Name],categories[Category])</f>
        <v>Operational</v>
      </c>
      <c r="I482" t="s">
        <v>572</v>
      </c>
      <c r="J482" s="10">
        <v>5</v>
      </c>
      <c r="K482" t="s">
        <v>2581</v>
      </c>
      <c r="L482" s="10">
        <v>7</v>
      </c>
      <c r="M482" t="s">
        <v>2581</v>
      </c>
      <c r="N482" s="10">
        <f>FMECA[[#This Row],[probability_value]]*FMECA[[#This Row],[consequence_value]]</f>
        <v>35</v>
      </c>
      <c r="O482" s="10" t="str">
        <f>IF(AND(FMECA[[#This Row],[Score]]&gt;=0, 9&gt;=FMECA[[#This Row],[Score]]), "UNDETECTABLE", IF(AND(FMECA[[#This Row],[Score]]&gt;=10, 24&gt;=FMECA[[#This Row],[Score]]), "MODERATE", IF(AND(FMECA[[#This Row],[Score]]&gt;=25, 35&gt;=FMECA[[#This Row],[Score]]), "HIGH", IF(AND(FMECA[[#This Row],[Score]]&gt;=36, 50&gt;=FMECA[[#This Row],[Score]]), "VERY HIGH", "Check Formula"))))</f>
        <v>HIGH</v>
      </c>
      <c r="P482" s="10" t="s">
        <v>777</v>
      </c>
      <c r="Q482" t="s">
        <v>778</v>
      </c>
      <c r="R482" t="s">
        <v>773</v>
      </c>
      <c r="S482" t="s">
        <v>2332</v>
      </c>
      <c r="Y482" t="s">
        <v>2589</v>
      </c>
      <c r="Z482" t="s">
        <v>2590</v>
      </c>
      <c r="AA482" t="s">
        <v>1162</v>
      </c>
    </row>
    <row r="483" spans="1:27" x14ac:dyDescent="0.2">
      <c r="A483" s="225" t="s">
        <v>172</v>
      </c>
      <c r="B483" t="s">
        <v>63</v>
      </c>
      <c r="C483" t="s">
        <v>237</v>
      </c>
      <c r="D483" t="s">
        <v>278</v>
      </c>
      <c r="E483" t="s">
        <v>336</v>
      </c>
      <c r="F483" s="226" t="s">
        <v>276</v>
      </c>
      <c r="G483" t="str">
        <f>_xlfn.XLOOKUP(FMECA[[#This Row],[HazardRisk_name]],categories[HazardRisk_Name],categories[HazardRisk])</f>
        <v>Risk</v>
      </c>
      <c r="H483" t="str">
        <f>_xlfn.XLOOKUP(FMECA[[#This Row],[HazardRisk_name]],categories[HazardRisk_Name],categories[Category])</f>
        <v>Environmental</v>
      </c>
      <c r="I483" t="s">
        <v>625</v>
      </c>
      <c r="J483" s="10">
        <v>4</v>
      </c>
      <c r="K483" t="s">
        <v>2588</v>
      </c>
      <c r="L483" s="10">
        <v>10</v>
      </c>
      <c r="M483" t="s">
        <v>2588</v>
      </c>
      <c r="N483" s="10">
        <f>FMECA[[#This Row],[probability_value]]*FMECA[[#This Row],[consequence_value]]</f>
        <v>40</v>
      </c>
      <c r="O483"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483" s="10" t="s">
        <v>777</v>
      </c>
      <c r="Q483" t="s">
        <v>778</v>
      </c>
      <c r="R483" t="s">
        <v>773</v>
      </c>
      <c r="S483" t="s">
        <v>2332</v>
      </c>
      <c r="Y483" t="s">
        <v>2589</v>
      </c>
      <c r="Z483" t="s">
        <v>2590</v>
      </c>
      <c r="AA483" t="s">
        <v>1162</v>
      </c>
    </row>
    <row r="484" spans="1:27" x14ac:dyDescent="0.2">
      <c r="A484" s="225" t="s">
        <v>172</v>
      </c>
      <c r="B484" t="s">
        <v>63</v>
      </c>
      <c r="C484" t="s">
        <v>237</v>
      </c>
      <c r="D484" t="s">
        <v>278</v>
      </c>
      <c r="E484" t="s">
        <v>336</v>
      </c>
      <c r="F484" s="226" t="s">
        <v>276</v>
      </c>
      <c r="G484" t="str">
        <f>_xlfn.XLOOKUP(FMECA[[#This Row],[HazardRisk_name]],categories[HazardRisk_Name],categories[HazardRisk])</f>
        <v>Hazard</v>
      </c>
      <c r="H484" t="str">
        <f>_xlfn.XLOOKUP(FMECA[[#This Row],[HazardRisk_name]],categories[HazardRisk_Name],categories[Category])</f>
        <v>Sea Ice</v>
      </c>
      <c r="I484" t="s">
        <v>563</v>
      </c>
      <c r="J484" s="10">
        <v>4</v>
      </c>
      <c r="K484" t="s">
        <v>2583</v>
      </c>
      <c r="L484" s="10">
        <v>7</v>
      </c>
      <c r="M484" t="s">
        <v>2583</v>
      </c>
      <c r="N484" s="10">
        <f>FMECA[[#This Row],[probability_value]]*FMECA[[#This Row],[consequence_value]]</f>
        <v>28</v>
      </c>
      <c r="O484" s="10" t="str">
        <f>IF(AND(FMECA[[#This Row],[Score]]&gt;=0, 9&gt;=FMECA[[#This Row],[Score]]), "UNDETECTABLE", IF(AND(FMECA[[#This Row],[Score]]&gt;=10, 24&gt;=FMECA[[#This Row],[Score]]), "MODERATE", IF(AND(FMECA[[#This Row],[Score]]&gt;=25, 35&gt;=FMECA[[#This Row],[Score]]), "HIGH", IF(AND(FMECA[[#This Row],[Score]]&gt;=36, 50&gt;=FMECA[[#This Row],[Score]]), "VERY HIGH", "Check Formula"))))</f>
        <v>HIGH</v>
      </c>
      <c r="P484" s="10" t="s">
        <v>777</v>
      </c>
      <c r="Q484" t="s">
        <v>778</v>
      </c>
      <c r="R484" t="s">
        <v>773</v>
      </c>
      <c r="S484" t="s">
        <v>2332</v>
      </c>
      <c r="Y484" t="s">
        <v>2589</v>
      </c>
      <c r="Z484" t="s">
        <v>2590</v>
      </c>
      <c r="AA484" t="s">
        <v>1162</v>
      </c>
    </row>
    <row r="485" spans="1:27" x14ac:dyDescent="0.2">
      <c r="A485" s="225" t="s">
        <v>172</v>
      </c>
      <c r="B485" t="s">
        <v>63</v>
      </c>
      <c r="C485" t="s">
        <v>237</v>
      </c>
      <c r="D485" t="s">
        <v>278</v>
      </c>
      <c r="E485" t="s">
        <v>336</v>
      </c>
      <c r="F485" s="226" t="s">
        <v>276</v>
      </c>
      <c r="G485" t="str">
        <f>_xlfn.XLOOKUP(FMECA[[#This Row],[HazardRisk_name]],categories[HazardRisk_Name],categories[HazardRisk])</f>
        <v>Risk</v>
      </c>
      <c r="H485" t="str">
        <f>_xlfn.XLOOKUP(FMECA[[#This Row],[HazardRisk_name]],categories[HazardRisk_Name],categories[Category])</f>
        <v>Navigational</v>
      </c>
      <c r="I485" t="s">
        <v>474</v>
      </c>
      <c r="J485" s="10">
        <v>5</v>
      </c>
      <c r="K485" t="s">
        <v>2586</v>
      </c>
      <c r="L485" s="10">
        <v>10</v>
      </c>
      <c r="M485" t="s">
        <v>2586</v>
      </c>
      <c r="N485" s="10">
        <f>FMECA[[#This Row],[probability_value]]*FMECA[[#This Row],[consequence_value]]</f>
        <v>50</v>
      </c>
      <c r="O485"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485" s="10" t="s">
        <v>777</v>
      </c>
      <c r="Q485" t="s">
        <v>778</v>
      </c>
      <c r="R485" t="s">
        <v>773</v>
      </c>
      <c r="S485" t="s">
        <v>2332</v>
      </c>
      <c r="Y485" t="s">
        <v>2589</v>
      </c>
      <c r="Z485" t="s">
        <v>2590</v>
      </c>
      <c r="AA485" t="s">
        <v>1162</v>
      </c>
    </row>
    <row r="486" spans="1:27" x14ac:dyDescent="0.2">
      <c r="A486" s="225" t="s">
        <v>173</v>
      </c>
      <c r="B486" t="s">
        <v>63</v>
      </c>
      <c r="C486" t="s">
        <v>237</v>
      </c>
      <c r="D486" t="s">
        <v>281</v>
      </c>
      <c r="E486" t="s">
        <v>487</v>
      </c>
      <c r="F486" s="226" t="s">
        <v>279</v>
      </c>
      <c r="G486" t="str">
        <f>_xlfn.XLOOKUP(FMECA[[#This Row],[HazardRisk_name]],categories[HazardRisk_Name],categories[HazardRisk])</f>
        <v>Hazard</v>
      </c>
      <c r="H486" t="str">
        <f>_xlfn.XLOOKUP(FMECA[[#This Row],[HazardRisk_name]],categories[HazardRisk_Name],categories[Category])</f>
        <v>Environmental</v>
      </c>
      <c r="I486" t="s">
        <v>483</v>
      </c>
      <c r="J486" s="10">
        <v>4</v>
      </c>
      <c r="K486" t="s">
        <v>2462</v>
      </c>
      <c r="L486" s="10">
        <v>7</v>
      </c>
      <c r="M486" t="s">
        <v>2462</v>
      </c>
      <c r="N486" s="10">
        <f>FMECA[[#This Row],[probability_value]]*FMECA[[#This Row],[consequence_value]]</f>
        <v>28</v>
      </c>
      <c r="O486" s="10" t="str">
        <f>IF(AND(FMECA[[#This Row],[Score]]&gt;=0, 9&gt;=FMECA[[#This Row],[Score]]), "UNDETECTABLE", IF(AND(FMECA[[#This Row],[Score]]&gt;=10, 24&gt;=FMECA[[#This Row],[Score]]), "MODERATE", IF(AND(FMECA[[#This Row],[Score]]&gt;=25, 35&gt;=FMECA[[#This Row],[Score]]), "HIGH", IF(AND(FMECA[[#This Row],[Score]]&gt;=36, 50&gt;=FMECA[[#This Row],[Score]]), "VERY HIGH", "Check Formula"))))</f>
        <v>HIGH</v>
      </c>
      <c r="P486" s="10" t="s">
        <v>767</v>
      </c>
      <c r="Q486" t="s">
        <v>1132</v>
      </c>
      <c r="R486" t="s">
        <v>773</v>
      </c>
      <c r="S486" t="s">
        <v>2370</v>
      </c>
      <c r="T486" t="s">
        <v>793</v>
      </c>
      <c r="U486" t="s">
        <v>2464</v>
      </c>
      <c r="V486" t="s">
        <v>466</v>
      </c>
      <c r="W486" t="s">
        <v>2465</v>
      </c>
      <c r="X486" t="s">
        <v>470</v>
      </c>
      <c r="AA486" t="s">
        <v>1162</v>
      </c>
    </row>
    <row r="487" spans="1:27" x14ac:dyDescent="0.2">
      <c r="A487" s="225" t="s">
        <v>173</v>
      </c>
      <c r="B487" t="s">
        <v>63</v>
      </c>
      <c r="C487" t="s">
        <v>237</v>
      </c>
      <c r="D487" t="s">
        <v>281</v>
      </c>
      <c r="E487" t="s">
        <v>487</v>
      </c>
      <c r="F487" s="226" t="s">
        <v>279</v>
      </c>
      <c r="G487" t="str">
        <f>_xlfn.XLOOKUP(FMECA[[#This Row],[HazardRisk_name]],categories[HazardRisk_Name],categories[HazardRisk])</f>
        <v>Hazard</v>
      </c>
      <c r="H487" t="str">
        <f>_xlfn.XLOOKUP(FMECA[[#This Row],[HazardRisk_name]],categories[HazardRisk_Name],categories[Category])</f>
        <v>Environmental</v>
      </c>
      <c r="I487" t="s">
        <v>671</v>
      </c>
      <c r="J487" s="10">
        <v>5</v>
      </c>
      <c r="K487" t="s">
        <v>2459</v>
      </c>
      <c r="L487" s="10">
        <v>7</v>
      </c>
      <c r="M487" t="s">
        <v>2459</v>
      </c>
      <c r="N487" s="10">
        <f>FMECA[[#This Row],[probability_value]]*FMECA[[#This Row],[consequence_value]]</f>
        <v>35</v>
      </c>
      <c r="O487" s="10" t="str">
        <f>IF(AND(FMECA[[#This Row],[Score]]&gt;=0, 9&gt;=FMECA[[#This Row],[Score]]), "UNDETECTABLE", IF(AND(FMECA[[#This Row],[Score]]&gt;=10, 24&gt;=FMECA[[#This Row],[Score]]), "MODERATE", IF(AND(FMECA[[#This Row],[Score]]&gt;=25, 35&gt;=FMECA[[#This Row],[Score]]), "HIGH", IF(AND(FMECA[[#This Row],[Score]]&gt;=36, 50&gt;=FMECA[[#This Row],[Score]]), "VERY HIGH", "Check Formula"))))</f>
        <v>HIGH</v>
      </c>
      <c r="P487" s="10" t="s">
        <v>767</v>
      </c>
      <c r="Q487" t="s">
        <v>1132</v>
      </c>
      <c r="R487" t="s">
        <v>773</v>
      </c>
      <c r="S487" t="s">
        <v>2370</v>
      </c>
      <c r="T487" t="s">
        <v>793</v>
      </c>
      <c r="U487" t="s">
        <v>1197</v>
      </c>
      <c r="V487" t="s">
        <v>466</v>
      </c>
      <c r="AA487" t="s">
        <v>1162</v>
      </c>
    </row>
    <row r="488" spans="1:27" x14ac:dyDescent="0.2">
      <c r="A488" s="225" t="s">
        <v>173</v>
      </c>
      <c r="B488" t="s">
        <v>63</v>
      </c>
      <c r="C488" t="s">
        <v>237</v>
      </c>
      <c r="D488" t="s">
        <v>281</v>
      </c>
      <c r="E488" t="s">
        <v>487</v>
      </c>
      <c r="F488" s="226" t="s">
        <v>279</v>
      </c>
      <c r="G488" t="str">
        <f>_xlfn.XLOOKUP(FMECA[[#This Row],[HazardRisk_name]],categories[HazardRisk_Name],categories[HazardRisk])</f>
        <v>Hazard</v>
      </c>
      <c r="H488" t="str">
        <f>_xlfn.XLOOKUP(FMECA[[#This Row],[HazardRisk_name]],categories[HazardRisk_Name],categories[Category])</f>
        <v>Environmental</v>
      </c>
      <c r="I488" t="s">
        <v>684</v>
      </c>
      <c r="J488" s="10">
        <v>4</v>
      </c>
      <c r="K488" t="s">
        <v>2462</v>
      </c>
      <c r="L488" s="10">
        <v>7</v>
      </c>
      <c r="M488" t="s">
        <v>2462</v>
      </c>
      <c r="N488" s="10">
        <f>FMECA[[#This Row],[probability_value]]*FMECA[[#This Row],[consequence_value]]</f>
        <v>28</v>
      </c>
      <c r="O488" s="10" t="str">
        <f>IF(AND(FMECA[[#This Row],[Score]]&gt;=0, 9&gt;=FMECA[[#This Row],[Score]]), "UNDETECTABLE", IF(AND(FMECA[[#This Row],[Score]]&gt;=10, 24&gt;=FMECA[[#This Row],[Score]]), "MODERATE", IF(AND(FMECA[[#This Row],[Score]]&gt;=25, 35&gt;=FMECA[[#This Row],[Score]]), "HIGH", IF(AND(FMECA[[#This Row],[Score]]&gt;=36, 50&gt;=FMECA[[#This Row],[Score]]), "VERY HIGH", "Check Formula"))))</f>
        <v>HIGH</v>
      </c>
      <c r="P488" s="10" t="s">
        <v>767</v>
      </c>
      <c r="Q488" t="s">
        <v>1132</v>
      </c>
      <c r="R488" t="s">
        <v>773</v>
      </c>
      <c r="S488" t="s">
        <v>2370</v>
      </c>
      <c r="T488" t="s">
        <v>793</v>
      </c>
      <c r="U488" t="s">
        <v>2464</v>
      </c>
      <c r="V488" t="s">
        <v>466</v>
      </c>
      <c r="W488" t="s">
        <v>2465</v>
      </c>
      <c r="X488" t="s">
        <v>470</v>
      </c>
      <c r="AA488" t="s">
        <v>1162</v>
      </c>
    </row>
    <row r="489" spans="1:27" x14ac:dyDescent="0.2">
      <c r="A489" s="225" t="s">
        <v>173</v>
      </c>
      <c r="B489" t="s">
        <v>63</v>
      </c>
      <c r="C489" t="s">
        <v>237</v>
      </c>
      <c r="D489" t="s">
        <v>281</v>
      </c>
      <c r="E489" t="s">
        <v>489</v>
      </c>
      <c r="F489" s="226" t="s">
        <v>279</v>
      </c>
      <c r="G489" t="str">
        <f>_xlfn.XLOOKUP(FMECA[[#This Row],[HazardRisk_name]],categories[HazardRisk_Name],categories[HazardRisk])</f>
        <v>Hazard</v>
      </c>
      <c r="H489" t="str">
        <f>_xlfn.XLOOKUP(FMECA[[#This Row],[HazardRisk_name]],categories[HazardRisk_Name],categories[Category])</f>
        <v>Environmental</v>
      </c>
      <c r="I489" t="s">
        <v>525</v>
      </c>
      <c r="J489" s="10">
        <v>4</v>
      </c>
      <c r="K489" t="s">
        <v>2468</v>
      </c>
      <c r="L489" s="10">
        <v>7</v>
      </c>
      <c r="M489" t="s">
        <v>2468</v>
      </c>
      <c r="N489" s="10">
        <f>FMECA[[#This Row],[probability_value]]*FMECA[[#This Row],[consequence_value]]</f>
        <v>28</v>
      </c>
      <c r="O489" s="10" t="str">
        <f>IF(AND(FMECA[[#This Row],[Score]]&gt;=0, 9&gt;=FMECA[[#This Row],[Score]]), "UNDETECTABLE", IF(AND(FMECA[[#This Row],[Score]]&gt;=10, 24&gt;=FMECA[[#This Row],[Score]]), "MODERATE", IF(AND(FMECA[[#This Row],[Score]]&gt;=25, 35&gt;=FMECA[[#This Row],[Score]]), "HIGH", IF(AND(FMECA[[#This Row],[Score]]&gt;=36, 50&gt;=FMECA[[#This Row],[Score]]), "VERY HIGH", "Check Formula"))))</f>
        <v>HIGH</v>
      </c>
      <c r="P489" s="10" t="s">
        <v>767</v>
      </c>
      <c r="Q489" t="s">
        <v>1132</v>
      </c>
      <c r="R489" t="s">
        <v>773</v>
      </c>
      <c r="S489" t="s">
        <v>2370</v>
      </c>
      <c r="T489" t="s">
        <v>793</v>
      </c>
      <c r="U489" t="s">
        <v>2464</v>
      </c>
      <c r="V489" t="s">
        <v>466</v>
      </c>
      <c r="W489" t="s">
        <v>2469</v>
      </c>
      <c r="X489" t="s">
        <v>470</v>
      </c>
      <c r="AA489" t="s">
        <v>1162</v>
      </c>
    </row>
    <row r="490" spans="1:27" x14ac:dyDescent="0.2">
      <c r="A490" s="225" t="s">
        <v>173</v>
      </c>
      <c r="B490" t="s">
        <v>63</v>
      </c>
      <c r="C490" t="s">
        <v>237</v>
      </c>
      <c r="D490" t="s">
        <v>281</v>
      </c>
      <c r="E490" t="s">
        <v>488</v>
      </c>
      <c r="F490" s="226" t="s">
        <v>279</v>
      </c>
      <c r="G490" t="str">
        <f>_xlfn.XLOOKUP(FMECA[[#This Row],[HazardRisk_name]],categories[HazardRisk_Name],categories[HazardRisk])</f>
        <v>Hazard</v>
      </c>
      <c r="H490" t="str">
        <f>_xlfn.XLOOKUP(FMECA[[#This Row],[HazardRisk_name]],categories[HazardRisk_Name],categories[Category])</f>
        <v>Environmental</v>
      </c>
      <c r="I490" t="s">
        <v>485</v>
      </c>
      <c r="J490" s="10">
        <v>5</v>
      </c>
      <c r="K490" t="s">
        <v>1986</v>
      </c>
      <c r="L490" s="10">
        <v>4</v>
      </c>
      <c r="M490" t="s">
        <v>1986</v>
      </c>
      <c r="N490" s="10">
        <f>FMECA[[#This Row],[probability_value]]*FMECA[[#This Row],[consequence_value]]</f>
        <v>20</v>
      </c>
      <c r="O49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90" s="10" t="s">
        <v>767</v>
      </c>
      <c r="Q490" t="s">
        <v>1132</v>
      </c>
      <c r="R490" t="s">
        <v>773</v>
      </c>
      <c r="S490" t="s">
        <v>2370</v>
      </c>
      <c r="T490" t="s">
        <v>793</v>
      </c>
      <c r="W490" t="s">
        <v>2470</v>
      </c>
      <c r="X490" t="s">
        <v>466</v>
      </c>
      <c r="AA490" t="s">
        <v>1162</v>
      </c>
    </row>
    <row r="491" spans="1:27" x14ac:dyDescent="0.2">
      <c r="A491" s="225" t="s">
        <v>173</v>
      </c>
      <c r="B491" t="s">
        <v>63</v>
      </c>
      <c r="C491" t="s">
        <v>237</v>
      </c>
      <c r="D491" t="s">
        <v>281</v>
      </c>
      <c r="E491" t="s">
        <v>486</v>
      </c>
      <c r="F491" s="226" t="s">
        <v>279</v>
      </c>
      <c r="G491" t="str">
        <f>_xlfn.XLOOKUP(FMECA[[#This Row],[HazardRisk_name]],categories[HazardRisk_Name],categories[HazardRisk])</f>
        <v>Hazard</v>
      </c>
      <c r="H491" t="str">
        <f>_xlfn.XLOOKUP(FMECA[[#This Row],[HazardRisk_name]],categories[HazardRisk_Name],categories[Category])</f>
        <v>Navigational</v>
      </c>
      <c r="I491" t="s">
        <v>484</v>
      </c>
      <c r="J491" s="10">
        <v>4</v>
      </c>
      <c r="K491" t="s">
        <v>1769</v>
      </c>
      <c r="L491" s="10">
        <v>7</v>
      </c>
      <c r="M491" t="s">
        <v>1769</v>
      </c>
      <c r="N491" s="10">
        <f>FMECA[[#This Row],[probability_value]]*FMECA[[#This Row],[consequence_value]]</f>
        <v>28</v>
      </c>
      <c r="O491" s="10" t="str">
        <f>IF(AND(FMECA[[#This Row],[Score]]&gt;=0, 9&gt;=FMECA[[#This Row],[Score]]), "UNDETECTABLE", IF(AND(FMECA[[#This Row],[Score]]&gt;=10, 24&gt;=FMECA[[#This Row],[Score]]), "MODERATE", IF(AND(FMECA[[#This Row],[Score]]&gt;=25, 35&gt;=FMECA[[#This Row],[Score]]), "HIGH", IF(AND(FMECA[[#This Row],[Score]]&gt;=36, 50&gt;=FMECA[[#This Row],[Score]]), "VERY HIGH", "Check Formula"))))</f>
        <v>HIGH</v>
      </c>
      <c r="P491" s="10" t="s">
        <v>767</v>
      </c>
      <c r="Q491" t="s">
        <v>1132</v>
      </c>
      <c r="R491" t="s">
        <v>773</v>
      </c>
      <c r="S491" t="s">
        <v>2370</v>
      </c>
      <c r="T491" t="s">
        <v>793</v>
      </c>
      <c r="W491" t="s">
        <v>2466</v>
      </c>
      <c r="X491" t="s">
        <v>470</v>
      </c>
      <c r="AA491" t="s">
        <v>1162</v>
      </c>
    </row>
    <row r="492" spans="1:27" x14ac:dyDescent="0.2">
      <c r="A492" s="225" t="s">
        <v>173</v>
      </c>
      <c r="B492" t="s">
        <v>63</v>
      </c>
      <c r="C492" t="s">
        <v>237</v>
      </c>
      <c r="D492" t="s">
        <v>281</v>
      </c>
      <c r="E492" t="s">
        <v>486</v>
      </c>
      <c r="F492" s="226" t="s">
        <v>279</v>
      </c>
      <c r="G492" t="str">
        <f>_xlfn.XLOOKUP(FMECA[[#This Row],[HazardRisk_name]],categories[HazardRisk_Name],categories[HazardRisk])</f>
        <v>Hazard</v>
      </c>
      <c r="H492" t="str">
        <f>_xlfn.XLOOKUP(FMECA[[#This Row],[HazardRisk_name]],categories[HazardRisk_Name],categories[Category])</f>
        <v>Navigational</v>
      </c>
      <c r="I492" t="s">
        <v>637</v>
      </c>
      <c r="J492" s="10">
        <v>5</v>
      </c>
      <c r="K492" t="s">
        <v>2461</v>
      </c>
      <c r="L492" s="10">
        <v>4</v>
      </c>
      <c r="M492" t="s">
        <v>2461</v>
      </c>
      <c r="N492" s="10">
        <f>FMECA[[#This Row],[probability_value]]*FMECA[[#This Row],[consequence_value]]</f>
        <v>20</v>
      </c>
      <c r="O49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92" s="10" t="s">
        <v>767</v>
      </c>
      <c r="Q492" t="s">
        <v>1132</v>
      </c>
      <c r="R492" t="s">
        <v>773</v>
      </c>
      <c r="S492" t="s">
        <v>2370</v>
      </c>
      <c r="T492" t="s">
        <v>793</v>
      </c>
      <c r="AA492" t="s">
        <v>1162</v>
      </c>
    </row>
    <row r="493" spans="1:27" x14ac:dyDescent="0.2">
      <c r="A493" s="225" t="s">
        <v>173</v>
      </c>
      <c r="B493" t="s">
        <v>63</v>
      </c>
      <c r="C493" t="s">
        <v>237</v>
      </c>
      <c r="D493" t="s">
        <v>281</v>
      </c>
      <c r="E493" t="s">
        <v>487</v>
      </c>
      <c r="F493" s="226" t="s">
        <v>279</v>
      </c>
      <c r="G493" t="str">
        <f>_xlfn.XLOOKUP(FMECA[[#This Row],[HazardRisk_name]],categories[HazardRisk_Name],categories[HazardRisk])</f>
        <v>Risk</v>
      </c>
      <c r="H493" t="str">
        <f>_xlfn.XLOOKUP(FMECA[[#This Row],[HazardRisk_name]],categories[HazardRisk_Name],categories[Category])</f>
        <v>Assessment</v>
      </c>
      <c r="I493" t="s">
        <v>708</v>
      </c>
      <c r="J493" s="10">
        <v>5</v>
      </c>
      <c r="K493" t="s">
        <v>2463</v>
      </c>
      <c r="L493" s="10">
        <v>4</v>
      </c>
      <c r="M493" t="s">
        <v>2463</v>
      </c>
      <c r="N493" s="10">
        <f>FMECA[[#This Row],[probability_value]]*FMECA[[#This Row],[consequence_value]]</f>
        <v>20</v>
      </c>
      <c r="O49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93" s="10" t="s">
        <v>767</v>
      </c>
      <c r="Q493" t="s">
        <v>1132</v>
      </c>
      <c r="R493" t="s">
        <v>773</v>
      </c>
      <c r="S493" t="s">
        <v>2370</v>
      </c>
      <c r="T493" t="s">
        <v>793</v>
      </c>
      <c r="W493" t="s">
        <v>2467</v>
      </c>
      <c r="X493" t="s">
        <v>470</v>
      </c>
      <c r="AA493" t="s">
        <v>1162</v>
      </c>
    </row>
    <row r="494" spans="1:27" x14ac:dyDescent="0.2">
      <c r="A494" s="225" t="s">
        <v>173</v>
      </c>
      <c r="B494" t="s">
        <v>63</v>
      </c>
      <c r="C494" t="s">
        <v>237</v>
      </c>
      <c r="D494" t="s">
        <v>281</v>
      </c>
      <c r="E494" t="s">
        <v>487</v>
      </c>
      <c r="F494" s="226" t="s">
        <v>279</v>
      </c>
      <c r="G494" t="str">
        <f>_xlfn.XLOOKUP(FMECA[[#This Row],[HazardRisk_name]],categories[HazardRisk_Name],categories[HazardRisk])</f>
        <v>Risk</v>
      </c>
      <c r="H494" t="str">
        <f>_xlfn.XLOOKUP(FMECA[[#This Row],[HazardRisk_name]],categories[HazardRisk_Name],categories[Category])</f>
        <v>Social</v>
      </c>
      <c r="I494" t="s">
        <v>569</v>
      </c>
      <c r="J494" s="10">
        <v>3</v>
      </c>
      <c r="K494" t="s">
        <v>2471</v>
      </c>
      <c r="L494" s="10">
        <v>4</v>
      </c>
      <c r="M494" t="s">
        <v>2471</v>
      </c>
      <c r="N494" s="10">
        <f>FMECA[[#This Row],[probability_value]]*FMECA[[#This Row],[consequence_value]]</f>
        <v>12</v>
      </c>
      <c r="O49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94" s="10" t="s">
        <v>767</v>
      </c>
      <c r="Q494" t="s">
        <v>1132</v>
      </c>
      <c r="R494" t="s">
        <v>773</v>
      </c>
      <c r="S494" t="s">
        <v>2370</v>
      </c>
      <c r="T494" t="s">
        <v>793</v>
      </c>
      <c r="AA494" t="s">
        <v>1162</v>
      </c>
    </row>
    <row r="495" spans="1:27" x14ac:dyDescent="0.2">
      <c r="A495" s="225" t="s">
        <v>173</v>
      </c>
      <c r="B495" t="s">
        <v>63</v>
      </c>
      <c r="C495" t="s">
        <v>237</v>
      </c>
      <c r="D495" t="s">
        <v>281</v>
      </c>
      <c r="E495" t="s">
        <v>487</v>
      </c>
      <c r="F495" s="226" t="s">
        <v>279</v>
      </c>
      <c r="G495" t="str">
        <f>_xlfn.XLOOKUP(FMECA[[#This Row],[HazardRisk_name]],categories[HazardRisk_Name],categories[HazardRisk])</f>
        <v>Hazard</v>
      </c>
      <c r="H495" t="str">
        <f>_xlfn.XLOOKUP(FMECA[[#This Row],[HazardRisk_name]],categories[HazardRisk_Name],categories[Category])</f>
        <v>Operational</v>
      </c>
      <c r="I495" t="s">
        <v>1315</v>
      </c>
      <c r="J495" s="10">
        <v>4</v>
      </c>
      <c r="K495" t="s">
        <v>2471</v>
      </c>
      <c r="L495" s="10">
        <v>7</v>
      </c>
      <c r="M495" t="s">
        <v>2471</v>
      </c>
      <c r="N495" s="10">
        <f>FMECA[[#This Row],[probability_value]]*FMECA[[#This Row],[consequence_value]]</f>
        <v>28</v>
      </c>
      <c r="O495" s="10" t="str">
        <f>IF(AND(FMECA[[#This Row],[Score]]&gt;=0, 9&gt;=FMECA[[#This Row],[Score]]), "UNDETECTABLE", IF(AND(FMECA[[#This Row],[Score]]&gt;=10, 24&gt;=FMECA[[#This Row],[Score]]), "MODERATE", IF(AND(FMECA[[#This Row],[Score]]&gt;=25, 35&gt;=FMECA[[#This Row],[Score]]), "HIGH", IF(AND(FMECA[[#This Row],[Score]]&gt;=36, 50&gt;=FMECA[[#This Row],[Score]]), "VERY HIGH", "Check Formula"))))</f>
        <v>HIGH</v>
      </c>
      <c r="P495" s="10" t="s">
        <v>767</v>
      </c>
      <c r="Q495" t="s">
        <v>1132</v>
      </c>
      <c r="R495" t="s">
        <v>773</v>
      </c>
      <c r="S495" t="s">
        <v>2370</v>
      </c>
      <c r="T495" t="s">
        <v>793</v>
      </c>
      <c r="AA495" t="s">
        <v>1162</v>
      </c>
    </row>
    <row r="496" spans="1:27" x14ac:dyDescent="0.2">
      <c r="A496" s="225" t="s">
        <v>173</v>
      </c>
      <c r="B496" t="s">
        <v>63</v>
      </c>
      <c r="C496" t="s">
        <v>237</v>
      </c>
      <c r="D496" t="s">
        <v>281</v>
      </c>
      <c r="E496" t="s">
        <v>486</v>
      </c>
      <c r="F496" s="226" t="s">
        <v>279</v>
      </c>
      <c r="G496" t="str">
        <f>_xlfn.XLOOKUP(FMECA[[#This Row],[HazardRisk_name]],categories[HazardRisk_Name],categories[HazardRisk])</f>
        <v>Hazard</v>
      </c>
      <c r="H496" t="str">
        <f>_xlfn.XLOOKUP(FMECA[[#This Row],[HazardRisk_name]],categories[HazardRisk_Name],categories[Category])</f>
        <v>Sea Ice</v>
      </c>
      <c r="I496" t="s">
        <v>563</v>
      </c>
      <c r="J496" s="10">
        <v>4</v>
      </c>
      <c r="K496" t="s">
        <v>2460</v>
      </c>
      <c r="L496" s="10">
        <v>7</v>
      </c>
      <c r="M496" t="s">
        <v>2460</v>
      </c>
      <c r="N496" s="10">
        <f>FMECA[[#This Row],[probability_value]]*FMECA[[#This Row],[consequence_value]]</f>
        <v>28</v>
      </c>
      <c r="O496" s="10" t="str">
        <f>IF(AND(FMECA[[#This Row],[Score]]&gt;=0, 9&gt;=FMECA[[#This Row],[Score]]), "UNDETECTABLE", IF(AND(FMECA[[#This Row],[Score]]&gt;=10, 24&gt;=FMECA[[#This Row],[Score]]), "MODERATE", IF(AND(FMECA[[#This Row],[Score]]&gt;=25, 35&gt;=FMECA[[#This Row],[Score]]), "HIGH", IF(AND(FMECA[[#This Row],[Score]]&gt;=36, 50&gt;=FMECA[[#This Row],[Score]]), "VERY HIGH", "Check Formula"))))</f>
        <v>HIGH</v>
      </c>
      <c r="P496" s="10" t="s">
        <v>767</v>
      </c>
      <c r="Q496" t="s">
        <v>1132</v>
      </c>
      <c r="R496" t="s">
        <v>773</v>
      </c>
      <c r="S496" t="s">
        <v>2370</v>
      </c>
      <c r="T496" t="s">
        <v>793</v>
      </c>
      <c r="AA496" t="s">
        <v>1162</v>
      </c>
    </row>
    <row r="497" spans="1:27" x14ac:dyDescent="0.2">
      <c r="A497" s="225" t="s">
        <v>173</v>
      </c>
      <c r="B497" t="s">
        <v>63</v>
      </c>
      <c r="C497" t="s">
        <v>237</v>
      </c>
      <c r="D497" t="s">
        <v>281</v>
      </c>
      <c r="E497" t="s">
        <v>337</v>
      </c>
      <c r="F497" s="226" t="s">
        <v>279</v>
      </c>
      <c r="G497" t="str">
        <f>_xlfn.XLOOKUP(FMECA[[#This Row],[HazardRisk_name]],categories[HazardRisk_Name],categories[HazardRisk])</f>
        <v>Risk</v>
      </c>
      <c r="H497" t="str">
        <f>_xlfn.XLOOKUP(FMECA[[#This Row],[HazardRisk_name]],categories[HazardRisk_Name],categories[Category])</f>
        <v>Sea Ice</v>
      </c>
      <c r="I497" t="s">
        <v>480</v>
      </c>
      <c r="J497" s="10">
        <v>5</v>
      </c>
      <c r="K497" t="s">
        <v>2460</v>
      </c>
      <c r="L497" s="10">
        <v>7</v>
      </c>
      <c r="M497" t="s">
        <v>2460</v>
      </c>
      <c r="N497" s="10">
        <f>FMECA[[#This Row],[probability_value]]*FMECA[[#This Row],[consequence_value]]</f>
        <v>35</v>
      </c>
      <c r="O497" s="10" t="str">
        <f>IF(AND(FMECA[[#This Row],[Score]]&gt;=0, 9&gt;=FMECA[[#This Row],[Score]]), "UNDETECTABLE", IF(AND(FMECA[[#This Row],[Score]]&gt;=10, 24&gt;=FMECA[[#This Row],[Score]]), "MODERATE", IF(AND(FMECA[[#This Row],[Score]]&gt;=25, 35&gt;=FMECA[[#This Row],[Score]]), "HIGH", IF(AND(FMECA[[#This Row],[Score]]&gt;=36, 50&gt;=FMECA[[#This Row],[Score]]), "VERY HIGH", "Check Formula"))))</f>
        <v>HIGH</v>
      </c>
      <c r="P497" s="10" t="s">
        <v>767</v>
      </c>
      <c r="Q497" t="s">
        <v>1132</v>
      </c>
      <c r="R497" t="s">
        <v>773</v>
      </c>
      <c r="S497" t="s">
        <v>2370</v>
      </c>
      <c r="T497" t="s">
        <v>793</v>
      </c>
      <c r="AA497" t="s">
        <v>1162</v>
      </c>
    </row>
    <row r="498" spans="1:27" x14ac:dyDescent="0.2">
      <c r="A498" s="225" t="s">
        <v>174</v>
      </c>
      <c r="B498" t="s">
        <v>63</v>
      </c>
      <c r="C498" t="s">
        <v>237</v>
      </c>
      <c r="D498" t="s">
        <v>282</v>
      </c>
      <c r="E498" t="s">
        <v>338</v>
      </c>
      <c r="F498" s="226" t="s">
        <v>280</v>
      </c>
      <c r="G498" t="str">
        <f>_xlfn.XLOOKUP(FMECA[[#This Row],[HazardRisk_name]],categories[HazardRisk_Name],categories[HazardRisk])</f>
        <v>Risk</v>
      </c>
      <c r="H498" t="str">
        <f>_xlfn.XLOOKUP(FMECA[[#This Row],[HazardRisk_name]],categories[HazardRisk_Name],categories[Category])</f>
        <v>Navigational</v>
      </c>
      <c r="I498" t="s">
        <v>719</v>
      </c>
      <c r="J498" s="10">
        <v>4</v>
      </c>
      <c r="K498" t="s">
        <v>2444</v>
      </c>
      <c r="L498" s="10">
        <v>4</v>
      </c>
      <c r="M498" t="s">
        <v>2444</v>
      </c>
      <c r="N498" s="10">
        <f>FMECA[[#This Row],[probability_value]]*FMECA[[#This Row],[consequence_value]]</f>
        <v>16</v>
      </c>
      <c r="O49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498" s="10" t="s">
        <v>770</v>
      </c>
      <c r="Q498" t="s">
        <v>1132</v>
      </c>
      <c r="R498" t="s">
        <v>771</v>
      </c>
      <c r="S498" t="s">
        <v>2369</v>
      </c>
      <c r="T498" t="s">
        <v>793</v>
      </c>
      <c r="Y498" t="s">
        <v>1153</v>
      </c>
      <c r="Z498" t="s">
        <v>2448</v>
      </c>
      <c r="AA498" t="s">
        <v>1162</v>
      </c>
    </row>
    <row r="499" spans="1:27" x14ac:dyDescent="0.2">
      <c r="A499" s="225" t="s">
        <v>174</v>
      </c>
      <c r="B499" t="s">
        <v>63</v>
      </c>
      <c r="C499" t="s">
        <v>237</v>
      </c>
      <c r="D499" t="s">
        <v>282</v>
      </c>
      <c r="E499" t="s">
        <v>338</v>
      </c>
      <c r="F499" s="226" t="s">
        <v>280</v>
      </c>
      <c r="G499" t="str">
        <f>_xlfn.XLOOKUP(FMECA[[#This Row],[HazardRisk_name]],categories[HazardRisk_Name],categories[HazardRisk])</f>
        <v>Hazard</v>
      </c>
      <c r="H499" t="str">
        <f>_xlfn.XLOOKUP(FMECA[[#This Row],[HazardRisk_name]],categories[HazardRisk_Name],categories[Category])</f>
        <v>Navigational</v>
      </c>
      <c r="I499" t="s">
        <v>484</v>
      </c>
      <c r="J499" s="10">
        <v>5</v>
      </c>
      <c r="K499" t="s">
        <v>1769</v>
      </c>
      <c r="L499" s="10">
        <v>7</v>
      </c>
      <c r="M499" t="s">
        <v>1769</v>
      </c>
      <c r="N499" s="10">
        <f>FMECA[[#This Row],[probability_value]]*FMECA[[#This Row],[consequence_value]]</f>
        <v>35</v>
      </c>
      <c r="O499" s="10" t="str">
        <f>IF(AND(FMECA[[#This Row],[Score]]&gt;=0, 9&gt;=FMECA[[#This Row],[Score]]), "UNDETECTABLE", IF(AND(FMECA[[#This Row],[Score]]&gt;=10, 24&gt;=FMECA[[#This Row],[Score]]), "MODERATE", IF(AND(FMECA[[#This Row],[Score]]&gt;=25, 35&gt;=FMECA[[#This Row],[Score]]), "HIGH", IF(AND(FMECA[[#This Row],[Score]]&gt;=36, 50&gt;=FMECA[[#This Row],[Score]]), "VERY HIGH", "Check Formula"))))</f>
        <v>HIGH</v>
      </c>
      <c r="P499" s="10" t="s">
        <v>770</v>
      </c>
      <c r="Q499" t="s">
        <v>1132</v>
      </c>
      <c r="R499" t="s">
        <v>771</v>
      </c>
      <c r="S499" t="s">
        <v>2369</v>
      </c>
      <c r="T499" t="s">
        <v>793</v>
      </c>
      <c r="Y499" t="s">
        <v>1153</v>
      </c>
      <c r="Z499" t="s">
        <v>2448</v>
      </c>
      <c r="AA499" t="s">
        <v>1162</v>
      </c>
    </row>
    <row r="500" spans="1:27" x14ac:dyDescent="0.2">
      <c r="A500" s="225" t="s">
        <v>174</v>
      </c>
      <c r="B500" t="s">
        <v>63</v>
      </c>
      <c r="C500" t="s">
        <v>237</v>
      </c>
      <c r="D500" t="s">
        <v>282</v>
      </c>
      <c r="E500" t="s">
        <v>338</v>
      </c>
      <c r="F500" s="226" t="s">
        <v>280</v>
      </c>
      <c r="G500" t="str">
        <f>_xlfn.XLOOKUP(FMECA[[#This Row],[HazardRisk_name]],categories[HazardRisk_Name],categories[HazardRisk])</f>
        <v>Hazard</v>
      </c>
      <c r="H500" t="str">
        <f>_xlfn.XLOOKUP(FMECA[[#This Row],[HazardRisk_name]],categories[HazardRisk_Name],categories[Category])</f>
        <v>Sea Ice</v>
      </c>
      <c r="I500" t="s">
        <v>447</v>
      </c>
      <c r="J500" s="10">
        <v>4</v>
      </c>
      <c r="K500" t="s">
        <v>1771</v>
      </c>
      <c r="L500" s="10">
        <v>10</v>
      </c>
      <c r="M500" t="s">
        <v>1771</v>
      </c>
      <c r="N500" s="10">
        <f>FMECA[[#This Row],[probability_value]]*FMECA[[#This Row],[consequence_value]]</f>
        <v>40</v>
      </c>
      <c r="O500"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00" s="10" t="s">
        <v>770</v>
      </c>
      <c r="Q500" t="s">
        <v>1132</v>
      </c>
      <c r="R500" t="s">
        <v>771</v>
      </c>
      <c r="S500" t="s">
        <v>2369</v>
      </c>
      <c r="T500" t="s">
        <v>793</v>
      </c>
      <c r="Y500" t="s">
        <v>1153</v>
      </c>
      <c r="Z500" t="s">
        <v>2448</v>
      </c>
      <c r="AA500" t="s">
        <v>1162</v>
      </c>
    </row>
    <row r="501" spans="1:27" x14ac:dyDescent="0.2">
      <c r="A501" s="225" t="s">
        <v>174</v>
      </c>
      <c r="B501" t="s">
        <v>63</v>
      </c>
      <c r="C501" t="s">
        <v>237</v>
      </c>
      <c r="D501" t="s">
        <v>282</v>
      </c>
      <c r="E501" t="s">
        <v>338</v>
      </c>
      <c r="F501" s="226" t="s">
        <v>280</v>
      </c>
      <c r="G501" t="str">
        <f>_xlfn.XLOOKUP(FMECA[[#This Row],[HazardRisk_name]],categories[HazardRisk_Name],categories[HazardRisk])</f>
        <v>Risk</v>
      </c>
      <c r="H501" t="str">
        <f>_xlfn.XLOOKUP(FMECA[[#This Row],[HazardRisk_name]],categories[HazardRisk_Name],categories[Category])</f>
        <v>Navigational</v>
      </c>
      <c r="I501" t="s">
        <v>720</v>
      </c>
      <c r="J501" s="10">
        <v>4</v>
      </c>
      <c r="K501" t="s">
        <v>2446</v>
      </c>
      <c r="L501" s="10">
        <v>10</v>
      </c>
      <c r="M501" t="s">
        <v>2446</v>
      </c>
      <c r="N501" s="10">
        <f>FMECA[[#This Row],[probability_value]]*FMECA[[#This Row],[consequence_value]]</f>
        <v>40</v>
      </c>
      <c r="O501"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01" s="10" t="s">
        <v>770</v>
      </c>
      <c r="Q501" t="s">
        <v>1132</v>
      </c>
      <c r="R501" t="s">
        <v>771</v>
      </c>
      <c r="S501" t="s">
        <v>2369</v>
      </c>
      <c r="T501" t="s">
        <v>793</v>
      </c>
      <c r="Y501" t="s">
        <v>1153</v>
      </c>
      <c r="Z501" t="s">
        <v>2448</v>
      </c>
      <c r="AA501" t="s">
        <v>1162</v>
      </c>
    </row>
    <row r="502" spans="1:27" x14ac:dyDescent="0.2">
      <c r="A502" s="225" t="s">
        <v>174</v>
      </c>
      <c r="B502" t="s">
        <v>63</v>
      </c>
      <c r="C502" t="s">
        <v>237</v>
      </c>
      <c r="D502" t="s">
        <v>282</v>
      </c>
      <c r="E502" t="s">
        <v>338</v>
      </c>
      <c r="F502" s="226" t="s">
        <v>280</v>
      </c>
      <c r="G502" t="str">
        <f>_xlfn.XLOOKUP(FMECA[[#This Row],[HazardRisk_name]],categories[HazardRisk_Name],categories[HazardRisk])</f>
        <v>Risk</v>
      </c>
      <c r="H502" t="str">
        <f>_xlfn.XLOOKUP(FMECA[[#This Row],[HazardRisk_name]],categories[HazardRisk_Name],categories[Category])</f>
        <v>Navigational</v>
      </c>
      <c r="I502" t="s">
        <v>474</v>
      </c>
      <c r="J502" s="10">
        <v>4</v>
      </c>
      <c r="K502" t="s">
        <v>2443</v>
      </c>
      <c r="L502" s="10">
        <v>10</v>
      </c>
      <c r="M502" t="s">
        <v>2443</v>
      </c>
      <c r="N502" s="10">
        <f>FMECA[[#This Row],[probability_value]]*FMECA[[#This Row],[consequence_value]]</f>
        <v>40</v>
      </c>
      <c r="O502"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02" s="10" t="s">
        <v>770</v>
      </c>
      <c r="Q502" t="s">
        <v>1132</v>
      </c>
      <c r="R502" t="s">
        <v>771</v>
      </c>
      <c r="S502" t="s">
        <v>2369</v>
      </c>
      <c r="T502" t="s">
        <v>793</v>
      </c>
      <c r="Y502" t="s">
        <v>1153</v>
      </c>
      <c r="Z502" t="s">
        <v>2448</v>
      </c>
      <c r="AA502" t="s">
        <v>1162</v>
      </c>
    </row>
    <row r="503" spans="1:27" x14ac:dyDescent="0.2">
      <c r="A503" s="225" t="s">
        <v>174</v>
      </c>
      <c r="B503" t="s">
        <v>63</v>
      </c>
      <c r="C503" t="s">
        <v>237</v>
      </c>
      <c r="D503" t="s">
        <v>282</v>
      </c>
      <c r="E503" t="s">
        <v>338</v>
      </c>
      <c r="F503" s="226" t="s">
        <v>280</v>
      </c>
      <c r="G503" t="str">
        <f>_xlfn.XLOOKUP(FMECA[[#This Row],[HazardRisk_name]],categories[HazardRisk_Name],categories[HazardRisk])</f>
        <v>Risk</v>
      </c>
      <c r="H503" t="str">
        <f>_xlfn.XLOOKUP(FMECA[[#This Row],[HazardRisk_name]],categories[HazardRisk_Name],categories[Category])</f>
        <v>Sea Ice</v>
      </c>
      <c r="I503" t="s">
        <v>480</v>
      </c>
      <c r="J503" s="10">
        <v>4</v>
      </c>
      <c r="K503" t="s">
        <v>2442</v>
      </c>
      <c r="L503" s="10">
        <v>7</v>
      </c>
      <c r="M503" t="s">
        <v>2442</v>
      </c>
      <c r="N503" s="10">
        <f>FMECA[[#This Row],[probability_value]]*FMECA[[#This Row],[consequence_value]]</f>
        <v>28</v>
      </c>
      <c r="O503" s="10" t="str">
        <f>IF(AND(FMECA[[#This Row],[Score]]&gt;=0, 9&gt;=FMECA[[#This Row],[Score]]), "UNDETECTABLE", IF(AND(FMECA[[#This Row],[Score]]&gt;=10, 24&gt;=FMECA[[#This Row],[Score]]), "MODERATE", IF(AND(FMECA[[#This Row],[Score]]&gt;=25, 35&gt;=FMECA[[#This Row],[Score]]), "HIGH", IF(AND(FMECA[[#This Row],[Score]]&gt;=36, 50&gt;=FMECA[[#This Row],[Score]]), "VERY HIGH", "Check Formula"))))</f>
        <v>HIGH</v>
      </c>
      <c r="P503" s="10" t="s">
        <v>770</v>
      </c>
      <c r="Q503" t="s">
        <v>1132</v>
      </c>
      <c r="R503" t="s">
        <v>771</v>
      </c>
      <c r="S503" t="s">
        <v>2369</v>
      </c>
      <c r="T503" t="s">
        <v>793</v>
      </c>
      <c r="Y503" t="s">
        <v>1153</v>
      </c>
      <c r="Z503" t="s">
        <v>2448</v>
      </c>
      <c r="AA503" t="s">
        <v>1162</v>
      </c>
    </row>
    <row r="504" spans="1:27" x14ac:dyDescent="0.2">
      <c r="A504" s="225" t="s">
        <v>174</v>
      </c>
      <c r="B504" t="s">
        <v>63</v>
      </c>
      <c r="C504" t="s">
        <v>237</v>
      </c>
      <c r="D504" t="s">
        <v>282</v>
      </c>
      <c r="E504" t="s">
        <v>338</v>
      </c>
      <c r="F504" s="226" t="s">
        <v>280</v>
      </c>
      <c r="G504" t="str">
        <f>_xlfn.XLOOKUP(FMECA[[#This Row],[HazardRisk_name]],categories[HazardRisk_Name],categories[HazardRisk])</f>
        <v>Hazard</v>
      </c>
      <c r="H504" t="str">
        <f>_xlfn.XLOOKUP(FMECA[[#This Row],[HazardRisk_name]],categories[HazardRisk_Name],categories[Category])</f>
        <v>Sea Ice</v>
      </c>
      <c r="I504" t="s">
        <v>675</v>
      </c>
      <c r="J504" s="10">
        <v>5</v>
      </c>
      <c r="K504" t="s">
        <v>2445</v>
      </c>
      <c r="L504" s="10">
        <v>7</v>
      </c>
      <c r="M504" t="s">
        <v>2445</v>
      </c>
      <c r="N504" s="10">
        <f>FMECA[[#This Row],[probability_value]]*FMECA[[#This Row],[consequence_value]]</f>
        <v>35</v>
      </c>
      <c r="O504" s="10" t="str">
        <f>IF(AND(FMECA[[#This Row],[Score]]&gt;=0, 9&gt;=FMECA[[#This Row],[Score]]), "UNDETECTABLE", IF(AND(FMECA[[#This Row],[Score]]&gt;=10, 24&gt;=FMECA[[#This Row],[Score]]), "MODERATE", IF(AND(FMECA[[#This Row],[Score]]&gt;=25, 35&gt;=FMECA[[#This Row],[Score]]), "HIGH", IF(AND(FMECA[[#This Row],[Score]]&gt;=36, 50&gt;=FMECA[[#This Row],[Score]]), "VERY HIGH", "Check Formula"))))</f>
        <v>HIGH</v>
      </c>
      <c r="P504" s="10" t="s">
        <v>770</v>
      </c>
      <c r="Q504" t="s">
        <v>1132</v>
      </c>
      <c r="R504" t="s">
        <v>771</v>
      </c>
      <c r="S504" t="s">
        <v>2369</v>
      </c>
      <c r="T504" t="s">
        <v>793</v>
      </c>
      <c r="Y504" t="s">
        <v>1153</v>
      </c>
      <c r="Z504" t="s">
        <v>2448</v>
      </c>
      <c r="AA504" t="s">
        <v>1162</v>
      </c>
    </row>
    <row r="505" spans="1:27" x14ac:dyDescent="0.2">
      <c r="A505" s="225" t="s">
        <v>174</v>
      </c>
      <c r="B505" t="s">
        <v>63</v>
      </c>
      <c r="C505" t="s">
        <v>237</v>
      </c>
      <c r="D505" t="s">
        <v>282</v>
      </c>
      <c r="E505" t="s">
        <v>338</v>
      </c>
      <c r="F505" s="226" t="s">
        <v>280</v>
      </c>
      <c r="G505" t="str">
        <f>_xlfn.XLOOKUP(FMECA[[#This Row],[HazardRisk_name]],categories[HazardRisk_Name],categories[HazardRisk])</f>
        <v>Hazard</v>
      </c>
      <c r="H505" t="str">
        <f>_xlfn.XLOOKUP(FMECA[[#This Row],[HazardRisk_name]],categories[HazardRisk_Name],categories[Category])</f>
        <v>Environmental</v>
      </c>
      <c r="I505" t="s">
        <v>600</v>
      </c>
      <c r="J505" s="10">
        <v>5</v>
      </c>
      <c r="K505" t="s">
        <v>2447</v>
      </c>
      <c r="L505" s="10">
        <v>7</v>
      </c>
      <c r="M505" t="s">
        <v>2447</v>
      </c>
      <c r="N505" s="10">
        <f>FMECA[[#This Row],[probability_value]]*FMECA[[#This Row],[consequence_value]]</f>
        <v>35</v>
      </c>
      <c r="O505" s="10" t="str">
        <f>IF(AND(FMECA[[#This Row],[Score]]&gt;=0, 9&gt;=FMECA[[#This Row],[Score]]), "UNDETECTABLE", IF(AND(FMECA[[#This Row],[Score]]&gt;=10, 24&gt;=FMECA[[#This Row],[Score]]), "MODERATE", IF(AND(FMECA[[#This Row],[Score]]&gt;=25, 35&gt;=FMECA[[#This Row],[Score]]), "HIGH", IF(AND(FMECA[[#This Row],[Score]]&gt;=36, 50&gt;=FMECA[[#This Row],[Score]]), "VERY HIGH", "Check Formula"))))</f>
        <v>HIGH</v>
      </c>
      <c r="P505" s="10" t="s">
        <v>770</v>
      </c>
      <c r="Q505" t="s">
        <v>1132</v>
      </c>
      <c r="R505" t="s">
        <v>771</v>
      </c>
      <c r="S505" t="s">
        <v>2369</v>
      </c>
      <c r="T505" t="s">
        <v>793</v>
      </c>
      <c r="Y505" t="s">
        <v>1153</v>
      </c>
      <c r="Z505" t="s">
        <v>2448</v>
      </c>
      <c r="AA505" t="s">
        <v>1162</v>
      </c>
    </row>
    <row r="506" spans="1:27" x14ac:dyDescent="0.2">
      <c r="A506" s="225" t="s">
        <v>175</v>
      </c>
      <c r="B506" t="s">
        <v>63</v>
      </c>
      <c r="C506" t="s">
        <v>237</v>
      </c>
      <c r="D506" t="s">
        <v>290</v>
      </c>
      <c r="E506" t="s">
        <v>339</v>
      </c>
      <c r="F506" s="226" t="s">
        <v>288</v>
      </c>
      <c r="G506" t="str">
        <f>_xlfn.XLOOKUP(FMECA[[#This Row],[HazardRisk_name]],categories[HazardRisk_Name],categories[HazardRisk])</f>
        <v>Hazard</v>
      </c>
      <c r="H506" t="str">
        <f>_xlfn.XLOOKUP(FMECA[[#This Row],[HazardRisk_name]],categories[HazardRisk_Name],categories[Category])</f>
        <v>Navigational</v>
      </c>
      <c r="I506" t="s">
        <v>637</v>
      </c>
      <c r="J506" s="10">
        <v>4</v>
      </c>
      <c r="K506" t="s">
        <v>2421</v>
      </c>
      <c r="L506" s="10">
        <v>10</v>
      </c>
      <c r="M506" t="s">
        <v>2421</v>
      </c>
      <c r="N506" s="10">
        <f>FMECA[[#This Row],[probability_value]]*FMECA[[#This Row],[consequence_value]]</f>
        <v>40</v>
      </c>
      <c r="O506"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06" s="10" t="s">
        <v>770</v>
      </c>
      <c r="Q506" t="s">
        <v>1132</v>
      </c>
      <c r="R506" t="s">
        <v>771</v>
      </c>
      <c r="S506" t="s">
        <v>2368</v>
      </c>
      <c r="T506" t="s">
        <v>793</v>
      </c>
      <c r="Y506" t="s">
        <v>1218</v>
      </c>
      <c r="Z506" t="s">
        <v>2422</v>
      </c>
      <c r="AA506" t="s">
        <v>1162</v>
      </c>
    </row>
    <row r="507" spans="1:27" x14ac:dyDescent="0.2">
      <c r="A507" s="225" t="s">
        <v>175</v>
      </c>
      <c r="B507" t="s">
        <v>63</v>
      </c>
      <c r="C507" t="s">
        <v>237</v>
      </c>
      <c r="D507" t="s">
        <v>290</v>
      </c>
      <c r="E507" t="s">
        <v>339</v>
      </c>
      <c r="F507" s="226" t="s">
        <v>288</v>
      </c>
      <c r="G507" t="str">
        <f>_xlfn.XLOOKUP(FMECA[[#This Row],[HazardRisk_name]],categories[HazardRisk_Name],categories[HazardRisk])</f>
        <v>Risk</v>
      </c>
      <c r="H507" t="str">
        <f>_xlfn.XLOOKUP(FMECA[[#This Row],[HazardRisk_name]],categories[HazardRisk_Name],categories[Category])</f>
        <v>Navigational</v>
      </c>
      <c r="I507" t="s">
        <v>704</v>
      </c>
      <c r="J507" s="10">
        <v>4</v>
      </c>
      <c r="K507" t="s">
        <v>2421</v>
      </c>
      <c r="L507" s="10">
        <v>10</v>
      </c>
      <c r="M507" t="s">
        <v>2421</v>
      </c>
      <c r="N507" s="10">
        <f>FMECA[[#This Row],[probability_value]]*FMECA[[#This Row],[consequence_value]]</f>
        <v>40</v>
      </c>
      <c r="O507"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07" s="10" t="s">
        <v>770</v>
      </c>
      <c r="Q507" t="s">
        <v>1132</v>
      </c>
      <c r="R507" t="s">
        <v>771</v>
      </c>
      <c r="S507" t="s">
        <v>2368</v>
      </c>
      <c r="T507" t="s">
        <v>793</v>
      </c>
      <c r="Y507" t="s">
        <v>1218</v>
      </c>
      <c r="Z507" t="s">
        <v>2422</v>
      </c>
      <c r="AA507" t="s">
        <v>1162</v>
      </c>
    </row>
    <row r="508" spans="1:27" x14ac:dyDescent="0.2">
      <c r="A508" s="225" t="s">
        <v>175</v>
      </c>
      <c r="B508" t="s">
        <v>63</v>
      </c>
      <c r="C508" t="s">
        <v>237</v>
      </c>
      <c r="D508" t="s">
        <v>290</v>
      </c>
      <c r="E508" t="s">
        <v>339</v>
      </c>
      <c r="F508" s="226" t="s">
        <v>288</v>
      </c>
      <c r="G508" t="str">
        <f>_xlfn.XLOOKUP(FMECA[[#This Row],[HazardRisk_name]],categories[HazardRisk_Name],categories[HazardRisk])</f>
        <v>Risk</v>
      </c>
      <c r="H508" t="str">
        <f>_xlfn.XLOOKUP(FMECA[[#This Row],[HazardRisk_name]],categories[HazardRisk_Name],categories[Category])</f>
        <v>Navigational</v>
      </c>
      <c r="I508" t="s">
        <v>474</v>
      </c>
      <c r="J508" s="10">
        <v>4</v>
      </c>
      <c r="K508" t="s">
        <v>2412</v>
      </c>
      <c r="L508" s="10">
        <v>10</v>
      </c>
      <c r="M508" t="s">
        <v>2412</v>
      </c>
      <c r="N508" s="10">
        <f>FMECA[[#This Row],[probability_value]]*FMECA[[#This Row],[consequence_value]]</f>
        <v>40</v>
      </c>
      <c r="O508"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08" s="10" t="s">
        <v>770</v>
      </c>
      <c r="Q508" t="s">
        <v>1132</v>
      </c>
      <c r="R508" t="s">
        <v>771</v>
      </c>
      <c r="S508" t="s">
        <v>2368</v>
      </c>
      <c r="T508" t="s">
        <v>793</v>
      </c>
      <c r="U508" t="s">
        <v>2417</v>
      </c>
      <c r="V508" t="s">
        <v>466</v>
      </c>
      <c r="Y508" t="s">
        <v>1218</v>
      </c>
      <c r="Z508" t="s">
        <v>2422</v>
      </c>
      <c r="AA508" t="s">
        <v>1162</v>
      </c>
    </row>
    <row r="509" spans="1:27" x14ac:dyDescent="0.2">
      <c r="A509" s="225" t="s">
        <v>175</v>
      </c>
      <c r="B509" t="s">
        <v>63</v>
      </c>
      <c r="C509" t="s">
        <v>237</v>
      </c>
      <c r="D509" t="s">
        <v>290</v>
      </c>
      <c r="E509" t="s">
        <v>339</v>
      </c>
      <c r="F509" s="226" t="s">
        <v>288</v>
      </c>
      <c r="G509" t="str">
        <f>_xlfn.XLOOKUP(FMECA[[#This Row],[HazardRisk_name]],categories[HazardRisk_Name],categories[HazardRisk])</f>
        <v>Hazard</v>
      </c>
      <c r="H509" t="str">
        <f>_xlfn.XLOOKUP(FMECA[[#This Row],[HazardRisk_name]],categories[HazardRisk_Name],categories[Category])</f>
        <v>Sea Ice</v>
      </c>
      <c r="I509" t="s">
        <v>447</v>
      </c>
      <c r="J509" s="10">
        <v>4</v>
      </c>
      <c r="K509" t="s">
        <v>2414</v>
      </c>
      <c r="L509" s="10">
        <v>7</v>
      </c>
      <c r="M509" t="s">
        <v>2414</v>
      </c>
      <c r="N509" s="10">
        <f>FMECA[[#This Row],[probability_value]]*FMECA[[#This Row],[consequence_value]]</f>
        <v>28</v>
      </c>
      <c r="O509" s="10" t="str">
        <f>IF(AND(FMECA[[#This Row],[Score]]&gt;=0, 9&gt;=FMECA[[#This Row],[Score]]), "UNDETECTABLE", IF(AND(FMECA[[#This Row],[Score]]&gt;=10, 24&gt;=FMECA[[#This Row],[Score]]), "MODERATE", IF(AND(FMECA[[#This Row],[Score]]&gt;=25, 35&gt;=FMECA[[#This Row],[Score]]), "HIGH", IF(AND(FMECA[[#This Row],[Score]]&gt;=36, 50&gt;=FMECA[[#This Row],[Score]]), "VERY HIGH", "Check Formula"))))</f>
        <v>HIGH</v>
      </c>
      <c r="P509" s="10" t="s">
        <v>770</v>
      </c>
      <c r="Q509" t="s">
        <v>1132</v>
      </c>
      <c r="R509" t="s">
        <v>771</v>
      </c>
      <c r="S509" t="s">
        <v>2368</v>
      </c>
      <c r="T509" t="s">
        <v>793</v>
      </c>
      <c r="U509" t="s">
        <v>2416</v>
      </c>
      <c r="V509" t="s">
        <v>466</v>
      </c>
      <c r="W509" t="s">
        <v>2415</v>
      </c>
      <c r="X509" t="s">
        <v>466</v>
      </c>
      <c r="Y509" t="s">
        <v>1218</v>
      </c>
      <c r="Z509" t="s">
        <v>2422</v>
      </c>
      <c r="AA509" t="s">
        <v>1162</v>
      </c>
    </row>
    <row r="510" spans="1:27" x14ac:dyDescent="0.2">
      <c r="A510" s="225" t="s">
        <v>175</v>
      </c>
      <c r="B510" t="s">
        <v>63</v>
      </c>
      <c r="C510" t="s">
        <v>237</v>
      </c>
      <c r="D510" t="s">
        <v>290</v>
      </c>
      <c r="E510" t="s">
        <v>339</v>
      </c>
      <c r="F510" s="226" t="s">
        <v>288</v>
      </c>
      <c r="G510" t="str">
        <f>_xlfn.XLOOKUP(FMECA[[#This Row],[HazardRisk_name]],categories[HazardRisk_Name],categories[HazardRisk])</f>
        <v>Risk</v>
      </c>
      <c r="H510" t="str">
        <f>_xlfn.XLOOKUP(FMECA[[#This Row],[HazardRisk_name]],categories[HazardRisk_Name],categories[Category])</f>
        <v>Sea Ice</v>
      </c>
      <c r="I510" t="s">
        <v>480</v>
      </c>
      <c r="J510" s="10">
        <v>4</v>
      </c>
      <c r="K510" t="s">
        <v>2413</v>
      </c>
      <c r="L510" s="10">
        <v>7</v>
      </c>
      <c r="M510" t="s">
        <v>2413</v>
      </c>
      <c r="N510" s="10">
        <f>FMECA[[#This Row],[probability_value]]*FMECA[[#This Row],[consequence_value]]</f>
        <v>28</v>
      </c>
      <c r="O510" s="10" t="str">
        <f>IF(AND(FMECA[[#This Row],[Score]]&gt;=0, 9&gt;=FMECA[[#This Row],[Score]]), "UNDETECTABLE", IF(AND(FMECA[[#This Row],[Score]]&gt;=10, 24&gt;=FMECA[[#This Row],[Score]]), "MODERATE", IF(AND(FMECA[[#This Row],[Score]]&gt;=25, 35&gt;=FMECA[[#This Row],[Score]]), "HIGH", IF(AND(FMECA[[#This Row],[Score]]&gt;=36, 50&gt;=FMECA[[#This Row],[Score]]), "VERY HIGH", "Check Formula"))))</f>
        <v>HIGH</v>
      </c>
      <c r="P510" s="10" t="s">
        <v>770</v>
      </c>
      <c r="Q510" t="s">
        <v>1132</v>
      </c>
      <c r="R510" t="s">
        <v>771</v>
      </c>
      <c r="S510" t="s">
        <v>2368</v>
      </c>
      <c r="T510" t="s">
        <v>793</v>
      </c>
      <c r="Y510" t="s">
        <v>1218</v>
      </c>
      <c r="Z510" t="s">
        <v>2422</v>
      </c>
      <c r="AA510" t="s">
        <v>1162</v>
      </c>
    </row>
    <row r="511" spans="1:27" x14ac:dyDescent="0.2">
      <c r="A511" s="225" t="s">
        <v>175</v>
      </c>
      <c r="B511" t="s">
        <v>63</v>
      </c>
      <c r="C511" t="s">
        <v>237</v>
      </c>
      <c r="D511" t="s">
        <v>290</v>
      </c>
      <c r="E511" t="s">
        <v>339</v>
      </c>
      <c r="F511" s="226" t="s">
        <v>288</v>
      </c>
      <c r="G511" t="str">
        <f>_xlfn.XLOOKUP(FMECA[[#This Row],[HazardRisk_name]],categories[HazardRisk_Name],categories[HazardRisk])</f>
        <v>Hazard</v>
      </c>
      <c r="H511" t="str">
        <f>_xlfn.XLOOKUP(FMECA[[#This Row],[HazardRisk_name]],categories[HazardRisk_Name],categories[Category])</f>
        <v>Sea Ice</v>
      </c>
      <c r="I511" t="s">
        <v>673</v>
      </c>
      <c r="J511" s="10">
        <v>5</v>
      </c>
      <c r="K511" t="s">
        <v>2420</v>
      </c>
      <c r="L511" s="10">
        <v>7</v>
      </c>
      <c r="M511" t="s">
        <v>2420</v>
      </c>
      <c r="N511" s="10">
        <f>FMECA[[#This Row],[probability_value]]*FMECA[[#This Row],[consequence_value]]</f>
        <v>35</v>
      </c>
      <c r="O511" s="10" t="str">
        <f>IF(AND(FMECA[[#This Row],[Score]]&gt;=0, 9&gt;=FMECA[[#This Row],[Score]]), "UNDETECTABLE", IF(AND(FMECA[[#This Row],[Score]]&gt;=10, 24&gt;=FMECA[[#This Row],[Score]]), "MODERATE", IF(AND(FMECA[[#This Row],[Score]]&gt;=25, 35&gt;=FMECA[[#This Row],[Score]]), "HIGH", IF(AND(FMECA[[#This Row],[Score]]&gt;=36, 50&gt;=FMECA[[#This Row],[Score]]), "VERY HIGH", "Check Formula"))))</f>
        <v>HIGH</v>
      </c>
      <c r="P511" s="10" t="s">
        <v>770</v>
      </c>
      <c r="Q511" t="s">
        <v>1132</v>
      </c>
      <c r="R511" t="s">
        <v>771</v>
      </c>
      <c r="S511" t="s">
        <v>2368</v>
      </c>
      <c r="T511" t="s">
        <v>793</v>
      </c>
      <c r="Y511" t="s">
        <v>1218</v>
      </c>
      <c r="Z511" t="s">
        <v>2422</v>
      </c>
      <c r="AA511" t="s">
        <v>1162</v>
      </c>
    </row>
    <row r="512" spans="1:27" x14ac:dyDescent="0.2">
      <c r="A512" s="225" t="s">
        <v>175</v>
      </c>
      <c r="B512" t="s">
        <v>63</v>
      </c>
      <c r="C512" t="s">
        <v>237</v>
      </c>
      <c r="D512" t="s">
        <v>290</v>
      </c>
      <c r="E512" t="s">
        <v>339</v>
      </c>
      <c r="F512" s="226" t="s">
        <v>288</v>
      </c>
      <c r="G512" t="str">
        <f>_xlfn.XLOOKUP(FMECA[[#This Row],[HazardRisk_name]],categories[HazardRisk_Name],categories[HazardRisk])</f>
        <v>Risk</v>
      </c>
      <c r="H512" t="str">
        <f>_xlfn.XLOOKUP(FMECA[[#This Row],[HazardRisk_name]],categories[HazardRisk_Name],categories[Category])</f>
        <v>Navigational</v>
      </c>
      <c r="I512" t="s">
        <v>720</v>
      </c>
      <c r="J512" s="10">
        <v>5</v>
      </c>
      <c r="K512" t="s">
        <v>2418</v>
      </c>
      <c r="L512" s="10">
        <v>10</v>
      </c>
      <c r="M512" t="s">
        <v>2418</v>
      </c>
      <c r="N512" s="10">
        <f>FMECA[[#This Row],[probability_value]]*FMECA[[#This Row],[consequence_value]]</f>
        <v>50</v>
      </c>
      <c r="O512"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12" s="10" t="s">
        <v>770</v>
      </c>
      <c r="Q512" t="s">
        <v>1132</v>
      </c>
      <c r="R512" t="s">
        <v>771</v>
      </c>
      <c r="S512" t="s">
        <v>2368</v>
      </c>
      <c r="T512" t="s">
        <v>793</v>
      </c>
      <c r="W512" t="s">
        <v>2419</v>
      </c>
      <c r="X512" t="s">
        <v>470</v>
      </c>
      <c r="Y512" t="s">
        <v>1218</v>
      </c>
      <c r="Z512" t="s">
        <v>2422</v>
      </c>
      <c r="AA512" t="s">
        <v>1162</v>
      </c>
    </row>
    <row r="513" spans="1:27" x14ac:dyDescent="0.2">
      <c r="A513" s="225" t="s">
        <v>176</v>
      </c>
      <c r="B513" t="s">
        <v>63</v>
      </c>
      <c r="C513" t="s">
        <v>237</v>
      </c>
      <c r="D513" t="s">
        <v>291</v>
      </c>
      <c r="E513" t="s">
        <v>340</v>
      </c>
      <c r="F513" s="226" t="s">
        <v>289</v>
      </c>
      <c r="G513" t="str">
        <f>_xlfn.XLOOKUP(FMECA[[#This Row],[HazardRisk_name]],categories[HazardRisk_Name],categories[HazardRisk])</f>
        <v>Hazard</v>
      </c>
      <c r="H513" t="str">
        <f>_xlfn.XLOOKUP(FMECA[[#This Row],[HazardRisk_name]],categories[HazardRisk_Name],categories[Category])</f>
        <v>Environmental</v>
      </c>
      <c r="I513" t="s">
        <v>693</v>
      </c>
      <c r="J513" s="10">
        <v>3</v>
      </c>
      <c r="K513" t="s">
        <v>2441</v>
      </c>
      <c r="L513" s="10">
        <v>4</v>
      </c>
      <c r="M513" t="s">
        <v>2441</v>
      </c>
      <c r="N513" s="10">
        <f>FMECA[[#This Row],[probability_value]]*FMECA[[#This Row],[consequence_value]]</f>
        <v>12</v>
      </c>
      <c r="O51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13" s="10" t="s">
        <v>785</v>
      </c>
      <c r="Q513" t="s">
        <v>1132</v>
      </c>
      <c r="R513" t="s">
        <v>773</v>
      </c>
      <c r="S513" t="s">
        <v>2367</v>
      </c>
      <c r="T513" t="s">
        <v>793</v>
      </c>
      <c r="AA513" t="s">
        <v>1162</v>
      </c>
    </row>
    <row r="514" spans="1:27" x14ac:dyDescent="0.2">
      <c r="A514" s="225" t="s">
        <v>176</v>
      </c>
      <c r="B514" t="s">
        <v>63</v>
      </c>
      <c r="C514" t="s">
        <v>237</v>
      </c>
      <c r="D514" t="s">
        <v>291</v>
      </c>
      <c r="E514" t="s">
        <v>340</v>
      </c>
      <c r="F514" s="226" t="s">
        <v>289</v>
      </c>
      <c r="G514" t="str">
        <f>_xlfn.XLOOKUP(FMECA[[#This Row],[HazardRisk_name]],categories[HazardRisk_Name],categories[HazardRisk])</f>
        <v>Hazard</v>
      </c>
      <c r="H514" t="str">
        <f>_xlfn.XLOOKUP(FMECA[[#This Row],[HazardRisk_name]],categories[HazardRisk_Name],categories[Category])</f>
        <v>Technological</v>
      </c>
      <c r="I514" t="s">
        <v>1311</v>
      </c>
      <c r="J514" s="10">
        <v>3</v>
      </c>
      <c r="K514" t="s">
        <v>2441</v>
      </c>
      <c r="L514" s="10">
        <v>7</v>
      </c>
      <c r="M514" t="s">
        <v>2441</v>
      </c>
      <c r="N514" s="10">
        <f>FMECA[[#This Row],[probability_value]]*FMECA[[#This Row],[consequence_value]]</f>
        <v>21</v>
      </c>
      <c r="O51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14" s="10" t="s">
        <v>785</v>
      </c>
      <c r="Q514" t="s">
        <v>1132</v>
      </c>
      <c r="R514" t="s">
        <v>773</v>
      </c>
      <c r="S514" t="s">
        <v>2367</v>
      </c>
      <c r="T514" t="s">
        <v>793</v>
      </c>
      <c r="AA514" t="s">
        <v>1162</v>
      </c>
    </row>
    <row r="515" spans="1:27" x14ac:dyDescent="0.2">
      <c r="A515" s="225" t="s">
        <v>176</v>
      </c>
      <c r="B515" t="s">
        <v>63</v>
      </c>
      <c r="C515" t="s">
        <v>237</v>
      </c>
      <c r="D515" t="s">
        <v>291</v>
      </c>
      <c r="E515" t="s">
        <v>340</v>
      </c>
      <c r="F515" s="226" t="s">
        <v>289</v>
      </c>
      <c r="G515" t="str">
        <f>_xlfn.XLOOKUP(FMECA[[#This Row],[HazardRisk_name]],categories[HazardRisk_Name],categories[HazardRisk])</f>
        <v>Risk</v>
      </c>
      <c r="H515" t="str">
        <f>_xlfn.XLOOKUP(FMECA[[#This Row],[HazardRisk_name]],categories[HazardRisk_Name],categories[Category])</f>
        <v>Assessment</v>
      </c>
      <c r="I515" t="s">
        <v>709</v>
      </c>
      <c r="J515" s="10">
        <v>5</v>
      </c>
      <c r="K515" t="s">
        <v>2438</v>
      </c>
      <c r="L515" s="10">
        <v>4</v>
      </c>
      <c r="M515" t="s">
        <v>2438</v>
      </c>
      <c r="N515" s="10">
        <f>FMECA[[#This Row],[probability_value]]*FMECA[[#This Row],[consequence_value]]</f>
        <v>20</v>
      </c>
      <c r="O51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15" s="10" t="s">
        <v>785</v>
      </c>
      <c r="Q515" t="s">
        <v>1132</v>
      </c>
      <c r="R515" t="s">
        <v>773</v>
      </c>
      <c r="S515" t="s">
        <v>2367</v>
      </c>
      <c r="T515" t="s">
        <v>793</v>
      </c>
      <c r="U515" t="s">
        <v>2439</v>
      </c>
      <c r="V515" t="s">
        <v>466</v>
      </c>
      <c r="W515" t="s">
        <v>2440</v>
      </c>
      <c r="X515" t="s">
        <v>466</v>
      </c>
      <c r="AA515" t="s">
        <v>1162</v>
      </c>
    </row>
    <row r="516" spans="1:27" x14ac:dyDescent="0.2">
      <c r="A516" s="225" t="s">
        <v>176</v>
      </c>
      <c r="B516" t="s">
        <v>63</v>
      </c>
      <c r="C516" t="s">
        <v>237</v>
      </c>
      <c r="D516" t="s">
        <v>291</v>
      </c>
      <c r="E516" t="s">
        <v>340</v>
      </c>
      <c r="F516" s="226" t="s">
        <v>289</v>
      </c>
      <c r="G516" t="str">
        <f>_xlfn.XLOOKUP(FMECA[[#This Row],[HazardRisk_name]],categories[HazardRisk_Name],categories[HazardRisk])</f>
        <v>Risk</v>
      </c>
      <c r="H516" t="str">
        <f>_xlfn.XLOOKUP(FMECA[[#This Row],[HazardRisk_name]],categories[HazardRisk_Name],categories[Category])</f>
        <v>Technological</v>
      </c>
      <c r="I516" t="s">
        <v>692</v>
      </c>
      <c r="J516" s="10">
        <v>3</v>
      </c>
      <c r="K516" t="s">
        <v>2436</v>
      </c>
      <c r="L516" s="10">
        <v>4</v>
      </c>
      <c r="M516" t="s">
        <v>2436</v>
      </c>
      <c r="N516" s="10">
        <f>FMECA[[#This Row],[probability_value]]*FMECA[[#This Row],[consequence_value]]</f>
        <v>12</v>
      </c>
      <c r="O51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16" s="10" t="s">
        <v>785</v>
      </c>
      <c r="Q516" t="s">
        <v>1132</v>
      </c>
      <c r="R516" t="s">
        <v>773</v>
      </c>
      <c r="S516" t="s">
        <v>2367</v>
      </c>
      <c r="T516" t="s">
        <v>793</v>
      </c>
      <c r="U516" t="s">
        <v>2437</v>
      </c>
      <c r="V516" t="s">
        <v>470</v>
      </c>
      <c r="AA516" t="s">
        <v>1162</v>
      </c>
    </row>
    <row r="517" spans="1:27" x14ac:dyDescent="0.2">
      <c r="A517" s="225" t="s">
        <v>176</v>
      </c>
      <c r="B517" t="s">
        <v>63</v>
      </c>
      <c r="C517" t="s">
        <v>237</v>
      </c>
      <c r="D517" t="s">
        <v>291</v>
      </c>
      <c r="E517" t="s">
        <v>340</v>
      </c>
      <c r="F517" s="226" t="s">
        <v>289</v>
      </c>
      <c r="G517" t="str">
        <f>_xlfn.XLOOKUP(FMECA[[#This Row],[HazardRisk_name]],categories[HazardRisk_Name],categories[HazardRisk])</f>
        <v>Risk</v>
      </c>
      <c r="H517" t="str">
        <f>_xlfn.XLOOKUP(FMECA[[#This Row],[HazardRisk_name]],categories[HazardRisk_Name],categories[Category])</f>
        <v>Technological</v>
      </c>
      <c r="I517" t="s">
        <v>721</v>
      </c>
      <c r="J517" s="10">
        <v>2</v>
      </c>
      <c r="K517" t="s">
        <v>2435</v>
      </c>
      <c r="L517" s="10">
        <v>7</v>
      </c>
      <c r="M517" t="s">
        <v>2435</v>
      </c>
      <c r="N517" s="10">
        <f>FMECA[[#This Row],[probability_value]]*FMECA[[#This Row],[consequence_value]]</f>
        <v>14</v>
      </c>
      <c r="O51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17" s="10" t="s">
        <v>785</v>
      </c>
      <c r="Q517" t="s">
        <v>1132</v>
      </c>
      <c r="R517" t="s">
        <v>773</v>
      </c>
      <c r="S517" t="s">
        <v>2367</v>
      </c>
      <c r="T517" t="s">
        <v>793</v>
      </c>
      <c r="AA517" t="s">
        <v>1162</v>
      </c>
    </row>
    <row r="518" spans="1:27" x14ac:dyDescent="0.2">
      <c r="A518" s="225" t="s">
        <v>177</v>
      </c>
      <c r="B518" t="s">
        <v>63</v>
      </c>
      <c r="C518" t="s">
        <v>237</v>
      </c>
      <c r="D518" t="s">
        <v>199</v>
      </c>
      <c r="E518" t="s">
        <v>341</v>
      </c>
      <c r="F518" s="226" t="s">
        <v>292</v>
      </c>
      <c r="G518" t="str">
        <f>_xlfn.XLOOKUP(FMECA[[#This Row],[HazardRisk_name]],categories[HazardRisk_Name],categories[HazardRisk])</f>
        <v>Risk</v>
      </c>
      <c r="H518" t="str">
        <f>_xlfn.XLOOKUP(FMECA[[#This Row],[HazardRisk_name]],categories[HazardRisk_Name],categories[Category])</f>
        <v>Social</v>
      </c>
      <c r="I518" t="s">
        <v>569</v>
      </c>
      <c r="J518" s="10">
        <v>4</v>
      </c>
      <c r="K518" t="s">
        <v>2623</v>
      </c>
      <c r="L518" s="10">
        <v>10</v>
      </c>
      <c r="M518" t="s">
        <v>2623</v>
      </c>
      <c r="N518" s="10">
        <f>FMECA[[#This Row],[probability_value]]*FMECA[[#This Row],[consequence_value]]</f>
        <v>40</v>
      </c>
      <c r="O518"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18" s="10" t="s">
        <v>770</v>
      </c>
      <c r="Q518" t="s">
        <v>1132</v>
      </c>
      <c r="R518" t="s">
        <v>773</v>
      </c>
      <c r="S518" t="s">
        <v>2366</v>
      </c>
      <c r="T518" t="s">
        <v>793</v>
      </c>
      <c r="AA518" t="s">
        <v>1162</v>
      </c>
    </row>
    <row r="519" spans="1:27" x14ac:dyDescent="0.2">
      <c r="A519" s="225" t="s">
        <v>177</v>
      </c>
      <c r="B519" t="s">
        <v>63</v>
      </c>
      <c r="C519" t="s">
        <v>237</v>
      </c>
      <c r="D519" t="s">
        <v>199</v>
      </c>
      <c r="E519" t="s">
        <v>341</v>
      </c>
      <c r="F519" s="226" t="s">
        <v>292</v>
      </c>
      <c r="G519" t="str">
        <f>_xlfn.XLOOKUP(FMECA[[#This Row],[HazardRisk_name]],categories[HazardRisk_Name],categories[HazardRisk])</f>
        <v>Risk</v>
      </c>
      <c r="H519" t="str">
        <f>_xlfn.XLOOKUP(FMECA[[#This Row],[HazardRisk_name]],categories[HazardRisk_Name],categories[Category])</f>
        <v>Operational</v>
      </c>
      <c r="I519" t="s">
        <v>572</v>
      </c>
      <c r="J519" s="10">
        <v>4</v>
      </c>
      <c r="K519" t="s">
        <v>2623</v>
      </c>
      <c r="L519" s="10">
        <v>10</v>
      </c>
      <c r="M519" t="s">
        <v>2623</v>
      </c>
      <c r="N519" s="10">
        <f>FMECA[[#This Row],[probability_value]]*FMECA[[#This Row],[consequence_value]]</f>
        <v>40</v>
      </c>
      <c r="O519"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19" s="10" t="s">
        <v>770</v>
      </c>
      <c r="Q519" t="s">
        <v>1132</v>
      </c>
      <c r="R519" t="s">
        <v>773</v>
      </c>
      <c r="S519" t="s">
        <v>2366</v>
      </c>
      <c r="T519" t="s">
        <v>793</v>
      </c>
      <c r="AA519" t="s">
        <v>1162</v>
      </c>
    </row>
    <row r="520" spans="1:27" x14ac:dyDescent="0.2">
      <c r="A520" s="225" t="s">
        <v>177</v>
      </c>
      <c r="B520" t="s">
        <v>63</v>
      </c>
      <c r="C520" t="s">
        <v>237</v>
      </c>
      <c r="D520" t="s">
        <v>199</v>
      </c>
      <c r="E520" t="s">
        <v>341</v>
      </c>
      <c r="F520" s="226" t="s">
        <v>292</v>
      </c>
      <c r="G520" t="str">
        <f>_xlfn.XLOOKUP(FMECA[[#This Row],[HazardRisk_name]],categories[HazardRisk_Name],categories[HazardRisk])</f>
        <v>Risk</v>
      </c>
      <c r="H520" t="str">
        <f>_xlfn.XLOOKUP(FMECA[[#This Row],[HazardRisk_name]],categories[HazardRisk_Name],categories[Category])</f>
        <v>Navigational</v>
      </c>
      <c r="I520" t="s">
        <v>703</v>
      </c>
      <c r="J520" s="10">
        <v>2</v>
      </c>
      <c r="K520" t="s">
        <v>2624</v>
      </c>
      <c r="L520" s="10">
        <v>7</v>
      </c>
      <c r="M520" t="s">
        <v>2624</v>
      </c>
      <c r="N520" s="10">
        <f>FMECA[[#This Row],[probability_value]]*FMECA[[#This Row],[consequence_value]]</f>
        <v>14</v>
      </c>
      <c r="O52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20" s="10" t="s">
        <v>770</v>
      </c>
      <c r="Q520" t="s">
        <v>1132</v>
      </c>
      <c r="R520" t="s">
        <v>773</v>
      </c>
      <c r="S520" t="s">
        <v>2366</v>
      </c>
      <c r="T520" t="s">
        <v>793</v>
      </c>
      <c r="AA520" t="s">
        <v>1162</v>
      </c>
    </row>
    <row r="521" spans="1:27" x14ac:dyDescent="0.2">
      <c r="A521" s="225" t="s">
        <v>177</v>
      </c>
      <c r="B521" t="s">
        <v>63</v>
      </c>
      <c r="C521" t="s">
        <v>237</v>
      </c>
      <c r="D521" t="s">
        <v>199</v>
      </c>
      <c r="E521" t="s">
        <v>341</v>
      </c>
      <c r="F521" s="226" t="s">
        <v>292</v>
      </c>
      <c r="G521" t="str">
        <f>_xlfn.XLOOKUP(FMECA[[#This Row],[HazardRisk_name]],categories[HazardRisk_Name],categories[HazardRisk])</f>
        <v>Risk</v>
      </c>
      <c r="H521" t="str">
        <f>_xlfn.XLOOKUP(FMECA[[#This Row],[HazardRisk_name]],categories[HazardRisk_Name],categories[Category])</f>
        <v>Navigational</v>
      </c>
      <c r="I521" t="s">
        <v>556</v>
      </c>
      <c r="J521" s="10">
        <v>2</v>
      </c>
      <c r="K521" t="s">
        <v>2624</v>
      </c>
      <c r="L521" s="10">
        <v>10</v>
      </c>
      <c r="M521" t="s">
        <v>2624</v>
      </c>
      <c r="N521" s="10">
        <f>FMECA[[#This Row],[probability_value]]*FMECA[[#This Row],[consequence_value]]</f>
        <v>20</v>
      </c>
      <c r="O52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21" s="10" t="s">
        <v>770</v>
      </c>
      <c r="Q521" t="s">
        <v>1132</v>
      </c>
      <c r="R521" t="s">
        <v>773</v>
      </c>
      <c r="S521" t="s">
        <v>2366</v>
      </c>
      <c r="T521" t="s">
        <v>793</v>
      </c>
    </row>
    <row r="522" spans="1:27" x14ac:dyDescent="0.2">
      <c r="A522" s="225" t="s">
        <v>177</v>
      </c>
      <c r="B522" t="s">
        <v>63</v>
      </c>
      <c r="C522" t="s">
        <v>237</v>
      </c>
      <c r="D522" t="s">
        <v>199</v>
      </c>
      <c r="E522" t="s">
        <v>341</v>
      </c>
      <c r="F522" s="226" t="s">
        <v>292</v>
      </c>
      <c r="G522" t="str">
        <f>_xlfn.XLOOKUP(FMECA[[#This Row],[HazardRisk_name]],categories[HazardRisk_Name],categories[HazardRisk])</f>
        <v>Hazard</v>
      </c>
      <c r="H522" t="str">
        <f>_xlfn.XLOOKUP(FMECA[[#This Row],[HazardRisk_name]],categories[HazardRisk_Name],categories[Category])</f>
        <v>Operational</v>
      </c>
      <c r="I522" t="s">
        <v>595</v>
      </c>
      <c r="J522" s="10">
        <v>3</v>
      </c>
      <c r="K522" t="s">
        <v>2626</v>
      </c>
      <c r="L522" s="10">
        <v>7</v>
      </c>
      <c r="M522" t="s">
        <v>2626</v>
      </c>
      <c r="N522" s="10">
        <f>FMECA[[#This Row],[probability_value]]*FMECA[[#This Row],[consequence_value]]</f>
        <v>21</v>
      </c>
      <c r="O52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22" s="10" t="s">
        <v>770</v>
      </c>
      <c r="Q522" t="s">
        <v>1132</v>
      </c>
      <c r="R522" t="s">
        <v>773</v>
      </c>
      <c r="S522" t="s">
        <v>2366</v>
      </c>
      <c r="T522" t="s">
        <v>793</v>
      </c>
      <c r="AA522" t="s">
        <v>1162</v>
      </c>
    </row>
    <row r="523" spans="1:27" x14ac:dyDescent="0.2">
      <c r="A523" s="225" t="s">
        <v>177</v>
      </c>
      <c r="B523" t="s">
        <v>63</v>
      </c>
      <c r="C523" t="s">
        <v>237</v>
      </c>
      <c r="D523" t="s">
        <v>199</v>
      </c>
      <c r="E523" t="s">
        <v>341</v>
      </c>
      <c r="F523" s="226" t="s">
        <v>292</v>
      </c>
      <c r="G523" t="str">
        <f>_xlfn.XLOOKUP(FMECA[[#This Row],[HazardRisk_name]],categories[HazardRisk_Name],categories[HazardRisk])</f>
        <v>Hazard</v>
      </c>
      <c r="H523" t="str">
        <f>_xlfn.XLOOKUP(FMECA[[#This Row],[HazardRisk_name]],categories[HazardRisk_Name],categories[Category])</f>
        <v>Operational</v>
      </c>
      <c r="I523" t="s">
        <v>685</v>
      </c>
      <c r="J523" s="10">
        <v>3</v>
      </c>
      <c r="K523" t="s">
        <v>2626</v>
      </c>
      <c r="L523" s="10">
        <v>4</v>
      </c>
      <c r="M523" t="s">
        <v>2626</v>
      </c>
      <c r="N523" s="10">
        <f>FMECA[[#This Row],[probability_value]]*FMECA[[#This Row],[consequence_value]]</f>
        <v>12</v>
      </c>
      <c r="O52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23" s="10" t="s">
        <v>770</v>
      </c>
      <c r="Q523" t="s">
        <v>1132</v>
      </c>
      <c r="R523" t="s">
        <v>773</v>
      </c>
      <c r="S523" t="s">
        <v>2366</v>
      </c>
      <c r="T523" t="s">
        <v>793</v>
      </c>
      <c r="AA523" t="s">
        <v>1162</v>
      </c>
    </row>
    <row r="524" spans="1:27" x14ac:dyDescent="0.2">
      <c r="A524" s="225" t="s">
        <v>177</v>
      </c>
      <c r="B524" t="s">
        <v>63</v>
      </c>
      <c r="C524" t="s">
        <v>237</v>
      </c>
      <c r="D524" t="s">
        <v>199</v>
      </c>
      <c r="E524" t="s">
        <v>341</v>
      </c>
      <c r="F524" s="226" t="s">
        <v>292</v>
      </c>
      <c r="G524" t="str">
        <f>_xlfn.XLOOKUP(FMECA[[#This Row],[HazardRisk_name]],categories[HazardRisk_Name],categories[HazardRisk])</f>
        <v>Hazard</v>
      </c>
      <c r="H524" t="str">
        <f>_xlfn.XLOOKUP(FMECA[[#This Row],[HazardRisk_name]],categories[HazardRisk_Name],categories[Category])</f>
        <v>Navigational</v>
      </c>
      <c r="I524" t="s">
        <v>723</v>
      </c>
      <c r="J524" s="10">
        <v>2</v>
      </c>
      <c r="K524" t="s">
        <v>2625</v>
      </c>
      <c r="L524" s="10">
        <v>7</v>
      </c>
      <c r="M524" t="s">
        <v>2625</v>
      </c>
      <c r="N524" s="10">
        <f>FMECA[[#This Row],[probability_value]]*FMECA[[#This Row],[consequence_value]]</f>
        <v>14</v>
      </c>
      <c r="O52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24" s="10" t="s">
        <v>770</v>
      </c>
      <c r="Q524" t="s">
        <v>1132</v>
      </c>
      <c r="R524" t="s">
        <v>773</v>
      </c>
      <c r="S524" t="s">
        <v>2366</v>
      </c>
      <c r="T524" t="s">
        <v>793</v>
      </c>
      <c r="AA524" t="s">
        <v>1162</v>
      </c>
    </row>
    <row r="525" spans="1:27" x14ac:dyDescent="0.2">
      <c r="A525" s="225" t="s">
        <v>177</v>
      </c>
      <c r="B525" t="s">
        <v>63</v>
      </c>
      <c r="C525" t="s">
        <v>237</v>
      </c>
      <c r="D525" t="s">
        <v>199</v>
      </c>
      <c r="E525" t="s">
        <v>341</v>
      </c>
      <c r="F525" s="226" t="s">
        <v>292</v>
      </c>
      <c r="G525" t="str">
        <f>_xlfn.XLOOKUP(FMECA[[#This Row],[HazardRisk_name]],categories[HazardRisk_Name],categories[HazardRisk])</f>
        <v>Hazard</v>
      </c>
      <c r="H525" t="str">
        <f>_xlfn.XLOOKUP(FMECA[[#This Row],[HazardRisk_name]],categories[HazardRisk_Name],categories[Category])</f>
        <v>Sea Ice</v>
      </c>
      <c r="I525" t="s">
        <v>447</v>
      </c>
      <c r="J525" s="10">
        <v>3</v>
      </c>
      <c r="K525" t="s">
        <v>2622</v>
      </c>
      <c r="L525" s="10">
        <v>10</v>
      </c>
      <c r="M525" t="s">
        <v>2622</v>
      </c>
      <c r="N525" s="10">
        <f>FMECA[[#This Row],[probability_value]]*FMECA[[#This Row],[consequence_value]]</f>
        <v>30</v>
      </c>
      <c r="O525" s="10" t="str">
        <f>IF(AND(FMECA[[#This Row],[Score]]&gt;=0, 9&gt;=FMECA[[#This Row],[Score]]), "UNDETECTABLE", IF(AND(FMECA[[#This Row],[Score]]&gt;=10, 24&gt;=FMECA[[#This Row],[Score]]), "MODERATE", IF(AND(FMECA[[#This Row],[Score]]&gt;=25, 35&gt;=FMECA[[#This Row],[Score]]), "HIGH", IF(AND(FMECA[[#This Row],[Score]]&gt;=36, 50&gt;=FMECA[[#This Row],[Score]]), "VERY HIGH", "Check Formula"))))</f>
        <v>HIGH</v>
      </c>
      <c r="P525" s="10" t="s">
        <v>770</v>
      </c>
      <c r="Q525" t="s">
        <v>1132</v>
      </c>
      <c r="R525" t="s">
        <v>773</v>
      </c>
      <c r="S525" t="s">
        <v>2366</v>
      </c>
      <c r="T525" t="s">
        <v>793</v>
      </c>
    </row>
    <row r="526" spans="1:27" x14ac:dyDescent="0.2">
      <c r="A526" s="225" t="s">
        <v>177</v>
      </c>
      <c r="B526" t="s">
        <v>63</v>
      </c>
      <c r="C526" t="s">
        <v>237</v>
      </c>
      <c r="D526" t="s">
        <v>199</v>
      </c>
      <c r="E526" t="s">
        <v>341</v>
      </c>
      <c r="F526" s="226" t="s">
        <v>292</v>
      </c>
      <c r="G526" t="str">
        <f>_xlfn.XLOOKUP(FMECA[[#This Row],[HazardRisk_name]],categories[HazardRisk_Name],categories[HazardRisk])</f>
        <v>Hazard</v>
      </c>
      <c r="H526" t="str">
        <f>_xlfn.XLOOKUP(FMECA[[#This Row],[HazardRisk_name]],categories[HazardRisk_Name],categories[Category])</f>
        <v>Sea Ice</v>
      </c>
      <c r="I526" t="s">
        <v>673</v>
      </c>
      <c r="J526" s="10">
        <v>5</v>
      </c>
      <c r="K526" t="s">
        <v>2622</v>
      </c>
      <c r="L526" s="10">
        <v>10</v>
      </c>
      <c r="M526" t="s">
        <v>2622</v>
      </c>
      <c r="N526" s="10">
        <f>FMECA[[#This Row],[probability_value]]*FMECA[[#This Row],[consequence_value]]</f>
        <v>50</v>
      </c>
      <c r="O526"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26" s="10" t="s">
        <v>770</v>
      </c>
      <c r="Q526" t="s">
        <v>1132</v>
      </c>
      <c r="R526" t="s">
        <v>773</v>
      </c>
      <c r="S526" t="s">
        <v>2366</v>
      </c>
      <c r="T526" t="s">
        <v>793</v>
      </c>
    </row>
    <row r="527" spans="1:27" x14ac:dyDescent="0.2">
      <c r="A527" s="225" t="s">
        <v>177</v>
      </c>
      <c r="B527" t="s">
        <v>63</v>
      </c>
      <c r="C527" t="s">
        <v>237</v>
      </c>
      <c r="D527" t="s">
        <v>199</v>
      </c>
      <c r="E527" t="s">
        <v>341</v>
      </c>
      <c r="F527" s="226" t="s">
        <v>292</v>
      </c>
      <c r="G527" t="str">
        <f>_xlfn.XLOOKUP(FMECA[[#This Row],[HazardRisk_name]],categories[HazardRisk_Name],categories[HazardRisk])</f>
        <v>Hazard</v>
      </c>
      <c r="H527" t="str">
        <f>_xlfn.XLOOKUP(FMECA[[#This Row],[HazardRisk_name]],categories[HazardRisk_Name],categories[Category])</f>
        <v>Sea Ice</v>
      </c>
      <c r="I527" t="s">
        <v>563</v>
      </c>
      <c r="J527" s="10">
        <v>4</v>
      </c>
      <c r="K527" t="s">
        <v>2622</v>
      </c>
      <c r="L527" s="10">
        <v>7</v>
      </c>
      <c r="M527" t="s">
        <v>2622</v>
      </c>
      <c r="N527" s="10">
        <f>FMECA[[#This Row],[probability_value]]*FMECA[[#This Row],[consequence_value]]</f>
        <v>28</v>
      </c>
      <c r="O527" s="10" t="str">
        <f>IF(AND(FMECA[[#This Row],[Score]]&gt;=0, 9&gt;=FMECA[[#This Row],[Score]]), "UNDETECTABLE", IF(AND(FMECA[[#This Row],[Score]]&gt;=10, 24&gt;=FMECA[[#This Row],[Score]]), "MODERATE", IF(AND(FMECA[[#This Row],[Score]]&gt;=25, 35&gt;=FMECA[[#This Row],[Score]]), "HIGH", IF(AND(FMECA[[#This Row],[Score]]&gt;=36, 50&gt;=FMECA[[#This Row],[Score]]), "VERY HIGH", "Check Formula"))))</f>
        <v>HIGH</v>
      </c>
      <c r="P527" s="10" t="s">
        <v>770</v>
      </c>
      <c r="Q527" t="s">
        <v>1132</v>
      </c>
      <c r="R527" t="s">
        <v>773</v>
      </c>
      <c r="S527" t="s">
        <v>2366</v>
      </c>
      <c r="T527" t="s">
        <v>793</v>
      </c>
      <c r="AA527" t="s">
        <v>1162</v>
      </c>
    </row>
    <row r="528" spans="1:27" x14ac:dyDescent="0.2">
      <c r="A528" s="225" t="s">
        <v>177</v>
      </c>
      <c r="B528" t="s">
        <v>63</v>
      </c>
      <c r="C528" t="s">
        <v>237</v>
      </c>
      <c r="D528" t="s">
        <v>199</v>
      </c>
      <c r="E528" t="s">
        <v>341</v>
      </c>
      <c r="F528" s="226" t="s">
        <v>292</v>
      </c>
      <c r="G528" t="str">
        <f>_xlfn.XLOOKUP(FMECA[[#This Row],[HazardRisk_name]],categories[HazardRisk_Name],categories[HazardRisk])</f>
        <v>Risk</v>
      </c>
      <c r="H528" t="str">
        <f>_xlfn.XLOOKUP(FMECA[[#This Row],[HazardRisk_name]],categories[HazardRisk_Name],categories[Category])</f>
        <v>Navigational</v>
      </c>
      <c r="I528" t="s">
        <v>586</v>
      </c>
      <c r="J528" s="10">
        <v>2</v>
      </c>
      <c r="K528" t="s">
        <v>2627</v>
      </c>
      <c r="L528" s="10">
        <v>7</v>
      </c>
      <c r="M528" t="s">
        <v>2627</v>
      </c>
      <c r="N528" s="10">
        <f>FMECA[[#This Row],[probability_value]]*FMECA[[#This Row],[consequence_value]]</f>
        <v>14</v>
      </c>
      <c r="O52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28" s="10" t="s">
        <v>770</v>
      </c>
      <c r="Q528" t="s">
        <v>1132</v>
      </c>
      <c r="R528" t="s">
        <v>773</v>
      </c>
      <c r="S528" t="s">
        <v>2366</v>
      </c>
      <c r="T528" t="s">
        <v>793</v>
      </c>
      <c r="AA528" t="s">
        <v>1162</v>
      </c>
    </row>
    <row r="529" spans="1:27" x14ac:dyDescent="0.2">
      <c r="A529" s="225" t="s">
        <v>177</v>
      </c>
      <c r="B529" t="s">
        <v>63</v>
      </c>
      <c r="C529" t="s">
        <v>237</v>
      </c>
      <c r="D529" t="s">
        <v>199</v>
      </c>
      <c r="E529" t="s">
        <v>341</v>
      </c>
      <c r="F529" s="226" t="s">
        <v>292</v>
      </c>
      <c r="G529" t="str">
        <f>_xlfn.XLOOKUP(FMECA[[#This Row],[HazardRisk_name]],categories[HazardRisk_Name],categories[HazardRisk])</f>
        <v>Risk</v>
      </c>
      <c r="H529" t="str">
        <f>_xlfn.XLOOKUP(FMECA[[#This Row],[HazardRisk_name]],categories[HazardRisk_Name],categories[Category])</f>
        <v>Navigational</v>
      </c>
      <c r="I529" t="s">
        <v>474</v>
      </c>
      <c r="J529" s="10">
        <v>4</v>
      </c>
      <c r="K529" t="s">
        <v>2621</v>
      </c>
      <c r="L529" s="10">
        <v>7</v>
      </c>
      <c r="M529" t="s">
        <v>2621</v>
      </c>
      <c r="N529" s="10">
        <f>FMECA[[#This Row],[probability_value]]*FMECA[[#This Row],[consequence_value]]</f>
        <v>28</v>
      </c>
      <c r="O529" s="10" t="str">
        <f>IF(AND(FMECA[[#This Row],[Score]]&gt;=0, 9&gt;=FMECA[[#This Row],[Score]]), "UNDETECTABLE", IF(AND(FMECA[[#This Row],[Score]]&gt;=10, 24&gt;=FMECA[[#This Row],[Score]]), "MODERATE", IF(AND(FMECA[[#This Row],[Score]]&gt;=25, 35&gt;=FMECA[[#This Row],[Score]]), "HIGH", IF(AND(FMECA[[#This Row],[Score]]&gt;=36, 50&gt;=FMECA[[#This Row],[Score]]), "VERY HIGH", "Check Formula"))))</f>
        <v>HIGH</v>
      </c>
      <c r="P529" s="10" t="s">
        <v>770</v>
      </c>
      <c r="Q529" t="s">
        <v>1132</v>
      </c>
      <c r="R529" t="s">
        <v>773</v>
      </c>
      <c r="S529" t="s">
        <v>2366</v>
      </c>
      <c r="T529" t="s">
        <v>793</v>
      </c>
      <c r="AA529" t="s">
        <v>1162</v>
      </c>
    </row>
    <row r="530" spans="1:27" x14ac:dyDescent="0.2">
      <c r="A530" s="225" t="s">
        <v>178</v>
      </c>
      <c r="B530" t="s">
        <v>63</v>
      </c>
      <c r="C530" t="s">
        <v>237</v>
      </c>
      <c r="D530" t="s">
        <v>294</v>
      </c>
      <c r="E530" t="s">
        <v>342</v>
      </c>
      <c r="F530" s="226" t="s">
        <v>293</v>
      </c>
      <c r="G530" t="str">
        <f>_xlfn.XLOOKUP(FMECA[[#This Row],[HazardRisk_name]],categories[HazardRisk_Name],categories[HazardRisk])</f>
        <v>Risk</v>
      </c>
      <c r="H530" t="str">
        <f>_xlfn.XLOOKUP(FMECA[[#This Row],[HazardRisk_name]],categories[HazardRisk_Name],categories[Category])</f>
        <v>Navigational</v>
      </c>
      <c r="I530" t="s">
        <v>556</v>
      </c>
      <c r="J530" s="10">
        <v>2</v>
      </c>
      <c r="K530" t="s">
        <v>2401</v>
      </c>
      <c r="L530" s="10">
        <v>7</v>
      </c>
      <c r="M530" t="s">
        <v>2401</v>
      </c>
      <c r="N530" s="10">
        <f>FMECA[[#This Row],[probability_value]]*FMECA[[#This Row],[consequence_value]]</f>
        <v>14</v>
      </c>
      <c r="O53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30" s="10" t="s">
        <v>767</v>
      </c>
      <c r="Q530" t="s">
        <v>1162</v>
      </c>
      <c r="R530" t="s">
        <v>771</v>
      </c>
      <c r="S530" t="s">
        <v>2365</v>
      </c>
      <c r="T530" t="s">
        <v>793</v>
      </c>
      <c r="AA530" t="s">
        <v>1162</v>
      </c>
    </row>
    <row r="531" spans="1:27" x14ac:dyDescent="0.2">
      <c r="A531" s="225" t="s">
        <v>178</v>
      </c>
      <c r="B531" t="s">
        <v>63</v>
      </c>
      <c r="C531" t="s">
        <v>237</v>
      </c>
      <c r="D531" t="s">
        <v>294</v>
      </c>
      <c r="E531" t="s">
        <v>342</v>
      </c>
      <c r="F531" s="226" t="s">
        <v>293</v>
      </c>
      <c r="G531" t="str">
        <f>_xlfn.XLOOKUP(FMECA[[#This Row],[HazardRisk_name]],categories[HazardRisk_Name],categories[HazardRisk])</f>
        <v>Risk</v>
      </c>
      <c r="H531" t="str">
        <f>_xlfn.XLOOKUP(FMECA[[#This Row],[HazardRisk_name]],categories[HazardRisk_Name],categories[Category])</f>
        <v>Navigational</v>
      </c>
      <c r="I531" t="s">
        <v>586</v>
      </c>
      <c r="J531" s="10">
        <v>1</v>
      </c>
      <c r="K531" t="s">
        <v>2401</v>
      </c>
      <c r="L531" s="10">
        <v>7</v>
      </c>
      <c r="M531" t="s">
        <v>2401</v>
      </c>
      <c r="N531" s="10">
        <f>FMECA[[#This Row],[probability_value]]*FMECA[[#This Row],[consequence_value]]</f>
        <v>7</v>
      </c>
      <c r="O531"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531" s="10" t="s">
        <v>767</v>
      </c>
      <c r="Q531" t="s">
        <v>1162</v>
      </c>
      <c r="R531" t="s">
        <v>771</v>
      </c>
      <c r="S531" t="s">
        <v>2365</v>
      </c>
      <c r="T531" t="s">
        <v>793</v>
      </c>
      <c r="AA531" t="s">
        <v>1162</v>
      </c>
    </row>
    <row r="532" spans="1:27" x14ac:dyDescent="0.2">
      <c r="A532" s="225" t="s">
        <v>178</v>
      </c>
      <c r="B532" t="s">
        <v>63</v>
      </c>
      <c r="C532" t="s">
        <v>237</v>
      </c>
      <c r="D532" t="s">
        <v>294</v>
      </c>
      <c r="E532" t="s">
        <v>342</v>
      </c>
      <c r="F532" s="226" t="s">
        <v>293</v>
      </c>
      <c r="G532" t="str">
        <f>_xlfn.XLOOKUP(FMECA[[#This Row],[HazardRisk_name]],categories[HazardRisk_Name],categories[HazardRisk])</f>
        <v>Risk</v>
      </c>
      <c r="H532" t="str">
        <f>_xlfn.XLOOKUP(FMECA[[#This Row],[HazardRisk_name]],categories[HazardRisk_Name],categories[Category])</f>
        <v>Navigational</v>
      </c>
      <c r="I532" t="s">
        <v>474</v>
      </c>
      <c r="J532" s="10">
        <v>3</v>
      </c>
      <c r="K532" t="s">
        <v>2410</v>
      </c>
      <c r="L532" s="10">
        <v>7</v>
      </c>
      <c r="M532" t="s">
        <v>2410</v>
      </c>
      <c r="N532" s="10">
        <f>FMECA[[#This Row],[probability_value]]*FMECA[[#This Row],[consequence_value]]</f>
        <v>21</v>
      </c>
      <c r="O53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32" s="10" t="s">
        <v>767</v>
      </c>
      <c r="Q532" t="s">
        <v>1162</v>
      </c>
      <c r="R532" t="s">
        <v>771</v>
      </c>
      <c r="S532" t="s">
        <v>2365</v>
      </c>
      <c r="T532" t="s">
        <v>793</v>
      </c>
      <c r="U532" t="s">
        <v>2403</v>
      </c>
      <c r="V532" t="s">
        <v>470</v>
      </c>
      <c r="W532" t="s">
        <v>2402</v>
      </c>
      <c r="X532" t="s">
        <v>470</v>
      </c>
      <c r="AA532" t="s">
        <v>1162</v>
      </c>
    </row>
    <row r="533" spans="1:27" x14ac:dyDescent="0.2">
      <c r="A533" s="225" t="s">
        <v>178</v>
      </c>
      <c r="B533" t="s">
        <v>63</v>
      </c>
      <c r="C533" t="s">
        <v>237</v>
      </c>
      <c r="D533" t="s">
        <v>294</v>
      </c>
      <c r="E533" t="s">
        <v>342</v>
      </c>
      <c r="F533" s="226" t="s">
        <v>293</v>
      </c>
      <c r="G533" t="str">
        <f>_xlfn.XLOOKUP(FMECA[[#This Row],[HazardRisk_name]],categories[HazardRisk_Name],categories[HazardRisk])</f>
        <v>Risk</v>
      </c>
      <c r="H533" t="str">
        <f>_xlfn.XLOOKUP(FMECA[[#This Row],[HazardRisk_name]],categories[HazardRisk_Name],categories[Category])</f>
        <v>Political</v>
      </c>
      <c r="I533" t="s">
        <v>622</v>
      </c>
      <c r="J533" s="10">
        <v>5</v>
      </c>
      <c r="K533" t="s">
        <v>2404</v>
      </c>
      <c r="L533" s="10">
        <v>4</v>
      </c>
      <c r="M533" t="s">
        <v>2404</v>
      </c>
      <c r="N533" s="10">
        <f>FMECA[[#This Row],[probability_value]]*FMECA[[#This Row],[consequence_value]]</f>
        <v>20</v>
      </c>
      <c r="O53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33" s="10" t="s">
        <v>767</v>
      </c>
      <c r="Q533" t="s">
        <v>1162</v>
      </c>
      <c r="R533" t="s">
        <v>771</v>
      </c>
      <c r="S533" t="s">
        <v>2365</v>
      </c>
      <c r="T533" t="s">
        <v>793</v>
      </c>
      <c r="W533" t="s">
        <v>2405</v>
      </c>
      <c r="X533" t="s">
        <v>470</v>
      </c>
      <c r="Y533" t="s">
        <v>1153</v>
      </c>
      <c r="Z533" t="s">
        <v>2406</v>
      </c>
      <c r="AA533" t="s">
        <v>1162</v>
      </c>
    </row>
    <row r="534" spans="1:27" x14ac:dyDescent="0.2">
      <c r="A534" s="225" t="s">
        <v>178</v>
      </c>
      <c r="B534" t="s">
        <v>63</v>
      </c>
      <c r="C534" t="s">
        <v>237</v>
      </c>
      <c r="D534" t="s">
        <v>294</v>
      </c>
      <c r="E534" t="s">
        <v>342</v>
      </c>
      <c r="F534" s="226" t="s">
        <v>293</v>
      </c>
      <c r="G534" t="str">
        <f>_xlfn.XLOOKUP(FMECA[[#This Row],[HazardRisk_name]],categories[HazardRisk_Name],categories[HazardRisk])</f>
        <v>Risk</v>
      </c>
      <c r="H534" t="str">
        <f>_xlfn.XLOOKUP(FMECA[[#This Row],[HazardRisk_name]],categories[HazardRisk_Name],categories[Category])</f>
        <v>Navigational</v>
      </c>
      <c r="I534" t="s">
        <v>704</v>
      </c>
      <c r="J534" s="10">
        <v>4</v>
      </c>
      <c r="K534" t="s">
        <v>2407</v>
      </c>
      <c r="L534" s="10">
        <v>4</v>
      </c>
      <c r="M534" t="s">
        <v>2407</v>
      </c>
      <c r="N534" s="10">
        <f>FMECA[[#This Row],[probability_value]]*FMECA[[#This Row],[consequence_value]]</f>
        <v>16</v>
      </c>
      <c r="O53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34" s="10" t="s">
        <v>767</v>
      </c>
      <c r="Q534" t="s">
        <v>1162</v>
      </c>
      <c r="R534" t="s">
        <v>771</v>
      </c>
      <c r="S534" t="s">
        <v>2365</v>
      </c>
      <c r="T534" t="s">
        <v>793</v>
      </c>
    </row>
    <row r="535" spans="1:27" x14ac:dyDescent="0.2">
      <c r="A535" s="225" t="s">
        <v>178</v>
      </c>
      <c r="B535" t="s">
        <v>63</v>
      </c>
      <c r="C535" t="s">
        <v>237</v>
      </c>
      <c r="D535" t="s">
        <v>294</v>
      </c>
      <c r="E535" t="s">
        <v>342</v>
      </c>
      <c r="F535" s="226" t="s">
        <v>293</v>
      </c>
      <c r="G535" t="str">
        <f>_xlfn.XLOOKUP(FMECA[[#This Row],[HazardRisk_name]],categories[HazardRisk_Name],categories[HazardRisk])</f>
        <v>Risk</v>
      </c>
      <c r="H535" t="str">
        <f>_xlfn.XLOOKUP(FMECA[[#This Row],[HazardRisk_name]],categories[HazardRisk_Name],categories[Category])</f>
        <v>Social</v>
      </c>
      <c r="I535" t="s">
        <v>569</v>
      </c>
      <c r="J535" s="10">
        <v>3</v>
      </c>
      <c r="K535" t="s">
        <v>2408</v>
      </c>
      <c r="L535" s="10">
        <v>7</v>
      </c>
      <c r="M535" t="s">
        <v>2408</v>
      </c>
      <c r="N535" s="10">
        <f>FMECA[[#This Row],[probability_value]]*FMECA[[#This Row],[consequence_value]]</f>
        <v>21</v>
      </c>
      <c r="O53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35" s="10" t="s">
        <v>767</v>
      </c>
      <c r="Q535" t="s">
        <v>1162</v>
      </c>
      <c r="R535" t="s">
        <v>771</v>
      </c>
      <c r="S535" t="s">
        <v>2365</v>
      </c>
      <c r="T535" t="s">
        <v>793</v>
      </c>
      <c r="AA535" t="s">
        <v>1162</v>
      </c>
    </row>
    <row r="536" spans="1:27" x14ac:dyDescent="0.2">
      <c r="A536" s="225" t="s">
        <v>178</v>
      </c>
      <c r="B536" t="s">
        <v>63</v>
      </c>
      <c r="C536" t="s">
        <v>237</v>
      </c>
      <c r="D536" t="s">
        <v>294</v>
      </c>
      <c r="E536" t="s">
        <v>342</v>
      </c>
      <c r="F536" s="226" t="s">
        <v>293</v>
      </c>
      <c r="G536" t="str">
        <f>_xlfn.XLOOKUP(FMECA[[#This Row],[HazardRisk_name]],categories[HazardRisk_Name],categories[HazardRisk])</f>
        <v>Risk</v>
      </c>
      <c r="H536" t="str">
        <f>_xlfn.XLOOKUP(FMECA[[#This Row],[HazardRisk_name]],categories[HazardRisk_Name],categories[Category])</f>
        <v>Operational</v>
      </c>
      <c r="I536" t="s">
        <v>572</v>
      </c>
      <c r="J536" s="10">
        <v>3</v>
      </c>
      <c r="K536" t="s">
        <v>2408</v>
      </c>
      <c r="L536" s="10">
        <v>7</v>
      </c>
      <c r="M536" t="s">
        <v>2408</v>
      </c>
      <c r="N536" s="10">
        <f>FMECA[[#This Row],[probability_value]]*FMECA[[#This Row],[consequence_value]]</f>
        <v>21</v>
      </c>
      <c r="O53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36" s="10" t="s">
        <v>767</v>
      </c>
      <c r="Q536" t="s">
        <v>1162</v>
      </c>
      <c r="R536" t="s">
        <v>771</v>
      </c>
      <c r="S536" t="s">
        <v>2365</v>
      </c>
      <c r="T536" t="s">
        <v>793</v>
      </c>
      <c r="AA536" t="s">
        <v>1162</v>
      </c>
    </row>
    <row r="537" spans="1:27" x14ac:dyDescent="0.2">
      <c r="A537" s="225" t="s">
        <v>178</v>
      </c>
      <c r="B537" t="s">
        <v>63</v>
      </c>
      <c r="C537" t="s">
        <v>237</v>
      </c>
      <c r="D537" t="s">
        <v>294</v>
      </c>
      <c r="E537" t="s">
        <v>342</v>
      </c>
      <c r="F537" s="226" t="s">
        <v>293</v>
      </c>
      <c r="G537" t="str">
        <f>_xlfn.XLOOKUP(FMECA[[#This Row],[HazardRisk_name]],categories[HazardRisk_Name],categories[HazardRisk])</f>
        <v>Risk</v>
      </c>
      <c r="H537" t="str">
        <f>_xlfn.XLOOKUP(FMECA[[#This Row],[HazardRisk_name]],categories[HazardRisk_Name],categories[Category])</f>
        <v>Political</v>
      </c>
      <c r="I537" t="s">
        <v>629</v>
      </c>
      <c r="J537" s="10">
        <v>4</v>
      </c>
      <c r="K537" t="s">
        <v>2411</v>
      </c>
      <c r="L537" s="10">
        <v>4</v>
      </c>
      <c r="M537" t="s">
        <v>2411</v>
      </c>
      <c r="N537" s="10">
        <f>FMECA[[#This Row],[probability_value]]*FMECA[[#This Row],[consequence_value]]</f>
        <v>16</v>
      </c>
      <c r="O53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37" s="10" t="s">
        <v>767</v>
      </c>
      <c r="Q537" t="s">
        <v>1162</v>
      </c>
      <c r="R537" t="s">
        <v>771</v>
      </c>
      <c r="S537" t="s">
        <v>2365</v>
      </c>
      <c r="T537" t="s">
        <v>793</v>
      </c>
    </row>
    <row r="538" spans="1:27" x14ac:dyDescent="0.2">
      <c r="A538" s="225" t="s">
        <v>178</v>
      </c>
      <c r="B538" t="s">
        <v>63</v>
      </c>
      <c r="C538" t="s">
        <v>237</v>
      </c>
      <c r="D538" t="s">
        <v>294</v>
      </c>
      <c r="E538" t="s">
        <v>342</v>
      </c>
      <c r="F538" s="226" t="s">
        <v>293</v>
      </c>
      <c r="G538" t="str">
        <f>_xlfn.XLOOKUP(FMECA[[#This Row],[HazardRisk_name]],categories[HazardRisk_Name],categories[HazardRisk])</f>
        <v>Risk</v>
      </c>
      <c r="H538" t="str">
        <f>_xlfn.XLOOKUP(FMECA[[#This Row],[HazardRisk_name]],categories[HazardRisk_Name],categories[Category])</f>
        <v>Political</v>
      </c>
      <c r="I538" t="s">
        <v>540</v>
      </c>
      <c r="J538" s="10">
        <v>4</v>
      </c>
      <c r="K538" t="s">
        <v>2411</v>
      </c>
      <c r="L538" s="10">
        <v>4</v>
      </c>
      <c r="M538" t="s">
        <v>2411</v>
      </c>
      <c r="N538" s="10">
        <f>FMECA[[#This Row],[probability_value]]*FMECA[[#This Row],[consequence_value]]</f>
        <v>16</v>
      </c>
      <c r="O53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38" s="10" t="s">
        <v>767</v>
      </c>
      <c r="Q538" t="s">
        <v>1162</v>
      </c>
      <c r="R538" t="s">
        <v>771</v>
      </c>
      <c r="S538" t="s">
        <v>2365</v>
      </c>
      <c r="T538" t="s">
        <v>793</v>
      </c>
    </row>
    <row r="539" spans="1:27" x14ac:dyDescent="0.2">
      <c r="A539" s="225" t="s">
        <v>178</v>
      </c>
      <c r="B539" t="s">
        <v>63</v>
      </c>
      <c r="C539" t="s">
        <v>237</v>
      </c>
      <c r="D539" t="s">
        <v>294</v>
      </c>
      <c r="E539" t="s">
        <v>342</v>
      </c>
      <c r="F539" s="226" t="s">
        <v>293</v>
      </c>
      <c r="G539" t="str">
        <f>_xlfn.XLOOKUP(FMECA[[#This Row],[HazardRisk_name]],categories[HazardRisk_Name],categories[HazardRisk])</f>
        <v>Hazard</v>
      </c>
      <c r="H539" t="str">
        <f>_xlfn.XLOOKUP(FMECA[[#This Row],[HazardRisk_name]],categories[HazardRisk_Name],categories[Category])</f>
        <v>Environmental</v>
      </c>
      <c r="I539" t="s">
        <v>718</v>
      </c>
      <c r="J539" s="10">
        <v>5</v>
      </c>
      <c r="K539" t="s">
        <v>2409</v>
      </c>
      <c r="L539" s="10">
        <v>7</v>
      </c>
      <c r="M539" t="s">
        <v>2409</v>
      </c>
      <c r="N539" s="10">
        <f>FMECA[[#This Row],[probability_value]]*FMECA[[#This Row],[consequence_value]]</f>
        <v>35</v>
      </c>
      <c r="O539" s="10" t="str">
        <f>IF(AND(FMECA[[#This Row],[Score]]&gt;=0, 9&gt;=FMECA[[#This Row],[Score]]), "UNDETECTABLE", IF(AND(FMECA[[#This Row],[Score]]&gt;=10, 24&gt;=FMECA[[#This Row],[Score]]), "MODERATE", IF(AND(FMECA[[#This Row],[Score]]&gt;=25, 35&gt;=FMECA[[#This Row],[Score]]), "HIGH", IF(AND(FMECA[[#This Row],[Score]]&gt;=36, 50&gt;=FMECA[[#This Row],[Score]]), "VERY HIGH", "Check Formula"))))</f>
        <v>HIGH</v>
      </c>
      <c r="P539" s="10" t="s">
        <v>767</v>
      </c>
      <c r="Q539" t="s">
        <v>1162</v>
      </c>
      <c r="R539" t="s">
        <v>771</v>
      </c>
      <c r="S539" t="s">
        <v>2365</v>
      </c>
      <c r="T539" t="s">
        <v>793</v>
      </c>
      <c r="AA539" t="s">
        <v>1162</v>
      </c>
    </row>
    <row r="540" spans="1:27" x14ac:dyDescent="0.2">
      <c r="A540" s="225" t="s">
        <v>283</v>
      </c>
      <c r="B540" t="s">
        <v>63</v>
      </c>
      <c r="C540" t="s">
        <v>237</v>
      </c>
      <c r="D540" t="s">
        <v>296</v>
      </c>
      <c r="E540" t="s">
        <v>343</v>
      </c>
      <c r="F540" s="226" t="s">
        <v>295</v>
      </c>
      <c r="G540" t="str">
        <f>_xlfn.XLOOKUP(FMECA[[#This Row],[HazardRisk_name]],categories[HazardRisk_Name],categories[HazardRisk])</f>
        <v>Risk</v>
      </c>
      <c r="H540" t="str">
        <f>_xlfn.XLOOKUP(FMECA[[#This Row],[HazardRisk_name]],categories[HazardRisk_Name],categories[Category])</f>
        <v>Operational</v>
      </c>
      <c r="I540" t="s">
        <v>572</v>
      </c>
      <c r="J540" s="10">
        <v>2</v>
      </c>
      <c r="K540" t="s">
        <v>2378</v>
      </c>
      <c r="L540" s="10">
        <v>7</v>
      </c>
      <c r="M540" t="s">
        <v>2378</v>
      </c>
      <c r="N540" s="10">
        <f>FMECA[[#This Row],[probability_value]]*FMECA[[#This Row],[consequence_value]]</f>
        <v>14</v>
      </c>
      <c r="O54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40" s="10" t="s">
        <v>770</v>
      </c>
      <c r="Q540" t="s">
        <v>1162</v>
      </c>
      <c r="R540" t="s">
        <v>780</v>
      </c>
      <c r="S540" t="s">
        <v>2364</v>
      </c>
      <c r="T540" t="s">
        <v>793</v>
      </c>
      <c r="W540" t="s">
        <v>2379</v>
      </c>
      <c r="X540" t="s">
        <v>466</v>
      </c>
      <c r="Y540" t="s">
        <v>1153</v>
      </c>
      <c r="Z540" t="s">
        <v>2380</v>
      </c>
      <c r="AA540" t="s">
        <v>1132</v>
      </c>
    </row>
    <row r="541" spans="1:27" x14ac:dyDescent="0.2">
      <c r="A541" s="225" t="s">
        <v>283</v>
      </c>
      <c r="B541" t="s">
        <v>63</v>
      </c>
      <c r="C541" t="s">
        <v>237</v>
      </c>
      <c r="D541" t="s">
        <v>296</v>
      </c>
      <c r="E541" t="s">
        <v>343</v>
      </c>
      <c r="F541" s="226" t="s">
        <v>295</v>
      </c>
      <c r="G541" t="str">
        <f>_xlfn.XLOOKUP(FMECA[[#This Row],[HazardRisk_name]],categories[HazardRisk_Name],categories[HazardRisk])</f>
        <v>Risk</v>
      </c>
      <c r="H541" t="str">
        <f>_xlfn.XLOOKUP(FMECA[[#This Row],[HazardRisk_name]],categories[HazardRisk_Name],categories[Category])</f>
        <v>Environmental</v>
      </c>
      <c r="I541" t="s">
        <v>554</v>
      </c>
      <c r="J541" s="10">
        <v>3</v>
      </c>
      <c r="K541" t="s">
        <v>2381</v>
      </c>
      <c r="L541" s="10">
        <v>4</v>
      </c>
      <c r="M541" t="s">
        <v>2381</v>
      </c>
      <c r="N541" s="10">
        <f>FMECA[[#This Row],[probability_value]]*FMECA[[#This Row],[consequence_value]]</f>
        <v>12</v>
      </c>
      <c r="O54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41" s="10" t="s">
        <v>770</v>
      </c>
      <c r="Q541" t="s">
        <v>1162</v>
      </c>
      <c r="R541" t="s">
        <v>780</v>
      </c>
      <c r="S541" t="s">
        <v>2364</v>
      </c>
      <c r="T541" t="s">
        <v>793</v>
      </c>
      <c r="U541" t="s">
        <v>2386</v>
      </c>
      <c r="V541" t="s">
        <v>466</v>
      </c>
      <c r="AA541" t="s">
        <v>1162</v>
      </c>
    </row>
    <row r="542" spans="1:27" x14ac:dyDescent="0.2">
      <c r="A542" s="225" t="s">
        <v>283</v>
      </c>
      <c r="B542" t="s">
        <v>63</v>
      </c>
      <c r="C542" t="s">
        <v>237</v>
      </c>
      <c r="D542" t="s">
        <v>296</v>
      </c>
      <c r="E542" t="s">
        <v>343</v>
      </c>
      <c r="F542" s="226" t="s">
        <v>295</v>
      </c>
      <c r="G542" t="str">
        <f>_xlfn.XLOOKUP(FMECA[[#This Row],[HazardRisk_name]],categories[HazardRisk_Name],categories[HazardRisk])</f>
        <v>Hazard</v>
      </c>
      <c r="H542" t="str">
        <f>_xlfn.XLOOKUP(FMECA[[#This Row],[HazardRisk_name]],categories[HazardRisk_Name],categories[Category])</f>
        <v>Pollutants</v>
      </c>
      <c r="I542" t="s">
        <v>636</v>
      </c>
      <c r="J542" s="10">
        <v>4</v>
      </c>
      <c r="K542" t="s">
        <v>2381</v>
      </c>
      <c r="L542" s="10">
        <v>7</v>
      </c>
      <c r="M542" t="s">
        <v>2381</v>
      </c>
      <c r="N542" s="10">
        <f>FMECA[[#This Row],[probability_value]]*FMECA[[#This Row],[consequence_value]]</f>
        <v>28</v>
      </c>
      <c r="O542" s="10" t="str">
        <f>IF(AND(FMECA[[#This Row],[Score]]&gt;=0, 9&gt;=FMECA[[#This Row],[Score]]), "UNDETECTABLE", IF(AND(FMECA[[#This Row],[Score]]&gt;=10, 24&gt;=FMECA[[#This Row],[Score]]), "MODERATE", IF(AND(FMECA[[#This Row],[Score]]&gt;=25, 35&gt;=FMECA[[#This Row],[Score]]), "HIGH", IF(AND(FMECA[[#This Row],[Score]]&gt;=36, 50&gt;=FMECA[[#This Row],[Score]]), "VERY HIGH", "Check Formula"))))</f>
        <v>HIGH</v>
      </c>
      <c r="P542" s="10" t="s">
        <v>770</v>
      </c>
      <c r="Q542" t="s">
        <v>1162</v>
      </c>
      <c r="R542" t="s">
        <v>780</v>
      </c>
      <c r="S542" t="s">
        <v>2364</v>
      </c>
      <c r="T542" t="s">
        <v>793</v>
      </c>
      <c r="U542" t="s">
        <v>2386</v>
      </c>
      <c r="V542" t="s">
        <v>466</v>
      </c>
      <c r="W542" t="s">
        <v>2391</v>
      </c>
      <c r="X542" t="s">
        <v>470</v>
      </c>
      <c r="AA542" t="s">
        <v>1162</v>
      </c>
    </row>
    <row r="543" spans="1:27" x14ac:dyDescent="0.2">
      <c r="A543" s="225" t="s">
        <v>283</v>
      </c>
      <c r="B543" t="s">
        <v>63</v>
      </c>
      <c r="C543" t="s">
        <v>237</v>
      </c>
      <c r="D543" t="s">
        <v>296</v>
      </c>
      <c r="E543" t="s">
        <v>343</v>
      </c>
      <c r="F543" s="226" t="s">
        <v>295</v>
      </c>
      <c r="G543" t="str">
        <f>_xlfn.XLOOKUP(FMECA[[#This Row],[HazardRisk_name]],categories[HazardRisk_Name],categories[HazardRisk])</f>
        <v>Risk</v>
      </c>
      <c r="H543" t="str">
        <f>_xlfn.XLOOKUP(FMECA[[#This Row],[HazardRisk_name]],categories[HazardRisk_Name],categories[Category])</f>
        <v>Environmental</v>
      </c>
      <c r="I543" t="s">
        <v>644</v>
      </c>
      <c r="J543" s="10">
        <v>4</v>
      </c>
      <c r="K543" t="s">
        <v>2381</v>
      </c>
      <c r="L543" s="10">
        <v>7</v>
      </c>
      <c r="M543" t="s">
        <v>2381</v>
      </c>
      <c r="N543" s="10">
        <f>FMECA[[#This Row],[probability_value]]*FMECA[[#This Row],[consequence_value]]</f>
        <v>28</v>
      </c>
      <c r="O543" s="10" t="str">
        <f>IF(AND(FMECA[[#This Row],[Score]]&gt;=0, 9&gt;=FMECA[[#This Row],[Score]]), "UNDETECTABLE", IF(AND(FMECA[[#This Row],[Score]]&gt;=10, 24&gt;=FMECA[[#This Row],[Score]]), "MODERATE", IF(AND(FMECA[[#This Row],[Score]]&gt;=25, 35&gt;=FMECA[[#This Row],[Score]]), "HIGH", IF(AND(FMECA[[#This Row],[Score]]&gt;=36, 50&gt;=FMECA[[#This Row],[Score]]), "VERY HIGH", "Check Formula"))))</f>
        <v>HIGH</v>
      </c>
      <c r="P543" s="10" t="s">
        <v>770</v>
      </c>
      <c r="Q543" t="s">
        <v>1162</v>
      </c>
      <c r="R543" t="s">
        <v>780</v>
      </c>
      <c r="S543" t="s">
        <v>2364</v>
      </c>
      <c r="T543" t="s">
        <v>793</v>
      </c>
      <c r="U543" t="s">
        <v>2386</v>
      </c>
      <c r="V543" t="s">
        <v>466</v>
      </c>
      <c r="W543" t="s">
        <v>2390</v>
      </c>
      <c r="X543" t="s">
        <v>466</v>
      </c>
      <c r="AA543" t="s">
        <v>1162</v>
      </c>
    </row>
    <row r="544" spans="1:27" x14ac:dyDescent="0.2">
      <c r="A544" s="225" t="s">
        <v>283</v>
      </c>
      <c r="B544" t="s">
        <v>63</v>
      </c>
      <c r="C544" t="s">
        <v>237</v>
      </c>
      <c r="D544" t="s">
        <v>296</v>
      </c>
      <c r="E544" t="s">
        <v>343</v>
      </c>
      <c r="F544" s="226" t="s">
        <v>295</v>
      </c>
      <c r="G544" t="str">
        <f>_xlfn.XLOOKUP(FMECA[[#This Row],[HazardRisk_name]],categories[HazardRisk_Name],categories[HazardRisk])</f>
        <v>Risk</v>
      </c>
      <c r="H544" t="str">
        <f>_xlfn.XLOOKUP(FMECA[[#This Row],[HazardRisk_name]],categories[HazardRisk_Name],categories[Category])</f>
        <v>Community</v>
      </c>
      <c r="I544" t="s">
        <v>562</v>
      </c>
      <c r="J544" s="10">
        <v>4</v>
      </c>
      <c r="K544" t="s">
        <v>2381</v>
      </c>
      <c r="L544" s="10">
        <v>7</v>
      </c>
      <c r="M544" t="s">
        <v>2381</v>
      </c>
      <c r="N544" s="10">
        <f>FMECA[[#This Row],[probability_value]]*FMECA[[#This Row],[consequence_value]]</f>
        <v>28</v>
      </c>
      <c r="O544" s="10" t="str">
        <f>IF(AND(FMECA[[#This Row],[Score]]&gt;=0, 9&gt;=FMECA[[#This Row],[Score]]), "UNDETECTABLE", IF(AND(FMECA[[#This Row],[Score]]&gt;=10, 24&gt;=FMECA[[#This Row],[Score]]), "MODERATE", IF(AND(FMECA[[#This Row],[Score]]&gt;=25, 35&gt;=FMECA[[#This Row],[Score]]), "HIGH", IF(AND(FMECA[[#This Row],[Score]]&gt;=36, 50&gt;=FMECA[[#This Row],[Score]]), "VERY HIGH", "Check Formula"))))</f>
        <v>HIGH</v>
      </c>
      <c r="P544" s="10" t="s">
        <v>770</v>
      </c>
      <c r="Q544" t="s">
        <v>1162</v>
      </c>
      <c r="R544" t="s">
        <v>780</v>
      </c>
      <c r="S544" t="s">
        <v>2364</v>
      </c>
      <c r="T544" t="s">
        <v>793</v>
      </c>
      <c r="U544" t="s">
        <v>2392</v>
      </c>
      <c r="V544" t="s">
        <v>449</v>
      </c>
      <c r="W544" t="s">
        <v>2393</v>
      </c>
      <c r="X544" t="s">
        <v>470</v>
      </c>
      <c r="Y544" t="s">
        <v>1153</v>
      </c>
      <c r="Z544" t="s">
        <v>2400</v>
      </c>
      <c r="AA544" t="s">
        <v>1162</v>
      </c>
    </row>
    <row r="545" spans="1:27" x14ac:dyDescent="0.2">
      <c r="A545" s="225" t="s">
        <v>283</v>
      </c>
      <c r="B545" t="s">
        <v>63</v>
      </c>
      <c r="C545" t="s">
        <v>237</v>
      </c>
      <c r="D545" t="s">
        <v>296</v>
      </c>
      <c r="E545" t="s">
        <v>343</v>
      </c>
      <c r="F545" s="226" t="s">
        <v>295</v>
      </c>
      <c r="G545" t="str">
        <f>_xlfn.XLOOKUP(FMECA[[#This Row],[HazardRisk_name]],categories[HazardRisk_Name],categories[HazardRisk])</f>
        <v>Hazard</v>
      </c>
      <c r="H545" t="str">
        <f>_xlfn.XLOOKUP(FMECA[[#This Row],[HazardRisk_name]],categories[HazardRisk_Name],categories[Category])</f>
        <v>Pollutants</v>
      </c>
      <c r="I545" t="s">
        <v>710</v>
      </c>
      <c r="J545" s="10">
        <v>5</v>
      </c>
      <c r="K545" t="s">
        <v>2382</v>
      </c>
      <c r="L545" s="10">
        <v>7</v>
      </c>
      <c r="M545" t="s">
        <v>2382</v>
      </c>
      <c r="N545" s="10">
        <f>FMECA[[#This Row],[probability_value]]*FMECA[[#This Row],[consequence_value]]</f>
        <v>35</v>
      </c>
      <c r="O545" s="10" t="str">
        <f>IF(AND(FMECA[[#This Row],[Score]]&gt;=0, 9&gt;=FMECA[[#This Row],[Score]]), "UNDETECTABLE", IF(AND(FMECA[[#This Row],[Score]]&gt;=10, 24&gt;=FMECA[[#This Row],[Score]]), "MODERATE", IF(AND(FMECA[[#This Row],[Score]]&gt;=25, 35&gt;=FMECA[[#This Row],[Score]]), "HIGH", IF(AND(FMECA[[#This Row],[Score]]&gt;=36, 50&gt;=FMECA[[#This Row],[Score]]), "VERY HIGH", "Check Formula"))))</f>
        <v>HIGH</v>
      </c>
      <c r="P545" s="10" t="s">
        <v>770</v>
      </c>
      <c r="Q545" t="s">
        <v>1162</v>
      </c>
      <c r="R545" t="s">
        <v>780</v>
      </c>
      <c r="S545" t="s">
        <v>2364</v>
      </c>
      <c r="T545" t="s">
        <v>793</v>
      </c>
      <c r="AA545" t="s">
        <v>1162</v>
      </c>
    </row>
    <row r="546" spans="1:27" x14ac:dyDescent="0.2">
      <c r="A546" s="225" t="s">
        <v>283</v>
      </c>
      <c r="B546" t="s">
        <v>63</v>
      </c>
      <c r="C546" t="s">
        <v>237</v>
      </c>
      <c r="D546" t="s">
        <v>296</v>
      </c>
      <c r="E546" t="s">
        <v>343</v>
      </c>
      <c r="F546" s="226" t="s">
        <v>295</v>
      </c>
      <c r="G546" t="str">
        <f>_xlfn.XLOOKUP(FMECA[[#This Row],[HazardRisk_name]],categories[HazardRisk_Name],categories[HazardRisk])</f>
        <v>Risk</v>
      </c>
      <c r="H546" t="str">
        <f>_xlfn.XLOOKUP(FMECA[[#This Row],[HazardRisk_name]],categories[HazardRisk_Name],categories[Category])</f>
        <v>Community</v>
      </c>
      <c r="I546" t="s">
        <v>678</v>
      </c>
      <c r="J546" s="10">
        <v>4</v>
      </c>
      <c r="K546" t="s">
        <v>2383</v>
      </c>
      <c r="L546" s="10">
        <v>7</v>
      </c>
      <c r="M546" t="s">
        <v>2383</v>
      </c>
      <c r="N546" s="10">
        <f>FMECA[[#This Row],[probability_value]]*FMECA[[#This Row],[consequence_value]]</f>
        <v>28</v>
      </c>
      <c r="O546" s="10" t="str">
        <f>IF(AND(FMECA[[#This Row],[Score]]&gt;=0, 9&gt;=FMECA[[#This Row],[Score]]), "UNDETECTABLE", IF(AND(FMECA[[#This Row],[Score]]&gt;=10, 24&gt;=FMECA[[#This Row],[Score]]), "MODERATE", IF(AND(FMECA[[#This Row],[Score]]&gt;=25, 35&gt;=FMECA[[#This Row],[Score]]), "HIGH", IF(AND(FMECA[[#This Row],[Score]]&gt;=36, 50&gt;=FMECA[[#This Row],[Score]]), "VERY HIGH", "Check Formula"))))</f>
        <v>HIGH</v>
      </c>
      <c r="P546" s="10" t="s">
        <v>770</v>
      </c>
      <c r="Q546" t="s">
        <v>1162</v>
      </c>
      <c r="R546" t="s">
        <v>780</v>
      </c>
      <c r="S546" t="s">
        <v>2364</v>
      </c>
      <c r="T546" t="s">
        <v>793</v>
      </c>
      <c r="W546" t="s">
        <v>2385</v>
      </c>
      <c r="X546" t="s">
        <v>470</v>
      </c>
      <c r="Y546" t="s">
        <v>1153</v>
      </c>
      <c r="Z546" t="s">
        <v>2399</v>
      </c>
      <c r="AA546" t="s">
        <v>1162</v>
      </c>
    </row>
    <row r="547" spans="1:27" x14ac:dyDescent="0.2">
      <c r="A547" s="225" t="s">
        <v>283</v>
      </c>
      <c r="B547" t="s">
        <v>63</v>
      </c>
      <c r="C547" t="s">
        <v>237</v>
      </c>
      <c r="D547" t="s">
        <v>296</v>
      </c>
      <c r="E547" t="s">
        <v>343</v>
      </c>
      <c r="F547" s="226" t="s">
        <v>295</v>
      </c>
      <c r="G547" t="str">
        <f>_xlfn.XLOOKUP(FMECA[[#This Row],[HazardRisk_name]],categories[HazardRisk_Name],categories[HazardRisk])</f>
        <v>Risk</v>
      </c>
      <c r="H547" t="str">
        <f>_xlfn.XLOOKUP(FMECA[[#This Row],[HazardRisk_name]],categories[HazardRisk_Name],categories[Category])</f>
        <v>Environmental</v>
      </c>
      <c r="I547" t="s">
        <v>602</v>
      </c>
      <c r="J547" s="10">
        <v>3</v>
      </c>
      <c r="K547" t="s">
        <v>2381</v>
      </c>
      <c r="L547" s="10">
        <v>7</v>
      </c>
      <c r="M547" t="s">
        <v>2381</v>
      </c>
      <c r="N547" s="10">
        <f>FMECA[[#This Row],[probability_value]]*FMECA[[#This Row],[consequence_value]]</f>
        <v>21</v>
      </c>
      <c r="O54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47" s="10" t="s">
        <v>770</v>
      </c>
      <c r="Q547" t="s">
        <v>1162</v>
      </c>
      <c r="R547" t="s">
        <v>780</v>
      </c>
      <c r="S547" t="s">
        <v>2364</v>
      </c>
      <c r="T547" t="s">
        <v>793</v>
      </c>
      <c r="U547" t="s">
        <v>2386</v>
      </c>
      <c r="V547" t="s">
        <v>449</v>
      </c>
      <c r="AA547" t="s">
        <v>1162</v>
      </c>
    </row>
    <row r="548" spans="1:27" x14ac:dyDescent="0.2">
      <c r="A548" s="225" t="s">
        <v>283</v>
      </c>
      <c r="B548" t="s">
        <v>63</v>
      </c>
      <c r="C548" t="s">
        <v>237</v>
      </c>
      <c r="D548" t="s">
        <v>296</v>
      </c>
      <c r="E548" t="s">
        <v>343</v>
      </c>
      <c r="F548" s="226" t="s">
        <v>295</v>
      </c>
      <c r="G548" t="str">
        <f>_xlfn.XLOOKUP(FMECA[[#This Row],[HazardRisk_name]],categories[HazardRisk_Name],categories[HazardRisk])</f>
        <v>Risk</v>
      </c>
      <c r="H548" t="str">
        <f>_xlfn.XLOOKUP(FMECA[[#This Row],[HazardRisk_name]],categories[HazardRisk_Name],categories[Category])</f>
        <v>Community</v>
      </c>
      <c r="I548" t="s">
        <v>728</v>
      </c>
      <c r="J548" s="10">
        <v>4</v>
      </c>
      <c r="K548" t="s">
        <v>2384</v>
      </c>
      <c r="L548" s="10">
        <v>10</v>
      </c>
      <c r="M548" t="s">
        <v>2384</v>
      </c>
      <c r="N548" s="10">
        <f>FMECA[[#This Row],[probability_value]]*FMECA[[#This Row],[consequence_value]]</f>
        <v>40</v>
      </c>
      <c r="O548"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48" s="10" t="s">
        <v>770</v>
      </c>
      <c r="Q548" t="s">
        <v>1162</v>
      </c>
      <c r="R548" t="s">
        <v>780</v>
      </c>
      <c r="S548" t="s">
        <v>2364</v>
      </c>
      <c r="T548" t="s">
        <v>793</v>
      </c>
      <c r="U548" t="s">
        <v>2389</v>
      </c>
      <c r="V548" t="s">
        <v>470</v>
      </c>
      <c r="W548" t="s">
        <v>2388</v>
      </c>
      <c r="X548" t="s">
        <v>470</v>
      </c>
      <c r="Y548" t="s">
        <v>1153</v>
      </c>
      <c r="Z548" t="s">
        <v>2399</v>
      </c>
      <c r="AA548" t="s">
        <v>1162</v>
      </c>
    </row>
    <row r="549" spans="1:27" x14ac:dyDescent="0.2">
      <c r="A549" s="225" t="s">
        <v>283</v>
      </c>
      <c r="B549" t="s">
        <v>63</v>
      </c>
      <c r="C549" t="s">
        <v>237</v>
      </c>
      <c r="D549" t="s">
        <v>296</v>
      </c>
      <c r="E549" t="s">
        <v>343</v>
      </c>
      <c r="F549" s="226" t="s">
        <v>295</v>
      </c>
      <c r="G549" t="str">
        <f>_xlfn.XLOOKUP(FMECA[[#This Row],[HazardRisk_name]],categories[HazardRisk_Name],categories[HazardRisk])</f>
        <v>Risk</v>
      </c>
      <c r="H549" t="str">
        <f>_xlfn.XLOOKUP(FMECA[[#This Row],[HazardRisk_name]],categories[HazardRisk_Name],categories[Category])</f>
        <v>Community</v>
      </c>
      <c r="I549" t="s">
        <v>679</v>
      </c>
      <c r="J549" s="10">
        <v>5</v>
      </c>
      <c r="K549" t="s">
        <v>2394</v>
      </c>
      <c r="L549" s="10">
        <v>7</v>
      </c>
      <c r="M549" t="s">
        <v>2394</v>
      </c>
      <c r="N549" s="10">
        <f>FMECA[[#This Row],[probability_value]]*FMECA[[#This Row],[consequence_value]]</f>
        <v>35</v>
      </c>
      <c r="O549" s="10" t="str">
        <f>IF(AND(FMECA[[#This Row],[Score]]&gt;=0, 9&gt;=FMECA[[#This Row],[Score]]), "UNDETECTABLE", IF(AND(FMECA[[#This Row],[Score]]&gt;=10, 24&gt;=FMECA[[#This Row],[Score]]), "MODERATE", IF(AND(FMECA[[#This Row],[Score]]&gt;=25, 35&gt;=FMECA[[#This Row],[Score]]), "HIGH", IF(AND(FMECA[[#This Row],[Score]]&gt;=36, 50&gt;=FMECA[[#This Row],[Score]]), "VERY HIGH", "Check Formula"))))</f>
        <v>HIGH</v>
      </c>
      <c r="P549" s="10" t="s">
        <v>770</v>
      </c>
      <c r="Q549" t="s">
        <v>1162</v>
      </c>
      <c r="R549" t="s">
        <v>780</v>
      </c>
      <c r="S549" t="s">
        <v>2364</v>
      </c>
      <c r="T549" t="s">
        <v>793</v>
      </c>
      <c r="W549" t="s">
        <v>2395</v>
      </c>
      <c r="X549" t="s">
        <v>470</v>
      </c>
      <c r="Y549" t="s">
        <v>1153</v>
      </c>
      <c r="Z549" t="s">
        <v>2399</v>
      </c>
      <c r="AA549" t="s">
        <v>1162</v>
      </c>
    </row>
    <row r="550" spans="1:27" x14ac:dyDescent="0.2">
      <c r="A550" s="225" t="s">
        <v>283</v>
      </c>
      <c r="B550" t="s">
        <v>63</v>
      </c>
      <c r="C550" t="s">
        <v>237</v>
      </c>
      <c r="D550" t="s">
        <v>296</v>
      </c>
      <c r="E550" t="s">
        <v>343</v>
      </c>
      <c r="F550" s="226" t="s">
        <v>295</v>
      </c>
      <c r="G550" t="str">
        <f>_xlfn.XLOOKUP(FMECA[[#This Row],[HazardRisk_name]],categories[HazardRisk_Name],categories[HazardRisk])</f>
        <v>Risk</v>
      </c>
      <c r="H550" t="str">
        <f>_xlfn.XLOOKUP(FMECA[[#This Row],[HazardRisk_name]],categories[HazardRisk_Name],categories[Category])</f>
        <v>Political</v>
      </c>
      <c r="I550" t="s">
        <v>622</v>
      </c>
      <c r="J550" s="10">
        <v>5</v>
      </c>
      <c r="K550" t="s">
        <v>2396</v>
      </c>
      <c r="L550" s="10">
        <v>4</v>
      </c>
      <c r="M550" t="s">
        <v>2396</v>
      </c>
      <c r="N550" s="10">
        <f>FMECA[[#This Row],[probability_value]]*FMECA[[#This Row],[consequence_value]]</f>
        <v>20</v>
      </c>
      <c r="O55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50" s="10" t="s">
        <v>770</v>
      </c>
      <c r="Q550" t="s">
        <v>1162</v>
      </c>
      <c r="R550" t="s">
        <v>780</v>
      </c>
      <c r="S550" t="s">
        <v>2364</v>
      </c>
      <c r="T550" t="s">
        <v>793</v>
      </c>
      <c r="U550" t="s">
        <v>2397</v>
      </c>
      <c r="V550" t="s">
        <v>470</v>
      </c>
      <c r="W550" t="s">
        <v>2398</v>
      </c>
      <c r="X550" t="s">
        <v>470</v>
      </c>
      <c r="Y550" t="s">
        <v>1153</v>
      </c>
      <c r="Z550" t="s">
        <v>2400</v>
      </c>
      <c r="AA550" t="s">
        <v>1162</v>
      </c>
    </row>
    <row r="551" spans="1:27" x14ac:dyDescent="0.2">
      <c r="A551" s="225" t="s">
        <v>283</v>
      </c>
      <c r="B551" t="s">
        <v>63</v>
      </c>
      <c r="C551" t="s">
        <v>237</v>
      </c>
      <c r="D551" t="s">
        <v>296</v>
      </c>
      <c r="E551" t="s">
        <v>343</v>
      </c>
      <c r="F551" s="226" t="s">
        <v>295</v>
      </c>
      <c r="G551" t="str">
        <f>_xlfn.XLOOKUP(FMECA[[#This Row],[HazardRisk_name]],categories[HazardRisk_Name],categories[HazardRisk])</f>
        <v>Risk</v>
      </c>
      <c r="H551" t="str">
        <f>_xlfn.XLOOKUP(FMECA[[#This Row],[HazardRisk_name]],categories[HazardRisk_Name],categories[Category])</f>
        <v>Pollutants</v>
      </c>
      <c r="I551" t="s">
        <v>627</v>
      </c>
      <c r="J551" s="10">
        <v>3</v>
      </c>
      <c r="K551" t="s">
        <v>2378</v>
      </c>
      <c r="L551" s="10">
        <v>7</v>
      </c>
      <c r="M551" s="9" t="s">
        <v>2378</v>
      </c>
      <c r="N551" s="10">
        <f>FMECA[[#This Row],[probability_value]]*FMECA[[#This Row],[consequence_value]]</f>
        <v>21</v>
      </c>
      <c r="O55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51" s="10" t="s">
        <v>770</v>
      </c>
      <c r="Q551" t="s">
        <v>1162</v>
      </c>
      <c r="R551" t="s">
        <v>780</v>
      </c>
      <c r="S551" t="s">
        <v>2364</v>
      </c>
      <c r="T551" t="s">
        <v>793</v>
      </c>
      <c r="Y551" t="s">
        <v>1153</v>
      </c>
      <c r="Z551" t="s">
        <v>2400</v>
      </c>
      <c r="AA551" t="s">
        <v>1162</v>
      </c>
    </row>
    <row r="552" spans="1:27" x14ac:dyDescent="0.2">
      <c r="A552" s="225" t="s">
        <v>283</v>
      </c>
      <c r="B552" t="s">
        <v>63</v>
      </c>
      <c r="C552" t="s">
        <v>237</v>
      </c>
      <c r="D552" t="s">
        <v>296</v>
      </c>
      <c r="E552" t="s">
        <v>343</v>
      </c>
      <c r="F552" s="226" t="s">
        <v>295</v>
      </c>
      <c r="G552" t="str">
        <f>_xlfn.XLOOKUP(FMECA[[#This Row],[HazardRisk_name]],categories[HazardRisk_Name],categories[HazardRisk])</f>
        <v>Risk</v>
      </c>
      <c r="H552" t="str">
        <f>_xlfn.XLOOKUP(FMECA[[#This Row],[HazardRisk_name]],categories[HazardRisk_Name],categories[Category])</f>
        <v>Social</v>
      </c>
      <c r="I552" t="s">
        <v>677</v>
      </c>
      <c r="J552" s="10">
        <v>4</v>
      </c>
      <c r="K552" t="s">
        <v>2382</v>
      </c>
      <c r="L552" s="10">
        <v>10</v>
      </c>
      <c r="M552" t="s">
        <v>2382</v>
      </c>
      <c r="N552" s="10">
        <f>FMECA[[#This Row],[probability_value]]*FMECA[[#This Row],[consequence_value]]</f>
        <v>40</v>
      </c>
      <c r="O552"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52" s="10" t="s">
        <v>770</v>
      </c>
      <c r="Q552" t="s">
        <v>1162</v>
      </c>
      <c r="R552" t="s">
        <v>780</v>
      </c>
      <c r="S552" t="s">
        <v>2364</v>
      </c>
      <c r="T552" t="s">
        <v>793</v>
      </c>
      <c r="U552" t="s">
        <v>2386</v>
      </c>
      <c r="V552" t="s">
        <v>466</v>
      </c>
      <c r="W552" t="s">
        <v>2387</v>
      </c>
      <c r="X552" t="s">
        <v>470</v>
      </c>
      <c r="Y552" t="s">
        <v>1153</v>
      </c>
      <c r="Z552" t="s">
        <v>2399</v>
      </c>
      <c r="AA552" t="s">
        <v>1162</v>
      </c>
    </row>
    <row r="553" spans="1:27" x14ac:dyDescent="0.2">
      <c r="A553" s="225" t="s">
        <v>283</v>
      </c>
      <c r="B553" t="s">
        <v>63</v>
      </c>
      <c r="C553" t="s">
        <v>237</v>
      </c>
      <c r="D553" t="s">
        <v>296</v>
      </c>
      <c r="E553" t="s">
        <v>343</v>
      </c>
      <c r="F553" s="226" t="s">
        <v>295</v>
      </c>
      <c r="G553" t="str">
        <f>_xlfn.XLOOKUP(FMECA[[#This Row],[HazardRisk_name]],categories[HazardRisk_Name],categories[HazardRisk])</f>
        <v>Risk</v>
      </c>
      <c r="H553" t="str">
        <f>_xlfn.XLOOKUP(FMECA[[#This Row],[HazardRisk_name]],categories[HazardRisk_Name],categories[Category])</f>
        <v>Navigational</v>
      </c>
      <c r="I553" t="s">
        <v>705</v>
      </c>
      <c r="J553" s="10">
        <v>3</v>
      </c>
      <c r="K553" s="9" t="s">
        <v>2378</v>
      </c>
      <c r="L553" s="10">
        <v>7</v>
      </c>
      <c r="M553" s="9" t="s">
        <v>2378</v>
      </c>
      <c r="N553" s="10">
        <f>FMECA[[#This Row],[probability_value]]*FMECA[[#This Row],[consequence_value]]</f>
        <v>21</v>
      </c>
      <c r="O55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53" s="10" t="s">
        <v>770</v>
      </c>
      <c r="Q553" t="s">
        <v>1162</v>
      </c>
      <c r="R553" t="s">
        <v>780</v>
      </c>
      <c r="S553" t="s">
        <v>2364</v>
      </c>
      <c r="T553" t="s">
        <v>793</v>
      </c>
      <c r="AA553" t="s">
        <v>1162</v>
      </c>
    </row>
    <row r="554" spans="1:27" x14ac:dyDescent="0.2">
      <c r="A554" s="225" t="s">
        <v>284</v>
      </c>
      <c r="B554" t="s">
        <v>63</v>
      </c>
      <c r="C554" t="s">
        <v>245</v>
      </c>
      <c r="D554" t="s">
        <v>298</v>
      </c>
      <c r="E554" t="s">
        <v>344</v>
      </c>
      <c r="F554" s="226" t="s">
        <v>297</v>
      </c>
      <c r="G554" t="str">
        <f>_xlfn.XLOOKUP(FMECA[[#This Row],[HazardRisk_name]],categories[HazardRisk_Name],categories[HazardRisk])</f>
        <v>Risk</v>
      </c>
      <c r="H554" t="str">
        <f>_xlfn.XLOOKUP(FMECA[[#This Row],[HazardRisk_name]],categories[HazardRisk_Name],categories[Category])</f>
        <v>Assessment</v>
      </c>
      <c r="I554" t="s">
        <v>695</v>
      </c>
      <c r="J554" s="10">
        <v>4</v>
      </c>
      <c r="K554" t="s">
        <v>2351</v>
      </c>
      <c r="L554" s="10">
        <v>7</v>
      </c>
      <c r="M554" t="s">
        <v>2351</v>
      </c>
      <c r="N554" s="10">
        <f>FMECA[[#This Row],[probability_value]]*FMECA[[#This Row],[consequence_value]]</f>
        <v>28</v>
      </c>
      <c r="O554" s="10" t="str">
        <f>IF(AND(FMECA[[#This Row],[Score]]&gt;=0, 9&gt;=FMECA[[#This Row],[Score]]), "UNDETECTABLE", IF(AND(FMECA[[#This Row],[Score]]&gt;=10, 24&gt;=FMECA[[#This Row],[Score]]), "MODERATE", IF(AND(FMECA[[#This Row],[Score]]&gt;=25, 35&gt;=FMECA[[#This Row],[Score]]), "HIGH", IF(AND(FMECA[[#This Row],[Score]]&gt;=36, 50&gt;=FMECA[[#This Row],[Score]]), "VERY HIGH", "Check Formula"))))</f>
        <v>HIGH</v>
      </c>
      <c r="P554" s="10" t="s">
        <v>770</v>
      </c>
      <c r="Q554" t="s">
        <v>1132</v>
      </c>
      <c r="R554" t="s">
        <v>780</v>
      </c>
      <c r="S554" t="s">
        <v>2347</v>
      </c>
      <c r="T554" t="s">
        <v>793</v>
      </c>
      <c r="U554" t="s">
        <v>2352</v>
      </c>
      <c r="V554" t="s">
        <v>466</v>
      </c>
      <c r="W554" t="s">
        <v>2353</v>
      </c>
      <c r="X554" t="s">
        <v>466</v>
      </c>
      <c r="AA554" t="s">
        <v>1162</v>
      </c>
    </row>
    <row r="555" spans="1:27" x14ac:dyDescent="0.2">
      <c r="A555" s="225" t="s">
        <v>284</v>
      </c>
      <c r="B555" t="s">
        <v>63</v>
      </c>
      <c r="C555" t="s">
        <v>245</v>
      </c>
      <c r="D555" t="s">
        <v>298</v>
      </c>
      <c r="E555" t="s">
        <v>344</v>
      </c>
      <c r="F555" s="226" t="s">
        <v>297</v>
      </c>
      <c r="G555" t="str">
        <f>_xlfn.XLOOKUP(FMECA[[#This Row],[HazardRisk_name]],categories[HazardRisk_Name],categories[HazardRisk])</f>
        <v>Risk</v>
      </c>
      <c r="H555" t="str">
        <f>_xlfn.XLOOKUP(FMECA[[#This Row],[HazardRisk_name]],categories[HazardRisk_Name],categories[Category])</f>
        <v>Assessment</v>
      </c>
      <c r="I555" t="s">
        <v>696</v>
      </c>
      <c r="J555" s="10">
        <v>3</v>
      </c>
      <c r="K555" t="s">
        <v>2354</v>
      </c>
      <c r="L555" s="10">
        <v>4</v>
      </c>
      <c r="M555" t="s">
        <v>2354</v>
      </c>
      <c r="N555" s="10">
        <f>FMECA[[#This Row],[probability_value]]*FMECA[[#This Row],[consequence_value]]</f>
        <v>12</v>
      </c>
      <c r="O55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55" s="10" t="s">
        <v>770</v>
      </c>
      <c r="Q555" t="s">
        <v>1132</v>
      </c>
      <c r="R555" t="s">
        <v>780</v>
      </c>
      <c r="S555" t="s">
        <v>2347</v>
      </c>
      <c r="T555" t="s">
        <v>793</v>
      </c>
      <c r="AA555" t="s">
        <v>1162</v>
      </c>
    </row>
    <row r="556" spans="1:27" x14ac:dyDescent="0.2">
      <c r="A556" s="225" t="s">
        <v>284</v>
      </c>
      <c r="B556" t="s">
        <v>63</v>
      </c>
      <c r="C556" t="s">
        <v>245</v>
      </c>
      <c r="D556" t="s">
        <v>298</v>
      </c>
      <c r="E556" t="s">
        <v>344</v>
      </c>
      <c r="F556" s="226" t="s">
        <v>297</v>
      </c>
      <c r="G556" t="str">
        <f>_xlfn.XLOOKUP(FMECA[[#This Row],[HazardRisk_name]],categories[HazardRisk_Name],categories[HazardRisk])</f>
        <v>Risk</v>
      </c>
      <c r="H556" t="str">
        <f>_xlfn.XLOOKUP(FMECA[[#This Row],[HazardRisk_name]],categories[HazardRisk_Name],categories[Category])</f>
        <v>Assessment</v>
      </c>
      <c r="I556" t="s">
        <v>698</v>
      </c>
      <c r="J556" s="10">
        <v>4</v>
      </c>
      <c r="K556" t="s">
        <v>2354</v>
      </c>
      <c r="L556" s="10">
        <v>7</v>
      </c>
      <c r="M556" t="s">
        <v>2354</v>
      </c>
      <c r="N556" s="10">
        <f>FMECA[[#This Row],[probability_value]]*FMECA[[#This Row],[consequence_value]]</f>
        <v>28</v>
      </c>
      <c r="O556" s="10" t="str">
        <f>IF(AND(FMECA[[#This Row],[Score]]&gt;=0, 9&gt;=FMECA[[#This Row],[Score]]), "UNDETECTABLE", IF(AND(FMECA[[#This Row],[Score]]&gt;=10, 24&gt;=FMECA[[#This Row],[Score]]), "MODERATE", IF(AND(FMECA[[#This Row],[Score]]&gt;=25, 35&gt;=FMECA[[#This Row],[Score]]), "HIGH", IF(AND(FMECA[[#This Row],[Score]]&gt;=36, 50&gt;=FMECA[[#This Row],[Score]]), "VERY HIGH", "Check Formula"))))</f>
        <v>HIGH</v>
      </c>
      <c r="P556" s="10" t="s">
        <v>770</v>
      </c>
      <c r="Q556" t="s">
        <v>1132</v>
      </c>
      <c r="R556" t="s">
        <v>780</v>
      </c>
      <c r="S556" t="s">
        <v>2347</v>
      </c>
      <c r="T556" t="s">
        <v>793</v>
      </c>
      <c r="AA556" t="s">
        <v>1162</v>
      </c>
    </row>
    <row r="557" spans="1:27" x14ac:dyDescent="0.2">
      <c r="A557" s="225" t="s">
        <v>284</v>
      </c>
      <c r="B557" t="s">
        <v>63</v>
      </c>
      <c r="C557" t="s">
        <v>245</v>
      </c>
      <c r="D557" t="s">
        <v>298</v>
      </c>
      <c r="E557" t="s">
        <v>344</v>
      </c>
      <c r="F557" s="226" t="s">
        <v>297</v>
      </c>
      <c r="G557" t="str">
        <f>_xlfn.XLOOKUP(FMECA[[#This Row],[HazardRisk_name]],categories[HazardRisk_Name],categories[HazardRisk])</f>
        <v>Risk</v>
      </c>
      <c r="H557" t="str">
        <f>_xlfn.XLOOKUP(FMECA[[#This Row],[HazardRisk_name]],categories[HazardRisk_Name],categories[Category])</f>
        <v>Navigational</v>
      </c>
      <c r="I557" t="s">
        <v>474</v>
      </c>
      <c r="J557" s="10">
        <v>5</v>
      </c>
      <c r="K557" t="s">
        <v>2348</v>
      </c>
      <c r="L557" s="10">
        <v>7</v>
      </c>
      <c r="M557" t="s">
        <v>2348</v>
      </c>
      <c r="N557" s="10">
        <f>FMECA[[#This Row],[probability_value]]*FMECA[[#This Row],[consequence_value]]</f>
        <v>35</v>
      </c>
      <c r="O557" s="10" t="str">
        <f>IF(AND(FMECA[[#This Row],[Score]]&gt;=0, 9&gt;=FMECA[[#This Row],[Score]]), "UNDETECTABLE", IF(AND(FMECA[[#This Row],[Score]]&gt;=10, 24&gt;=FMECA[[#This Row],[Score]]), "MODERATE", IF(AND(FMECA[[#This Row],[Score]]&gt;=25, 35&gt;=FMECA[[#This Row],[Score]]), "HIGH", IF(AND(FMECA[[#This Row],[Score]]&gt;=36, 50&gt;=FMECA[[#This Row],[Score]]), "VERY HIGH", "Check Formula"))))</f>
        <v>HIGH</v>
      </c>
      <c r="P557" s="10" t="s">
        <v>770</v>
      </c>
      <c r="Q557" t="s">
        <v>1132</v>
      </c>
      <c r="R557" t="s">
        <v>780</v>
      </c>
      <c r="S557" t="s">
        <v>2347</v>
      </c>
      <c r="T557" t="s">
        <v>793</v>
      </c>
      <c r="U557" t="s">
        <v>2349</v>
      </c>
      <c r="V557" t="s">
        <v>466</v>
      </c>
      <c r="W557" t="s">
        <v>2350</v>
      </c>
      <c r="X557" t="s">
        <v>466</v>
      </c>
      <c r="AA557" t="s">
        <v>1162</v>
      </c>
    </row>
    <row r="558" spans="1:27" x14ac:dyDescent="0.2">
      <c r="A558" s="225" t="s">
        <v>284</v>
      </c>
      <c r="B558" t="s">
        <v>63</v>
      </c>
      <c r="C558" t="s">
        <v>245</v>
      </c>
      <c r="D558" t="s">
        <v>298</v>
      </c>
      <c r="E558" t="s">
        <v>344</v>
      </c>
      <c r="F558" s="226" t="s">
        <v>297</v>
      </c>
      <c r="G558" t="str">
        <f>_xlfn.XLOOKUP(FMECA[[#This Row],[HazardRisk_name]],categories[HazardRisk_Name],categories[HazardRisk])</f>
        <v>Hazard</v>
      </c>
      <c r="H558" t="str">
        <f>_xlfn.XLOOKUP(FMECA[[#This Row],[HazardRisk_name]],categories[HazardRisk_Name],categories[Category])</f>
        <v>Sea Ice</v>
      </c>
      <c r="I558" t="s">
        <v>673</v>
      </c>
      <c r="J558" s="10">
        <v>4</v>
      </c>
      <c r="K558" t="s">
        <v>2355</v>
      </c>
      <c r="L558" s="10">
        <v>5</v>
      </c>
      <c r="M558" t="s">
        <v>2355</v>
      </c>
      <c r="N558" s="10">
        <f>FMECA[[#This Row],[probability_value]]*FMECA[[#This Row],[consequence_value]]</f>
        <v>20</v>
      </c>
      <c r="O55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58" s="10" t="s">
        <v>770</v>
      </c>
      <c r="Q558" t="s">
        <v>1132</v>
      </c>
      <c r="R558" t="s">
        <v>780</v>
      </c>
      <c r="S558" t="s">
        <v>2347</v>
      </c>
      <c r="T558" t="s">
        <v>793</v>
      </c>
      <c r="AA558" t="s">
        <v>1162</v>
      </c>
    </row>
    <row r="559" spans="1:27" x14ac:dyDescent="0.2">
      <c r="A559" s="225" t="s">
        <v>284</v>
      </c>
      <c r="B559" t="s">
        <v>63</v>
      </c>
      <c r="C559" t="s">
        <v>245</v>
      </c>
      <c r="D559" t="s">
        <v>298</v>
      </c>
      <c r="E559" t="s">
        <v>344</v>
      </c>
      <c r="F559" s="226" t="s">
        <v>297</v>
      </c>
      <c r="G559" t="str">
        <f>_xlfn.XLOOKUP(FMECA[[#This Row],[HazardRisk_name]],categories[HazardRisk_Name],categories[HazardRisk])</f>
        <v>Hazard</v>
      </c>
      <c r="H559" t="str">
        <f>_xlfn.XLOOKUP(FMECA[[#This Row],[HazardRisk_name]],categories[HazardRisk_Name],categories[Category])</f>
        <v>Sea Ice</v>
      </c>
      <c r="I559" t="s">
        <v>563</v>
      </c>
      <c r="J559" s="10">
        <v>3</v>
      </c>
      <c r="K559" t="s">
        <v>2355</v>
      </c>
      <c r="L559" s="10">
        <v>5</v>
      </c>
      <c r="M559" t="s">
        <v>2355</v>
      </c>
      <c r="N559" s="10">
        <f>FMECA[[#This Row],[probability_value]]*FMECA[[#This Row],[consequence_value]]</f>
        <v>15</v>
      </c>
      <c r="O55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59" s="10" t="s">
        <v>770</v>
      </c>
      <c r="Q559" t="s">
        <v>1132</v>
      </c>
      <c r="R559" t="s">
        <v>780</v>
      </c>
      <c r="S559" t="s">
        <v>2347</v>
      </c>
      <c r="T559" t="s">
        <v>793</v>
      </c>
      <c r="AA559" t="s">
        <v>1162</v>
      </c>
    </row>
    <row r="560" spans="1:27" x14ac:dyDescent="0.2">
      <c r="A560" s="225" t="s">
        <v>285</v>
      </c>
      <c r="B560" t="s">
        <v>63</v>
      </c>
      <c r="C560" t="s">
        <v>245</v>
      </c>
      <c r="D560" t="s">
        <v>301</v>
      </c>
      <c r="E560" t="s">
        <v>345</v>
      </c>
      <c r="F560" s="226" t="s">
        <v>299</v>
      </c>
      <c r="G560" t="str">
        <f>_xlfn.XLOOKUP(FMECA[[#This Row],[HazardRisk_name]],categories[HazardRisk_Name],categories[HazardRisk])</f>
        <v>Hazard</v>
      </c>
      <c r="H560" t="str">
        <f>_xlfn.XLOOKUP(FMECA[[#This Row],[HazardRisk_name]],categories[HazardRisk_Name],categories[Category])</f>
        <v>Sea Ice</v>
      </c>
      <c r="I560" t="s">
        <v>675</v>
      </c>
      <c r="J560" s="10">
        <v>4</v>
      </c>
      <c r="K560" t="s">
        <v>2343</v>
      </c>
      <c r="L560" s="10">
        <v>10</v>
      </c>
      <c r="M560" t="s">
        <v>2343</v>
      </c>
      <c r="N560" s="10">
        <f>FMECA[[#This Row],[probability_value]]*FMECA[[#This Row],[consequence_value]]</f>
        <v>40</v>
      </c>
      <c r="O560"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60" s="10" t="s">
        <v>770</v>
      </c>
      <c r="Q560" t="s">
        <v>1132</v>
      </c>
      <c r="R560" t="s">
        <v>780</v>
      </c>
      <c r="S560" t="s">
        <v>2342</v>
      </c>
      <c r="T560" t="s">
        <v>793</v>
      </c>
      <c r="AA560" t="s">
        <v>1162</v>
      </c>
    </row>
    <row r="561" spans="1:27" x14ac:dyDescent="0.2">
      <c r="A561" s="225" t="s">
        <v>285</v>
      </c>
      <c r="B561" t="s">
        <v>63</v>
      </c>
      <c r="C561" t="s">
        <v>245</v>
      </c>
      <c r="D561" t="s">
        <v>301</v>
      </c>
      <c r="E561" t="s">
        <v>345</v>
      </c>
      <c r="F561" s="226" t="s">
        <v>299</v>
      </c>
      <c r="G561" t="str">
        <f>_xlfn.XLOOKUP(FMECA[[#This Row],[HazardRisk_name]],categories[HazardRisk_Name],categories[HazardRisk])</f>
        <v>Risk</v>
      </c>
      <c r="H561" t="str">
        <f>_xlfn.XLOOKUP(FMECA[[#This Row],[HazardRisk_name]],categories[HazardRisk_Name],categories[Category])</f>
        <v>Navigational</v>
      </c>
      <c r="I561" t="s">
        <v>474</v>
      </c>
      <c r="J561" s="10">
        <v>4</v>
      </c>
      <c r="K561" t="s">
        <v>2346</v>
      </c>
      <c r="L561" s="10">
        <v>10</v>
      </c>
      <c r="M561" t="s">
        <v>2346</v>
      </c>
      <c r="N561" s="10">
        <f>FMECA[[#This Row],[probability_value]]*FMECA[[#This Row],[consequence_value]]</f>
        <v>40</v>
      </c>
      <c r="O561"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61" s="10" t="s">
        <v>770</v>
      </c>
      <c r="Q561" t="s">
        <v>1132</v>
      </c>
      <c r="R561" t="s">
        <v>780</v>
      </c>
      <c r="S561" t="s">
        <v>2342</v>
      </c>
      <c r="T561" t="s">
        <v>793</v>
      </c>
      <c r="AA561" t="s">
        <v>1162</v>
      </c>
    </row>
    <row r="562" spans="1:27" x14ac:dyDescent="0.2">
      <c r="A562" s="225" t="s">
        <v>285</v>
      </c>
      <c r="B562" t="s">
        <v>63</v>
      </c>
      <c r="C562" t="s">
        <v>245</v>
      </c>
      <c r="D562" t="s">
        <v>301</v>
      </c>
      <c r="E562" t="s">
        <v>345</v>
      </c>
      <c r="F562" s="226" t="s">
        <v>299</v>
      </c>
      <c r="G562" t="str">
        <f>_xlfn.XLOOKUP(FMECA[[#This Row],[HazardRisk_name]],categories[HazardRisk_Name],categories[HazardRisk])</f>
        <v>Hazard</v>
      </c>
      <c r="H562" t="str">
        <f>_xlfn.XLOOKUP(FMECA[[#This Row],[HazardRisk_name]],categories[HazardRisk_Name],categories[Category])</f>
        <v>Navigational</v>
      </c>
      <c r="I562" t="s">
        <v>637</v>
      </c>
      <c r="J562" s="10">
        <v>4</v>
      </c>
      <c r="K562" t="s">
        <v>2346</v>
      </c>
      <c r="L562" s="10">
        <v>10</v>
      </c>
      <c r="M562" t="s">
        <v>2346</v>
      </c>
      <c r="N562" s="10">
        <f>FMECA[[#This Row],[probability_value]]*FMECA[[#This Row],[consequence_value]]</f>
        <v>40</v>
      </c>
      <c r="O562"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62" s="10" t="s">
        <v>770</v>
      </c>
      <c r="Q562" t="s">
        <v>1132</v>
      </c>
      <c r="R562" t="s">
        <v>780</v>
      </c>
      <c r="S562" t="s">
        <v>2342</v>
      </c>
      <c r="T562" t="s">
        <v>793</v>
      </c>
      <c r="AA562" t="s">
        <v>1162</v>
      </c>
    </row>
    <row r="563" spans="1:27" x14ac:dyDescent="0.2">
      <c r="A563" s="225" t="s">
        <v>285</v>
      </c>
      <c r="B563" t="s">
        <v>63</v>
      </c>
      <c r="C563" t="s">
        <v>245</v>
      </c>
      <c r="D563" t="s">
        <v>301</v>
      </c>
      <c r="E563" t="s">
        <v>345</v>
      </c>
      <c r="F563" s="226" t="s">
        <v>299</v>
      </c>
      <c r="G563" t="str">
        <f>_xlfn.XLOOKUP(FMECA[[#This Row],[HazardRisk_name]],categories[HazardRisk_Name],categories[HazardRisk])</f>
        <v>Hazard</v>
      </c>
      <c r="H563" t="str">
        <f>_xlfn.XLOOKUP(FMECA[[#This Row],[HazardRisk_name]],categories[HazardRisk_Name],categories[Category])</f>
        <v>Technological</v>
      </c>
      <c r="I563" t="s">
        <v>1311</v>
      </c>
      <c r="J563" s="10">
        <v>4</v>
      </c>
      <c r="K563" t="s">
        <v>2346</v>
      </c>
      <c r="L563" s="10">
        <v>10</v>
      </c>
      <c r="M563" t="s">
        <v>2346</v>
      </c>
      <c r="N563" s="10">
        <f>FMECA[[#This Row],[probability_value]]*FMECA[[#This Row],[consequence_value]]</f>
        <v>40</v>
      </c>
      <c r="O563"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63" s="10" t="s">
        <v>770</v>
      </c>
      <c r="Q563" t="s">
        <v>1132</v>
      </c>
      <c r="R563" t="s">
        <v>780</v>
      </c>
      <c r="S563" t="s">
        <v>2342</v>
      </c>
      <c r="T563" t="s">
        <v>793</v>
      </c>
      <c r="AA563" t="s">
        <v>1162</v>
      </c>
    </row>
    <row r="564" spans="1:27" x14ac:dyDescent="0.2">
      <c r="A564" s="225" t="s">
        <v>285</v>
      </c>
      <c r="B564" t="s">
        <v>63</v>
      </c>
      <c r="C564" t="s">
        <v>245</v>
      </c>
      <c r="D564" t="s">
        <v>301</v>
      </c>
      <c r="E564" t="s">
        <v>345</v>
      </c>
      <c r="F564" s="226" t="s">
        <v>299</v>
      </c>
      <c r="G564" t="str">
        <f>_xlfn.XLOOKUP(FMECA[[#This Row],[HazardRisk_name]],categories[HazardRisk_Name],categories[HazardRisk])</f>
        <v>Risk</v>
      </c>
      <c r="H564" t="str">
        <f>_xlfn.XLOOKUP(FMECA[[#This Row],[HazardRisk_name]],categories[HazardRisk_Name],categories[Category])</f>
        <v>Navigational</v>
      </c>
      <c r="I564" t="s">
        <v>720</v>
      </c>
      <c r="J564" s="10">
        <v>5</v>
      </c>
      <c r="K564" t="s">
        <v>1616</v>
      </c>
      <c r="L564" s="10">
        <v>7</v>
      </c>
      <c r="M564" t="s">
        <v>1616</v>
      </c>
      <c r="N564" s="10">
        <f>FMECA[[#This Row],[probability_value]]*FMECA[[#This Row],[consequence_value]]</f>
        <v>35</v>
      </c>
      <c r="O564" s="10" t="str">
        <f>IF(AND(FMECA[[#This Row],[Score]]&gt;=0, 9&gt;=FMECA[[#This Row],[Score]]), "UNDETECTABLE", IF(AND(FMECA[[#This Row],[Score]]&gt;=10, 24&gt;=FMECA[[#This Row],[Score]]), "MODERATE", IF(AND(FMECA[[#This Row],[Score]]&gt;=25, 35&gt;=FMECA[[#This Row],[Score]]), "HIGH", IF(AND(FMECA[[#This Row],[Score]]&gt;=36, 50&gt;=FMECA[[#This Row],[Score]]), "VERY HIGH", "Check Formula"))))</f>
        <v>HIGH</v>
      </c>
      <c r="P564" s="10" t="s">
        <v>770</v>
      </c>
      <c r="Q564" t="s">
        <v>1132</v>
      </c>
      <c r="R564" t="s">
        <v>780</v>
      </c>
      <c r="S564" t="s">
        <v>2342</v>
      </c>
      <c r="T564" t="s">
        <v>793</v>
      </c>
      <c r="AA564" t="s">
        <v>1162</v>
      </c>
    </row>
    <row r="565" spans="1:27" x14ac:dyDescent="0.2">
      <c r="A565" s="225" t="s">
        <v>285</v>
      </c>
      <c r="B565" t="s">
        <v>63</v>
      </c>
      <c r="C565" t="s">
        <v>245</v>
      </c>
      <c r="D565" t="s">
        <v>301</v>
      </c>
      <c r="E565" t="s">
        <v>345</v>
      </c>
      <c r="F565" s="226" t="s">
        <v>299</v>
      </c>
      <c r="G565" t="str">
        <f>_xlfn.XLOOKUP(FMECA[[#This Row],[HazardRisk_name]],categories[HazardRisk_Name],categories[HazardRisk])</f>
        <v>Hazard</v>
      </c>
      <c r="H565" t="str">
        <f>_xlfn.XLOOKUP(FMECA[[#This Row],[HazardRisk_name]],categories[HazardRisk_Name],categories[Category])</f>
        <v>Environmental</v>
      </c>
      <c r="I565" t="s">
        <v>525</v>
      </c>
      <c r="J565" s="10">
        <v>4</v>
      </c>
      <c r="K565" t="s">
        <v>2345</v>
      </c>
      <c r="L565" s="10">
        <v>7</v>
      </c>
      <c r="M565" t="s">
        <v>2345</v>
      </c>
      <c r="N565" s="10">
        <f>FMECA[[#This Row],[probability_value]]*FMECA[[#This Row],[consequence_value]]</f>
        <v>28</v>
      </c>
      <c r="O565" s="10" t="str">
        <f>IF(AND(FMECA[[#This Row],[Score]]&gt;=0, 9&gt;=FMECA[[#This Row],[Score]]), "UNDETECTABLE", IF(AND(FMECA[[#This Row],[Score]]&gt;=10, 24&gt;=FMECA[[#This Row],[Score]]), "MODERATE", IF(AND(FMECA[[#This Row],[Score]]&gt;=25, 35&gt;=FMECA[[#This Row],[Score]]), "HIGH", IF(AND(FMECA[[#This Row],[Score]]&gt;=36, 50&gt;=FMECA[[#This Row],[Score]]), "VERY HIGH", "Check Formula"))))</f>
        <v>HIGH</v>
      </c>
      <c r="P565" s="10" t="s">
        <v>770</v>
      </c>
      <c r="Q565" t="s">
        <v>1132</v>
      </c>
      <c r="R565" t="s">
        <v>780</v>
      </c>
      <c r="S565" t="s">
        <v>2342</v>
      </c>
      <c r="T565" t="s">
        <v>793</v>
      </c>
      <c r="AA565" t="s">
        <v>1162</v>
      </c>
    </row>
    <row r="566" spans="1:27" x14ac:dyDescent="0.2">
      <c r="A566" s="225" t="s">
        <v>285</v>
      </c>
      <c r="B566" t="s">
        <v>63</v>
      </c>
      <c r="C566" t="s">
        <v>245</v>
      </c>
      <c r="D566" t="s">
        <v>301</v>
      </c>
      <c r="E566" t="s">
        <v>345</v>
      </c>
      <c r="F566" s="226" t="s">
        <v>299</v>
      </c>
      <c r="G566" t="str">
        <f>_xlfn.XLOOKUP(FMECA[[#This Row],[HazardRisk_name]],categories[HazardRisk_Name],categories[HazardRisk])</f>
        <v>Hazard</v>
      </c>
      <c r="H566" t="str">
        <f>_xlfn.XLOOKUP(FMECA[[#This Row],[HazardRisk_name]],categories[HazardRisk_Name],categories[Category])</f>
        <v>Environmental</v>
      </c>
      <c r="I566" t="s">
        <v>671</v>
      </c>
      <c r="J566" s="10">
        <v>4</v>
      </c>
      <c r="K566" t="s">
        <v>2340</v>
      </c>
      <c r="L566" s="10">
        <v>4</v>
      </c>
      <c r="M566" t="s">
        <v>2340</v>
      </c>
      <c r="N566" s="10">
        <f>FMECA[[#This Row],[probability_value]]*FMECA[[#This Row],[consequence_value]]</f>
        <v>16</v>
      </c>
      <c r="O56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66" s="10" t="s">
        <v>770</v>
      </c>
      <c r="Q566" t="s">
        <v>1132</v>
      </c>
      <c r="R566" t="s">
        <v>780</v>
      </c>
      <c r="S566" t="s">
        <v>2342</v>
      </c>
      <c r="T566" t="s">
        <v>793</v>
      </c>
      <c r="AA566" t="s">
        <v>1162</v>
      </c>
    </row>
    <row r="567" spans="1:27" x14ac:dyDescent="0.2">
      <c r="A567" s="225" t="s">
        <v>285</v>
      </c>
      <c r="B567" t="s">
        <v>63</v>
      </c>
      <c r="C567" t="s">
        <v>245</v>
      </c>
      <c r="D567" t="s">
        <v>301</v>
      </c>
      <c r="E567" t="s">
        <v>345</v>
      </c>
      <c r="F567" s="226" t="s">
        <v>299</v>
      </c>
      <c r="G567" t="str">
        <f>_xlfn.XLOOKUP(FMECA[[#This Row],[HazardRisk_name]],categories[HazardRisk_Name],categories[HazardRisk])</f>
        <v>Hazard</v>
      </c>
      <c r="H567" t="str">
        <f>_xlfn.XLOOKUP(FMECA[[#This Row],[HazardRisk_name]],categories[HazardRisk_Name],categories[Category])</f>
        <v>Sea Ice</v>
      </c>
      <c r="I567" t="s">
        <v>563</v>
      </c>
      <c r="J567" s="10">
        <v>4</v>
      </c>
      <c r="K567" t="s">
        <v>2340</v>
      </c>
      <c r="L567" s="10">
        <v>7</v>
      </c>
      <c r="M567" t="s">
        <v>2340</v>
      </c>
      <c r="N567" s="10">
        <f>FMECA[[#This Row],[probability_value]]*FMECA[[#This Row],[consequence_value]]</f>
        <v>28</v>
      </c>
      <c r="O567" s="10" t="str">
        <f>IF(AND(FMECA[[#This Row],[Score]]&gt;=0, 9&gt;=FMECA[[#This Row],[Score]]), "UNDETECTABLE", IF(AND(FMECA[[#This Row],[Score]]&gt;=10, 24&gt;=FMECA[[#This Row],[Score]]), "MODERATE", IF(AND(FMECA[[#This Row],[Score]]&gt;=25, 35&gt;=FMECA[[#This Row],[Score]]), "HIGH", IF(AND(FMECA[[#This Row],[Score]]&gt;=36, 50&gt;=FMECA[[#This Row],[Score]]), "VERY HIGH", "Check Formula"))))</f>
        <v>HIGH</v>
      </c>
      <c r="P567" s="10" t="s">
        <v>770</v>
      </c>
      <c r="Q567" t="s">
        <v>1132</v>
      </c>
      <c r="R567" t="s">
        <v>780</v>
      </c>
      <c r="S567" t="s">
        <v>2342</v>
      </c>
      <c r="T567" t="s">
        <v>793</v>
      </c>
      <c r="AA567" t="s">
        <v>1162</v>
      </c>
    </row>
    <row r="568" spans="1:27" x14ac:dyDescent="0.2">
      <c r="A568" s="225" t="s">
        <v>285</v>
      </c>
      <c r="B568" t="s">
        <v>63</v>
      </c>
      <c r="C568" t="s">
        <v>245</v>
      </c>
      <c r="D568" t="s">
        <v>301</v>
      </c>
      <c r="E568" t="s">
        <v>345</v>
      </c>
      <c r="F568" s="226" t="s">
        <v>299</v>
      </c>
      <c r="G568" t="str">
        <f>_xlfn.XLOOKUP(FMECA[[#This Row],[HazardRisk_name]],categories[HazardRisk_Name],categories[HazardRisk])</f>
        <v>Hazard</v>
      </c>
      <c r="H568" t="str">
        <f>_xlfn.XLOOKUP(FMECA[[#This Row],[HazardRisk_name]],categories[HazardRisk_Name],categories[Category])</f>
        <v>Sea Ice</v>
      </c>
      <c r="I568" t="s">
        <v>447</v>
      </c>
      <c r="J568" s="10">
        <v>3</v>
      </c>
      <c r="K568" t="s">
        <v>2341</v>
      </c>
      <c r="L568" s="10">
        <v>10</v>
      </c>
      <c r="M568" t="s">
        <v>2341</v>
      </c>
      <c r="N568" s="10">
        <f>FMECA[[#This Row],[probability_value]]*FMECA[[#This Row],[consequence_value]]</f>
        <v>30</v>
      </c>
      <c r="O568" s="10" t="str">
        <f>IF(AND(FMECA[[#This Row],[Score]]&gt;=0, 9&gt;=FMECA[[#This Row],[Score]]), "UNDETECTABLE", IF(AND(FMECA[[#This Row],[Score]]&gt;=10, 24&gt;=FMECA[[#This Row],[Score]]), "MODERATE", IF(AND(FMECA[[#This Row],[Score]]&gt;=25, 35&gt;=FMECA[[#This Row],[Score]]), "HIGH", IF(AND(FMECA[[#This Row],[Score]]&gt;=36, 50&gt;=FMECA[[#This Row],[Score]]), "VERY HIGH", "Check Formula"))))</f>
        <v>HIGH</v>
      </c>
      <c r="P568" s="10" t="s">
        <v>770</v>
      </c>
      <c r="Q568" t="s">
        <v>1132</v>
      </c>
      <c r="R568" t="s">
        <v>780</v>
      </c>
      <c r="S568" t="s">
        <v>2342</v>
      </c>
      <c r="T568" t="s">
        <v>793</v>
      </c>
      <c r="AA568" t="s">
        <v>1162</v>
      </c>
    </row>
    <row r="569" spans="1:27" x14ac:dyDescent="0.2">
      <c r="A569" s="225" t="s">
        <v>285</v>
      </c>
      <c r="B569" t="s">
        <v>63</v>
      </c>
      <c r="C569" t="s">
        <v>245</v>
      </c>
      <c r="D569" t="s">
        <v>301</v>
      </c>
      <c r="E569" t="s">
        <v>345</v>
      </c>
      <c r="F569" s="226" t="s">
        <v>299</v>
      </c>
      <c r="G569" t="str">
        <f>_xlfn.XLOOKUP(FMECA[[#This Row],[HazardRisk_name]],categories[HazardRisk_Name],categories[HazardRisk])</f>
        <v>Hazard</v>
      </c>
      <c r="H569" t="str">
        <f>_xlfn.XLOOKUP(FMECA[[#This Row],[HazardRisk_name]],categories[HazardRisk_Name],categories[Category])</f>
        <v>Sea Ice</v>
      </c>
      <c r="I569" t="s">
        <v>673</v>
      </c>
      <c r="J569" s="10">
        <v>3</v>
      </c>
      <c r="K569" t="s">
        <v>2344</v>
      </c>
      <c r="L569" s="10">
        <v>10</v>
      </c>
      <c r="M569" t="s">
        <v>2344</v>
      </c>
      <c r="N569" s="10">
        <f>FMECA[[#This Row],[probability_value]]*FMECA[[#This Row],[consequence_value]]</f>
        <v>30</v>
      </c>
      <c r="O569" s="10" t="str">
        <f>IF(AND(FMECA[[#This Row],[Score]]&gt;=0, 9&gt;=FMECA[[#This Row],[Score]]), "UNDETECTABLE", IF(AND(FMECA[[#This Row],[Score]]&gt;=10, 24&gt;=FMECA[[#This Row],[Score]]), "MODERATE", IF(AND(FMECA[[#This Row],[Score]]&gt;=25, 35&gt;=FMECA[[#This Row],[Score]]), "HIGH", IF(AND(FMECA[[#This Row],[Score]]&gt;=36, 50&gt;=FMECA[[#This Row],[Score]]), "VERY HIGH", "Check Formula"))))</f>
        <v>HIGH</v>
      </c>
      <c r="P569" s="10" t="s">
        <v>770</v>
      </c>
      <c r="Q569" t="s">
        <v>1132</v>
      </c>
      <c r="R569" t="s">
        <v>780</v>
      </c>
      <c r="S569" t="s">
        <v>2342</v>
      </c>
      <c r="T569" t="s">
        <v>793</v>
      </c>
      <c r="AA569" t="s">
        <v>1162</v>
      </c>
    </row>
    <row r="570" spans="1:27" x14ac:dyDescent="0.2">
      <c r="A570" s="225" t="s">
        <v>286</v>
      </c>
      <c r="B570" t="s">
        <v>63</v>
      </c>
      <c r="C570" t="s">
        <v>245</v>
      </c>
      <c r="D570" t="s">
        <v>302</v>
      </c>
      <c r="E570" t="s">
        <v>346</v>
      </c>
      <c r="F570" s="226" t="s">
        <v>300</v>
      </c>
      <c r="G570" t="str">
        <f>_xlfn.XLOOKUP(FMECA[[#This Row],[HazardRisk_name]],categories[HazardRisk_Name],categories[HazardRisk])</f>
        <v>Risk</v>
      </c>
      <c r="H570" t="str">
        <f>_xlfn.XLOOKUP(FMECA[[#This Row],[HazardRisk_name]],categories[HazardRisk_Name],categories[Category])</f>
        <v>Economic</v>
      </c>
      <c r="I570" s="217" t="s">
        <v>680</v>
      </c>
      <c r="J570" s="10">
        <v>5</v>
      </c>
      <c r="K570" t="s">
        <v>2358</v>
      </c>
      <c r="L570" s="10">
        <v>4</v>
      </c>
      <c r="M570" t="s">
        <v>2358</v>
      </c>
      <c r="N570" s="10">
        <f>FMECA[[#This Row],[probability_value]]*FMECA[[#This Row],[consequence_value]]</f>
        <v>20</v>
      </c>
      <c r="O57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70" s="10" t="s">
        <v>767</v>
      </c>
      <c r="Q570" t="s">
        <v>793</v>
      </c>
      <c r="R570" t="s">
        <v>780</v>
      </c>
      <c r="S570" t="s">
        <v>1162</v>
      </c>
      <c r="T570" t="s">
        <v>1132</v>
      </c>
      <c r="AA570" t="s">
        <v>1162</v>
      </c>
    </row>
    <row r="571" spans="1:27" x14ac:dyDescent="0.2">
      <c r="A571" s="225" t="s">
        <v>286</v>
      </c>
      <c r="B571" t="s">
        <v>63</v>
      </c>
      <c r="C571" t="s">
        <v>245</v>
      </c>
      <c r="D571" t="s">
        <v>302</v>
      </c>
      <c r="E571" t="s">
        <v>346</v>
      </c>
      <c r="F571" s="226" t="s">
        <v>300</v>
      </c>
      <c r="G571" t="str">
        <f>_xlfn.XLOOKUP(FMECA[[#This Row],[HazardRisk_name]],categories[HazardRisk_Name],categories[HazardRisk])</f>
        <v>Hazard</v>
      </c>
      <c r="H571" t="str">
        <f>_xlfn.XLOOKUP(FMECA[[#This Row],[HazardRisk_name]],categories[HazardRisk_Name],categories[Category])</f>
        <v>Sea Ice</v>
      </c>
      <c r="I571" s="217" t="s">
        <v>563</v>
      </c>
      <c r="J571" s="10">
        <v>5</v>
      </c>
      <c r="K571" t="s">
        <v>2361</v>
      </c>
      <c r="L571" s="10">
        <v>7</v>
      </c>
      <c r="M571" t="s">
        <v>2361</v>
      </c>
      <c r="N571" s="10">
        <f>FMECA[[#This Row],[probability_value]]*FMECA[[#This Row],[consequence_value]]</f>
        <v>35</v>
      </c>
      <c r="O571" s="10" t="str">
        <f>IF(AND(FMECA[[#This Row],[Score]]&gt;=0, 9&gt;=FMECA[[#This Row],[Score]]), "UNDETECTABLE", IF(AND(FMECA[[#This Row],[Score]]&gt;=10, 24&gt;=FMECA[[#This Row],[Score]]), "MODERATE", IF(AND(FMECA[[#This Row],[Score]]&gt;=25, 35&gt;=FMECA[[#This Row],[Score]]), "HIGH", IF(AND(FMECA[[#This Row],[Score]]&gt;=36, 50&gt;=FMECA[[#This Row],[Score]]), "VERY HIGH", "Check Formula"))))</f>
        <v>HIGH</v>
      </c>
      <c r="P571" s="10" t="s">
        <v>767</v>
      </c>
      <c r="Q571" t="s">
        <v>793</v>
      </c>
      <c r="R571" t="s">
        <v>780</v>
      </c>
      <c r="S571" t="s">
        <v>1162</v>
      </c>
      <c r="T571" t="s">
        <v>1132</v>
      </c>
      <c r="AA571" t="s">
        <v>1162</v>
      </c>
    </row>
    <row r="572" spans="1:27" x14ac:dyDescent="0.2">
      <c r="A572" s="225" t="s">
        <v>286</v>
      </c>
      <c r="B572" t="s">
        <v>63</v>
      </c>
      <c r="C572" t="s">
        <v>245</v>
      </c>
      <c r="D572" t="s">
        <v>302</v>
      </c>
      <c r="E572" t="s">
        <v>346</v>
      </c>
      <c r="F572" s="226" t="s">
        <v>300</v>
      </c>
      <c r="G572" t="str">
        <f>_xlfn.XLOOKUP(FMECA[[#This Row],[HazardRisk_name]],categories[HazardRisk_Name],categories[HazardRisk])</f>
        <v>Risk</v>
      </c>
      <c r="H572" t="str">
        <f>_xlfn.XLOOKUP(FMECA[[#This Row],[HazardRisk_name]],categories[HazardRisk_Name],categories[Category])</f>
        <v>Pollutants</v>
      </c>
      <c r="I572" s="217" t="s">
        <v>547</v>
      </c>
      <c r="J572" s="10">
        <v>5</v>
      </c>
      <c r="K572" t="s">
        <v>2360</v>
      </c>
      <c r="L572" s="10">
        <v>4</v>
      </c>
      <c r="M572" t="s">
        <v>2360</v>
      </c>
      <c r="N572" s="10">
        <f>FMECA[[#This Row],[probability_value]]*FMECA[[#This Row],[consequence_value]]</f>
        <v>20</v>
      </c>
      <c r="O57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72" s="10" t="s">
        <v>767</v>
      </c>
      <c r="Q572" t="s">
        <v>793</v>
      </c>
      <c r="R572" t="s">
        <v>780</v>
      </c>
      <c r="S572" t="s">
        <v>1162</v>
      </c>
      <c r="T572" t="s">
        <v>1132</v>
      </c>
      <c r="AA572" t="s">
        <v>1162</v>
      </c>
    </row>
    <row r="573" spans="1:27" x14ac:dyDescent="0.2">
      <c r="A573" s="225" t="s">
        <v>286</v>
      </c>
      <c r="B573" t="s">
        <v>63</v>
      </c>
      <c r="C573" t="s">
        <v>245</v>
      </c>
      <c r="D573" t="s">
        <v>302</v>
      </c>
      <c r="E573" t="s">
        <v>346</v>
      </c>
      <c r="F573" s="226" t="s">
        <v>300</v>
      </c>
      <c r="G573" t="str">
        <f>_xlfn.XLOOKUP(FMECA[[#This Row],[HazardRisk_name]],categories[HazardRisk_Name],categories[HazardRisk])</f>
        <v>Risk</v>
      </c>
      <c r="H573" t="str">
        <f>_xlfn.XLOOKUP(FMECA[[#This Row],[HazardRisk_name]],categories[HazardRisk_Name],categories[Category])</f>
        <v>Economic</v>
      </c>
      <c r="I573" s="217" t="s">
        <v>464</v>
      </c>
      <c r="J573" s="10">
        <v>3</v>
      </c>
      <c r="K573" t="s">
        <v>2357</v>
      </c>
      <c r="L573" s="10">
        <v>7</v>
      </c>
      <c r="M573" t="s">
        <v>2357</v>
      </c>
      <c r="N573" s="10">
        <f>FMECA[[#This Row],[probability_value]]*FMECA[[#This Row],[consequence_value]]</f>
        <v>21</v>
      </c>
      <c r="O57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73" s="10" t="s">
        <v>767</v>
      </c>
      <c r="Q573" t="s">
        <v>793</v>
      </c>
      <c r="R573" t="s">
        <v>780</v>
      </c>
      <c r="S573" t="s">
        <v>1162</v>
      </c>
      <c r="T573" t="s">
        <v>1132</v>
      </c>
      <c r="AA573" t="s">
        <v>1162</v>
      </c>
    </row>
    <row r="574" spans="1:27" x14ac:dyDescent="0.2">
      <c r="A574" s="225" t="s">
        <v>286</v>
      </c>
      <c r="B574" t="s">
        <v>63</v>
      </c>
      <c r="C574" t="s">
        <v>245</v>
      </c>
      <c r="D574" t="s">
        <v>302</v>
      </c>
      <c r="E574" t="s">
        <v>346</v>
      </c>
      <c r="F574" s="226" t="s">
        <v>300</v>
      </c>
      <c r="G574" t="str">
        <f>_xlfn.XLOOKUP(FMECA[[#This Row],[HazardRisk_name]],categories[HazardRisk_Name],categories[HazardRisk])</f>
        <v>Risk</v>
      </c>
      <c r="H574" t="str">
        <f>_xlfn.XLOOKUP(FMECA[[#This Row],[HazardRisk_name]],categories[HazardRisk_Name],categories[Category])</f>
        <v>Operational</v>
      </c>
      <c r="I574" s="217" t="s">
        <v>681</v>
      </c>
      <c r="J574" s="10">
        <v>3</v>
      </c>
      <c r="K574" t="s">
        <v>2359</v>
      </c>
      <c r="L574" s="10">
        <v>5</v>
      </c>
      <c r="M574" t="s">
        <v>2359</v>
      </c>
      <c r="N574" s="10">
        <f>FMECA[[#This Row],[probability_value]]*FMECA[[#This Row],[consequence_value]]</f>
        <v>15</v>
      </c>
      <c r="O57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74" s="10" t="s">
        <v>767</v>
      </c>
      <c r="Q574" t="s">
        <v>793</v>
      </c>
      <c r="R574" t="s">
        <v>780</v>
      </c>
      <c r="S574" t="s">
        <v>1162</v>
      </c>
      <c r="T574" t="s">
        <v>1132</v>
      </c>
      <c r="AA574" t="s">
        <v>1162</v>
      </c>
    </row>
    <row r="575" spans="1:27" x14ac:dyDescent="0.2">
      <c r="A575" s="225" t="s">
        <v>286</v>
      </c>
      <c r="B575" t="s">
        <v>63</v>
      </c>
      <c r="C575" t="s">
        <v>245</v>
      </c>
      <c r="D575" t="s">
        <v>302</v>
      </c>
      <c r="E575" t="s">
        <v>346</v>
      </c>
      <c r="F575" s="226" t="s">
        <v>300</v>
      </c>
      <c r="G575" t="str">
        <f>_xlfn.XLOOKUP(FMECA[[#This Row],[HazardRisk_name]],categories[HazardRisk_Name],categories[HazardRisk])</f>
        <v>Risk</v>
      </c>
      <c r="H575" t="str">
        <f>_xlfn.XLOOKUP(FMECA[[#This Row],[HazardRisk_name]],categories[HazardRisk_Name],categories[Category])</f>
        <v>Economic</v>
      </c>
      <c r="I575" s="217" t="s">
        <v>463</v>
      </c>
      <c r="J575" s="10">
        <v>5</v>
      </c>
      <c r="K575" t="s">
        <v>2356</v>
      </c>
      <c r="L575" s="10">
        <v>7</v>
      </c>
      <c r="M575" t="s">
        <v>2356</v>
      </c>
      <c r="N575" s="10">
        <f>FMECA[[#This Row],[probability_value]]*FMECA[[#This Row],[consequence_value]]</f>
        <v>35</v>
      </c>
      <c r="O575" s="10" t="str">
        <f>IF(AND(FMECA[[#This Row],[Score]]&gt;=0, 9&gt;=FMECA[[#This Row],[Score]]), "UNDETECTABLE", IF(AND(FMECA[[#This Row],[Score]]&gt;=10, 24&gt;=FMECA[[#This Row],[Score]]), "MODERATE", IF(AND(FMECA[[#This Row],[Score]]&gt;=25, 35&gt;=FMECA[[#This Row],[Score]]), "HIGH", IF(AND(FMECA[[#This Row],[Score]]&gt;=36, 50&gt;=FMECA[[#This Row],[Score]]), "VERY HIGH", "Check Formula"))))</f>
        <v>HIGH</v>
      </c>
      <c r="P575" s="10" t="s">
        <v>767</v>
      </c>
      <c r="Q575" t="s">
        <v>793</v>
      </c>
      <c r="R575" t="s">
        <v>780</v>
      </c>
      <c r="S575" t="s">
        <v>1162</v>
      </c>
      <c r="T575" t="s">
        <v>1132</v>
      </c>
      <c r="AA575" t="s">
        <v>1162</v>
      </c>
    </row>
    <row r="576" spans="1:27" x14ac:dyDescent="0.2">
      <c r="A576" s="225" t="s">
        <v>286</v>
      </c>
      <c r="B576" t="s">
        <v>63</v>
      </c>
      <c r="C576" t="s">
        <v>245</v>
      </c>
      <c r="D576" t="s">
        <v>302</v>
      </c>
      <c r="E576" t="s">
        <v>346</v>
      </c>
      <c r="F576" s="226" t="s">
        <v>300</v>
      </c>
      <c r="G576" t="str">
        <f>_xlfn.XLOOKUP(FMECA[[#This Row],[HazardRisk_name]],categories[HazardRisk_Name],categories[HazardRisk])</f>
        <v>Risk</v>
      </c>
      <c r="H576" t="str">
        <f>_xlfn.XLOOKUP(FMECA[[#This Row],[HazardRisk_name]],categories[HazardRisk_Name],categories[Category])</f>
        <v>Navigational</v>
      </c>
      <c r="I576" s="217" t="s">
        <v>474</v>
      </c>
      <c r="J576" s="10">
        <v>4</v>
      </c>
      <c r="K576" t="s">
        <v>2362</v>
      </c>
      <c r="L576" s="10">
        <v>7</v>
      </c>
      <c r="M576" t="s">
        <v>2362</v>
      </c>
      <c r="N576" s="10">
        <f>FMECA[[#This Row],[probability_value]]*FMECA[[#This Row],[consequence_value]]</f>
        <v>28</v>
      </c>
      <c r="O576" s="10" t="str">
        <f>IF(AND(FMECA[[#This Row],[Score]]&gt;=0, 9&gt;=FMECA[[#This Row],[Score]]), "UNDETECTABLE", IF(AND(FMECA[[#This Row],[Score]]&gt;=10, 24&gt;=FMECA[[#This Row],[Score]]), "MODERATE", IF(AND(FMECA[[#This Row],[Score]]&gt;=25, 35&gt;=FMECA[[#This Row],[Score]]), "HIGH", IF(AND(FMECA[[#This Row],[Score]]&gt;=36, 50&gt;=FMECA[[#This Row],[Score]]), "VERY HIGH", "Check Formula"))))</f>
        <v>HIGH</v>
      </c>
      <c r="P576" s="10" t="s">
        <v>767</v>
      </c>
      <c r="Q576" t="s">
        <v>793</v>
      </c>
      <c r="R576" t="s">
        <v>780</v>
      </c>
      <c r="S576" t="s">
        <v>1162</v>
      </c>
      <c r="T576" t="s">
        <v>1132</v>
      </c>
      <c r="AA576" t="s">
        <v>1162</v>
      </c>
    </row>
    <row r="577" spans="1:27" x14ac:dyDescent="0.2">
      <c r="A577" s="225" t="s">
        <v>286</v>
      </c>
      <c r="B577" t="s">
        <v>63</v>
      </c>
      <c r="C577" t="s">
        <v>245</v>
      </c>
      <c r="D577" t="s">
        <v>302</v>
      </c>
      <c r="E577" t="s">
        <v>346</v>
      </c>
      <c r="F577" s="226" t="s">
        <v>300</v>
      </c>
      <c r="G577" t="str">
        <f>_xlfn.XLOOKUP(FMECA[[#This Row],[HazardRisk_name]],categories[HazardRisk_Name],categories[HazardRisk])</f>
        <v>Hazard</v>
      </c>
      <c r="H577" t="str">
        <f>_xlfn.XLOOKUP(FMECA[[#This Row],[HazardRisk_name]],categories[HazardRisk_Name],categories[Category])</f>
        <v>Pollutants</v>
      </c>
      <c r="I577" s="217" t="s">
        <v>636</v>
      </c>
      <c r="J577" s="10">
        <v>5</v>
      </c>
      <c r="K577" t="s">
        <v>2362</v>
      </c>
      <c r="L577" s="10">
        <v>7</v>
      </c>
      <c r="M577" t="s">
        <v>2362</v>
      </c>
      <c r="N577" s="10">
        <f>FMECA[[#This Row],[probability_value]]*FMECA[[#This Row],[consequence_value]]</f>
        <v>35</v>
      </c>
      <c r="O577" s="10" t="str">
        <f>IF(AND(FMECA[[#This Row],[Score]]&gt;=0, 9&gt;=FMECA[[#This Row],[Score]]), "UNDETECTABLE", IF(AND(FMECA[[#This Row],[Score]]&gt;=10, 24&gt;=FMECA[[#This Row],[Score]]), "MODERATE", IF(AND(FMECA[[#This Row],[Score]]&gt;=25, 35&gt;=FMECA[[#This Row],[Score]]), "HIGH", IF(AND(FMECA[[#This Row],[Score]]&gt;=36, 50&gt;=FMECA[[#This Row],[Score]]), "VERY HIGH", "Check Formula"))))</f>
        <v>HIGH</v>
      </c>
      <c r="P577" s="10" t="s">
        <v>767</v>
      </c>
      <c r="Q577" t="s">
        <v>793</v>
      </c>
      <c r="R577" t="s">
        <v>780</v>
      </c>
      <c r="S577" t="s">
        <v>1162</v>
      </c>
      <c r="T577" t="s">
        <v>1132</v>
      </c>
      <c r="AA577" t="s">
        <v>1162</v>
      </c>
    </row>
    <row r="578" spans="1:27" x14ac:dyDescent="0.2">
      <c r="A578" s="225" t="s">
        <v>286</v>
      </c>
      <c r="B578" t="s">
        <v>63</v>
      </c>
      <c r="C578" t="s">
        <v>245</v>
      </c>
      <c r="D578" t="s">
        <v>302</v>
      </c>
      <c r="E578" t="s">
        <v>346</v>
      </c>
      <c r="F578" s="226" t="s">
        <v>300</v>
      </c>
      <c r="G578" t="str">
        <f>_xlfn.XLOOKUP(FMECA[[#This Row],[HazardRisk_name]],categories[HazardRisk_Name],categories[HazardRisk])</f>
        <v>Hazard</v>
      </c>
      <c r="H578" t="str">
        <f>_xlfn.XLOOKUP(FMECA[[#This Row],[HazardRisk_name]],categories[HazardRisk_Name],categories[Category])</f>
        <v>Navigational</v>
      </c>
      <c r="I578" s="217" t="s">
        <v>496</v>
      </c>
      <c r="J578" s="10">
        <v>4</v>
      </c>
      <c r="K578" t="s">
        <v>2363</v>
      </c>
      <c r="L578" s="10">
        <v>4</v>
      </c>
      <c r="M578" t="s">
        <v>2363</v>
      </c>
      <c r="N578" s="10">
        <f>FMECA[[#This Row],[probability_value]]*FMECA[[#This Row],[consequence_value]]</f>
        <v>16</v>
      </c>
      <c r="O57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78" s="10" t="s">
        <v>767</v>
      </c>
      <c r="Q578" t="s">
        <v>793</v>
      </c>
      <c r="R578" t="s">
        <v>780</v>
      </c>
      <c r="S578" t="s">
        <v>1162</v>
      </c>
      <c r="T578" t="s">
        <v>1132</v>
      </c>
      <c r="AA578" t="s">
        <v>1162</v>
      </c>
    </row>
    <row r="579" spans="1:27" x14ac:dyDescent="0.2">
      <c r="A579" s="225" t="s">
        <v>287</v>
      </c>
      <c r="B579" t="s">
        <v>303</v>
      </c>
      <c r="C579" t="s">
        <v>350</v>
      </c>
      <c r="D579" t="s">
        <v>349</v>
      </c>
      <c r="E579" t="s">
        <v>348</v>
      </c>
      <c r="F579" s="226" t="s">
        <v>347</v>
      </c>
      <c r="G579" t="str">
        <f>_xlfn.XLOOKUP(FMECA[[#This Row],[HazardRisk_name]],categories[HazardRisk_Name],categories[HazardRisk])</f>
        <v>Risk</v>
      </c>
      <c r="H579" t="str">
        <f>_xlfn.XLOOKUP(FMECA[[#This Row],[HazardRisk_name]],categories[HazardRisk_Name],categories[Category])</f>
        <v>Political</v>
      </c>
      <c r="I579" t="s">
        <v>711</v>
      </c>
      <c r="J579" s="10">
        <v>3</v>
      </c>
      <c r="K579" t="s">
        <v>2330</v>
      </c>
      <c r="L579" s="10">
        <v>5</v>
      </c>
      <c r="M579" t="s">
        <v>2330</v>
      </c>
      <c r="N579" s="10">
        <f>FMECA[[#This Row],[probability_value]]*FMECA[[#This Row],[consequence_value]]</f>
        <v>15</v>
      </c>
      <c r="O57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79" s="10" t="s">
        <v>777</v>
      </c>
      <c r="Q579" t="s">
        <v>778</v>
      </c>
      <c r="R579" t="s">
        <v>780</v>
      </c>
      <c r="S579" t="s">
        <v>2332</v>
      </c>
      <c r="U579" t="s">
        <v>2334</v>
      </c>
      <c r="V579" t="s">
        <v>470</v>
      </c>
      <c r="W579" t="s">
        <v>2335</v>
      </c>
      <c r="X579" t="s">
        <v>470</v>
      </c>
      <c r="Y579" s="9" t="s">
        <v>1153</v>
      </c>
      <c r="Z579" s="9" t="s">
        <v>2333</v>
      </c>
      <c r="AA579" t="s">
        <v>1162</v>
      </c>
    </row>
    <row r="580" spans="1:27" x14ac:dyDescent="0.2">
      <c r="A580" s="225" t="s">
        <v>287</v>
      </c>
      <c r="B580" t="s">
        <v>303</v>
      </c>
      <c r="C580" t="s">
        <v>350</v>
      </c>
      <c r="D580" t="s">
        <v>349</v>
      </c>
      <c r="E580" t="s">
        <v>348</v>
      </c>
      <c r="F580" s="226" t="s">
        <v>347</v>
      </c>
      <c r="G580" t="str">
        <f>_xlfn.XLOOKUP(FMECA[[#This Row],[HazardRisk_name]],categories[HazardRisk_Name],categories[HazardRisk])</f>
        <v>Risk</v>
      </c>
      <c r="H580" t="str">
        <f>_xlfn.XLOOKUP(FMECA[[#This Row],[HazardRisk_name]],categories[HazardRisk_Name],categories[Category])</f>
        <v>Political</v>
      </c>
      <c r="I580" t="s">
        <v>476</v>
      </c>
      <c r="J580" s="10">
        <v>4</v>
      </c>
      <c r="K580" t="s">
        <v>2336</v>
      </c>
      <c r="L580" s="10">
        <v>7</v>
      </c>
      <c r="M580" t="s">
        <v>2336</v>
      </c>
      <c r="N580" s="10">
        <f>FMECA[[#This Row],[probability_value]]*FMECA[[#This Row],[consequence_value]]</f>
        <v>28</v>
      </c>
      <c r="O580" s="10" t="str">
        <f>IF(AND(FMECA[[#This Row],[Score]]&gt;=0, 9&gt;=FMECA[[#This Row],[Score]]), "UNDETECTABLE", IF(AND(FMECA[[#This Row],[Score]]&gt;=10, 24&gt;=FMECA[[#This Row],[Score]]), "MODERATE", IF(AND(FMECA[[#This Row],[Score]]&gt;=25, 35&gt;=FMECA[[#This Row],[Score]]), "HIGH", IF(AND(FMECA[[#This Row],[Score]]&gt;=36, 50&gt;=FMECA[[#This Row],[Score]]), "VERY HIGH", "Check Formula"))))</f>
        <v>HIGH</v>
      </c>
      <c r="P580" s="10" t="s">
        <v>777</v>
      </c>
      <c r="Q580" t="s">
        <v>778</v>
      </c>
      <c r="R580" t="s">
        <v>780</v>
      </c>
      <c r="S580" t="s">
        <v>2332</v>
      </c>
      <c r="W580" t="s">
        <v>2337</v>
      </c>
      <c r="X580" t="s">
        <v>470</v>
      </c>
      <c r="Y580" s="9" t="s">
        <v>1153</v>
      </c>
      <c r="Z580" s="9" t="s">
        <v>2333</v>
      </c>
      <c r="AA580" t="s">
        <v>1162</v>
      </c>
    </row>
    <row r="581" spans="1:27" x14ac:dyDescent="0.2">
      <c r="A581" s="225" t="s">
        <v>287</v>
      </c>
      <c r="B581" t="s">
        <v>303</v>
      </c>
      <c r="C581" t="s">
        <v>350</v>
      </c>
      <c r="D581" t="s">
        <v>349</v>
      </c>
      <c r="E581" t="s">
        <v>348</v>
      </c>
      <c r="F581" s="226" t="s">
        <v>347</v>
      </c>
      <c r="G581" t="str">
        <f>_xlfn.XLOOKUP(FMECA[[#This Row],[HazardRisk_name]],categories[HazardRisk_Name],categories[HazardRisk])</f>
        <v>Risk</v>
      </c>
      <c r="H581" t="str">
        <f>_xlfn.XLOOKUP(FMECA[[#This Row],[HazardRisk_name]],categories[HazardRisk_Name],categories[Category])</f>
        <v>Economic</v>
      </c>
      <c r="I581" t="s">
        <v>672</v>
      </c>
      <c r="J581" s="10">
        <v>3</v>
      </c>
      <c r="K581" t="s">
        <v>2328</v>
      </c>
      <c r="L581" s="10">
        <v>7</v>
      </c>
      <c r="M581" t="s">
        <v>2328</v>
      </c>
      <c r="N581" s="10">
        <f>FMECA[[#This Row],[probability_value]]*FMECA[[#This Row],[consequence_value]]</f>
        <v>21</v>
      </c>
      <c r="O58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81" s="10" t="s">
        <v>777</v>
      </c>
      <c r="Q581" t="s">
        <v>778</v>
      </c>
      <c r="R581" t="s">
        <v>780</v>
      </c>
      <c r="S581" t="s">
        <v>2332</v>
      </c>
      <c r="U581" t="s">
        <v>2334</v>
      </c>
      <c r="V581" t="s">
        <v>470</v>
      </c>
      <c r="Y581" s="9" t="s">
        <v>1153</v>
      </c>
      <c r="Z581" s="9" t="s">
        <v>2333</v>
      </c>
      <c r="AA581" t="s">
        <v>1162</v>
      </c>
    </row>
    <row r="582" spans="1:27" x14ac:dyDescent="0.2">
      <c r="A582" s="225" t="s">
        <v>287</v>
      </c>
      <c r="B582" t="s">
        <v>303</v>
      </c>
      <c r="C582" t="s">
        <v>350</v>
      </c>
      <c r="D582" t="s">
        <v>349</v>
      </c>
      <c r="E582" t="s">
        <v>348</v>
      </c>
      <c r="F582" s="226" t="s">
        <v>347</v>
      </c>
      <c r="G582" t="str">
        <f>_xlfn.XLOOKUP(FMECA[[#This Row],[HazardRisk_name]],categories[HazardRisk_Name],categories[HazardRisk])</f>
        <v>Risk</v>
      </c>
      <c r="H582" t="str">
        <f>_xlfn.XLOOKUP(FMECA[[#This Row],[HazardRisk_name]],categories[HazardRisk_Name],categories[Category])</f>
        <v>Social</v>
      </c>
      <c r="I582" t="s">
        <v>569</v>
      </c>
      <c r="J582" s="10">
        <v>4</v>
      </c>
      <c r="K582" t="s">
        <v>2339</v>
      </c>
      <c r="L582" s="10">
        <v>7</v>
      </c>
      <c r="M582" t="s">
        <v>2339</v>
      </c>
      <c r="N582" s="10">
        <f>FMECA[[#This Row],[probability_value]]*FMECA[[#This Row],[consequence_value]]</f>
        <v>28</v>
      </c>
      <c r="O582" s="10" t="str">
        <f>IF(AND(FMECA[[#This Row],[Score]]&gt;=0, 9&gt;=FMECA[[#This Row],[Score]]), "UNDETECTABLE", IF(AND(FMECA[[#This Row],[Score]]&gt;=10, 24&gt;=FMECA[[#This Row],[Score]]), "MODERATE", IF(AND(FMECA[[#This Row],[Score]]&gt;=25, 35&gt;=FMECA[[#This Row],[Score]]), "HIGH", IF(AND(FMECA[[#This Row],[Score]]&gt;=36, 50&gt;=FMECA[[#This Row],[Score]]), "VERY HIGH", "Check Formula"))))</f>
        <v>HIGH</v>
      </c>
      <c r="P582" s="10" t="s">
        <v>777</v>
      </c>
      <c r="Q582" t="s">
        <v>778</v>
      </c>
      <c r="R582" t="s">
        <v>780</v>
      </c>
      <c r="S582" t="s">
        <v>2332</v>
      </c>
      <c r="Y582" s="9"/>
      <c r="Z582" s="9"/>
    </row>
    <row r="583" spans="1:27" x14ac:dyDescent="0.2">
      <c r="A583" s="225" t="s">
        <v>287</v>
      </c>
      <c r="B583" t="s">
        <v>303</v>
      </c>
      <c r="C583" t="s">
        <v>350</v>
      </c>
      <c r="D583" t="s">
        <v>349</v>
      </c>
      <c r="E583" t="s">
        <v>348</v>
      </c>
      <c r="F583" s="226" t="s">
        <v>347</v>
      </c>
      <c r="G583" t="str">
        <f>_xlfn.XLOOKUP(FMECA[[#This Row],[HazardRisk_name]],categories[HazardRisk_Name],categories[HazardRisk])</f>
        <v>Hazard</v>
      </c>
      <c r="H583" t="str">
        <f>_xlfn.XLOOKUP(FMECA[[#This Row],[HazardRisk_name]],categories[HazardRisk_Name],categories[Category])</f>
        <v>Navigational</v>
      </c>
      <c r="I583" t="s">
        <v>484</v>
      </c>
      <c r="J583" s="10">
        <v>5</v>
      </c>
      <c r="K583" t="s">
        <v>2328</v>
      </c>
      <c r="L583" s="10">
        <v>7</v>
      </c>
      <c r="M583" t="s">
        <v>2328</v>
      </c>
      <c r="N583" s="10">
        <f>FMECA[[#This Row],[probability_value]]*FMECA[[#This Row],[consequence_value]]</f>
        <v>35</v>
      </c>
      <c r="O583" s="10" t="str">
        <f>IF(AND(FMECA[[#This Row],[Score]]&gt;=0, 9&gt;=FMECA[[#This Row],[Score]]), "UNDETECTABLE", IF(AND(FMECA[[#This Row],[Score]]&gt;=10, 24&gt;=FMECA[[#This Row],[Score]]), "MODERATE", IF(AND(FMECA[[#This Row],[Score]]&gt;=25, 35&gt;=FMECA[[#This Row],[Score]]), "HIGH", IF(AND(FMECA[[#This Row],[Score]]&gt;=36, 50&gt;=FMECA[[#This Row],[Score]]), "VERY HIGH", "Check Formula"))))</f>
        <v>HIGH</v>
      </c>
      <c r="P583" s="10" t="s">
        <v>777</v>
      </c>
      <c r="Q583" t="s">
        <v>778</v>
      </c>
      <c r="R583" t="s">
        <v>780</v>
      </c>
      <c r="S583" t="s">
        <v>2332</v>
      </c>
      <c r="Y583" s="9" t="s">
        <v>1153</v>
      </c>
      <c r="Z583" s="9" t="s">
        <v>2333</v>
      </c>
      <c r="AA583" t="s">
        <v>1162</v>
      </c>
    </row>
    <row r="584" spans="1:27" x14ac:dyDescent="0.2">
      <c r="A584" s="225" t="s">
        <v>287</v>
      </c>
      <c r="B584" t="s">
        <v>303</v>
      </c>
      <c r="C584" t="s">
        <v>350</v>
      </c>
      <c r="D584" t="s">
        <v>349</v>
      </c>
      <c r="E584" t="s">
        <v>348</v>
      </c>
      <c r="F584" s="226" t="s">
        <v>347</v>
      </c>
      <c r="G584" t="str">
        <f>_xlfn.XLOOKUP(FMECA[[#This Row],[HazardRisk_name]],categories[HazardRisk_Name],categories[HazardRisk])</f>
        <v>Risk</v>
      </c>
      <c r="H584" t="str">
        <f>_xlfn.XLOOKUP(FMECA[[#This Row],[HazardRisk_name]],categories[HazardRisk_Name],categories[Category])</f>
        <v>Environmental</v>
      </c>
      <c r="I584" t="s">
        <v>1219</v>
      </c>
      <c r="J584" s="10">
        <v>3</v>
      </c>
      <c r="K584" t="s">
        <v>2331</v>
      </c>
      <c r="L584" s="10">
        <v>10</v>
      </c>
      <c r="M584" t="s">
        <v>2331</v>
      </c>
      <c r="N584" s="10">
        <f>FMECA[[#This Row],[probability_value]]*FMECA[[#This Row],[consequence_value]]</f>
        <v>30</v>
      </c>
      <c r="O584" s="10" t="str">
        <f>IF(AND(FMECA[[#This Row],[Score]]&gt;=0, 9&gt;=FMECA[[#This Row],[Score]]), "UNDETECTABLE", IF(AND(FMECA[[#This Row],[Score]]&gt;=10, 24&gt;=FMECA[[#This Row],[Score]]), "MODERATE", IF(AND(FMECA[[#This Row],[Score]]&gt;=25, 35&gt;=FMECA[[#This Row],[Score]]), "HIGH", IF(AND(FMECA[[#This Row],[Score]]&gt;=36, 50&gt;=FMECA[[#This Row],[Score]]), "VERY HIGH", "Check Formula"))))</f>
        <v>HIGH</v>
      </c>
      <c r="P584" s="10" t="s">
        <v>777</v>
      </c>
      <c r="Q584" t="s">
        <v>778</v>
      </c>
      <c r="R584" t="s">
        <v>780</v>
      </c>
      <c r="S584" t="s">
        <v>2332</v>
      </c>
      <c r="Y584" s="9" t="s">
        <v>1153</v>
      </c>
      <c r="Z584" s="9" t="s">
        <v>2333</v>
      </c>
      <c r="AA584" t="s">
        <v>1162</v>
      </c>
    </row>
    <row r="585" spans="1:27" x14ac:dyDescent="0.2">
      <c r="A585" s="225" t="s">
        <v>287</v>
      </c>
      <c r="B585" t="s">
        <v>303</v>
      </c>
      <c r="C585" t="s">
        <v>350</v>
      </c>
      <c r="D585" t="s">
        <v>349</v>
      </c>
      <c r="E585" t="s">
        <v>348</v>
      </c>
      <c r="F585" s="226" t="s">
        <v>347</v>
      </c>
      <c r="G585" t="str">
        <f>_xlfn.XLOOKUP(FMECA[[#This Row],[HazardRisk_name]],categories[HazardRisk_Name],categories[HazardRisk])</f>
        <v>Risk</v>
      </c>
      <c r="H585" t="str">
        <f>_xlfn.XLOOKUP(FMECA[[#This Row],[HazardRisk_name]],categories[HazardRisk_Name],categories[Category])</f>
        <v>Environmental</v>
      </c>
      <c r="I585" t="s">
        <v>573</v>
      </c>
      <c r="J585" s="10">
        <v>3</v>
      </c>
      <c r="K585" t="s">
        <v>2331</v>
      </c>
      <c r="L585" s="10">
        <v>10</v>
      </c>
      <c r="M585" t="s">
        <v>2331</v>
      </c>
      <c r="N585" s="10">
        <f>FMECA[[#This Row],[probability_value]]*FMECA[[#This Row],[consequence_value]]</f>
        <v>30</v>
      </c>
      <c r="O585" s="10" t="str">
        <f>IF(AND(FMECA[[#This Row],[Score]]&gt;=0, 9&gt;=FMECA[[#This Row],[Score]]), "UNDETECTABLE", IF(AND(FMECA[[#This Row],[Score]]&gt;=10, 24&gt;=FMECA[[#This Row],[Score]]), "MODERATE", IF(AND(FMECA[[#This Row],[Score]]&gt;=25, 35&gt;=FMECA[[#This Row],[Score]]), "HIGH", IF(AND(FMECA[[#This Row],[Score]]&gt;=36, 50&gt;=FMECA[[#This Row],[Score]]), "VERY HIGH", "Check Formula"))))</f>
        <v>HIGH</v>
      </c>
      <c r="P585" s="10" t="s">
        <v>777</v>
      </c>
      <c r="Q585" t="s">
        <v>778</v>
      </c>
      <c r="R585" t="s">
        <v>780</v>
      </c>
      <c r="S585" t="s">
        <v>2332</v>
      </c>
      <c r="Y585" s="9" t="s">
        <v>1153</v>
      </c>
      <c r="Z585" s="9" t="s">
        <v>2333</v>
      </c>
      <c r="AA585" t="s">
        <v>1162</v>
      </c>
    </row>
    <row r="586" spans="1:27" x14ac:dyDescent="0.2">
      <c r="A586" s="225" t="s">
        <v>287</v>
      </c>
      <c r="B586" t="s">
        <v>303</v>
      </c>
      <c r="C586" t="s">
        <v>350</v>
      </c>
      <c r="D586" t="s">
        <v>349</v>
      </c>
      <c r="E586" t="s">
        <v>348</v>
      </c>
      <c r="F586" s="226" t="s">
        <v>347</v>
      </c>
      <c r="G586" t="str">
        <f>_xlfn.XLOOKUP(FMECA[[#This Row],[HazardRisk_name]],categories[HazardRisk_Name],categories[HazardRisk])</f>
        <v>Risk</v>
      </c>
      <c r="H586" t="str">
        <f>_xlfn.XLOOKUP(FMECA[[#This Row],[HazardRisk_name]],categories[HazardRisk_Name],categories[Category])</f>
        <v>Social</v>
      </c>
      <c r="I586" t="s">
        <v>569</v>
      </c>
      <c r="J586" s="10">
        <v>5</v>
      </c>
      <c r="K586" t="s">
        <v>2338</v>
      </c>
      <c r="L586" s="10">
        <v>4</v>
      </c>
      <c r="M586" t="s">
        <v>2338</v>
      </c>
      <c r="N586" s="10">
        <f>FMECA[[#This Row],[probability_value]]*FMECA[[#This Row],[consequence_value]]</f>
        <v>20</v>
      </c>
      <c r="O58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86" s="10" t="s">
        <v>777</v>
      </c>
      <c r="Q586" t="s">
        <v>778</v>
      </c>
      <c r="R586" t="s">
        <v>780</v>
      </c>
      <c r="S586" t="s">
        <v>2332</v>
      </c>
      <c r="Y586" s="9" t="s">
        <v>1153</v>
      </c>
      <c r="Z586" s="9" t="s">
        <v>2333</v>
      </c>
      <c r="AA586" t="s">
        <v>1162</v>
      </c>
    </row>
    <row r="587" spans="1:27" x14ac:dyDescent="0.2">
      <c r="A587" s="225" t="s">
        <v>287</v>
      </c>
      <c r="B587" t="s">
        <v>303</v>
      </c>
      <c r="C587" t="s">
        <v>350</v>
      </c>
      <c r="D587" t="s">
        <v>349</v>
      </c>
      <c r="E587" t="s">
        <v>348</v>
      </c>
      <c r="F587" s="226" t="s">
        <v>347</v>
      </c>
      <c r="G587" t="str">
        <f>_xlfn.XLOOKUP(FMECA[[#This Row],[HazardRisk_name]],categories[HazardRisk_Name],categories[HazardRisk])</f>
        <v>Risk</v>
      </c>
      <c r="H587" t="str">
        <f>_xlfn.XLOOKUP(FMECA[[#This Row],[HazardRisk_name]],categories[HazardRisk_Name],categories[Category])</f>
        <v>Political</v>
      </c>
      <c r="I587" t="s">
        <v>564</v>
      </c>
      <c r="J587" s="10">
        <v>5</v>
      </c>
      <c r="K587" t="s">
        <v>2326</v>
      </c>
      <c r="L587" s="10">
        <v>7</v>
      </c>
      <c r="M587" t="s">
        <v>2326</v>
      </c>
      <c r="N587" s="10">
        <f>FMECA[[#This Row],[probability_value]]*FMECA[[#This Row],[consequence_value]]</f>
        <v>35</v>
      </c>
      <c r="O587" s="10" t="str">
        <f>IF(AND(FMECA[[#This Row],[Score]]&gt;=0, 9&gt;=FMECA[[#This Row],[Score]]), "UNDETECTABLE", IF(AND(FMECA[[#This Row],[Score]]&gt;=10, 24&gt;=FMECA[[#This Row],[Score]]), "MODERATE", IF(AND(FMECA[[#This Row],[Score]]&gt;=25, 35&gt;=FMECA[[#This Row],[Score]]), "HIGH", IF(AND(FMECA[[#This Row],[Score]]&gt;=36, 50&gt;=FMECA[[#This Row],[Score]]), "VERY HIGH", "Check Formula"))))</f>
        <v>HIGH</v>
      </c>
      <c r="P587" s="10" t="s">
        <v>777</v>
      </c>
      <c r="Q587" t="s">
        <v>778</v>
      </c>
      <c r="R587" t="s">
        <v>780</v>
      </c>
      <c r="S587" t="s">
        <v>2332</v>
      </c>
      <c r="U587" t="s">
        <v>2334</v>
      </c>
      <c r="V587" t="s">
        <v>470</v>
      </c>
      <c r="W587" t="s">
        <v>2335</v>
      </c>
      <c r="X587" t="s">
        <v>470</v>
      </c>
      <c r="Y587" s="9" t="s">
        <v>1153</v>
      </c>
      <c r="Z587" s="9" t="s">
        <v>2333</v>
      </c>
      <c r="AA587" t="s">
        <v>1162</v>
      </c>
    </row>
    <row r="588" spans="1:27" x14ac:dyDescent="0.2">
      <c r="A588" s="225" t="s">
        <v>287</v>
      </c>
      <c r="B588" t="s">
        <v>303</v>
      </c>
      <c r="C588" t="s">
        <v>350</v>
      </c>
      <c r="D588" t="s">
        <v>349</v>
      </c>
      <c r="E588" t="s">
        <v>348</v>
      </c>
      <c r="F588" s="226" t="s">
        <v>347</v>
      </c>
      <c r="G588" t="e">
        <f>_xlfn.XLOOKUP(FMECA[[#This Row],[HazardRisk_name]],categories[HazardRisk_Name],categories[HazardRisk])</f>
        <v>#N/A</v>
      </c>
      <c r="H588" t="e">
        <f>_xlfn.XLOOKUP(FMECA[[#This Row],[HazardRisk_name]],categories[HazardRisk_Name],categories[Category])</f>
        <v>#N/A</v>
      </c>
      <c r="I588" t="s">
        <v>639</v>
      </c>
      <c r="J588" s="10">
        <v>3</v>
      </c>
      <c r="K588" t="s">
        <v>2326</v>
      </c>
      <c r="L588" s="10">
        <v>4</v>
      </c>
      <c r="M588" t="s">
        <v>2326</v>
      </c>
      <c r="N588" s="10">
        <f>FMECA[[#This Row],[probability_value]]*FMECA[[#This Row],[consequence_value]]</f>
        <v>12</v>
      </c>
      <c r="O58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88" s="10" t="s">
        <v>777</v>
      </c>
      <c r="Q588" t="s">
        <v>778</v>
      </c>
      <c r="R588" t="s">
        <v>780</v>
      </c>
      <c r="S588" t="s">
        <v>2332</v>
      </c>
      <c r="Y588" s="9" t="s">
        <v>1153</v>
      </c>
      <c r="Z588" s="9" t="s">
        <v>2333</v>
      </c>
      <c r="AA588" t="s">
        <v>1162</v>
      </c>
    </row>
    <row r="589" spans="1:27" x14ac:dyDescent="0.2">
      <c r="A589" s="225" t="s">
        <v>287</v>
      </c>
      <c r="B589" t="s">
        <v>303</v>
      </c>
      <c r="C589" t="s">
        <v>350</v>
      </c>
      <c r="D589" t="s">
        <v>349</v>
      </c>
      <c r="E589" t="s">
        <v>348</v>
      </c>
      <c r="F589" s="226" t="s">
        <v>347</v>
      </c>
      <c r="G589" t="str">
        <f>_xlfn.XLOOKUP(FMECA[[#This Row],[HazardRisk_name]],categories[HazardRisk_Name],categories[HazardRisk])</f>
        <v>Risk</v>
      </c>
      <c r="H589" t="str">
        <f>_xlfn.XLOOKUP(FMECA[[#This Row],[HazardRisk_name]],categories[HazardRisk_Name],categories[Category])</f>
        <v>Economic</v>
      </c>
      <c r="I589" t="s">
        <v>464</v>
      </c>
      <c r="J589" s="10">
        <v>3</v>
      </c>
      <c r="K589" t="s">
        <v>2327</v>
      </c>
      <c r="L589" s="10">
        <v>4</v>
      </c>
      <c r="M589" t="s">
        <v>2327</v>
      </c>
      <c r="N589" s="10">
        <f>FMECA[[#This Row],[probability_value]]*FMECA[[#This Row],[consequence_value]]</f>
        <v>12</v>
      </c>
      <c r="O58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89" s="10" t="s">
        <v>777</v>
      </c>
      <c r="Q589" t="s">
        <v>778</v>
      </c>
      <c r="R589" t="s">
        <v>780</v>
      </c>
      <c r="S589" t="s">
        <v>2332</v>
      </c>
      <c r="Y589" s="9" t="s">
        <v>1153</v>
      </c>
      <c r="Z589" s="9" t="s">
        <v>2333</v>
      </c>
      <c r="AA589" t="s">
        <v>1162</v>
      </c>
    </row>
    <row r="590" spans="1:27" x14ac:dyDescent="0.2">
      <c r="A590" s="225" t="s">
        <v>287</v>
      </c>
      <c r="B590" t="s">
        <v>303</v>
      </c>
      <c r="C590" t="s">
        <v>350</v>
      </c>
      <c r="D590" t="s">
        <v>349</v>
      </c>
      <c r="E590" t="s">
        <v>348</v>
      </c>
      <c r="F590" s="226" t="s">
        <v>347</v>
      </c>
      <c r="G590" t="str">
        <f>_xlfn.XLOOKUP(FMECA[[#This Row],[HazardRisk_name]],categories[HazardRisk_Name],categories[HazardRisk])</f>
        <v>Risk</v>
      </c>
      <c r="H590" t="str">
        <f>_xlfn.XLOOKUP(FMECA[[#This Row],[HazardRisk_name]],categories[HazardRisk_Name],categories[Category])</f>
        <v>Political</v>
      </c>
      <c r="I590" t="s">
        <v>629</v>
      </c>
      <c r="J590" s="10">
        <v>4</v>
      </c>
      <c r="K590" t="s">
        <v>2323</v>
      </c>
      <c r="L590" s="10">
        <v>7</v>
      </c>
      <c r="M590" t="s">
        <v>2323</v>
      </c>
      <c r="N590" s="10">
        <f>FMECA[[#This Row],[probability_value]]*FMECA[[#This Row],[consequence_value]]</f>
        <v>28</v>
      </c>
      <c r="O590" s="10" t="str">
        <f>IF(AND(FMECA[[#This Row],[Score]]&gt;=0, 9&gt;=FMECA[[#This Row],[Score]]), "UNDETECTABLE", IF(AND(FMECA[[#This Row],[Score]]&gt;=10, 24&gt;=FMECA[[#This Row],[Score]]), "MODERATE", IF(AND(FMECA[[#This Row],[Score]]&gt;=25, 35&gt;=FMECA[[#This Row],[Score]]), "HIGH", IF(AND(FMECA[[#This Row],[Score]]&gt;=36, 50&gt;=FMECA[[#This Row],[Score]]), "VERY HIGH", "Check Formula"))))</f>
        <v>HIGH</v>
      </c>
      <c r="P590" s="10" t="s">
        <v>777</v>
      </c>
      <c r="Q590" t="s">
        <v>778</v>
      </c>
      <c r="R590" t="s">
        <v>780</v>
      </c>
      <c r="S590" t="s">
        <v>2332</v>
      </c>
      <c r="Y590" s="9" t="s">
        <v>1153</v>
      </c>
      <c r="Z590" s="9" t="s">
        <v>2333</v>
      </c>
      <c r="AA590" t="s">
        <v>1162</v>
      </c>
    </row>
    <row r="591" spans="1:27" x14ac:dyDescent="0.2">
      <c r="A591" s="225" t="s">
        <v>287</v>
      </c>
      <c r="B591" t="s">
        <v>303</v>
      </c>
      <c r="C591" t="s">
        <v>350</v>
      </c>
      <c r="D591" t="s">
        <v>349</v>
      </c>
      <c r="E591" t="s">
        <v>348</v>
      </c>
      <c r="F591" s="226" t="s">
        <v>347</v>
      </c>
      <c r="G591" t="str">
        <f>_xlfn.XLOOKUP(FMECA[[#This Row],[HazardRisk_name]],categories[HazardRisk_Name],categories[HazardRisk])</f>
        <v>Risk</v>
      </c>
      <c r="H591" t="str">
        <f>_xlfn.XLOOKUP(FMECA[[#This Row],[HazardRisk_name]],categories[HazardRisk_Name],categories[Category])</f>
        <v>Political</v>
      </c>
      <c r="I591" t="s">
        <v>622</v>
      </c>
      <c r="J591" s="10">
        <v>4</v>
      </c>
      <c r="K591" t="s">
        <v>2323</v>
      </c>
      <c r="L591" s="10">
        <v>4</v>
      </c>
      <c r="M591" t="s">
        <v>2323</v>
      </c>
      <c r="N591" s="10">
        <f>FMECA[[#This Row],[probability_value]]*FMECA[[#This Row],[consequence_value]]</f>
        <v>16</v>
      </c>
      <c r="O59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91" s="10" t="s">
        <v>777</v>
      </c>
      <c r="Q591" t="s">
        <v>778</v>
      </c>
      <c r="R591" t="s">
        <v>780</v>
      </c>
      <c r="S591" t="s">
        <v>2332</v>
      </c>
      <c r="Y591" s="9" t="s">
        <v>1153</v>
      </c>
      <c r="Z591" s="9" t="s">
        <v>2333</v>
      </c>
      <c r="AA591" t="s">
        <v>1162</v>
      </c>
    </row>
    <row r="592" spans="1:27" x14ac:dyDescent="0.2">
      <c r="A592" s="225" t="s">
        <v>287</v>
      </c>
      <c r="B592" t="s">
        <v>303</v>
      </c>
      <c r="C592" t="s">
        <v>350</v>
      </c>
      <c r="D592" t="s">
        <v>349</v>
      </c>
      <c r="E592" t="s">
        <v>348</v>
      </c>
      <c r="F592" s="226" t="s">
        <v>347</v>
      </c>
      <c r="G592" t="str">
        <f>_xlfn.XLOOKUP(FMECA[[#This Row],[HazardRisk_name]],categories[HazardRisk_Name],categories[HazardRisk])</f>
        <v>Hazard</v>
      </c>
      <c r="H592" t="str">
        <f>_xlfn.XLOOKUP(FMECA[[#This Row],[HazardRisk_name]],categories[HazardRisk_Name],categories[Category])</f>
        <v>Sea Ice</v>
      </c>
      <c r="I592" t="s">
        <v>563</v>
      </c>
      <c r="J592" s="10">
        <v>4</v>
      </c>
      <c r="K592" t="s">
        <v>2322</v>
      </c>
      <c r="L592" s="10">
        <v>10</v>
      </c>
      <c r="M592" t="s">
        <v>2322</v>
      </c>
      <c r="N592" s="10">
        <f>FMECA[[#This Row],[probability_value]]*FMECA[[#This Row],[consequence_value]]</f>
        <v>40</v>
      </c>
      <c r="O592"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92" s="10" t="s">
        <v>777</v>
      </c>
      <c r="Q592" t="s">
        <v>778</v>
      </c>
      <c r="R592" t="s">
        <v>780</v>
      </c>
      <c r="S592" t="s">
        <v>2332</v>
      </c>
      <c r="Y592" s="9" t="s">
        <v>1153</v>
      </c>
      <c r="Z592" s="9" t="s">
        <v>2333</v>
      </c>
      <c r="AA592" t="s">
        <v>1162</v>
      </c>
    </row>
    <row r="593" spans="1:27" x14ac:dyDescent="0.2">
      <c r="A593" s="225" t="s">
        <v>287</v>
      </c>
      <c r="B593" t="s">
        <v>303</v>
      </c>
      <c r="C593" t="s">
        <v>350</v>
      </c>
      <c r="D593" t="s">
        <v>349</v>
      </c>
      <c r="E593" t="s">
        <v>348</v>
      </c>
      <c r="F593" s="226" t="s">
        <v>347</v>
      </c>
      <c r="G593" t="str">
        <f>_xlfn.XLOOKUP(FMECA[[#This Row],[HazardRisk_name]],categories[HazardRisk_Name],categories[HazardRisk])</f>
        <v>Hazard</v>
      </c>
      <c r="H593" t="str">
        <f>_xlfn.XLOOKUP(FMECA[[#This Row],[HazardRisk_name]],categories[HazardRisk_Name],categories[Category])</f>
        <v>Sea Ice</v>
      </c>
      <c r="I593" t="s">
        <v>673</v>
      </c>
      <c r="J593" s="10">
        <v>5</v>
      </c>
      <c r="K593" t="s">
        <v>2322</v>
      </c>
      <c r="L593" s="10">
        <v>7</v>
      </c>
      <c r="M593" t="s">
        <v>2322</v>
      </c>
      <c r="N593" s="10">
        <f>FMECA[[#This Row],[probability_value]]*FMECA[[#This Row],[consequence_value]]</f>
        <v>35</v>
      </c>
      <c r="O593" s="10" t="str">
        <f>IF(AND(FMECA[[#This Row],[Score]]&gt;=0, 9&gt;=FMECA[[#This Row],[Score]]), "UNDETECTABLE", IF(AND(FMECA[[#This Row],[Score]]&gt;=10, 24&gt;=FMECA[[#This Row],[Score]]), "MODERATE", IF(AND(FMECA[[#This Row],[Score]]&gt;=25, 35&gt;=FMECA[[#This Row],[Score]]), "HIGH", IF(AND(FMECA[[#This Row],[Score]]&gt;=36, 50&gt;=FMECA[[#This Row],[Score]]), "VERY HIGH", "Check Formula"))))</f>
        <v>HIGH</v>
      </c>
      <c r="P593" s="10" t="s">
        <v>777</v>
      </c>
      <c r="Q593" t="s">
        <v>778</v>
      </c>
      <c r="R593" t="s">
        <v>780</v>
      </c>
      <c r="S593" t="s">
        <v>2332</v>
      </c>
      <c r="Y593" s="9" t="s">
        <v>1153</v>
      </c>
      <c r="Z593" s="9" t="s">
        <v>2333</v>
      </c>
      <c r="AA593" t="s">
        <v>1162</v>
      </c>
    </row>
    <row r="594" spans="1:27" x14ac:dyDescent="0.2">
      <c r="A594" s="225" t="s">
        <v>287</v>
      </c>
      <c r="B594" t="s">
        <v>303</v>
      </c>
      <c r="C594" t="s">
        <v>350</v>
      </c>
      <c r="D594" t="s">
        <v>349</v>
      </c>
      <c r="E594" t="s">
        <v>348</v>
      </c>
      <c r="F594" s="226" t="s">
        <v>347</v>
      </c>
      <c r="G594" t="str">
        <f>_xlfn.XLOOKUP(FMECA[[#This Row],[HazardRisk_name]],categories[HazardRisk_Name],categories[HazardRisk])</f>
        <v>Risk</v>
      </c>
      <c r="H594" t="str">
        <f>_xlfn.XLOOKUP(FMECA[[#This Row],[HazardRisk_name]],categories[HazardRisk_Name],categories[Category])</f>
        <v>Navigational</v>
      </c>
      <c r="I594" t="s">
        <v>474</v>
      </c>
      <c r="J594" s="10">
        <v>4</v>
      </c>
      <c r="K594" t="s">
        <v>2329</v>
      </c>
      <c r="L594" s="10">
        <v>7</v>
      </c>
      <c r="M594" t="s">
        <v>2329</v>
      </c>
      <c r="N594" s="10">
        <f>FMECA[[#This Row],[probability_value]]*FMECA[[#This Row],[consequence_value]]</f>
        <v>28</v>
      </c>
      <c r="O594" s="10" t="str">
        <f>IF(AND(FMECA[[#This Row],[Score]]&gt;=0, 9&gt;=FMECA[[#This Row],[Score]]), "UNDETECTABLE", IF(AND(FMECA[[#This Row],[Score]]&gt;=10, 24&gt;=FMECA[[#This Row],[Score]]), "MODERATE", IF(AND(FMECA[[#This Row],[Score]]&gt;=25, 35&gt;=FMECA[[#This Row],[Score]]), "HIGH", IF(AND(FMECA[[#This Row],[Score]]&gt;=36, 50&gt;=FMECA[[#This Row],[Score]]), "VERY HIGH", "Check Formula"))))</f>
        <v>HIGH</v>
      </c>
      <c r="P594" s="10" t="s">
        <v>777</v>
      </c>
      <c r="Q594" t="s">
        <v>778</v>
      </c>
      <c r="R594" t="s">
        <v>780</v>
      </c>
      <c r="S594" t="s">
        <v>2332</v>
      </c>
      <c r="U594" t="s">
        <v>2324</v>
      </c>
      <c r="V594" t="s">
        <v>470</v>
      </c>
      <c r="W594" t="s">
        <v>2325</v>
      </c>
      <c r="X594" t="s">
        <v>466</v>
      </c>
      <c r="Y594" s="9" t="s">
        <v>1153</v>
      </c>
      <c r="Z594" s="9" t="s">
        <v>2333</v>
      </c>
      <c r="AA594" t="s">
        <v>1162</v>
      </c>
    </row>
    <row r="595" spans="1:27" x14ac:dyDescent="0.2">
      <c r="A595" s="225" t="s">
        <v>304</v>
      </c>
      <c r="B595" t="s">
        <v>303</v>
      </c>
      <c r="C595" t="s">
        <v>352</v>
      </c>
      <c r="D595" t="s">
        <v>353</v>
      </c>
      <c r="E595" t="s">
        <v>354</v>
      </c>
      <c r="F595" s="226" t="s">
        <v>351</v>
      </c>
      <c r="G595" t="str">
        <f>_xlfn.XLOOKUP(FMECA[[#This Row],[HazardRisk_name]],categories[HazardRisk_Name],categories[HazardRisk])</f>
        <v>Risk</v>
      </c>
      <c r="H595" t="str">
        <f>_xlfn.XLOOKUP(FMECA[[#This Row],[HazardRisk_name]],categories[HazardRisk_Name],categories[Category])</f>
        <v>Environmental</v>
      </c>
      <c r="I595" t="s">
        <v>573</v>
      </c>
      <c r="J595" s="10">
        <v>4</v>
      </c>
      <c r="K595" t="s">
        <v>2318</v>
      </c>
      <c r="L595" s="10">
        <v>10</v>
      </c>
      <c r="M595" t="s">
        <v>2318</v>
      </c>
      <c r="N595" s="10">
        <f>FMECA[[#This Row],[probability_value]]*FMECA[[#This Row],[consequence_value]]</f>
        <v>40</v>
      </c>
      <c r="O595"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95" s="10" t="s">
        <v>770</v>
      </c>
      <c r="Q595" t="s">
        <v>1162</v>
      </c>
      <c r="R595" t="s">
        <v>771</v>
      </c>
      <c r="S595" t="s">
        <v>2314</v>
      </c>
      <c r="T595" t="s">
        <v>793</v>
      </c>
      <c r="U595" t="s">
        <v>2224</v>
      </c>
      <c r="V595" t="s">
        <v>466</v>
      </c>
      <c r="W595" t="s">
        <v>2321</v>
      </c>
      <c r="X595" t="s">
        <v>466</v>
      </c>
      <c r="AA595" t="s">
        <v>1162</v>
      </c>
    </row>
    <row r="596" spans="1:27" x14ac:dyDescent="0.2">
      <c r="A596" s="225" t="s">
        <v>304</v>
      </c>
      <c r="B596" t="s">
        <v>303</v>
      </c>
      <c r="C596" t="s">
        <v>352</v>
      </c>
      <c r="D596" t="s">
        <v>353</v>
      </c>
      <c r="E596" t="s">
        <v>354</v>
      </c>
      <c r="F596" s="226" t="s">
        <v>351</v>
      </c>
      <c r="G596" t="str">
        <f>_xlfn.XLOOKUP(FMECA[[#This Row],[HazardRisk_name]],categories[HazardRisk_Name],categories[HazardRisk])</f>
        <v>Risk</v>
      </c>
      <c r="H596" t="str">
        <f>_xlfn.XLOOKUP(FMECA[[#This Row],[HazardRisk_name]],categories[HazardRisk_Name],categories[Category])</f>
        <v>Pollutants</v>
      </c>
      <c r="I596" t="s">
        <v>669</v>
      </c>
      <c r="J596" s="10">
        <v>4</v>
      </c>
      <c r="K596" t="s">
        <v>2319</v>
      </c>
      <c r="L596" s="10">
        <v>7</v>
      </c>
      <c r="M596" t="s">
        <v>2319</v>
      </c>
      <c r="N596" s="10">
        <f>FMECA[[#This Row],[probability_value]]*FMECA[[#This Row],[consequence_value]]</f>
        <v>28</v>
      </c>
      <c r="O596" s="10" t="str">
        <f>IF(AND(FMECA[[#This Row],[Score]]&gt;=0, 9&gt;=FMECA[[#This Row],[Score]]), "UNDETECTABLE", IF(AND(FMECA[[#This Row],[Score]]&gt;=10, 24&gt;=FMECA[[#This Row],[Score]]), "MODERATE", IF(AND(FMECA[[#This Row],[Score]]&gt;=25, 35&gt;=FMECA[[#This Row],[Score]]), "HIGH", IF(AND(FMECA[[#This Row],[Score]]&gt;=36, 50&gt;=FMECA[[#This Row],[Score]]), "VERY HIGH", "Check Formula"))))</f>
        <v>HIGH</v>
      </c>
      <c r="P596" s="10" t="s">
        <v>770</v>
      </c>
      <c r="Q596" t="s">
        <v>1162</v>
      </c>
      <c r="R596" t="s">
        <v>771</v>
      </c>
      <c r="S596" t="s">
        <v>2314</v>
      </c>
      <c r="T596" t="s">
        <v>793</v>
      </c>
      <c r="U596" t="s">
        <v>2224</v>
      </c>
      <c r="V596" t="s">
        <v>466</v>
      </c>
      <c r="W596" t="s">
        <v>2320</v>
      </c>
      <c r="X596" t="s">
        <v>466</v>
      </c>
      <c r="AA596" t="s">
        <v>1162</v>
      </c>
    </row>
    <row r="597" spans="1:27" x14ac:dyDescent="0.2">
      <c r="A597" s="225" t="s">
        <v>304</v>
      </c>
      <c r="B597" t="s">
        <v>303</v>
      </c>
      <c r="C597" t="s">
        <v>352</v>
      </c>
      <c r="D597" t="s">
        <v>353</v>
      </c>
      <c r="E597" t="s">
        <v>354</v>
      </c>
      <c r="F597" s="226" t="s">
        <v>351</v>
      </c>
      <c r="G597" t="str">
        <f>_xlfn.XLOOKUP(FMECA[[#This Row],[HazardRisk_name]],categories[HazardRisk_Name],categories[HazardRisk])</f>
        <v>Risk</v>
      </c>
      <c r="H597" t="str">
        <f>_xlfn.XLOOKUP(FMECA[[#This Row],[HazardRisk_name]],categories[HazardRisk_Name],categories[Category])</f>
        <v>Environmental</v>
      </c>
      <c r="I597" t="s">
        <v>602</v>
      </c>
      <c r="J597" s="10">
        <v>4</v>
      </c>
      <c r="K597" t="s">
        <v>2315</v>
      </c>
      <c r="L597" s="10">
        <v>4</v>
      </c>
      <c r="M597" t="s">
        <v>2315</v>
      </c>
      <c r="N597" s="10">
        <f>FMECA[[#This Row],[probability_value]]*FMECA[[#This Row],[consequence_value]]</f>
        <v>16</v>
      </c>
      <c r="O59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97" s="10" t="s">
        <v>770</v>
      </c>
      <c r="Q597" t="s">
        <v>1162</v>
      </c>
      <c r="R597" t="s">
        <v>771</v>
      </c>
      <c r="S597" t="s">
        <v>2314</v>
      </c>
      <c r="T597" t="s">
        <v>793</v>
      </c>
      <c r="U597" t="s">
        <v>2317</v>
      </c>
      <c r="V597" t="s">
        <v>466</v>
      </c>
      <c r="W597" t="s">
        <v>2316</v>
      </c>
      <c r="X597" t="s">
        <v>466</v>
      </c>
      <c r="AA597" t="s">
        <v>1162</v>
      </c>
    </row>
    <row r="598" spans="1:27" x14ac:dyDescent="0.2">
      <c r="A598" s="225" t="s">
        <v>304</v>
      </c>
      <c r="B598" t="s">
        <v>303</v>
      </c>
      <c r="C598" t="s">
        <v>352</v>
      </c>
      <c r="D598" t="s">
        <v>353</v>
      </c>
      <c r="E598" t="s">
        <v>354</v>
      </c>
      <c r="F598" s="226" t="s">
        <v>351</v>
      </c>
      <c r="G598" t="e">
        <f>_xlfn.XLOOKUP(FMECA[[#This Row],[HazardRisk_name]],categories[HazardRisk_Name],categories[HazardRisk])</f>
        <v>#N/A</v>
      </c>
      <c r="H598" t="e">
        <f>_xlfn.XLOOKUP(FMECA[[#This Row],[HazardRisk_name]],categories[HazardRisk_Name],categories[Category])</f>
        <v>#N/A</v>
      </c>
      <c r="I598" t="s">
        <v>683</v>
      </c>
      <c r="J598" s="10">
        <v>4</v>
      </c>
      <c r="K598" t="s">
        <v>2318</v>
      </c>
      <c r="L598" s="10">
        <v>10</v>
      </c>
      <c r="M598" t="s">
        <v>2311</v>
      </c>
      <c r="N598" s="10">
        <f>FMECA[[#This Row],[probability_value]]*FMECA[[#This Row],[consequence_value]]</f>
        <v>40</v>
      </c>
      <c r="O598"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598" s="10" t="s">
        <v>770</v>
      </c>
      <c r="Q598" t="s">
        <v>1162</v>
      </c>
      <c r="R598" t="s">
        <v>771</v>
      </c>
      <c r="S598" t="s">
        <v>2314</v>
      </c>
      <c r="T598" t="s">
        <v>793</v>
      </c>
      <c r="AA598" t="s">
        <v>1162</v>
      </c>
    </row>
    <row r="599" spans="1:27" x14ac:dyDescent="0.2">
      <c r="A599" s="225" t="s">
        <v>304</v>
      </c>
      <c r="B599" t="s">
        <v>303</v>
      </c>
      <c r="C599" t="s">
        <v>352</v>
      </c>
      <c r="D599" t="s">
        <v>353</v>
      </c>
      <c r="E599" t="s">
        <v>354</v>
      </c>
      <c r="F599" s="226" t="s">
        <v>351</v>
      </c>
      <c r="G599" t="str">
        <f>_xlfn.XLOOKUP(FMECA[[#This Row],[HazardRisk_name]],categories[HazardRisk_Name],categories[HazardRisk])</f>
        <v>Risk</v>
      </c>
      <c r="H599" t="str">
        <f>_xlfn.XLOOKUP(FMECA[[#This Row],[HazardRisk_name]],categories[HazardRisk_Name],categories[Category])</f>
        <v>Assessment</v>
      </c>
      <c r="I599" t="s">
        <v>667</v>
      </c>
      <c r="J599" s="10">
        <v>5</v>
      </c>
      <c r="K599" t="s">
        <v>2312</v>
      </c>
      <c r="L599" s="10">
        <v>4</v>
      </c>
      <c r="M599" t="s">
        <v>2312</v>
      </c>
      <c r="N599" s="10">
        <f>FMECA[[#This Row],[probability_value]]*FMECA[[#This Row],[consequence_value]]</f>
        <v>20</v>
      </c>
      <c r="O59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599" s="10" t="s">
        <v>770</v>
      </c>
      <c r="Q599" t="s">
        <v>1162</v>
      </c>
      <c r="R599" t="s">
        <v>771</v>
      </c>
      <c r="S599" t="s">
        <v>2314</v>
      </c>
      <c r="T599" t="s">
        <v>793</v>
      </c>
      <c r="W599" t="s">
        <v>2313</v>
      </c>
      <c r="X599" t="s">
        <v>466</v>
      </c>
      <c r="AA599" t="s">
        <v>1162</v>
      </c>
    </row>
    <row r="600" spans="1:27" x14ac:dyDescent="0.2">
      <c r="A600" s="225" t="s">
        <v>304</v>
      </c>
      <c r="B600" t="s">
        <v>303</v>
      </c>
      <c r="C600" t="s">
        <v>352</v>
      </c>
      <c r="D600" t="s">
        <v>353</v>
      </c>
      <c r="E600" t="s">
        <v>354</v>
      </c>
      <c r="F600" s="226" t="s">
        <v>351</v>
      </c>
      <c r="G600" t="str">
        <f>_xlfn.XLOOKUP(FMECA[[#This Row],[HazardRisk_name]],categories[HazardRisk_Name],categories[HazardRisk])</f>
        <v>Hazard</v>
      </c>
      <c r="H600" t="str">
        <f>_xlfn.XLOOKUP(FMECA[[#This Row],[HazardRisk_name]],categories[HazardRisk_Name],categories[Category])</f>
        <v>Sea Ice</v>
      </c>
      <c r="I600" t="s">
        <v>563</v>
      </c>
      <c r="J600" s="10">
        <v>4</v>
      </c>
      <c r="K600" t="s">
        <v>2310</v>
      </c>
      <c r="L600" s="10">
        <v>7</v>
      </c>
      <c r="M600" t="s">
        <v>2310</v>
      </c>
      <c r="N600" s="10">
        <f>FMECA[[#This Row],[probability_value]]*FMECA[[#This Row],[consequence_value]]</f>
        <v>28</v>
      </c>
      <c r="O600" s="10" t="str">
        <f>IF(AND(FMECA[[#This Row],[Score]]&gt;=0, 9&gt;=FMECA[[#This Row],[Score]]), "UNDETECTABLE", IF(AND(FMECA[[#This Row],[Score]]&gt;=10, 24&gt;=FMECA[[#This Row],[Score]]), "MODERATE", IF(AND(FMECA[[#This Row],[Score]]&gt;=25, 35&gt;=FMECA[[#This Row],[Score]]), "HIGH", IF(AND(FMECA[[#This Row],[Score]]&gt;=36, 50&gt;=FMECA[[#This Row],[Score]]), "VERY HIGH", "Check Formula"))))</f>
        <v>HIGH</v>
      </c>
      <c r="P600" s="10" t="s">
        <v>770</v>
      </c>
      <c r="Q600" t="s">
        <v>1162</v>
      </c>
      <c r="R600" t="s">
        <v>771</v>
      </c>
      <c r="S600" t="s">
        <v>2314</v>
      </c>
      <c r="T600" t="s">
        <v>793</v>
      </c>
      <c r="U600" t="s">
        <v>1197</v>
      </c>
      <c r="V600" t="s">
        <v>466</v>
      </c>
      <c r="AA600" t="s">
        <v>1162</v>
      </c>
    </row>
    <row r="601" spans="1:27" x14ac:dyDescent="0.2">
      <c r="A601" s="225" t="s">
        <v>304</v>
      </c>
      <c r="B601" t="s">
        <v>303</v>
      </c>
      <c r="C601" t="s">
        <v>352</v>
      </c>
      <c r="D601" t="s">
        <v>353</v>
      </c>
      <c r="E601" t="s">
        <v>354</v>
      </c>
      <c r="F601" s="226" t="s">
        <v>351</v>
      </c>
      <c r="G601" t="str">
        <f>_xlfn.XLOOKUP(FMECA[[#This Row],[HazardRisk_name]],categories[HazardRisk_Name],categories[HazardRisk])</f>
        <v>Risk</v>
      </c>
      <c r="H601" t="str">
        <f>_xlfn.XLOOKUP(FMECA[[#This Row],[HazardRisk_name]],categories[HazardRisk_Name],categories[Category])</f>
        <v>Social</v>
      </c>
      <c r="I601" t="s">
        <v>628</v>
      </c>
      <c r="J601" s="10">
        <v>5</v>
      </c>
      <c r="K601" t="s">
        <v>2311</v>
      </c>
      <c r="L601" s="10">
        <v>7</v>
      </c>
      <c r="M601" t="s">
        <v>2311</v>
      </c>
      <c r="N601" s="10">
        <f>FMECA[[#This Row],[probability_value]]*FMECA[[#This Row],[consequence_value]]</f>
        <v>35</v>
      </c>
      <c r="O601" s="10" t="str">
        <f>IF(AND(FMECA[[#This Row],[Score]]&gt;=0, 9&gt;=FMECA[[#This Row],[Score]]), "UNDETECTABLE", IF(AND(FMECA[[#This Row],[Score]]&gt;=10, 24&gt;=FMECA[[#This Row],[Score]]), "MODERATE", IF(AND(FMECA[[#This Row],[Score]]&gt;=25, 35&gt;=FMECA[[#This Row],[Score]]), "HIGH", IF(AND(FMECA[[#This Row],[Score]]&gt;=36, 50&gt;=FMECA[[#This Row],[Score]]), "VERY HIGH", "Check Formula"))))</f>
        <v>HIGH</v>
      </c>
      <c r="P601" s="10" t="s">
        <v>770</v>
      </c>
      <c r="Q601" t="s">
        <v>1162</v>
      </c>
      <c r="R601" t="s">
        <v>771</v>
      </c>
      <c r="S601" t="s">
        <v>2314</v>
      </c>
      <c r="T601" t="s">
        <v>793</v>
      </c>
      <c r="AA601" t="s">
        <v>1162</v>
      </c>
    </row>
    <row r="602" spans="1:27" x14ac:dyDescent="0.2">
      <c r="A602" s="225" t="s">
        <v>304</v>
      </c>
      <c r="B602" t="s">
        <v>303</v>
      </c>
      <c r="C602" t="s">
        <v>352</v>
      </c>
      <c r="D602" t="s">
        <v>353</v>
      </c>
      <c r="E602" t="s">
        <v>354</v>
      </c>
      <c r="F602" s="226" t="s">
        <v>351</v>
      </c>
      <c r="G602" t="str">
        <f>_xlfn.XLOOKUP(FMECA[[#This Row],[HazardRisk_name]],categories[HazardRisk_Name],categories[HazardRisk])</f>
        <v>Risk</v>
      </c>
      <c r="H602" t="str">
        <f>_xlfn.XLOOKUP(FMECA[[#This Row],[HazardRisk_name]],categories[HazardRisk_Name],categories[Category])</f>
        <v>Pollutants</v>
      </c>
      <c r="I602" t="s">
        <v>627</v>
      </c>
      <c r="J602" s="10">
        <v>3</v>
      </c>
      <c r="K602" t="s">
        <v>2311</v>
      </c>
      <c r="L602" s="10">
        <v>10</v>
      </c>
      <c r="M602" t="s">
        <v>2311</v>
      </c>
      <c r="N602" s="10">
        <f>FMECA[[#This Row],[probability_value]]*FMECA[[#This Row],[consequence_value]]</f>
        <v>30</v>
      </c>
      <c r="O602" s="10" t="str">
        <f>IF(AND(FMECA[[#This Row],[Score]]&gt;=0, 9&gt;=FMECA[[#This Row],[Score]]), "UNDETECTABLE", IF(AND(FMECA[[#This Row],[Score]]&gt;=10, 24&gt;=FMECA[[#This Row],[Score]]), "MODERATE", IF(AND(FMECA[[#This Row],[Score]]&gt;=25, 35&gt;=FMECA[[#This Row],[Score]]), "HIGH", IF(AND(FMECA[[#This Row],[Score]]&gt;=36, 50&gt;=FMECA[[#This Row],[Score]]), "VERY HIGH", "Check Formula"))))</f>
        <v>HIGH</v>
      </c>
      <c r="P602" s="10" t="s">
        <v>770</v>
      </c>
      <c r="Q602" t="s">
        <v>1162</v>
      </c>
      <c r="R602" t="s">
        <v>771</v>
      </c>
      <c r="S602" t="s">
        <v>2314</v>
      </c>
      <c r="T602" t="s">
        <v>793</v>
      </c>
      <c r="AA602" t="s">
        <v>1162</v>
      </c>
    </row>
    <row r="603" spans="1:27" ht="34" x14ac:dyDescent="0.2">
      <c r="A603" s="225" t="s">
        <v>305</v>
      </c>
      <c r="B603" t="s">
        <v>303</v>
      </c>
      <c r="C603" t="s">
        <v>356</v>
      </c>
      <c r="D603" t="s">
        <v>358</v>
      </c>
      <c r="E603" t="s">
        <v>357</v>
      </c>
      <c r="F603" s="226" t="s">
        <v>355</v>
      </c>
      <c r="G603" t="str">
        <f>_xlfn.XLOOKUP(FMECA[[#This Row],[HazardRisk_name]],categories[HazardRisk_Name],categories[HazardRisk])</f>
        <v>Hazard</v>
      </c>
      <c r="H603" t="str">
        <f>_xlfn.XLOOKUP(FMECA[[#This Row],[HazardRisk_name]],categories[HazardRisk_Name],categories[Category])</f>
        <v>Technological</v>
      </c>
      <c r="I603" s="15" t="s">
        <v>1311</v>
      </c>
      <c r="J603" s="10">
        <v>3</v>
      </c>
      <c r="K603" t="s">
        <v>2309</v>
      </c>
      <c r="L603" s="10">
        <v>5</v>
      </c>
      <c r="M603" t="s">
        <v>2309</v>
      </c>
      <c r="N603" s="10">
        <f>FMECA[[#This Row],[probability_value]]*FMECA[[#This Row],[consequence_value]]</f>
        <v>15</v>
      </c>
      <c r="O60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03" s="10" t="s">
        <v>777</v>
      </c>
      <c r="Q603" t="s">
        <v>778</v>
      </c>
      <c r="R603" t="s">
        <v>780</v>
      </c>
      <c r="S603" t="s">
        <v>1961</v>
      </c>
      <c r="T603" t="s">
        <v>1132</v>
      </c>
      <c r="U603" t="s">
        <v>2305</v>
      </c>
      <c r="V603" t="s">
        <v>470</v>
      </c>
      <c r="Y603" t="s">
        <v>2307</v>
      </c>
      <c r="Z603" t="s">
        <v>2308</v>
      </c>
      <c r="AA603" t="s">
        <v>1162</v>
      </c>
    </row>
    <row r="604" spans="1:27" ht="34" x14ac:dyDescent="0.2">
      <c r="A604" s="225" t="s">
        <v>305</v>
      </c>
      <c r="B604" t="s">
        <v>303</v>
      </c>
      <c r="C604" t="s">
        <v>356</v>
      </c>
      <c r="D604" t="s">
        <v>358</v>
      </c>
      <c r="E604" t="s">
        <v>357</v>
      </c>
      <c r="F604" s="226" t="s">
        <v>355</v>
      </c>
      <c r="G604" t="str">
        <f>_xlfn.XLOOKUP(FMECA[[#This Row],[HazardRisk_name]],categories[HazardRisk_Name],categories[HazardRisk])</f>
        <v>Risk</v>
      </c>
      <c r="H604" t="str">
        <f>_xlfn.XLOOKUP(FMECA[[#This Row],[HazardRisk_name]],categories[HazardRisk_Name],categories[Category])</f>
        <v>Navigational</v>
      </c>
      <c r="I604" s="15" t="s">
        <v>703</v>
      </c>
      <c r="J604" s="10">
        <v>3</v>
      </c>
      <c r="K604" t="s">
        <v>2298</v>
      </c>
      <c r="L604" s="10">
        <v>10</v>
      </c>
      <c r="M604" t="s">
        <v>2298</v>
      </c>
      <c r="N604" s="10">
        <f>FMECA[[#This Row],[probability_value]]*FMECA[[#This Row],[consequence_value]]</f>
        <v>30</v>
      </c>
      <c r="O604" s="10" t="str">
        <f>IF(AND(FMECA[[#This Row],[Score]]&gt;=0, 9&gt;=FMECA[[#This Row],[Score]]), "UNDETECTABLE", IF(AND(FMECA[[#This Row],[Score]]&gt;=10, 24&gt;=FMECA[[#This Row],[Score]]), "MODERATE", IF(AND(FMECA[[#This Row],[Score]]&gt;=25, 35&gt;=FMECA[[#This Row],[Score]]), "HIGH", IF(AND(FMECA[[#This Row],[Score]]&gt;=36, 50&gt;=FMECA[[#This Row],[Score]]), "VERY HIGH", "Check Formula"))))</f>
        <v>HIGH</v>
      </c>
      <c r="P604" s="10" t="s">
        <v>777</v>
      </c>
      <c r="Q604" t="s">
        <v>778</v>
      </c>
      <c r="R604" t="s">
        <v>780</v>
      </c>
      <c r="S604" t="s">
        <v>1961</v>
      </c>
      <c r="T604" t="s">
        <v>1132</v>
      </c>
      <c r="U604" t="s">
        <v>1789</v>
      </c>
      <c r="V604" t="s">
        <v>466</v>
      </c>
      <c r="W604" t="s">
        <v>2306</v>
      </c>
      <c r="X604" t="s">
        <v>470</v>
      </c>
      <c r="Y604" t="s">
        <v>2307</v>
      </c>
      <c r="Z604" t="s">
        <v>2308</v>
      </c>
      <c r="AA604" t="s">
        <v>1162</v>
      </c>
    </row>
    <row r="605" spans="1:27" ht="51" x14ac:dyDescent="0.2">
      <c r="A605" s="225" t="s">
        <v>305</v>
      </c>
      <c r="B605" t="s">
        <v>303</v>
      </c>
      <c r="C605" t="s">
        <v>356</v>
      </c>
      <c r="D605" t="s">
        <v>358</v>
      </c>
      <c r="E605" t="s">
        <v>357</v>
      </c>
      <c r="F605" s="226" t="s">
        <v>355</v>
      </c>
      <c r="G605" t="str">
        <f>_xlfn.XLOOKUP(FMECA[[#This Row],[HazardRisk_name]],categories[HazardRisk_Name],categories[HazardRisk])</f>
        <v>Risk</v>
      </c>
      <c r="H605" t="str">
        <f>_xlfn.XLOOKUP(FMECA[[#This Row],[HazardRisk_name]],categories[HazardRisk_Name],categories[Category])</f>
        <v>Social</v>
      </c>
      <c r="I605" s="15" t="s">
        <v>569</v>
      </c>
      <c r="J605" s="10">
        <v>4</v>
      </c>
      <c r="K605" t="s">
        <v>2304</v>
      </c>
      <c r="L605" s="10">
        <v>7</v>
      </c>
      <c r="M605" t="s">
        <v>2304</v>
      </c>
      <c r="N605" s="10">
        <f>FMECA[[#This Row],[probability_value]]*FMECA[[#This Row],[consequence_value]]</f>
        <v>28</v>
      </c>
      <c r="O605" s="10" t="str">
        <f>IF(AND(FMECA[[#This Row],[Score]]&gt;=0, 9&gt;=FMECA[[#This Row],[Score]]), "UNDETECTABLE", IF(AND(FMECA[[#This Row],[Score]]&gt;=10, 24&gt;=FMECA[[#This Row],[Score]]), "MODERATE", IF(AND(FMECA[[#This Row],[Score]]&gt;=25, 35&gt;=FMECA[[#This Row],[Score]]), "HIGH", IF(AND(FMECA[[#This Row],[Score]]&gt;=36, 50&gt;=FMECA[[#This Row],[Score]]), "VERY HIGH", "Check Formula"))))</f>
        <v>HIGH</v>
      </c>
      <c r="P605" s="10" t="s">
        <v>777</v>
      </c>
      <c r="Q605" t="s">
        <v>778</v>
      </c>
      <c r="R605" t="s">
        <v>780</v>
      </c>
      <c r="S605" t="s">
        <v>1961</v>
      </c>
      <c r="T605" t="s">
        <v>1132</v>
      </c>
      <c r="Y605" t="s">
        <v>2307</v>
      </c>
      <c r="Z605" t="s">
        <v>2308</v>
      </c>
      <c r="AA605" t="s">
        <v>1162</v>
      </c>
    </row>
    <row r="606" spans="1:27" ht="51" x14ac:dyDescent="0.2">
      <c r="A606" s="225" t="s">
        <v>305</v>
      </c>
      <c r="B606" t="s">
        <v>303</v>
      </c>
      <c r="C606" t="s">
        <v>356</v>
      </c>
      <c r="D606" t="s">
        <v>358</v>
      </c>
      <c r="E606" t="s">
        <v>357</v>
      </c>
      <c r="F606" s="226" t="s">
        <v>355</v>
      </c>
      <c r="G606" t="str">
        <f>_xlfn.XLOOKUP(FMECA[[#This Row],[HazardRisk_name]],categories[HazardRisk_Name],categories[HazardRisk])</f>
        <v>Risk</v>
      </c>
      <c r="H606" t="str">
        <f>_xlfn.XLOOKUP(FMECA[[#This Row],[HazardRisk_name]],categories[HazardRisk_Name],categories[Category])</f>
        <v>Social</v>
      </c>
      <c r="I606" s="15" t="s">
        <v>677</v>
      </c>
      <c r="J606" s="10">
        <v>5</v>
      </c>
      <c r="K606" t="s">
        <v>2304</v>
      </c>
      <c r="L606" s="10">
        <v>7</v>
      </c>
      <c r="M606" t="s">
        <v>2304</v>
      </c>
      <c r="N606" s="10">
        <f>FMECA[[#This Row],[probability_value]]*FMECA[[#This Row],[consequence_value]]</f>
        <v>35</v>
      </c>
      <c r="O606" s="10" t="str">
        <f>IF(AND(FMECA[[#This Row],[Score]]&gt;=0, 9&gt;=FMECA[[#This Row],[Score]]), "UNDETECTABLE", IF(AND(FMECA[[#This Row],[Score]]&gt;=10, 24&gt;=FMECA[[#This Row],[Score]]), "MODERATE", IF(AND(FMECA[[#This Row],[Score]]&gt;=25, 35&gt;=FMECA[[#This Row],[Score]]), "HIGH", IF(AND(FMECA[[#This Row],[Score]]&gt;=36, 50&gt;=FMECA[[#This Row],[Score]]), "VERY HIGH", "Check Formula"))))</f>
        <v>HIGH</v>
      </c>
      <c r="P606" s="10" t="s">
        <v>777</v>
      </c>
      <c r="Q606" t="s">
        <v>778</v>
      </c>
      <c r="R606" t="s">
        <v>780</v>
      </c>
      <c r="S606" t="s">
        <v>1961</v>
      </c>
      <c r="T606" t="s">
        <v>1132</v>
      </c>
      <c r="Y606" t="s">
        <v>2307</v>
      </c>
      <c r="Z606" t="s">
        <v>2308</v>
      </c>
      <c r="AA606" t="s">
        <v>1162</v>
      </c>
    </row>
    <row r="607" spans="1:27" ht="34" x14ac:dyDescent="0.2">
      <c r="A607" s="225" t="s">
        <v>305</v>
      </c>
      <c r="B607" t="s">
        <v>303</v>
      </c>
      <c r="C607" t="s">
        <v>356</v>
      </c>
      <c r="D607" t="s">
        <v>358</v>
      </c>
      <c r="E607" t="s">
        <v>357</v>
      </c>
      <c r="F607" s="226" t="s">
        <v>355</v>
      </c>
      <c r="G607" t="str">
        <f>_xlfn.XLOOKUP(FMECA[[#This Row],[HazardRisk_name]],categories[HazardRisk_Name],categories[HazardRisk])</f>
        <v>Risk</v>
      </c>
      <c r="H607" t="str">
        <f>_xlfn.XLOOKUP(FMECA[[#This Row],[HazardRisk_name]],categories[HazardRisk_Name],categories[Category])</f>
        <v>Community</v>
      </c>
      <c r="I607" s="15" t="s">
        <v>706</v>
      </c>
      <c r="J607" s="10">
        <v>4</v>
      </c>
      <c r="K607" t="s">
        <v>2302</v>
      </c>
      <c r="L607" s="10">
        <v>10</v>
      </c>
      <c r="M607" t="s">
        <v>2302</v>
      </c>
      <c r="N607" s="10">
        <f>FMECA[[#This Row],[probability_value]]*FMECA[[#This Row],[consequence_value]]</f>
        <v>40</v>
      </c>
      <c r="O607"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607" s="10" t="s">
        <v>777</v>
      </c>
      <c r="Q607" t="s">
        <v>778</v>
      </c>
      <c r="R607" t="s">
        <v>780</v>
      </c>
      <c r="S607" t="s">
        <v>1961</v>
      </c>
      <c r="T607" t="s">
        <v>1132</v>
      </c>
      <c r="Y607" t="s">
        <v>2307</v>
      </c>
      <c r="Z607" t="s">
        <v>2308</v>
      </c>
      <c r="AA607" t="s">
        <v>1162</v>
      </c>
    </row>
    <row r="608" spans="1:27" x14ac:dyDescent="0.2">
      <c r="A608" s="225" t="s">
        <v>305</v>
      </c>
      <c r="B608" t="s">
        <v>303</v>
      </c>
      <c r="C608" t="s">
        <v>356</v>
      </c>
      <c r="D608" t="s">
        <v>358</v>
      </c>
      <c r="E608" t="s">
        <v>357</v>
      </c>
      <c r="F608" s="226" t="s">
        <v>355</v>
      </c>
      <c r="G608" t="str">
        <f>_xlfn.XLOOKUP(FMECA[[#This Row],[HazardRisk_name]],categories[HazardRisk_Name],categories[HazardRisk])</f>
        <v>Risk</v>
      </c>
      <c r="H608" t="str">
        <f>_xlfn.XLOOKUP(FMECA[[#This Row],[HazardRisk_name]],categories[HazardRisk_Name],categories[Category])</f>
        <v>Environmental</v>
      </c>
      <c r="I608" t="s">
        <v>625</v>
      </c>
      <c r="J608" s="10">
        <v>4</v>
      </c>
      <c r="K608" t="s">
        <v>2302</v>
      </c>
      <c r="L608" s="10">
        <v>10</v>
      </c>
      <c r="M608" t="s">
        <v>2302</v>
      </c>
      <c r="N608" s="10">
        <f>FMECA[[#This Row],[probability_value]]*FMECA[[#This Row],[consequence_value]]</f>
        <v>40</v>
      </c>
      <c r="O608"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608" s="10" t="s">
        <v>777</v>
      </c>
      <c r="Q608" t="s">
        <v>778</v>
      </c>
      <c r="R608" t="s">
        <v>780</v>
      </c>
      <c r="S608" t="s">
        <v>1961</v>
      </c>
      <c r="T608" t="s">
        <v>1132</v>
      </c>
      <c r="Y608" t="s">
        <v>2307</v>
      </c>
      <c r="Z608" t="s">
        <v>2308</v>
      </c>
      <c r="AA608" t="s">
        <v>1162</v>
      </c>
    </row>
    <row r="609" spans="1:27" x14ac:dyDescent="0.2">
      <c r="A609" s="225" t="s">
        <v>305</v>
      </c>
      <c r="B609" t="s">
        <v>303</v>
      </c>
      <c r="C609" t="s">
        <v>356</v>
      </c>
      <c r="D609" t="s">
        <v>358</v>
      </c>
      <c r="E609" t="s">
        <v>357</v>
      </c>
      <c r="F609" s="226" t="s">
        <v>355</v>
      </c>
      <c r="G609" t="str">
        <f>_xlfn.XLOOKUP(FMECA[[#This Row],[HazardRisk_name]],categories[HazardRisk_Name],categories[HazardRisk])</f>
        <v>Risk</v>
      </c>
      <c r="H609" t="str">
        <f>_xlfn.XLOOKUP(FMECA[[#This Row],[HazardRisk_name]],categories[HazardRisk_Name],categories[Category])</f>
        <v>Navigational</v>
      </c>
      <c r="I609" t="s">
        <v>631</v>
      </c>
      <c r="J609" s="10">
        <v>4</v>
      </c>
      <c r="K609" t="s">
        <v>2309</v>
      </c>
      <c r="L609" s="10">
        <v>7</v>
      </c>
      <c r="M609" t="s">
        <v>2309</v>
      </c>
      <c r="N609" s="10">
        <f>FMECA[[#This Row],[probability_value]]*FMECA[[#This Row],[consequence_value]]</f>
        <v>28</v>
      </c>
      <c r="O609" s="10" t="str">
        <f>IF(AND(FMECA[[#This Row],[Score]]&gt;=0, 9&gt;=FMECA[[#This Row],[Score]]), "UNDETECTABLE", IF(AND(FMECA[[#This Row],[Score]]&gt;=10, 24&gt;=FMECA[[#This Row],[Score]]), "MODERATE", IF(AND(FMECA[[#This Row],[Score]]&gt;=25, 35&gt;=FMECA[[#This Row],[Score]]), "HIGH", IF(AND(FMECA[[#This Row],[Score]]&gt;=36, 50&gt;=FMECA[[#This Row],[Score]]), "VERY HIGH", "Check Formula"))))</f>
        <v>HIGH</v>
      </c>
      <c r="P609" s="10" t="s">
        <v>777</v>
      </c>
      <c r="Q609" t="s">
        <v>778</v>
      </c>
      <c r="R609" t="s">
        <v>780</v>
      </c>
      <c r="S609" t="s">
        <v>1961</v>
      </c>
      <c r="T609" t="s">
        <v>1132</v>
      </c>
      <c r="Y609" t="s">
        <v>2307</v>
      </c>
      <c r="Z609" t="s">
        <v>2308</v>
      </c>
      <c r="AA609" t="s">
        <v>1162</v>
      </c>
    </row>
    <row r="610" spans="1:27" x14ac:dyDescent="0.2">
      <c r="A610" s="225" t="s">
        <v>305</v>
      </c>
      <c r="B610" t="s">
        <v>303</v>
      </c>
      <c r="C610" t="s">
        <v>356</v>
      </c>
      <c r="D610" t="s">
        <v>358</v>
      </c>
      <c r="E610" t="s">
        <v>357</v>
      </c>
      <c r="F610" s="226" t="s">
        <v>355</v>
      </c>
      <c r="G610" t="str">
        <f>_xlfn.XLOOKUP(FMECA[[#This Row],[HazardRisk_name]],categories[HazardRisk_Name],categories[HazardRisk])</f>
        <v>Hazard</v>
      </c>
      <c r="H610" t="str">
        <f>_xlfn.XLOOKUP(FMECA[[#This Row],[HazardRisk_name]],categories[HazardRisk_Name],categories[Category])</f>
        <v>Environmental</v>
      </c>
      <c r="I610" t="s">
        <v>693</v>
      </c>
      <c r="J610" s="10">
        <v>4</v>
      </c>
      <c r="K610" t="s">
        <v>2297</v>
      </c>
      <c r="L610" s="10">
        <v>7</v>
      </c>
      <c r="M610" t="s">
        <v>2297</v>
      </c>
      <c r="N610" s="10">
        <f>FMECA[[#This Row],[probability_value]]*FMECA[[#This Row],[consequence_value]]</f>
        <v>28</v>
      </c>
      <c r="O610" s="10" t="str">
        <f>IF(AND(FMECA[[#This Row],[Score]]&gt;=0, 9&gt;=FMECA[[#This Row],[Score]]), "UNDETECTABLE", IF(AND(FMECA[[#This Row],[Score]]&gt;=10, 24&gt;=FMECA[[#This Row],[Score]]), "MODERATE", IF(AND(FMECA[[#This Row],[Score]]&gt;=25, 35&gt;=FMECA[[#This Row],[Score]]), "HIGH", IF(AND(FMECA[[#This Row],[Score]]&gt;=36, 50&gt;=FMECA[[#This Row],[Score]]), "VERY HIGH", "Check Formula"))))</f>
        <v>HIGH</v>
      </c>
      <c r="P610" s="10" t="s">
        <v>777</v>
      </c>
      <c r="Q610" t="s">
        <v>778</v>
      </c>
      <c r="R610" t="s">
        <v>780</v>
      </c>
      <c r="S610" t="s">
        <v>1961</v>
      </c>
      <c r="T610" t="s">
        <v>1132</v>
      </c>
      <c r="Y610" t="s">
        <v>2307</v>
      </c>
      <c r="Z610" t="s">
        <v>2308</v>
      </c>
      <c r="AA610" t="s">
        <v>1162</v>
      </c>
    </row>
    <row r="611" spans="1:27" x14ac:dyDescent="0.2">
      <c r="A611" s="225" t="s">
        <v>305</v>
      </c>
      <c r="B611" t="s">
        <v>303</v>
      </c>
      <c r="C611" t="s">
        <v>356</v>
      </c>
      <c r="D611" t="s">
        <v>358</v>
      </c>
      <c r="E611" t="s">
        <v>357</v>
      </c>
      <c r="F611" s="226" t="s">
        <v>355</v>
      </c>
      <c r="G611" t="str">
        <f>_xlfn.XLOOKUP(FMECA[[#This Row],[HazardRisk_name]],categories[HazardRisk_Name],categories[HazardRisk])</f>
        <v>Hazard</v>
      </c>
      <c r="H611" t="str">
        <f>_xlfn.XLOOKUP(FMECA[[#This Row],[HazardRisk_name]],categories[HazardRisk_Name],categories[Category])</f>
        <v>Environmental</v>
      </c>
      <c r="I611" t="s">
        <v>684</v>
      </c>
      <c r="J611" s="10">
        <v>4</v>
      </c>
      <c r="K611" t="s">
        <v>2297</v>
      </c>
      <c r="L611" s="10">
        <v>7</v>
      </c>
      <c r="M611" t="s">
        <v>2297</v>
      </c>
      <c r="N611" s="10">
        <f>FMECA[[#This Row],[probability_value]]*FMECA[[#This Row],[consequence_value]]</f>
        <v>28</v>
      </c>
      <c r="O611" s="10" t="str">
        <f>IF(AND(FMECA[[#This Row],[Score]]&gt;=0, 9&gt;=FMECA[[#This Row],[Score]]), "UNDETECTABLE", IF(AND(FMECA[[#This Row],[Score]]&gt;=10, 24&gt;=FMECA[[#This Row],[Score]]), "MODERATE", IF(AND(FMECA[[#This Row],[Score]]&gt;=25, 35&gt;=FMECA[[#This Row],[Score]]), "HIGH", IF(AND(FMECA[[#This Row],[Score]]&gt;=36, 50&gt;=FMECA[[#This Row],[Score]]), "VERY HIGH", "Check Formula"))))</f>
        <v>HIGH</v>
      </c>
      <c r="P611" s="10" t="s">
        <v>777</v>
      </c>
      <c r="Q611" t="s">
        <v>778</v>
      </c>
      <c r="R611" t="s">
        <v>780</v>
      </c>
      <c r="S611" t="s">
        <v>1961</v>
      </c>
      <c r="T611" t="s">
        <v>1132</v>
      </c>
      <c r="Y611" t="s">
        <v>2307</v>
      </c>
      <c r="Z611" t="s">
        <v>2308</v>
      </c>
      <c r="AA611" t="s">
        <v>1162</v>
      </c>
    </row>
    <row r="612" spans="1:27" x14ac:dyDescent="0.2">
      <c r="A612" s="225" t="s">
        <v>305</v>
      </c>
      <c r="B612" t="s">
        <v>303</v>
      </c>
      <c r="C612" t="s">
        <v>356</v>
      </c>
      <c r="D612" t="s">
        <v>358</v>
      </c>
      <c r="E612" t="s">
        <v>357</v>
      </c>
      <c r="F612" s="226" t="s">
        <v>355</v>
      </c>
      <c r="G612" t="str">
        <f>_xlfn.XLOOKUP(FMECA[[#This Row],[HazardRisk_name]],categories[HazardRisk_Name],categories[HazardRisk])</f>
        <v>Hazard</v>
      </c>
      <c r="H612" t="str">
        <f>_xlfn.XLOOKUP(FMECA[[#This Row],[HazardRisk_name]],categories[HazardRisk_Name],categories[Category])</f>
        <v>Environmental</v>
      </c>
      <c r="I612" t="s">
        <v>682</v>
      </c>
      <c r="J612" s="10">
        <v>3</v>
      </c>
      <c r="K612" t="s">
        <v>2298</v>
      </c>
      <c r="L612" s="10">
        <v>10</v>
      </c>
      <c r="M612" t="s">
        <v>2298</v>
      </c>
      <c r="N612" s="10">
        <f>FMECA[[#This Row],[probability_value]]*FMECA[[#This Row],[consequence_value]]</f>
        <v>30</v>
      </c>
      <c r="O612" s="10" t="str">
        <f>IF(AND(FMECA[[#This Row],[Score]]&gt;=0, 9&gt;=FMECA[[#This Row],[Score]]), "UNDETECTABLE", IF(AND(FMECA[[#This Row],[Score]]&gt;=10, 24&gt;=FMECA[[#This Row],[Score]]), "MODERATE", IF(AND(FMECA[[#This Row],[Score]]&gt;=25, 35&gt;=FMECA[[#This Row],[Score]]), "HIGH", IF(AND(FMECA[[#This Row],[Score]]&gt;=36, 50&gt;=FMECA[[#This Row],[Score]]), "VERY HIGH", "Check Formula"))))</f>
        <v>HIGH</v>
      </c>
      <c r="P612" s="10" t="s">
        <v>777</v>
      </c>
      <c r="Q612" t="s">
        <v>778</v>
      </c>
      <c r="R612" t="s">
        <v>780</v>
      </c>
      <c r="S612" t="s">
        <v>1961</v>
      </c>
      <c r="T612" t="s">
        <v>1132</v>
      </c>
      <c r="U612" t="s">
        <v>1789</v>
      </c>
      <c r="V612" t="s">
        <v>466</v>
      </c>
      <c r="W612" t="s">
        <v>2300</v>
      </c>
      <c r="X612" t="s">
        <v>470</v>
      </c>
      <c r="Y612" t="s">
        <v>2307</v>
      </c>
      <c r="Z612" t="s">
        <v>2308</v>
      </c>
      <c r="AA612" t="s">
        <v>1162</v>
      </c>
    </row>
    <row r="613" spans="1:27" x14ac:dyDescent="0.2">
      <c r="A613" s="225" t="s">
        <v>305</v>
      </c>
      <c r="B613" t="s">
        <v>303</v>
      </c>
      <c r="C613" t="s">
        <v>356</v>
      </c>
      <c r="D613" t="s">
        <v>358</v>
      </c>
      <c r="E613" t="s">
        <v>357</v>
      </c>
      <c r="F613" s="226" t="s">
        <v>355</v>
      </c>
      <c r="G613" t="str">
        <f>_xlfn.XLOOKUP(FMECA[[#This Row],[HazardRisk_name]],categories[HazardRisk_Name],categories[HazardRisk])</f>
        <v>Risk</v>
      </c>
      <c r="H613" t="str">
        <f>_xlfn.XLOOKUP(FMECA[[#This Row],[HazardRisk_name]],categories[HazardRisk_Name],categories[Category])</f>
        <v>Environmental</v>
      </c>
      <c r="I613" t="s">
        <v>567</v>
      </c>
      <c r="J613" s="10">
        <v>3</v>
      </c>
      <c r="K613" t="s">
        <v>2298</v>
      </c>
      <c r="L613" s="10">
        <v>10</v>
      </c>
      <c r="M613" t="s">
        <v>2298</v>
      </c>
      <c r="N613" s="10">
        <f>FMECA[[#This Row],[probability_value]]*FMECA[[#This Row],[consequence_value]]</f>
        <v>30</v>
      </c>
      <c r="O613" s="10" t="str">
        <f>IF(AND(FMECA[[#This Row],[Score]]&gt;=0, 9&gt;=FMECA[[#This Row],[Score]]), "UNDETECTABLE", IF(AND(FMECA[[#This Row],[Score]]&gt;=10, 24&gt;=FMECA[[#This Row],[Score]]), "MODERATE", IF(AND(FMECA[[#This Row],[Score]]&gt;=25, 35&gt;=FMECA[[#This Row],[Score]]), "HIGH", IF(AND(FMECA[[#This Row],[Score]]&gt;=36, 50&gt;=FMECA[[#This Row],[Score]]), "VERY HIGH", "Check Formula"))))</f>
        <v>HIGH</v>
      </c>
      <c r="P613" s="10" t="s">
        <v>777</v>
      </c>
      <c r="Q613" t="s">
        <v>778</v>
      </c>
      <c r="R613" t="s">
        <v>780</v>
      </c>
      <c r="S613" t="s">
        <v>1961</v>
      </c>
      <c r="T613" t="s">
        <v>1132</v>
      </c>
      <c r="U613" t="s">
        <v>1789</v>
      </c>
      <c r="V613" t="s">
        <v>466</v>
      </c>
      <c r="W613" t="s">
        <v>2301</v>
      </c>
      <c r="X613" t="s">
        <v>470</v>
      </c>
      <c r="Y613" t="s">
        <v>2307</v>
      </c>
      <c r="Z613" t="s">
        <v>2308</v>
      </c>
      <c r="AA613" t="s">
        <v>1162</v>
      </c>
    </row>
    <row r="614" spans="1:27" x14ac:dyDescent="0.2">
      <c r="A614" s="225" t="s">
        <v>305</v>
      </c>
      <c r="B614" t="s">
        <v>303</v>
      </c>
      <c r="C614" t="s">
        <v>356</v>
      </c>
      <c r="D614" t="s">
        <v>358</v>
      </c>
      <c r="E614" t="s">
        <v>357</v>
      </c>
      <c r="F614" s="226" t="s">
        <v>355</v>
      </c>
      <c r="G614" t="str">
        <f>_xlfn.XLOOKUP(FMECA[[#This Row],[HazardRisk_name]],categories[HazardRisk_Name],categories[HazardRisk])</f>
        <v>Risk</v>
      </c>
      <c r="H614" t="str">
        <f>_xlfn.XLOOKUP(FMECA[[#This Row],[HazardRisk_name]],categories[HazardRisk_Name],categories[Category])</f>
        <v>Navigational</v>
      </c>
      <c r="I614" t="s">
        <v>474</v>
      </c>
      <c r="J614" s="10">
        <v>5</v>
      </c>
      <c r="K614" t="s">
        <v>2298</v>
      </c>
      <c r="L614" s="10">
        <v>7</v>
      </c>
      <c r="M614" t="s">
        <v>2298</v>
      </c>
      <c r="N614" s="10">
        <f>FMECA[[#This Row],[probability_value]]*FMECA[[#This Row],[consequence_value]]</f>
        <v>35</v>
      </c>
      <c r="O614" s="10" t="str">
        <f>IF(AND(FMECA[[#This Row],[Score]]&gt;=0, 9&gt;=FMECA[[#This Row],[Score]]), "UNDETECTABLE", IF(AND(FMECA[[#This Row],[Score]]&gt;=10, 24&gt;=FMECA[[#This Row],[Score]]), "MODERATE", IF(AND(FMECA[[#This Row],[Score]]&gt;=25, 35&gt;=FMECA[[#This Row],[Score]]), "HIGH", IF(AND(FMECA[[#This Row],[Score]]&gt;=36, 50&gt;=FMECA[[#This Row],[Score]]), "VERY HIGH", "Check Formula"))))</f>
        <v>HIGH</v>
      </c>
      <c r="P614" s="10" t="s">
        <v>777</v>
      </c>
      <c r="Q614" t="s">
        <v>778</v>
      </c>
      <c r="R614" t="s">
        <v>780</v>
      </c>
      <c r="S614" t="s">
        <v>1961</v>
      </c>
      <c r="T614" t="s">
        <v>1132</v>
      </c>
      <c r="U614" t="s">
        <v>2305</v>
      </c>
      <c r="V614" t="s">
        <v>470</v>
      </c>
      <c r="W614" t="s">
        <v>2299</v>
      </c>
      <c r="X614" t="s">
        <v>449</v>
      </c>
      <c r="Y614" t="s">
        <v>2307</v>
      </c>
      <c r="Z614" t="s">
        <v>2308</v>
      </c>
      <c r="AA614" t="s">
        <v>1162</v>
      </c>
    </row>
    <row r="615" spans="1:27" x14ac:dyDescent="0.2">
      <c r="A615" s="225" t="s">
        <v>305</v>
      </c>
      <c r="B615" t="s">
        <v>303</v>
      </c>
      <c r="C615" t="s">
        <v>356</v>
      </c>
      <c r="D615" t="s">
        <v>358</v>
      </c>
      <c r="E615" t="s">
        <v>357</v>
      </c>
      <c r="F615" s="226" t="s">
        <v>355</v>
      </c>
      <c r="G615" t="str">
        <f>_xlfn.XLOOKUP(FMECA[[#This Row],[HazardRisk_name]],categories[HazardRisk_Name],categories[HazardRisk])</f>
        <v>Risk</v>
      </c>
      <c r="H615" t="str">
        <f>_xlfn.XLOOKUP(FMECA[[#This Row],[HazardRisk_name]],categories[HazardRisk_Name],categories[Category])</f>
        <v>Environmental</v>
      </c>
      <c r="I615" t="s">
        <v>602</v>
      </c>
      <c r="J615" s="10">
        <v>5</v>
      </c>
      <c r="K615" t="s">
        <v>2298</v>
      </c>
      <c r="L615" s="10">
        <v>7</v>
      </c>
      <c r="M615" t="s">
        <v>2298</v>
      </c>
      <c r="N615" s="10">
        <f>FMECA[[#This Row],[probability_value]]*FMECA[[#This Row],[consequence_value]]</f>
        <v>35</v>
      </c>
      <c r="O615" s="10" t="str">
        <f>IF(AND(FMECA[[#This Row],[Score]]&gt;=0, 9&gt;=FMECA[[#This Row],[Score]]), "UNDETECTABLE", IF(AND(FMECA[[#This Row],[Score]]&gt;=10, 24&gt;=FMECA[[#This Row],[Score]]), "MODERATE", IF(AND(FMECA[[#This Row],[Score]]&gt;=25, 35&gt;=FMECA[[#This Row],[Score]]), "HIGH", IF(AND(FMECA[[#This Row],[Score]]&gt;=36, 50&gt;=FMECA[[#This Row],[Score]]), "VERY HIGH", "Check Formula"))))</f>
        <v>HIGH</v>
      </c>
      <c r="P615" s="10" t="s">
        <v>777</v>
      </c>
      <c r="Q615" t="s">
        <v>778</v>
      </c>
      <c r="R615" t="s">
        <v>780</v>
      </c>
      <c r="S615" t="s">
        <v>1961</v>
      </c>
      <c r="T615" t="s">
        <v>1132</v>
      </c>
      <c r="U615" t="s">
        <v>1789</v>
      </c>
      <c r="V615" t="s">
        <v>449</v>
      </c>
      <c r="Y615" t="s">
        <v>2307</v>
      </c>
      <c r="Z615" t="s">
        <v>2308</v>
      </c>
      <c r="AA615" t="s">
        <v>1162</v>
      </c>
    </row>
    <row r="616" spans="1:27" x14ac:dyDescent="0.2">
      <c r="A616" s="225" t="s">
        <v>305</v>
      </c>
      <c r="B616" t="s">
        <v>303</v>
      </c>
      <c r="C616" t="s">
        <v>356</v>
      </c>
      <c r="D616" t="s">
        <v>358</v>
      </c>
      <c r="E616" t="s">
        <v>357</v>
      </c>
      <c r="F616" s="226" t="s">
        <v>355</v>
      </c>
      <c r="G616" t="str">
        <f>_xlfn.XLOOKUP(FMECA[[#This Row],[HazardRisk_name]],categories[HazardRisk_Name],categories[HazardRisk])</f>
        <v>Risk</v>
      </c>
      <c r="H616" t="str">
        <f>_xlfn.XLOOKUP(FMECA[[#This Row],[HazardRisk_name]],categories[HazardRisk_Name],categories[Category])</f>
        <v>Community</v>
      </c>
      <c r="I616" t="s">
        <v>562</v>
      </c>
      <c r="J616" s="10">
        <v>4</v>
      </c>
      <c r="K616" t="s">
        <v>2302</v>
      </c>
      <c r="L616" s="10">
        <v>10</v>
      </c>
      <c r="M616" t="s">
        <v>2302</v>
      </c>
      <c r="N616" s="10">
        <f>FMECA[[#This Row],[probability_value]]*FMECA[[#This Row],[consequence_value]]</f>
        <v>40</v>
      </c>
      <c r="O616"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616" s="10" t="s">
        <v>777</v>
      </c>
      <c r="Q616" t="s">
        <v>778</v>
      </c>
      <c r="R616" t="s">
        <v>780</v>
      </c>
      <c r="S616" t="s">
        <v>1961</v>
      </c>
      <c r="T616" t="s">
        <v>1132</v>
      </c>
      <c r="Y616" t="s">
        <v>2307</v>
      </c>
      <c r="Z616" t="s">
        <v>2308</v>
      </c>
      <c r="AA616" t="s">
        <v>1162</v>
      </c>
    </row>
    <row r="617" spans="1:27" x14ac:dyDescent="0.2">
      <c r="A617" s="225" t="s">
        <v>305</v>
      </c>
      <c r="B617" t="s">
        <v>303</v>
      </c>
      <c r="C617" t="s">
        <v>356</v>
      </c>
      <c r="D617" t="s">
        <v>358</v>
      </c>
      <c r="E617" t="s">
        <v>357</v>
      </c>
      <c r="F617" s="226" t="s">
        <v>355</v>
      </c>
      <c r="G617" t="str">
        <f>_xlfn.XLOOKUP(FMECA[[#This Row],[HazardRisk_name]],categories[HazardRisk_Name],categories[HazardRisk])</f>
        <v>Risk</v>
      </c>
      <c r="H617" t="str">
        <f>_xlfn.XLOOKUP(FMECA[[#This Row],[HazardRisk_name]],categories[HazardRisk_Name],categories[Category])</f>
        <v>Economic</v>
      </c>
      <c r="I617" t="s">
        <v>642</v>
      </c>
      <c r="J617" s="10">
        <v>4</v>
      </c>
      <c r="K617" t="s">
        <v>2303</v>
      </c>
      <c r="L617" s="10">
        <v>7</v>
      </c>
      <c r="M617" t="s">
        <v>2303</v>
      </c>
      <c r="N617" s="10">
        <f>FMECA[[#This Row],[probability_value]]*FMECA[[#This Row],[consequence_value]]</f>
        <v>28</v>
      </c>
      <c r="O617" s="10" t="str">
        <f>IF(AND(FMECA[[#This Row],[Score]]&gt;=0, 9&gt;=FMECA[[#This Row],[Score]]), "UNDETECTABLE", IF(AND(FMECA[[#This Row],[Score]]&gt;=10, 24&gt;=FMECA[[#This Row],[Score]]), "MODERATE", IF(AND(FMECA[[#This Row],[Score]]&gt;=25, 35&gt;=FMECA[[#This Row],[Score]]), "HIGH", IF(AND(FMECA[[#This Row],[Score]]&gt;=36, 50&gt;=FMECA[[#This Row],[Score]]), "VERY HIGH", "Check Formula"))))</f>
        <v>HIGH</v>
      </c>
      <c r="P617" s="10" t="s">
        <v>777</v>
      </c>
      <c r="Q617" t="s">
        <v>778</v>
      </c>
      <c r="R617" t="s">
        <v>780</v>
      </c>
      <c r="S617" t="s">
        <v>1961</v>
      </c>
      <c r="T617" t="s">
        <v>1132</v>
      </c>
      <c r="Y617" t="s">
        <v>2307</v>
      </c>
      <c r="Z617" t="s">
        <v>2308</v>
      </c>
      <c r="AA617" t="s">
        <v>1162</v>
      </c>
    </row>
    <row r="618" spans="1:27" ht="34" x14ac:dyDescent="0.2">
      <c r="A618" s="225" t="s">
        <v>306</v>
      </c>
      <c r="B618" t="s">
        <v>303</v>
      </c>
      <c r="C618" t="s">
        <v>360</v>
      </c>
      <c r="D618" t="s">
        <v>220</v>
      </c>
      <c r="E618" t="s">
        <v>208</v>
      </c>
      <c r="F618" s="226" t="s">
        <v>209</v>
      </c>
      <c r="G618" t="str">
        <f>_xlfn.XLOOKUP(FMECA[[#This Row],[HazardRisk_name]],categories[HazardRisk_Name],categories[HazardRisk])</f>
        <v>Hazard</v>
      </c>
      <c r="H618" t="str">
        <f>_xlfn.XLOOKUP(FMECA[[#This Row],[HazardRisk_name]],categories[HazardRisk_Name],categories[Category])</f>
        <v>Technological</v>
      </c>
      <c r="I618" s="15" t="s">
        <v>1311</v>
      </c>
      <c r="J618" s="10">
        <v>4</v>
      </c>
      <c r="K618" t="s">
        <v>2288</v>
      </c>
      <c r="L618" s="10">
        <v>4</v>
      </c>
      <c r="M618" t="s">
        <v>2288</v>
      </c>
      <c r="N618" s="10">
        <f>FMECA[[#This Row],[probability_value]]*FMECA[[#This Row],[consequence_value]]</f>
        <v>16</v>
      </c>
      <c r="O61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18" s="10" t="s">
        <v>770</v>
      </c>
      <c r="Q618" t="s">
        <v>1132</v>
      </c>
      <c r="R618" t="s">
        <v>780</v>
      </c>
      <c r="S618" s="3" t="s">
        <v>1961</v>
      </c>
      <c r="T618" t="s">
        <v>793</v>
      </c>
      <c r="U618" t="s">
        <v>2295</v>
      </c>
      <c r="V618" t="s">
        <v>470</v>
      </c>
      <c r="Y618" t="s">
        <v>1153</v>
      </c>
      <c r="Z618" t="s">
        <v>2296</v>
      </c>
      <c r="AA618" t="s">
        <v>1162</v>
      </c>
    </row>
    <row r="619" spans="1:27" ht="17" x14ac:dyDescent="0.2">
      <c r="A619" s="225" t="s">
        <v>306</v>
      </c>
      <c r="B619" t="s">
        <v>303</v>
      </c>
      <c r="C619" t="s">
        <v>360</v>
      </c>
      <c r="D619" t="s">
        <v>220</v>
      </c>
      <c r="E619" t="s">
        <v>208</v>
      </c>
      <c r="F619" s="226" t="s">
        <v>209</v>
      </c>
      <c r="G619" t="str">
        <f>_xlfn.XLOOKUP(FMECA[[#This Row],[HazardRisk_name]],categories[HazardRisk_Name],categories[HazardRisk])</f>
        <v>Risk</v>
      </c>
      <c r="H619" t="str">
        <f>_xlfn.XLOOKUP(FMECA[[#This Row],[HazardRisk_name]],categories[HazardRisk_Name],categories[Category])</f>
        <v>Human</v>
      </c>
      <c r="I619" t="s">
        <v>493</v>
      </c>
      <c r="J619" s="10">
        <v>4</v>
      </c>
      <c r="K619" t="s">
        <v>2287</v>
      </c>
      <c r="L619" s="10">
        <v>7</v>
      </c>
      <c r="M619" t="s">
        <v>2287</v>
      </c>
      <c r="N619" s="10">
        <f>FMECA[[#This Row],[probability_value]]*FMECA[[#This Row],[consequence_value]]</f>
        <v>28</v>
      </c>
      <c r="O619" s="10" t="str">
        <f>IF(AND(FMECA[[#This Row],[Score]]&gt;=0, 9&gt;=FMECA[[#This Row],[Score]]), "UNDETECTABLE", IF(AND(FMECA[[#This Row],[Score]]&gt;=10, 24&gt;=FMECA[[#This Row],[Score]]), "MODERATE", IF(AND(FMECA[[#This Row],[Score]]&gt;=25, 35&gt;=FMECA[[#This Row],[Score]]), "HIGH", IF(AND(FMECA[[#This Row],[Score]]&gt;=36, 50&gt;=FMECA[[#This Row],[Score]]), "VERY HIGH", "Check Formula"))))</f>
        <v>HIGH</v>
      </c>
      <c r="P619" s="10" t="s">
        <v>770</v>
      </c>
      <c r="Q619" t="s">
        <v>1132</v>
      </c>
      <c r="R619" t="s">
        <v>780</v>
      </c>
      <c r="S619" s="3" t="s">
        <v>1961</v>
      </c>
      <c r="T619" t="s">
        <v>793</v>
      </c>
      <c r="U619" t="s">
        <v>2295</v>
      </c>
      <c r="V619" t="s">
        <v>470</v>
      </c>
      <c r="Y619" t="s">
        <v>1153</v>
      </c>
      <c r="Z619" t="s">
        <v>2296</v>
      </c>
      <c r="AA619" t="s">
        <v>1162</v>
      </c>
    </row>
    <row r="620" spans="1:27" ht="17" x14ac:dyDescent="0.2">
      <c r="A620" s="225" t="s">
        <v>306</v>
      </c>
      <c r="B620" t="s">
        <v>303</v>
      </c>
      <c r="C620" t="s">
        <v>360</v>
      </c>
      <c r="D620" t="s">
        <v>220</v>
      </c>
      <c r="E620" t="s">
        <v>208</v>
      </c>
      <c r="F620" s="226" t="s">
        <v>209</v>
      </c>
      <c r="G620" t="str">
        <f>_xlfn.XLOOKUP(FMECA[[#This Row],[HazardRisk_name]],categories[HazardRisk_Name],categories[HazardRisk])</f>
        <v>Hazard</v>
      </c>
      <c r="H620" t="str">
        <f>_xlfn.XLOOKUP(FMECA[[#This Row],[HazardRisk_name]],categories[HazardRisk_Name],categories[Category])</f>
        <v>Technological</v>
      </c>
      <c r="I620" t="s">
        <v>495</v>
      </c>
      <c r="J620" s="10">
        <v>3</v>
      </c>
      <c r="K620" s="9" t="s">
        <v>2289</v>
      </c>
      <c r="L620" s="10">
        <v>7</v>
      </c>
      <c r="M620" s="9" t="s">
        <v>2289</v>
      </c>
      <c r="N620" s="10">
        <f>FMECA[[#This Row],[probability_value]]*FMECA[[#This Row],[consequence_value]]</f>
        <v>21</v>
      </c>
      <c r="O62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20" s="10" t="s">
        <v>770</v>
      </c>
      <c r="Q620" t="s">
        <v>1132</v>
      </c>
      <c r="R620" t="s">
        <v>780</v>
      </c>
      <c r="S620" s="3" t="s">
        <v>1961</v>
      </c>
      <c r="T620" t="s">
        <v>793</v>
      </c>
      <c r="Y620" t="s">
        <v>1153</v>
      </c>
      <c r="Z620" t="s">
        <v>2296</v>
      </c>
      <c r="AA620" t="s">
        <v>1162</v>
      </c>
    </row>
    <row r="621" spans="1:27" ht="17" x14ac:dyDescent="0.2">
      <c r="A621" s="225" t="s">
        <v>306</v>
      </c>
      <c r="B621" t="s">
        <v>303</v>
      </c>
      <c r="C621" t="s">
        <v>360</v>
      </c>
      <c r="D621" t="s">
        <v>220</v>
      </c>
      <c r="E621" t="s">
        <v>208</v>
      </c>
      <c r="F621" s="226" t="s">
        <v>209</v>
      </c>
      <c r="G621" t="str">
        <f>_xlfn.XLOOKUP(FMECA[[#This Row],[HazardRisk_name]],categories[HazardRisk_Name],categories[HazardRisk])</f>
        <v>Hazard</v>
      </c>
      <c r="H621" t="str">
        <f>_xlfn.XLOOKUP(FMECA[[#This Row],[HazardRisk_name]],categories[HazardRisk_Name],categories[Category])</f>
        <v>Human</v>
      </c>
      <c r="I621" t="s">
        <v>491</v>
      </c>
      <c r="J621" s="10">
        <v>4</v>
      </c>
      <c r="K621" t="s">
        <v>2287</v>
      </c>
      <c r="L621" s="10">
        <v>7</v>
      </c>
      <c r="M621" t="s">
        <v>2287</v>
      </c>
      <c r="N621" s="10">
        <f>FMECA[[#This Row],[probability_value]]*FMECA[[#This Row],[consequence_value]]</f>
        <v>28</v>
      </c>
      <c r="O621" s="10" t="str">
        <f>IF(AND(FMECA[[#This Row],[Score]]&gt;=0, 9&gt;=FMECA[[#This Row],[Score]]), "UNDETECTABLE", IF(AND(FMECA[[#This Row],[Score]]&gt;=10, 24&gt;=FMECA[[#This Row],[Score]]), "MODERATE", IF(AND(FMECA[[#This Row],[Score]]&gt;=25, 35&gt;=FMECA[[#This Row],[Score]]), "HIGH", IF(AND(FMECA[[#This Row],[Score]]&gt;=36, 50&gt;=FMECA[[#This Row],[Score]]), "VERY HIGH", "Check Formula"))))</f>
        <v>HIGH</v>
      </c>
      <c r="P621" s="10" t="s">
        <v>770</v>
      </c>
      <c r="Q621" t="s">
        <v>1132</v>
      </c>
      <c r="R621" t="s">
        <v>780</v>
      </c>
      <c r="S621" s="3" t="s">
        <v>1961</v>
      </c>
      <c r="T621" t="s">
        <v>793</v>
      </c>
      <c r="Y621" t="s">
        <v>1153</v>
      </c>
      <c r="Z621" t="s">
        <v>2296</v>
      </c>
      <c r="AA621" t="s">
        <v>1162</v>
      </c>
    </row>
    <row r="622" spans="1:27" ht="17" x14ac:dyDescent="0.2">
      <c r="A622" s="225" t="s">
        <v>306</v>
      </c>
      <c r="B622" t="s">
        <v>303</v>
      </c>
      <c r="C622" t="s">
        <v>360</v>
      </c>
      <c r="D622" t="s">
        <v>220</v>
      </c>
      <c r="E622" t="s">
        <v>208</v>
      </c>
      <c r="F622" s="226" t="s">
        <v>209</v>
      </c>
      <c r="G622" t="str">
        <f>_xlfn.XLOOKUP(FMECA[[#This Row],[HazardRisk_name]],categories[HazardRisk_Name],categories[HazardRisk])</f>
        <v>Hazard</v>
      </c>
      <c r="H622" t="str">
        <f>_xlfn.XLOOKUP(FMECA[[#This Row],[HazardRisk_name]],categories[HazardRisk_Name],categories[Category])</f>
        <v>Operational</v>
      </c>
      <c r="I622" t="s">
        <v>533</v>
      </c>
      <c r="J622" s="10">
        <v>3</v>
      </c>
      <c r="K622" t="s">
        <v>2293</v>
      </c>
      <c r="L622" s="10">
        <v>4</v>
      </c>
      <c r="M622" t="s">
        <v>2293</v>
      </c>
      <c r="N622" s="10">
        <f>FMECA[[#This Row],[probability_value]]*FMECA[[#This Row],[consequence_value]]</f>
        <v>12</v>
      </c>
      <c r="O62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22" s="10" t="s">
        <v>770</v>
      </c>
      <c r="Q622" t="s">
        <v>1132</v>
      </c>
      <c r="R622" t="s">
        <v>780</v>
      </c>
      <c r="S622" s="3" t="s">
        <v>1961</v>
      </c>
      <c r="T622" t="s">
        <v>793</v>
      </c>
      <c r="W622" t="s">
        <v>2294</v>
      </c>
      <c r="X622" t="s">
        <v>470</v>
      </c>
      <c r="Y622" t="s">
        <v>1153</v>
      </c>
      <c r="Z622" t="s">
        <v>2296</v>
      </c>
      <c r="AA622" t="s">
        <v>1162</v>
      </c>
    </row>
    <row r="623" spans="1:27" ht="17" x14ac:dyDescent="0.2">
      <c r="A623" s="225" t="s">
        <v>306</v>
      </c>
      <c r="B623" t="s">
        <v>303</v>
      </c>
      <c r="C623" t="s">
        <v>360</v>
      </c>
      <c r="D623" t="s">
        <v>220</v>
      </c>
      <c r="E623" t="s">
        <v>208</v>
      </c>
      <c r="F623" s="226" t="s">
        <v>209</v>
      </c>
      <c r="G623" t="str">
        <f>_xlfn.XLOOKUP(FMECA[[#This Row],[HazardRisk_name]],categories[HazardRisk_Name],categories[HazardRisk])</f>
        <v>Risk</v>
      </c>
      <c r="H623" t="str">
        <f>_xlfn.XLOOKUP(FMECA[[#This Row],[HazardRisk_name]],categories[HazardRisk_Name],categories[Category])</f>
        <v>Operational</v>
      </c>
      <c r="I623" t="s">
        <v>1313</v>
      </c>
      <c r="J623" s="10">
        <v>4</v>
      </c>
      <c r="K623" t="s">
        <v>2287</v>
      </c>
      <c r="L623" s="10">
        <v>7</v>
      </c>
      <c r="M623" t="s">
        <v>2287</v>
      </c>
      <c r="N623" s="10">
        <f>FMECA[[#This Row],[probability_value]]*FMECA[[#This Row],[consequence_value]]</f>
        <v>28</v>
      </c>
      <c r="O623" s="10" t="str">
        <f>IF(AND(FMECA[[#This Row],[Score]]&gt;=0, 9&gt;=FMECA[[#This Row],[Score]]), "UNDETECTABLE", IF(AND(FMECA[[#This Row],[Score]]&gt;=10, 24&gt;=FMECA[[#This Row],[Score]]), "MODERATE", IF(AND(FMECA[[#This Row],[Score]]&gt;=25, 35&gt;=FMECA[[#This Row],[Score]]), "HIGH", IF(AND(FMECA[[#This Row],[Score]]&gt;=36, 50&gt;=FMECA[[#This Row],[Score]]), "VERY HIGH", "Check Formula"))))</f>
        <v>HIGH</v>
      </c>
      <c r="P623" s="10" t="s">
        <v>770</v>
      </c>
      <c r="Q623" t="s">
        <v>1132</v>
      </c>
      <c r="R623" t="s">
        <v>780</v>
      </c>
      <c r="S623" s="3" t="s">
        <v>1961</v>
      </c>
      <c r="T623" t="s">
        <v>793</v>
      </c>
      <c r="U623" t="s">
        <v>2295</v>
      </c>
      <c r="V623" t="s">
        <v>470</v>
      </c>
      <c r="Y623" t="s">
        <v>1153</v>
      </c>
      <c r="Z623" t="s">
        <v>2296</v>
      </c>
      <c r="AA623" t="s">
        <v>1162</v>
      </c>
    </row>
    <row r="624" spans="1:27" ht="17" x14ac:dyDescent="0.2">
      <c r="A624" s="225" t="s">
        <v>306</v>
      </c>
      <c r="B624" t="s">
        <v>303</v>
      </c>
      <c r="C624" t="s">
        <v>360</v>
      </c>
      <c r="D624" t="s">
        <v>220</v>
      </c>
      <c r="E624" t="s">
        <v>208</v>
      </c>
      <c r="F624" s="226" t="s">
        <v>209</v>
      </c>
      <c r="G624" t="str">
        <f>_xlfn.XLOOKUP(FMECA[[#This Row],[HazardRisk_name]],categories[HazardRisk_Name],categories[HazardRisk])</f>
        <v>Hazard</v>
      </c>
      <c r="H624" t="str">
        <f>_xlfn.XLOOKUP(FMECA[[#This Row],[HazardRisk_name]],categories[HazardRisk_Name],categories[Category])</f>
        <v>Human</v>
      </c>
      <c r="I624" t="s">
        <v>590</v>
      </c>
      <c r="J624" s="10">
        <v>4</v>
      </c>
      <c r="K624" t="s">
        <v>2287</v>
      </c>
      <c r="L624" s="10">
        <v>7</v>
      </c>
      <c r="M624" t="s">
        <v>2287</v>
      </c>
      <c r="N624" s="10">
        <f>FMECA[[#This Row],[probability_value]]*FMECA[[#This Row],[consequence_value]]</f>
        <v>28</v>
      </c>
      <c r="O624" s="10" t="str">
        <f>IF(AND(FMECA[[#This Row],[Score]]&gt;=0, 9&gt;=FMECA[[#This Row],[Score]]), "UNDETECTABLE", IF(AND(FMECA[[#This Row],[Score]]&gt;=10, 24&gt;=FMECA[[#This Row],[Score]]), "MODERATE", IF(AND(FMECA[[#This Row],[Score]]&gt;=25, 35&gt;=FMECA[[#This Row],[Score]]), "HIGH", IF(AND(FMECA[[#This Row],[Score]]&gt;=36, 50&gt;=FMECA[[#This Row],[Score]]), "VERY HIGH", "Check Formula"))))</f>
        <v>HIGH</v>
      </c>
      <c r="P624" s="10" t="s">
        <v>770</v>
      </c>
      <c r="Q624" t="s">
        <v>1132</v>
      </c>
      <c r="R624" t="s">
        <v>780</v>
      </c>
      <c r="S624" s="3" t="s">
        <v>1961</v>
      </c>
      <c r="T624" t="s">
        <v>793</v>
      </c>
      <c r="Y624" t="s">
        <v>1153</v>
      </c>
      <c r="Z624" t="s">
        <v>2296</v>
      </c>
      <c r="AA624" t="s">
        <v>1162</v>
      </c>
    </row>
    <row r="625" spans="1:27" ht="17" x14ac:dyDescent="0.2">
      <c r="A625" s="225" t="s">
        <v>306</v>
      </c>
      <c r="B625" t="s">
        <v>303</v>
      </c>
      <c r="C625" t="s">
        <v>360</v>
      </c>
      <c r="D625" t="s">
        <v>220</v>
      </c>
      <c r="E625" t="s">
        <v>208</v>
      </c>
      <c r="F625" s="226" t="s">
        <v>209</v>
      </c>
      <c r="G625" t="str">
        <f>_xlfn.XLOOKUP(FMECA[[#This Row],[HazardRisk_name]],categories[HazardRisk_Name],categories[HazardRisk])</f>
        <v>Risk</v>
      </c>
      <c r="H625" t="str">
        <f>_xlfn.XLOOKUP(FMECA[[#This Row],[HazardRisk_name]],categories[HazardRisk_Name],categories[Category])</f>
        <v>Operational</v>
      </c>
      <c r="I625" t="s">
        <v>492</v>
      </c>
      <c r="J625" s="10">
        <v>4</v>
      </c>
      <c r="K625" t="s">
        <v>2287</v>
      </c>
      <c r="L625" s="10">
        <v>7</v>
      </c>
      <c r="M625" t="s">
        <v>2287</v>
      </c>
      <c r="N625" s="10">
        <f>FMECA[[#This Row],[probability_value]]*FMECA[[#This Row],[consequence_value]]</f>
        <v>28</v>
      </c>
      <c r="O625" s="10" t="str">
        <f>IF(AND(FMECA[[#This Row],[Score]]&gt;=0, 9&gt;=FMECA[[#This Row],[Score]]), "UNDETECTABLE", IF(AND(FMECA[[#This Row],[Score]]&gt;=10, 24&gt;=FMECA[[#This Row],[Score]]), "MODERATE", IF(AND(FMECA[[#This Row],[Score]]&gt;=25, 35&gt;=FMECA[[#This Row],[Score]]), "HIGH", IF(AND(FMECA[[#This Row],[Score]]&gt;=36, 50&gt;=FMECA[[#This Row],[Score]]), "VERY HIGH", "Check Formula"))))</f>
        <v>HIGH</v>
      </c>
      <c r="P625" s="10" t="s">
        <v>770</v>
      </c>
      <c r="Q625" t="s">
        <v>1132</v>
      </c>
      <c r="R625" t="s">
        <v>780</v>
      </c>
      <c r="S625" s="3" t="s">
        <v>1961</v>
      </c>
      <c r="T625" t="s">
        <v>793</v>
      </c>
      <c r="Y625" t="s">
        <v>1153</v>
      </c>
      <c r="Z625" t="s">
        <v>2296</v>
      </c>
      <c r="AA625" t="s">
        <v>1162</v>
      </c>
    </row>
    <row r="626" spans="1:27" ht="17" x14ac:dyDescent="0.2">
      <c r="A626" s="225" t="s">
        <v>306</v>
      </c>
      <c r="B626" t="s">
        <v>303</v>
      </c>
      <c r="C626" t="s">
        <v>360</v>
      </c>
      <c r="D626" t="s">
        <v>220</v>
      </c>
      <c r="E626" t="s">
        <v>208</v>
      </c>
      <c r="F626" s="226" t="s">
        <v>209</v>
      </c>
      <c r="G626" t="str">
        <f>_xlfn.XLOOKUP(FMECA[[#This Row],[HazardRisk_name]],categories[HazardRisk_Name],categories[HazardRisk])</f>
        <v>Risk</v>
      </c>
      <c r="H626" t="str">
        <f>_xlfn.XLOOKUP(FMECA[[#This Row],[HazardRisk_name]],categories[HazardRisk_Name],categories[Category])</f>
        <v>Human</v>
      </c>
      <c r="I626" t="s">
        <v>490</v>
      </c>
      <c r="J626" s="10">
        <v>4</v>
      </c>
      <c r="K626" t="s">
        <v>2286</v>
      </c>
      <c r="L626" s="10">
        <v>7</v>
      </c>
      <c r="M626" t="s">
        <v>2286</v>
      </c>
      <c r="N626" s="10">
        <f>FMECA[[#This Row],[probability_value]]*FMECA[[#This Row],[consequence_value]]</f>
        <v>28</v>
      </c>
      <c r="O626" s="10" t="str">
        <f>IF(AND(FMECA[[#This Row],[Score]]&gt;=0, 9&gt;=FMECA[[#This Row],[Score]]), "UNDETECTABLE", IF(AND(FMECA[[#This Row],[Score]]&gt;=10, 24&gt;=FMECA[[#This Row],[Score]]), "MODERATE", IF(AND(FMECA[[#This Row],[Score]]&gt;=25, 35&gt;=FMECA[[#This Row],[Score]]), "HIGH", IF(AND(FMECA[[#This Row],[Score]]&gt;=36, 50&gt;=FMECA[[#This Row],[Score]]), "VERY HIGH", "Check Formula"))))</f>
        <v>HIGH</v>
      </c>
      <c r="P626" s="10" t="s">
        <v>770</v>
      </c>
      <c r="Q626" t="s">
        <v>1132</v>
      </c>
      <c r="R626" t="s">
        <v>780</v>
      </c>
      <c r="S626" s="3" t="s">
        <v>1961</v>
      </c>
      <c r="T626" t="s">
        <v>793</v>
      </c>
      <c r="Y626" t="s">
        <v>1153</v>
      </c>
      <c r="Z626" t="s">
        <v>2296</v>
      </c>
      <c r="AA626" t="s">
        <v>1162</v>
      </c>
    </row>
    <row r="627" spans="1:27" ht="17" x14ac:dyDescent="0.2">
      <c r="A627" s="225" t="s">
        <v>306</v>
      </c>
      <c r="B627" t="s">
        <v>303</v>
      </c>
      <c r="C627" t="s">
        <v>360</v>
      </c>
      <c r="D627" t="s">
        <v>220</v>
      </c>
      <c r="E627" t="s">
        <v>208</v>
      </c>
      <c r="F627" s="226" t="s">
        <v>209</v>
      </c>
      <c r="G627" t="str">
        <f>_xlfn.XLOOKUP(FMECA[[#This Row],[HazardRisk_name]],categories[HazardRisk_Name],categories[HazardRisk])</f>
        <v>Hazard</v>
      </c>
      <c r="H627" t="str">
        <f>_xlfn.XLOOKUP(FMECA[[#This Row],[HazardRisk_name]],categories[HazardRisk_Name],categories[Category])</f>
        <v>Navigational</v>
      </c>
      <c r="I627" t="s">
        <v>496</v>
      </c>
      <c r="J627" s="10">
        <v>4</v>
      </c>
      <c r="K627" t="s">
        <v>2289</v>
      </c>
      <c r="L627" s="10">
        <v>4</v>
      </c>
      <c r="M627" t="s">
        <v>2289</v>
      </c>
      <c r="N627" s="10">
        <f>FMECA[[#This Row],[probability_value]]*FMECA[[#This Row],[consequence_value]]</f>
        <v>16</v>
      </c>
      <c r="O62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27" s="10" t="s">
        <v>770</v>
      </c>
      <c r="Q627" t="s">
        <v>1132</v>
      </c>
      <c r="R627" t="s">
        <v>780</v>
      </c>
      <c r="S627" s="3" t="s">
        <v>1961</v>
      </c>
      <c r="T627" t="s">
        <v>793</v>
      </c>
      <c r="Y627" t="s">
        <v>1153</v>
      </c>
      <c r="Z627" t="s">
        <v>2296</v>
      </c>
      <c r="AA627" t="s">
        <v>1162</v>
      </c>
    </row>
    <row r="628" spans="1:27" ht="17" x14ac:dyDescent="0.2">
      <c r="A628" s="225" t="s">
        <v>306</v>
      </c>
      <c r="B628" t="s">
        <v>303</v>
      </c>
      <c r="C628" t="s">
        <v>360</v>
      </c>
      <c r="D628" t="s">
        <v>220</v>
      </c>
      <c r="E628" t="s">
        <v>208</v>
      </c>
      <c r="F628" s="226" t="s">
        <v>209</v>
      </c>
      <c r="G628" t="str">
        <f>_xlfn.XLOOKUP(FMECA[[#This Row],[HazardRisk_name]],categories[HazardRisk_Name],categories[HazardRisk])</f>
        <v>Risk</v>
      </c>
      <c r="H628" t="str">
        <f>_xlfn.XLOOKUP(FMECA[[#This Row],[HazardRisk_name]],categories[HazardRisk_Name],categories[Category])</f>
        <v>Operational</v>
      </c>
      <c r="I628" t="s">
        <v>1611</v>
      </c>
      <c r="J628" s="10">
        <v>4</v>
      </c>
      <c r="K628" s="9" t="s">
        <v>2289</v>
      </c>
      <c r="L628" s="10">
        <v>7</v>
      </c>
      <c r="M628" s="9" t="s">
        <v>2289</v>
      </c>
      <c r="N628" s="10">
        <f>FMECA[[#This Row],[probability_value]]*FMECA[[#This Row],[consequence_value]]</f>
        <v>28</v>
      </c>
      <c r="O628" s="10" t="str">
        <f>IF(AND(FMECA[[#This Row],[Score]]&gt;=0, 9&gt;=FMECA[[#This Row],[Score]]), "UNDETECTABLE", IF(AND(FMECA[[#This Row],[Score]]&gt;=10, 24&gt;=FMECA[[#This Row],[Score]]), "MODERATE", IF(AND(FMECA[[#This Row],[Score]]&gt;=25, 35&gt;=FMECA[[#This Row],[Score]]), "HIGH", IF(AND(FMECA[[#This Row],[Score]]&gt;=36, 50&gt;=FMECA[[#This Row],[Score]]), "VERY HIGH", "Check Formula"))))</f>
        <v>HIGH</v>
      </c>
      <c r="P628" s="10" t="s">
        <v>770</v>
      </c>
      <c r="Q628" t="s">
        <v>1132</v>
      </c>
      <c r="R628" t="s">
        <v>780</v>
      </c>
      <c r="S628" s="3" t="s">
        <v>1961</v>
      </c>
      <c r="T628" t="s">
        <v>793</v>
      </c>
      <c r="Y628" t="s">
        <v>1153</v>
      </c>
      <c r="Z628" t="s">
        <v>2296</v>
      </c>
      <c r="AA628" t="s">
        <v>1162</v>
      </c>
    </row>
    <row r="629" spans="1:27" ht="17" x14ac:dyDescent="0.2">
      <c r="A629" s="225" t="s">
        <v>306</v>
      </c>
      <c r="B629" t="s">
        <v>303</v>
      </c>
      <c r="C629" t="s">
        <v>360</v>
      </c>
      <c r="D629" t="s">
        <v>220</v>
      </c>
      <c r="E629" t="s">
        <v>208</v>
      </c>
      <c r="F629" s="226" t="s">
        <v>209</v>
      </c>
      <c r="G629" t="str">
        <f>_xlfn.XLOOKUP(FMECA[[#This Row],[HazardRisk_name]],categories[HazardRisk_Name],categories[HazardRisk])</f>
        <v>Hazard</v>
      </c>
      <c r="H629" t="str">
        <f>_xlfn.XLOOKUP(FMECA[[#This Row],[HazardRisk_name]],categories[HazardRisk_Name],categories[Category])</f>
        <v>Environmental</v>
      </c>
      <c r="I629" t="s">
        <v>483</v>
      </c>
      <c r="J629" s="10">
        <v>4</v>
      </c>
      <c r="K629" t="s">
        <v>2292</v>
      </c>
      <c r="L629" s="10">
        <v>7</v>
      </c>
      <c r="M629" t="s">
        <v>2292</v>
      </c>
      <c r="N629" s="10">
        <f>FMECA[[#This Row],[probability_value]]*FMECA[[#This Row],[consequence_value]]</f>
        <v>28</v>
      </c>
      <c r="O629" s="10" t="str">
        <f>IF(AND(FMECA[[#This Row],[Score]]&gt;=0, 9&gt;=FMECA[[#This Row],[Score]]), "UNDETECTABLE", IF(AND(FMECA[[#This Row],[Score]]&gt;=10, 24&gt;=FMECA[[#This Row],[Score]]), "MODERATE", IF(AND(FMECA[[#This Row],[Score]]&gt;=25, 35&gt;=FMECA[[#This Row],[Score]]), "HIGH", IF(AND(FMECA[[#This Row],[Score]]&gt;=36, 50&gt;=FMECA[[#This Row],[Score]]), "VERY HIGH", "Check Formula"))))</f>
        <v>HIGH</v>
      </c>
      <c r="P629" s="10" t="s">
        <v>770</v>
      </c>
      <c r="Q629" t="s">
        <v>1132</v>
      </c>
      <c r="R629" t="s">
        <v>780</v>
      </c>
      <c r="S629" s="3" t="s">
        <v>1961</v>
      </c>
      <c r="T629" t="s">
        <v>793</v>
      </c>
      <c r="Y629" t="s">
        <v>1153</v>
      </c>
      <c r="Z629" t="s">
        <v>2296</v>
      </c>
      <c r="AA629" t="s">
        <v>1162</v>
      </c>
    </row>
    <row r="630" spans="1:27" ht="17" x14ac:dyDescent="0.2">
      <c r="A630" s="225" t="s">
        <v>306</v>
      </c>
      <c r="B630" t="s">
        <v>303</v>
      </c>
      <c r="C630" t="s">
        <v>360</v>
      </c>
      <c r="D630" t="s">
        <v>220</v>
      </c>
      <c r="E630" t="s">
        <v>208</v>
      </c>
      <c r="F630" s="226" t="s">
        <v>209</v>
      </c>
      <c r="G630" t="str">
        <f>_xlfn.XLOOKUP(FMECA[[#This Row],[HazardRisk_name]],categories[HazardRisk_Name],categories[HazardRisk])</f>
        <v>Hazard</v>
      </c>
      <c r="H630" t="str">
        <f>_xlfn.XLOOKUP(FMECA[[#This Row],[HazardRisk_name]],categories[HazardRisk_Name],categories[Category])</f>
        <v>Environmental</v>
      </c>
      <c r="I630" t="s">
        <v>485</v>
      </c>
      <c r="J630" s="10">
        <v>3</v>
      </c>
      <c r="K630" t="s">
        <v>2292</v>
      </c>
      <c r="L630" s="10">
        <v>7</v>
      </c>
      <c r="M630" t="s">
        <v>2292</v>
      </c>
      <c r="N630" s="10">
        <f>FMECA[[#This Row],[probability_value]]*FMECA[[#This Row],[consequence_value]]</f>
        <v>21</v>
      </c>
      <c r="O63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30" s="10" t="s">
        <v>770</v>
      </c>
      <c r="Q630" t="s">
        <v>1132</v>
      </c>
      <c r="R630" t="s">
        <v>780</v>
      </c>
      <c r="S630" s="3" t="s">
        <v>1961</v>
      </c>
      <c r="T630" t="s">
        <v>793</v>
      </c>
      <c r="Y630" t="s">
        <v>1153</v>
      </c>
      <c r="Z630" t="s">
        <v>2296</v>
      </c>
      <c r="AA630" t="s">
        <v>1162</v>
      </c>
    </row>
    <row r="631" spans="1:27" ht="17" x14ac:dyDescent="0.2">
      <c r="A631" s="225" t="s">
        <v>306</v>
      </c>
      <c r="B631" t="s">
        <v>303</v>
      </c>
      <c r="C631" t="s">
        <v>360</v>
      </c>
      <c r="D631" t="s">
        <v>220</v>
      </c>
      <c r="E631" t="s">
        <v>208</v>
      </c>
      <c r="F631" s="226" t="s">
        <v>209</v>
      </c>
      <c r="G631" t="str">
        <f>_xlfn.XLOOKUP(FMECA[[#This Row],[HazardRisk_name]],categories[HazardRisk_Name],categories[HazardRisk])</f>
        <v>Hazard</v>
      </c>
      <c r="H631" t="str">
        <f>_xlfn.XLOOKUP(FMECA[[#This Row],[HazardRisk_name]],categories[HazardRisk_Name],categories[Category])</f>
        <v>Environmental</v>
      </c>
      <c r="I631" t="s">
        <v>684</v>
      </c>
      <c r="J631" s="10">
        <v>3</v>
      </c>
      <c r="K631" t="s">
        <v>2292</v>
      </c>
      <c r="L631" s="10">
        <v>7</v>
      </c>
      <c r="M631" t="s">
        <v>2292</v>
      </c>
      <c r="N631" s="10">
        <f>FMECA[[#This Row],[probability_value]]*FMECA[[#This Row],[consequence_value]]</f>
        <v>21</v>
      </c>
      <c r="O63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31" s="10" t="s">
        <v>770</v>
      </c>
      <c r="Q631" t="s">
        <v>1132</v>
      </c>
      <c r="R631" t="s">
        <v>780</v>
      </c>
      <c r="S631" s="3" t="s">
        <v>1961</v>
      </c>
      <c r="T631" t="s">
        <v>793</v>
      </c>
      <c r="Y631" t="s">
        <v>1153</v>
      </c>
      <c r="Z631" t="s">
        <v>2296</v>
      </c>
      <c r="AA631" t="s">
        <v>1162</v>
      </c>
    </row>
    <row r="632" spans="1:27" ht="17" x14ac:dyDescent="0.2">
      <c r="A632" s="225" t="s">
        <v>306</v>
      </c>
      <c r="B632" t="s">
        <v>303</v>
      </c>
      <c r="C632" t="s">
        <v>360</v>
      </c>
      <c r="D632" t="s">
        <v>220</v>
      </c>
      <c r="E632" t="s">
        <v>208</v>
      </c>
      <c r="F632" s="226" t="s">
        <v>209</v>
      </c>
      <c r="G632" t="str">
        <f>_xlfn.XLOOKUP(FMECA[[#This Row],[HazardRisk_name]],categories[HazardRisk_Name],categories[HazardRisk])</f>
        <v>Hazard</v>
      </c>
      <c r="H632" t="str">
        <f>_xlfn.XLOOKUP(FMECA[[#This Row],[HazardRisk_name]],categories[HazardRisk_Name],categories[Category])</f>
        <v>Environmental</v>
      </c>
      <c r="I632" t="s">
        <v>600</v>
      </c>
      <c r="J632" s="10">
        <v>4</v>
      </c>
      <c r="K632" t="s">
        <v>2292</v>
      </c>
      <c r="L632" s="10">
        <v>7</v>
      </c>
      <c r="M632" t="s">
        <v>2292</v>
      </c>
      <c r="N632" s="10">
        <f>FMECA[[#This Row],[probability_value]]*FMECA[[#This Row],[consequence_value]]</f>
        <v>28</v>
      </c>
      <c r="O632" s="10" t="str">
        <f>IF(AND(FMECA[[#This Row],[Score]]&gt;=0, 9&gt;=FMECA[[#This Row],[Score]]), "UNDETECTABLE", IF(AND(FMECA[[#This Row],[Score]]&gt;=10, 24&gt;=FMECA[[#This Row],[Score]]), "MODERATE", IF(AND(FMECA[[#This Row],[Score]]&gt;=25, 35&gt;=FMECA[[#This Row],[Score]]), "HIGH", IF(AND(FMECA[[#This Row],[Score]]&gt;=36, 50&gt;=FMECA[[#This Row],[Score]]), "VERY HIGH", "Check Formula"))))</f>
        <v>HIGH</v>
      </c>
      <c r="P632" s="10" t="s">
        <v>770</v>
      </c>
      <c r="Q632" t="s">
        <v>1132</v>
      </c>
      <c r="R632" t="s">
        <v>780</v>
      </c>
      <c r="S632" s="3" t="s">
        <v>1961</v>
      </c>
      <c r="T632" t="s">
        <v>793</v>
      </c>
      <c r="Y632" t="s">
        <v>1153</v>
      </c>
      <c r="Z632" t="s">
        <v>2296</v>
      </c>
      <c r="AA632" t="s">
        <v>1162</v>
      </c>
    </row>
    <row r="633" spans="1:27" ht="17" x14ac:dyDescent="0.2">
      <c r="A633" s="225" t="s">
        <v>306</v>
      </c>
      <c r="B633" t="s">
        <v>303</v>
      </c>
      <c r="C633" t="s">
        <v>360</v>
      </c>
      <c r="D633" t="s">
        <v>220</v>
      </c>
      <c r="E633" t="s">
        <v>208</v>
      </c>
      <c r="F633" s="226" t="s">
        <v>209</v>
      </c>
      <c r="G633" t="str">
        <f>_xlfn.XLOOKUP(FMECA[[#This Row],[HazardRisk_name]],categories[HazardRisk_Name],categories[HazardRisk])</f>
        <v>Hazard</v>
      </c>
      <c r="H633" t="str">
        <f>_xlfn.XLOOKUP(FMECA[[#This Row],[HazardRisk_name]],categories[HazardRisk_Name],categories[Category])</f>
        <v>Sea Ice</v>
      </c>
      <c r="I633" t="s">
        <v>673</v>
      </c>
      <c r="J633" s="10">
        <v>4</v>
      </c>
      <c r="K633" t="s">
        <v>2292</v>
      </c>
      <c r="L633" s="10">
        <v>7</v>
      </c>
      <c r="M633" t="s">
        <v>2292</v>
      </c>
      <c r="N633" s="10">
        <f>FMECA[[#This Row],[probability_value]]*FMECA[[#This Row],[consequence_value]]</f>
        <v>28</v>
      </c>
      <c r="O633" s="10" t="str">
        <f>IF(AND(FMECA[[#This Row],[Score]]&gt;=0, 9&gt;=FMECA[[#This Row],[Score]]), "UNDETECTABLE", IF(AND(FMECA[[#This Row],[Score]]&gt;=10, 24&gt;=FMECA[[#This Row],[Score]]), "MODERATE", IF(AND(FMECA[[#This Row],[Score]]&gt;=25, 35&gt;=FMECA[[#This Row],[Score]]), "HIGH", IF(AND(FMECA[[#This Row],[Score]]&gt;=36, 50&gt;=FMECA[[#This Row],[Score]]), "VERY HIGH", "Check Formula"))))</f>
        <v>HIGH</v>
      </c>
      <c r="P633" s="10" t="s">
        <v>770</v>
      </c>
      <c r="Q633" t="s">
        <v>1132</v>
      </c>
      <c r="R633" t="s">
        <v>780</v>
      </c>
      <c r="S633" s="3" t="s">
        <v>1961</v>
      </c>
      <c r="T633" t="s">
        <v>793</v>
      </c>
      <c r="Y633" t="s">
        <v>1153</v>
      </c>
      <c r="Z633" t="s">
        <v>2296</v>
      </c>
      <c r="AA633" t="s">
        <v>1162</v>
      </c>
    </row>
    <row r="634" spans="1:27" ht="17" x14ac:dyDescent="0.2">
      <c r="A634" s="225" t="s">
        <v>306</v>
      </c>
      <c r="B634" t="s">
        <v>303</v>
      </c>
      <c r="C634" t="s">
        <v>360</v>
      </c>
      <c r="D634" t="s">
        <v>220</v>
      </c>
      <c r="E634" t="s">
        <v>208</v>
      </c>
      <c r="F634" s="226" t="s">
        <v>209</v>
      </c>
      <c r="G634" t="str">
        <f>_xlfn.XLOOKUP(FMECA[[#This Row],[HazardRisk_name]],categories[HazardRisk_Name],categories[HazardRisk])</f>
        <v>Risk</v>
      </c>
      <c r="H634" t="str">
        <f>_xlfn.XLOOKUP(FMECA[[#This Row],[HazardRisk_name]],categories[HazardRisk_Name],categories[Category])</f>
        <v>Environmental</v>
      </c>
      <c r="I634" t="s">
        <v>573</v>
      </c>
      <c r="J634" s="10">
        <v>4</v>
      </c>
      <c r="K634" t="s">
        <v>2290</v>
      </c>
      <c r="L634" s="10">
        <v>7</v>
      </c>
      <c r="M634" t="s">
        <v>2290</v>
      </c>
      <c r="N634" s="10">
        <f>FMECA[[#This Row],[probability_value]]*FMECA[[#This Row],[consequence_value]]</f>
        <v>28</v>
      </c>
      <c r="O634" s="10" t="str">
        <f>IF(AND(FMECA[[#This Row],[Score]]&gt;=0, 9&gt;=FMECA[[#This Row],[Score]]), "UNDETECTABLE", IF(AND(FMECA[[#This Row],[Score]]&gt;=10, 24&gt;=FMECA[[#This Row],[Score]]), "MODERATE", IF(AND(FMECA[[#This Row],[Score]]&gt;=25, 35&gt;=FMECA[[#This Row],[Score]]), "HIGH", IF(AND(FMECA[[#This Row],[Score]]&gt;=36, 50&gt;=FMECA[[#This Row],[Score]]), "VERY HIGH", "Check Formula"))))</f>
        <v>HIGH</v>
      </c>
      <c r="P634" s="10" t="s">
        <v>770</v>
      </c>
      <c r="Q634" t="s">
        <v>1132</v>
      </c>
      <c r="R634" t="s">
        <v>780</v>
      </c>
      <c r="S634" s="3" t="s">
        <v>1961</v>
      </c>
      <c r="T634" t="s">
        <v>793</v>
      </c>
      <c r="W634" t="s">
        <v>2291</v>
      </c>
      <c r="X634" t="s">
        <v>470</v>
      </c>
      <c r="Y634" t="s">
        <v>1153</v>
      </c>
      <c r="Z634" t="s">
        <v>2296</v>
      </c>
      <c r="AA634" t="s">
        <v>1162</v>
      </c>
    </row>
    <row r="635" spans="1:27" ht="17" x14ac:dyDescent="0.2">
      <c r="A635" s="225" t="s">
        <v>306</v>
      </c>
      <c r="B635" t="s">
        <v>303</v>
      </c>
      <c r="C635" t="s">
        <v>360</v>
      </c>
      <c r="D635" t="s">
        <v>220</v>
      </c>
      <c r="E635" t="s">
        <v>208</v>
      </c>
      <c r="F635" s="226" t="s">
        <v>209</v>
      </c>
      <c r="G635" t="str">
        <f>_xlfn.XLOOKUP(FMECA[[#This Row],[HazardRisk_name]],categories[HazardRisk_Name],categories[HazardRisk])</f>
        <v>Risk</v>
      </c>
      <c r="H635" t="str">
        <f>_xlfn.XLOOKUP(FMECA[[#This Row],[HazardRisk_name]],categories[HazardRisk_Name],categories[Category])</f>
        <v>Environmental</v>
      </c>
      <c r="I635" t="s">
        <v>717</v>
      </c>
      <c r="J635" s="10">
        <v>5</v>
      </c>
      <c r="K635" t="s">
        <v>2290</v>
      </c>
      <c r="L635" s="10">
        <v>7</v>
      </c>
      <c r="M635" t="s">
        <v>2290</v>
      </c>
      <c r="N635" s="10">
        <f>FMECA[[#This Row],[probability_value]]*FMECA[[#This Row],[consequence_value]]</f>
        <v>35</v>
      </c>
      <c r="O635" s="10" t="str">
        <f>IF(AND(FMECA[[#This Row],[Score]]&gt;=0, 9&gt;=FMECA[[#This Row],[Score]]), "UNDETECTABLE", IF(AND(FMECA[[#This Row],[Score]]&gt;=10, 24&gt;=FMECA[[#This Row],[Score]]), "MODERATE", IF(AND(FMECA[[#This Row],[Score]]&gt;=25, 35&gt;=FMECA[[#This Row],[Score]]), "HIGH", IF(AND(FMECA[[#This Row],[Score]]&gt;=36, 50&gt;=FMECA[[#This Row],[Score]]), "VERY HIGH", "Check Formula"))))</f>
        <v>HIGH</v>
      </c>
      <c r="P635" s="10" t="s">
        <v>770</v>
      </c>
      <c r="Q635" t="s">
        <v>1132</v>
      </c>
      <c r="R635" t="s">
        <v>780</v>
      </c>
      <c r="S635" s="3" t="s">
        <v>1961</v>
      </c>
      <c r="T635" t="s">
        <v>793</v>
      </c>
      <c r="W635" t="s">
        <v>2291</v>
      </c>
      <c r="X635" t="s">
        <v>470</v>
      </c>
      <c r="Y635" t="s">
        <v>1153</v>
      </c>
      <c r="Z635" t="s">
        <v>2296</v>
      </c>
      <c r="AA635" t="s">
        <v>1162</v>
      </c>
    </row>
    <row r="636" spans="1:27" ht="17" x14ac:dyDescent="0.2">
      <c r="A636" s="225" t="s">
        <v>306</v>
      </c>
      <c r="B636" t="s">
        <v>303</v>
      </c>
      <c r="C636" t="s">
        <v>360</v>
      </c>
      <c r="D636" t="s">
        <v>220</v>
      </c>
      <c r="E636" t="s">
        <v>208</v>
      </c>
      <c r="F636" s="226" t="s">
        <v>209</v>
      </c>
      <c r="G636" t="str">
        <f>_xlfn.XLOOKUP(FMECA[[#This Row],[HazardRisk_name]],categories[HazardRisk_Name],categories[HazardRisk])</f>
        <v>Risk</v>
      </c>
      <c r="H636" t="str">
        <f>_xlfn.XLOOKUP(FMECA[[#This Row],[HazardRisk_name]],categories[HazardRisk_Name],categories[Category])</f>
        <v>Sea Ice</v>
      </c>
      <c r="I636" t="s">
        <v>480</v>
      </c>
      <c r="J636" s="10">
        <v>4</v>
      </c>
      <c r="K636" t="s">
        <v>2285</v>
      </c>
      <c r="L636" s="10">
        <v>7</v>
      </c>
      <c r="M636" t="s">
        <v>2285</v>
      </c>
      <c r="N636" s="10">
        <f>FMECA[[#This Row],[probability_value]]*FMECA[[#This Row],[consequence_value]]</f>
        <v>28</v>
      </c>
      <c r="O636" s="10" t="str">
        <f>IF(AND(FMECA[[#This Row],[Score]]&gt;=0, 9&gt;=FMECA[[#This Row],[Score]]), "UNDETECTABLE", IF(AND(FMECA[[#This Row],[Score]]&gt;=10, 24&gt;=FMECA[[#This Row],[Score]]), "MODERATE", IF(AND(FMECA[[#This Row],[Score]]&gt;=25, 35&gt;=FMECA[[#This Row],[Score]]), "HIGH", IF(AND(FMECA[[#This Row],[Score]]&gt;=36, 50&gt;=FMECA[[#This Row],[Score]]), "VERY HIGH", "Check Formula"))))</f>
        <v>HIGH</v>
      </c>
      <c r="P636" s="10" t="s">
        <v>770</v>
      </c>
      <c r="Q636" t="s">
        <v>1132</v>
      </c>
      <c r="R636" t="s">
        <v>780</v>
      </c>
      <c r="S636" s="3" t="s">
        <v>1961</v>
      </c>
      <c r="T636" t="s">
        <v>793</v>
      </c>
      <c r="Y636" t="s">
        <v>1153</v>
      </c>
      <c r="Z636" t="s">
        <v>2296</v>
      </c>
      <c r="AA636" t="s">
        <v>1162</v>
      </c>
    </row>
    <row r="637" spans="1:27" s="170" customFormat="1" x14ac:dyDescent="0.2">
      <c r="A637" s="227" t="s">
        <v>307</v>
      </c>
      <c r="B637" s="206"/>
      <c r="C637" s="206"/>
      <c r="D637" s="206"/>
      <c r="E637" s="206"/>
      <c r="F637" s="228"/>
      <c r="G637" s="206" t="e">
        <f>_xlfn.XLOOKUP(FMECA[[#This Row],[HazardRisk_name]],categories[HazardRisk_Name],categories[HazardRisk])</f>
        <v>#N/A</v>
      </c>
      <c r="H637" s="206" t="e">
        <f>_xlfn.XLOOKUP(FMECA[[#This Row],[HazardRisk_name]],categories[HazardRisk_Name],categories[Category])</f>
        <v>#N/A</v>
      </c>
      <c r="I637" s="206"/>
      <c r="J637" s="207"/>
      <c r="K637" s="206"/>
      <c r="L637" s="207"/>
      <c r="M637" s="206"/>
      <c r="N637" s="207">
        <f>FMECA[[#This Row],[probability_value]]*FMECA[[#This Row],[consequence_value]]</f>
        <v>0</v>
      </c>
      <c r="O637" s="207"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637" s="207"/>
      <c r="Q637" s="206"/>
      <c r="R637" s="206"/>
      <c r="S637" s="206"/>
      <c r="T637" s="206"/>
      <c r="U637" s="206"/>
      <c r="V637" s="206"/>
      <c r="W637" s="206"/>
      <c r="X637" s="206"/>
      <c r="Y637" s="206"/>
      <c r="Z637" s="206"/>
      <c r="AA637" s="206"/>
    </row>
    <row r="638" spans="1:27" x14ac:dyDescent="0.2">
      <c r="A638" s="225" t="s">
        <v>308</v>
      </c>
      <c r="B638" t="s">
        <v>303</v>
      </c>
      <c r="C638" t="s">
        <v>361</v>
      </c>
      <c r="D638" t="s">
        <v>364</v>
      </c>
      <c r="E638" t="s">
        <v>363</v>
      </c>
      <c r="F638" s="226" t="s">
        <v>362</v>
      </c>
      <c r="G638" t="str">
        <f>_xlfn.XLOOKUP(FMECA[[#This Row],[HazardRisk_name]],categories[HazardRisk_Name],categories[HazardRisk])</f>
        <v>Hazard</v>
      </c>
      <c r="H638" t="str">
        <f>_xlfn.XLOOKUP(FMECA[[#This Row],[HazardRisk_name]],categories[HazardRisk_Name],categories[Category])</f>
        <v>Sea Ice</v>
      </c>
      <c r="I638" t="s">
        <v>563</v>
      </c>
      <c r="J638" s="10">
        <v>5</v>
      </c>
      <c r="K638" t="s">
        <v>2279</v>
      </c>
      <c r="L638" s="10">
        <v>10</v>
      </c>
      <c r="M638" t="s">
        <v>2279</v>
      </c>
      <c r="N638" s="10">
        <f>FMECA[[#This Row],[probability_value]]*FMECA[[#This Row],[consequence_value]]</f>
        <v>50</v>
      </c>
      <c r="O638"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638" s="10" t="s">
        <v>770</v>
      </c>
      <c r="Q638" t="s">
        <v>1162</v>
      </c>
      <c r="R638" t="s">
        <v>780</v>
      </c>
      <c r="S638" t="s">
        <v>2278</v>
      </c>
      <c r="T638" t="s">
        <v>793</v>
      </c>
      <c r="U638" t="s">
        <v>2001</v>
      </c>
      <c r="V638" t="s">
        <v>466</v>
      </c>
      <c r="AA638" t="s">
        <v>1162</v>
      </c>
    </row>
    <row r="639" spans="1:27" x14ac:dyDescent="0.2">
      <c r="A639" s="225" t="s">
        <v>308</v>
      </c>
      <c r="B639" t="s">
        <v>303</v>
      </c>
      <c r="C639" t="s">
        <v>361</v>
      </c>
      <c r="D639" t="s">
        <v>364</v>
      </c>
      <c r="E639" t="s">
        <v>363</v>
      </c>
      <c r="F639" s="226" t="s">
        <v>362</v>
      </c>
      <c r="G639" t="str">
        <f>_xlfn.XLOOKUP(FMECA[[#This Row],[HazardRisk_name]],categories[HazardRisk_Name],categories[HazardRisk])</f>
        <v>Risk</v>
      </c>
      <c r="H639" t="str">
        <f>_xlfn.XLOOKUP(FMECA[[#This Row],[HazardRisk_name]],categories[HazardRisk_Name],categories[Category])</f>
        <v>Operational</v>
      </c>
      <c r="I639" t="s">
        <v>725</v>
      </c>
      <c r="J639" s="10">
        <v>4</v>
      </c>
      <c r="K639" t="s">
        <v>2284</v>
      </c>
      <c r="L639" s="10">
        <v>4</v>
      </c>
      <c r="M639" t="s">
        <v>2284</v>
      </c>
      <c r="N639" s="10">
        <f>FMECA[[#This Row],[probability_value]]*FMECA[[#This Row],[consequence_value]]</f>
        <v>16</v>
      </c>
      <c r="O63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39" s="10" t="s">
        <v>770</v>
      </c>
      <c r="Q639" t="s">
        <v>1162</v>
      </c>
      <c r="R639" t="s">
        <v>780</v>
      </c>
      <c r="S639" t="s">
        <v>2278</v>
      </c>
      <c r="T639" t="s">
        <v>793</v>
      </c>
      <c r="AA639" t="s">
        <v>1162</v>
      </c>
    </row>
    <row r="640" spans="1:27" x14ac:dyDescent="0.2">
      <c r="A640" s="225" t="s">
        <v>308</v>
      </c>
      <c r="B640" t="s">
        <v>303</v>
      </c>
      <c r="C640" t="s">
        <v>361</v>
      </c>
      <c r="D640" t="s">
        <v>364</v>
      </c>
      <c r="E640" t="s">
        <v>363</v>
      </c>
      <c r="F640" s="226" t="s">
        <v>362</v>
      </c>
      <c r="G640" t="str">
        <f>_xlfn.XLOOKUP(FMECA[[#This Row],[HazardRisk_name]],categories[HazardRisk_Name],categories[HazardRisk])</f>
        <v>Risk</v>
      </c>
      <c r="H640" t="str">
        <f>_xlfn.XLOOKUP(FMECA[[#This Row],[HazardRisk_name]],categories[HazardRisk_Name],categories[Category])</f>
        <v>Assessment</v>
      </c>
      <c r="I640" t="s">
        <v>667</v>
      </c>
      <c r="J640" s="10">
        <v>5</v>
      </c>
      <c r="K640" t="s">
        <v>2279</v>
      </c>
      <c r="L640" s="10">
        <v>4</v>
      </c>
      <c r="M640" t="s">
        <v>2279</v>
      </c>
      <c r="N640" s="10">
        <f>FMECA[[#This Row],[probability_value]]*FMECA[[#This Row],[consequence_value]]</f>
        <v>20</v>
      </c>
      <c r="O64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40" s="10" t="s">
        <v>770</v>
      </c>
      <c r="Q640" t="s">
        <v>1162</v>
      </c>
      <c r="R640" t="s">
        <v>780</v>
      </c>
      <c r="S640" t="s">
        <v>2278</v>
      </c>
      <c r="T640" t="s">
        <v>793</v>
      </c>
      <c r="U640" t="s">
        <v>2282</v>
      </c>
      <c r="V640" t="s">
        <v>470</v>
      </c>
      <c r="W640" t="s">
        <v>2283</v>
      </c>
      <c r="X640" t="s">
        <v>470</v>
      </c>
      <c r="AA640" t="s">
        <v>1162</v>
      </c>
    </row>
    <row r="641" spans="1:27" x14ac:dyDescent="0.2">
      <c r="A641" s="225" t="s">
        <v>308</v>
      </c>
      <c r="B641" t="s">
        <v>303</v>
      </c>
      <c r="C641" t="s">
        <v>361</v>
      </c>
      <c r="D641" t="s">
        <v>364</v>
      </c>
      <c r="E641" t="s">
        <v>363</v>
      </c>
      <c r="F641" s="226" t="s">
        <v>362</v>
      </c>
      <c r="G641" t="str">
        <f>_xlfn.XLOOKUP(FMECA[[#This Row],[HazardRisk_name]],categories[HazardRisk_Name],categories[HazardRisk])</f>
        <v>Hazard</v>
      </c>
      <c r="H641" t="str">
        <f>_xlfn.XLOOKUP(FMECA[[#This Row],[HazardRisk_name]],categories[HazardRisk_Name],categories[Category])</f>
        <v>Environmental</v>
      </c>
      <c r="I641" t="s">
        <v>691</v>
      </c>
      <c r="J641" s="10">
        <v>4</v>
      </c>
      <c r="K641" t="s">
        <v>2279</v>
      </c>
      <c r="L641" s="10">
        <v>7</v>
      </c>
      <c r="M641" t="s">
        <v>2279</v>
      </c>
      <c r="N641" s="10">
        <f>FMECA[[#This Row],[probability_value]]*FMECA[[#This Row],[consequence_value]]</f>
        <v>28</v>
      </c>
      <c r="O641" s="10" t="str">
        <f>IF(AND(FMECA[[#This Row],[Score]]&gt;=0, 9&gt;=FMECA[[#This Row],[Score]]), "UNDETECTABLE", IF(AND(FMECA[[#This Row],[Score]]&gt;=10, 24&gt;=FMECA[[#This Row],[Score]]), "MODERATE", IF(AND(FMECA[[#This Row],[Score]]&gt;=25, 35&gt;=FMECA[[#This Row],[Score]]), "HIGH", IF(AND(FMECA[[#This Row],[Score]]&gt;=36, 50&gt;=FMECA[[#This Row],[Score]]), "VERY HIGH", "Check Formula"))))</f>
        <v>HIGH</v>
      </c>
      <c r="P641" s="10" t="s">
        <v>770</v>
      </c>
      <c r="Q641" t="s">
        <v>1162</v>
      </c>
      <c r="R641" t="s">
        <v>780</v>
      </c>
      <c r="S641" t="s">
        <v>2278</v>
      </c>
      <c r="T641" t="s">
        <v>793</v>
      </c>
      <c r="AA641" t="s">
        <v>1162</v>
      </c>
    </row>
    <row r="642" spans="1:27" x14ac:dyDescent="0.2">
      <c r="A642" s="225" t="s">
        <v>308</v>
      </c>
      <c r="B642" t="s">
        <v>303</v>
      </c>
      <c r="C642" t="s">
        <v>361</v>
      </c>
      <c r="D642" t="s">
        <v>364</v>
      </c>
      <c r="E642" t="s">
        <v>363</v>
      </c>
      <c r="F642" s="226" t="s">
        <v>362</v>
      </c>
      <c r="G642" t="str">
        <f>_xlfn.XLOOKUP(FMECA[[#This Row],[HazardRisk_name]],categories[HazardRisk_Name],categories[HazardRisk])</f>
        <v>Hazard</v>
      </c>
      <c r="H642" t="str">
        <f>_xlfn.XLOOKUP(FMECA[[#This Row],[HazardRisk_name]],categories[HazardRisk_Name],categories[Category])</f>
        <v>Environmental</v>
      </c>
      <c r="I642" t="s">
        <v>485</v>
      </c>
      <c r="J642" s="10">
        <v>5</v>
      </c>
      <c r="K642" t="s">
        <v>2280</v>
      </c>
      <c r="L642" s="10">
        <v>7</v>
      </c>
      <c r="M642" t="s">
        <v>2280</v>
      </c>
      <c r="N642" s="10">
        <f>FMECA[[#This Row],[probability_value]]*FMECA[[#This Row],[consequence_value]]</f>
        <v>35</v>
      </c>
      <c r="O642" s="10" t="str">
        <f>IF(AND(FMECA[[#This Row],[Score]]&gt;=0, 9&gt;=FMECA[[#This Row],[Score]]), "UNDETECTABLE", IF(AND(FMECA[[#This Row],[Score]]&gt;=10, 24&gt;=FMECA[[#This Row],[Score]]), "MODERATE", IF(AND(FMECA[[#This Row],[Score]]&gt;=25, 35&gt;=FMECA[[#This Row],[Score]]), "HIGH", IF(AND(FMECA[[#This Row],[Score]]&gt;=36, 50&gt;=FMECA[[#This Row],[Score]]), "VERY HIGH", "Check Formula"))))</f>
        <v>HIGH</v>
      </c>
      <c r="P642" s="10" t="s">
        <v>770</v>
      </c>
      <c r="Q642" t="s">
        <v>1162</v>
      </c>
      <c r="R642" t="s">
        <v>780</v>
      </c>
      <c r="S642" t="s">
        <v>2278</v>
      </c>
      <c r="T642" t="s">
        <v>793</v>
      </c>
      <c r="U642" t="s">
        <v>2281</v>
      </c>
      <c r="V642" t="s">
        <v>470</v>
      </c>
      <c r="AA642" t="s">
        <v>1162</v>
      </c>
    </row>
    <row r="643" spans="1:27" s="170" customFormat="1" x14ac:dyDescent="0.2">
      <c r="A643" s="227" t="s">
        <v>309</v>
      </c>
      <c r="B643" s="206"/>
      <c r="C643" s="206"/>
      <c r="D643" s="206"/>
      <c r="E643" s="206"/>
      <c r="F643" s="228"/>
      <c r="G643" s="206" t="e">
        <f>_xlfn.XLOOKUP(FMECA[[#This Row],[HazardRisk_name]],categories[HazardRisk_Name],categories[HazardRisk])</f>
        <v>#N/A</v>
      </c>
      <c r="H643" s="206" t="e">
        <f>_xlfn.XLOOKUP(FMECA[[#This Row],[HazardRisk_name]],categories[HazardRisk_Name],categories[Category])</f>
        <v>#N/A</v>
      </c>
      <c r="I643" s="206"/>
      <c r="J643" s="207"/>
      <c r="K643" s="206"/>
      <c r="L643" s="207"/>
      <c r="M643" s="206"/>
      <c r="N643" s="207">
        <f>FMECA[[#This Row],[probability_value]]*FMECA[[#This Row],[consequence_value]]</f>
        <v>0</v>
      </c>
      <c r="O643" s="207"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643" s="207"/>
      <c r="Q643" s="206"/>
      <c r="R643" s="206"/>
      <c r="S643" s="206"/>
      <c r="T643" s="206"/>
      <c r="U643" s="206"/>
      <c r="V643" s="206"/>
      <c r="W643" s="206"/>
      <c r="X643" s="206"/>
      <c r="Y643" s="206"/>
      <c r="Z643" s="206"/>
      <c r="AA643" s="206"/>
    </row>
    <row r="644" spans="1:27" x14ac:dyDescent="0.2">
      <c r="A644" s="225" t="s">
        <v>310</v>
      </c>
      <c r="B644" t="s">
        <v>303</v>
      </c>
      <c r="C644" t="s">
        <v>367</v>
      </c>
      <c r="D644" t="s">
        <v>179</v>
      </c>
      <c r="E644" t="s">
        <v>366</v>
      </c>
      <c r="F644" s="226" t="s">
        <v>368</v>
      </c>
      <c r="G644" t="str">
        <f>_xlfn.XLOOKUP(FMECA[[#This Row],[HazardRisk_name]],categories[HazardRisk_Name],categories[HazardRisk])</f>
        <v>Risk</v>
      </c>
      <c r="H644" t="str">
        <f>_xlfn.XLOOKUP(FMECA[[#This Row],[HazardRisk_name]],categories[HazardRisk_Name],categories[Category])</f>
        <v>Assessment</v>
      </c>
      <c r="I644" t="s">
        <v>698</v>
      </c>
      <c r="J644" s="10">
        <v>4</v>
      </c>
      <c r="K644" t="s">
        <v>2264</v>
      </c>
      <c r="L644" s="10">
        <v>4</v>
      </c>
      <c r="M644" t="s">
        <v>2264</v>
      </c>
      <c r="N644" s="10">
        <f>FMECA[[#This Row],[probability_value]]*FMECA[[#This Row],[consequence_value]]</f>
        <v>16</v>
      </c>
      <c r="O64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44" s="10" t="s">
        <v>770</v>
      </c>
      <c r="Q644" t="s">
        <v>1132</v>
      </c>
      <c r="R644" t="s">
        <v>780</v>
      </c>
      <c r="S644" t="s">
        <v>2262</v>
      </c>
      <c r="T644" t="s">
        <v>793</v>
      </c>
      <c r="U644" t="s">
        <v>2265</v>
      </c>
      <c r="V644" t="s">
        <v>466</v>
      </c>
      <c r="W644" t="s">
        <v>2266</v>
      </c>
      <c r="X644" t="s">
        <v>466</v>
      </c>
      <c r="AA644" t="s">
        <v>1162</v>
      </c>
    </row>
    <row r="645" spans="1:27" x14ac:dyDescent="0.2">
      <c r="A645" s="225" t="s">
        <v>310</v>
      </c>
      <c r="B645" t="s">
        <v>303</v>
      </c>
      <c r="C645" t="s">
        <v>367</v>
      </c>
      <c r="D645" t="s">
        <v>179</v>
      </c>
      <c r="E645" t="s">
        <v>366</v>
      </c>
      <c r="F645" s="226" t="s">
        <v>368</v>
      </c>
      <c r="G645" t="str">
        <f>_xlfn.XLOOKUP(FMECA[[#This Row],[HazardRisk_name]],categories[HazardRisk_Name],categories[HazardRisk])</f>
        <v>Risk</v>
      </c>
      <c r="H645" t="str">
        <f>_xlfn.XLOOKUP(FMECA[[#This Row],[HazardRisk_name]],categories[HazardRisk_Name],categories[Category])</f>
        <v>Navigational</v>
      </c>
      <c r="I645" t="s">
        <v>474</v>
      </c>
      <c r="J645" s="10">
        <v>3</v>
      </c>
      <c r="K645" t="s">
        <v>1333</v>
      </c>
      <c r="L645" s="10">
        <v>7</v>
      </c>
      <c r="M645" t="s">
        <v>1333</v>
      </c>
      <c r="N645" s="10">
        <f>FMECA[[#This Row],[probability_value]]*FMECA[[#This Row],[consequence_value]]</f>
        <v>21</v>
      </c>
      <c r="O64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45" s="10" t="s">
        <v>770</v>
      </c>
      <c r="Q645" t="s">
        <v>1132</v>
      </c>
      <c r="R645" t="s">
        <v>780</v>
      </c>
      <c r="S645" t="s">
        <v>2262</v>
      </c>
      <c r="T645" t="s">
        <v>793</v>
      </c>
      <c r="AA645" t="s">
        <v>1162</v>
      </c>
    </row>
    <row r="646" spans="1:27" x14ac:dyDescent="0.2">
      <c r="A646" s="225" t="s">
        <v>310</v>
      </c>
      <c r="B646" t="s">
        <v>303</v>
      </c>
      <c r="C646" t="s">
        <v>367</v>
      </c>
      <c r="D646" t="s">
        <v>179</v>
      </c>
      <c r="E646" t="s">
        <v>366</v>
      </c>
      <c r="F646" s="226" t="s">
        <v>368</v>
      </c>
      <c r="G646" t="str">
        <f>_xlfn.XLOOKUP(FMECA[[#This Row],[HazardRisk_name]],categories[HazardRisk_Name],categories[HazardRisk])</f>
        <v>Risk</v>
      </c>
      <c r="H646" t="str">
        <f>_xlfn.XLOOKUP(FMECA[[#This Row],[HazardRisk_name]],categories[HazardRisk_Name],categories[Category])</f>
        <v>Environmental</v>
      </c>
      <c r="I646" t="s">
        <v>553</v>
      </c>
      <c r="J646" s="10">
        <v>4</v>
      </c>
      <c r="K646" t="s">
        <v>2270</v>
      </c>
      <c r="L646" s="10">
        <v>7</v>
      </c>
      <c r="M646" t="s">
        <v>2270</v>
      </c>
      <c r="N646" s="10">
        <f>FMECA[[#This Row],[probability_value]]*FMECA[[#This Row],[consequence_value]]</f>
        <v>28</v>
      </c>
      <c r="O646" s="10" t="str">
        <f>IF(AND(FMECA[[#This Row],[Score]]&gt;=0, 9&gt;=FMECA[[#This Row],[Score]]), "UNDETECTABLE", IF(AND(FMECA[[#This Row],[Score]]&gt;=10, 24&gt;=FMECA[[#This Row],[Score]]), "MODERATE", IF(AND(FMECA[[#This Row],[Score]]&gt;=25, 35&gt;=FMECA[[#This Row],[Score]]), "HIGH", IF(AND(FMECA[[#This Row],[Score]]&gt;=36, 50&gt;=FMECA[[#This Row],[Score]]), "VERY HIGH", "Check Formula"))))</f>
        <v>HIGH</v>
      </c>
      <c r="P646" s="10" t="s">
        <v>770</v>
      </c>
      <c r="Q646" t="s">
        <v>1132</v>
      </c>
      <c r="R646" t="s">
        <v>780</v>
      </c>
      <c r="S646" t="s">
        <v>2262</v>
      </c>
      <c r="T646" t="s">
        <v>793</v>
      </c>
      <c r="U646" t="s">
        <v>2271</v>
      </c>
      <c r="V646" t="s">
        <v>449</v>
      </c>
      <c r="W646" t="s">
        <v>2272</v>
      </c>
      <c r="X646" t="s">
        <v>466</v>
      </c>
      <c r="AA646" t="s">
        <v>1162</v>
      </c>
    </row>
    <row r="647" spans="1:27" x14ac:dyDescent="0.2">
      <c r="A647" s="225" t="s">
        <v>310</v>
      </c>
      <c r="B647" t="s">
        <v>303</v>
      </c>
      <c r="C647" t="s">
        <v>367</v>
      </c>
      <c r="D647" t="s">
        <v>179</v>
      </c>
      <c r="E647" t="s">
        <v>366</v>
      </c>
      <c r="F647" s="226" t="s">
        <v>368</v>
      </c>
      <c r="G647" t="str">
        <f>_xlfn.XLOOKUP(FMECA[[#This Row],[HazardRisk_name]],categories[HazardRisk_Name],categories[HazardRisk])</f>
        <v>Risk</v>
      </c>
      <c r="H647" t="str">
        <f>_xlfn.XLOOKUP(FMECA[[#This Row],[HazardRisk_name]],categories[HazardRisk_Name],categories[Category])</f>
        <v>Environmental</v>
      </c>
      <c r="I647" t="s">
        <v>602</v>
      </c>
      <c r="J647" s="10">
        <v>3</v>
      </c>
      <c r="K647" t="s">
        <v>2267</v>
      </c>
      <c r="L647" s="10">
        <v>7</v>
      </c>
      <c r="M647" t="s">
        <v>2267</v>
      </c>
      <c r="N647" s="10">
        <f>FMECA[[#This Row],[probability_value]]*FMECA[[#This Row],[consequence_value]]</f>
        <v>21</v>
      </c>
      <c r="O64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47" s="10" t="s">
        <v>770</v>
      </c>
      <c r="Q647" t="s">
        <v>1132</v>
      </c>
      <c r="R647" t="s">
        <v>780</v>
      </c>
      <c r="S647" t="s">
        <v>2262</v>
      </c>
      <c r="T647" t="s">
        <v>793</v>
      </c>
      <c r="U647" t="s">
        <v>2274</v>
      </c>
      <c r="V647" t="s">
        <v>470</v>
      </c>
      <c r="W647" t="s">
        <v>2268</v>
      </c>
      <c r="X647" t="s">
        <v>470</v>
      </c>
      <c r="AA647" t="s">
        <v>1162</v>
      </c>
    </row>
    <row r="648" spans="1:27" x14ac:dyDescent="0.2">
      <c r="A648" s="225" t="s">
        <v>310</v>
      </c>
      <c r="B648" t="s">
        <v>303</v>
      </c>
      <c r="C648" t="s">
        <v>367</v>
      </c>
      <c r="D648" t="s">
        <v>179</v>
      </c>
      <c r="E648" t="s">
        <v>366</v>
      </c>
      <c r="F648" s="226" t="s">
        <v>368</v>
      </c>
      <c r="G648" t="str">
        <f>_xlfn.XLOOKUP(FMECA[[#This Row],[HazardRisk_name]],categories[HazardRisk_Name],categories[HazardRisk])</f>
        <v>Hazard</v>
      </c>
      <c r="H648" t="str">
        <f>_xlfn.XLOOKUP(FMECA[[#This Row],[HazardRisk_name]],categories[HazardRisk_Name],categories[Category])</f>
        <v>Environmental</v>
      </c>
      <c r="I648" t="s">
        <v>2248</v>
      </c>
      <c r="J648" s="10">
        <v>3</v>
      </c>
      <c r="K648" t="s">
        <v>2273</v>
      </c>
      <c r="L648" s="10">
        <v>10</v>
      </c>
      <c r="M648" t="s">
        <v>2273</v>
      </c>
      <c r="N648" s="10">
        <f>FMECA[[#This Row],[probability_value]]*FMECA[[#This Row],[consequence_value]]</f>
        <v>30</v>
      </c>
      <c r="O648" s="10" t="str">
        <f>IF(AND(FMECA[[#This Row],[Score]]&gt;=0, 9&gt;=FMECA[[#This Row],[Score]]), "UNDETECTABLE", IF(AND(FMECA[[#This Row],[Score]]&gt;=10, 24&gt;=FMECA[[#This Row],[Score]]), "MODERATE", IF(AND(FMECA[[#This Row],[Score]]&gt;=25, 35&gt;=FMECA[[#This Row],[Score]]), "HIGH", IF(AND(FMECA[[#This Row],[Score]]&gt;=36, 50&gt;=FMECA[[#This Row],[Score]]), "VERY HIGH", "Check Formula"))))</f>
        <v>HIGH</v>
      </c>
      <c r="P648" s="10" t="s">
        <v>770</v>
      </c>
      <c r="Q648" t="s">
        <v>1132</v>
      </c>
      <c r="R648" t="s">
        <v>780</v>
      </c>
      <c r="S648" t="s">
        <v>2262</v>
      </c>
      <c r="T648" t="s">
        <v>793</v>
      </c>
      <c r="U648" t="s">
        <v>2275</v>
      </c>
      <c r="V648" t="s">
        <v>470</v>
      </c>
      <c r="W648" t="s">
        <v>2276</v>
      </c>
      <c r="X648" t="s">
        <v>470</v>
      </c>
      <c r="AA648" t="s">
        <v>1162</v>
      </c>
    </row>
    <row r="649" spans="1:27" x14ac:dyDescent="0.2">
      <c r="A649" s="225" t="s">
        <v>310</v>
      </c>
      <c r="B649" t="s">
        <v>303</v>
      </c>
      <c r="C649" t="s">
        <v>367</v>
      </c>
      <c r="D649" t="s">
        <v>179</v>
      </c>
      <c r="E649" t="s">
        <v>366</v>
      </c>
      <c r="F649" s="226" t="s">
        <v>368</v>
      </c>
      <c r="G649" t="str">
        <f>_xlfn.XLOOKUP(FMECA[[#This Row],[HazardRisk_name]],categories[HazardRisk_Name],categories[HazardRisk])</f>
        <v>Hazard</v>
      </c>
      <c r="H649" t="str">
        <f>_xlfn.XLOOKUP(FMECA[[#This Row],[HazardRisk_name]],categories[HazardRisk_Name],categories[Category])</f>
        <v>Navigational</v>
      </c>
      <c r="I649" t="s">
        <v>496</v>
      </c>
      <c r="J649" s="10">
        <v>4</v>
      </c>
      <c r="K649" t="s">
        <v>2277</v>
      </c>
      <c r="L649" s="10">
        <v>7</v>
      </c>
      <c r="M649" t="s">
        <v>2277</v>
      </c>
      <c r="N649" s="10">
        <f>FMECA[[#This Row],[probability_value]]*FMECA[[#This Row],[consequence_value]]</f>
        <v>28</v>
      </c>
      <c r="O649" s="10" t="str">
        <f>IF(AND(FMECA[[#This Row],[Score]]&gt;=0, 9&gt;=FMECA[[#This Row],[Score]]), "UNDETECTABLE", IF(AND(FMECA[[#This Row],[Score]]&gt;=10, 24&gt;=FMECA[[#This Row],[Score]]), "MODERATE", IF(AND(FMECA[[#This Row],[Score]]&gt;=25, 35&gt;=FMECA[[#This Row],[Score]]), "HIGH", IF(AND(FMECA[[#This Row],[Score]]&gt;=36, 50&gt;=FMECA[[#This Row],[Score]]), "VERY HIGH", "Check Formula"))))</f>
        <v>HIGH</v>
      </c>
      <c r="P649" s="10" t="s">
        <v>770</v>
      </c>
      <c r="Q649" t="s">
        <v>1132</v>
      </c>
      <c r="R649" t="s">
        <v>780</v>
      </c>
      <c r="S649" t="s">
        <v>2262</v>
      </c>
      <c r="T649" t="s">
        <v>793</v>
      </c>
      <c r="AA649" t="s">
        <v>1162</v>
      </c>
    </row>
    <row r="650" spans="1:27" x14ac:dyDescent="0.2">
      <c r="A650" s="225" t="s">
        <v>310</v>
      </c>
      <c r="B650" t="s">
        <v>303</v>
      </c>
      <c r="C650" t="s">
        <v>367</v>
      </c>
      <c r="D650" t="s">
        <v>179</v>
      </c>
      <c r="E650" t="s">
        <v>366</v>
      </c>
      <c r="F650" s="226" t="s">
        <v>368</v>
      </c>
      <c r="G650" t="str">
        <f>_xlfn.XLOOKUP(FMECA[[#This Row],[HazardRisk_name]],categories[HazardRisk_Name],categories[HazardRisk])</f>
        <v>Hazard</v>
      </c>
      <c r="H650" t="str">
        <f>_xlfn.XLOOKUP(FMECA[[#This Row],[HazardRisk_name]],categories[HazardRisk_Name],categories[Category])</f>
        <v>Environmental</v>
      </c>
      <c r="I650" t="s">
        <v>646</v>
      </c>
      <c r="J650" s="10"/>
      <c r="K650" t="s">
        <v>2269</v>
      </c>
      <c r="L650" s="10">
        <v>7</v>
      </c>
      <c r="M650" t="s">
        <v>2269</v>
      </c>
      <c r="N650" s="10">
        <f>FMECA[[#This Row],[probability_value]]*FMECA[[#This Row],[consequence_value]]</f>
        <v>0</v>
      </c>
      <c r="O650"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650" s="10" t="s">
        <v>770</v>
      </c>
      <c r="Q650" t="s">
        <v>1132</v>
      </c>
      <c r="R650" t="s">
        <v>780</v>
      </c>
      <c r="S650" t="s">
        <v>2262</v>
      </c>
      <c r="T650" t="s">
        <v>793</v>
      </c>
      <c r="U650" t="s">
        <v>2275</v>
      </c>
      <c r="V650" t="s">
        <v>470</v>
      </c>
      <c r="W650" t="s">
        <v>2276</v>
      </c>
      <c r="X650" t="s">
        <v>470</v>
      </c>
      <c r="AA650" t="s">
        <v>1162</v>
      </c>
    </row>
    <row r="651" spans="1:27" x14ac:dyDescent="0.2">
      <c r="A651" s="225" t="s">
        <v>310</v>
      </c>
      <c r="B651" t="s">
        <v>303</v>
      </c>
      <c r="C651" t="s">
        <v>367</v>
      </c>
      <c r="D651" t="s">
        <v>179</v>
      </c>
      <c r="E651" t="s">
        <v>366</v>
      </c>
      <c r="F651" s="226" t="s">
        <v>368</v>
      </c>
      <c r="G651" t="str">
        <f>_xlfn.XLOOKUP(FMECA[[#This Row],[HazardRisk_name]],categories[HazardRisk_Name],categories[HazardRisk])</f>
        <v>Risk</v>
      </c>
      <c r="H651" t="str">
        <f>_xlfn.XLOOKUP(FMECA[[#This Row],[HazardRisk_name]],categories[HazardRisk_Name],categories[Category])</f>
        <v>Navigational</v>
      </c>
      <c r="I651" t="s">
        <v>631</v>
      </c>
      <c r="J651" s="10">
        <v>2</v>
      </c>
      <c r="K651" t="s">
        <v>2263</v>
      </c>
      <c r="L651" s="10">
        <v>10</v>
      </c>
      <c r="M651" t="s">
        <v>2263</v>
      </c>
      <c r="N651" s="10">
        <f>FMECA[[#This Row],[probability_value]]*FMECA[[#This Row],[consequence_value]]</f>
        <v>20</v>
      </c>
      <c r="O65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51" s="10" t="s">
        <v>770</v>
      </c>
      <c r="Q651" t="s">
        <v>1132</v>
      </c>
      <c r="R651" t="s">
        <v>780</v>
      </c>
      <c r="S651" t="s">
        <v>2262</v>
      </c>
      <c r="T651" t="s">
        <v>793</v>
      </c>
      <c r="U651" t="s">
        <v>2275</v>
      </c>
      <c r="V651" t="s">
        <v>470</v>
      </c>
      <c r="W651" t="s">
        <v>2276</v>
      </c>
      <c r="X651" t="s">
        <v>470</v>
      </c>
      <c r="AA651" t="s">
        <v>1162</v>
      </c>
    </row>
    <row r="652" spans="1:27" x14ac:dyDescent="0.2">
      <c r="A652" s="225" t="s">
        <v>311</v>
      </c>
      <c r="B652" t="s">
        <v>303</v>
      </c>
      <c r="C652" t="s">
        <v>372</v>
      </c>
      <c r="D652" t="s">
        <v>371</v>
      </c>
      <c r="E652" t="s">
        <v>370</v>
      </c>
      <c r="F652" s="226" t="s">
        <v>369</v>
      </c>
      <c r="G652" t="str">
        <f>_xlfn.XLOOKUP(FMECA[[#This Row],[HazardRisk_name]],categories[HazardRisk_Name],categories[HazardRisk])</f>
        <v>Risk</v>
      </c>
      <c r="H652" t="str">
        <f>_xlfn.XLOOKUP(FMECA[[#This Row],[HazardRisk_name]],categories[HazardRisk_Name],categories[Category])</f>
        <v>Political</v>
      </c>
      <c r="I652" t="s">
        <v>629</v>
      </c>
      <c r="J652" s="10">
        <v>3</v>
      </c>
      <c r="K652" t="s">
        <v>2255</v>
      </c>
      <c r="L652" s="10">
        <v>4</v>
      </c>
      <c r="M652" t="s">
        <v>2255</v>
      </c>
      <c r="N652" s="10">
        <f>FMECA[[#This Row],[probability_value]]*FMECA[[#This Row],[consequence_value]]</f>
        <v>12</v>
      </c>
      <c r="O65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52" s="10" t="s">
        <v>770</v>
      </c>
      <c r="Q652" t="s">
        <v>1162</v>
      </c>
      <c r="R652" t="s">
        <v>768</v>
      </c>
      <c r="S652" t="s">
        <v>2235</v>
      </c>
      <c r="U652" t="s">
        <v>2256</v>
      </c>
      <c r="V652" t="s">
        <v>466</v>
      </c>
      <c r="W652" t="s">
        <v>2257</v>
      </c>
      <c r="X652" t="s">
        <v>470</v>
      </c>
      <c r="Y652" t="s">
        <v>2258</v>
      </c>
      <c r="Z652" t="s">
        <v>2259</v>
      </c>
      <c r="AA652" t="s">
        <v>1162</v>
      </c>
    </row>
    <row r="653" spans="1:27" x14ac:dyDescent="0.2">
      <c r="A653" s="225" t="s">
        <v>311</v>
      </c>
      <c r="B653" t="s">
        <v>303</v>
      </c>
      <c r="C653" t="s">
        <v>372</v>
      </c>
      <c r="D653" t="s">
        <v>371</v>
      </c>
      <c r="E653" t="s">
        <v>370</v>
      </c>
      <c r="F653" s="226" t="s">
        <v>369</v>
      </c>
      <c r="G653" t="str">
        <f>_xlfn.XLOOKUP(FMECA[[#This Row],[HazardRisk_name]],categories[HazardRisk_Name],categories[HazardRisk])</f>
        <v>Risk</v>
      </c>
      <c r="H653" t="str">
        <f>_xlfn.XLOOKUP(FMECA[[#This Row],[HazardRisk_name]],categories[HazardRisk_Name],categories[Category])</f>
        <v>Environmental</v>
      </c>
      <c r="I653" t="s">
        <v>567</v>
      </c>
      <c r="J653" s="10">
        <v>4</v>
      </c>
      <c r="K653" t="s">
        <v>2251</v>
      </c>
      <c r="L653" s="10">
        <v>7</v>
      </c>
      <c r="M653" t="s">
        <v>2251</v>
      </c>
      <c r="N653" s="10">
        <f>FMECA[[#This Row],[probability_value]]*FMECA[[#This Row],[consequence_value]]</f>
        <v>28</v>
      </c>
      <c r="O653" s="10" t="str">
        <f>IF(AND(FMECA[[#This Row],[Score]]&gt;=0, 9&gt;=FMECA[[#This Row],[Score]]), "UNDETECTABLE", IF(AND(FMECA[[#This Row],[Score]]&gt;=10, 24&gt;=FMECA[[#This Row],[Score]]), "MODERATE", IF(AND(FMECA[[#This Row],[Score]]&gt;=25, 35&gt;=FMECA[[#This Row],[Score]]), "HIGH", IF(AND(FMECA[[#This Row],[Score]]&gt;=36, 50&gt;=FMECA[[#This Row],[Score]]), "VERY HIGH", "Check Formula"))))</f>
        <v>HIGH</v>
      </c>
      <c r="P653" s="10" t="s">
        <v>770</v>
      </c>
      <c r="Q653" t="s">
        <v>1162</v>
      </c>
      <c r="R653" t="s">
        <v>768</v>
      </c>
      <c r="S653" t="s">
        <v>2235</v>
      </c>
      <c r="W653" t="s">
        <v>2242</v>
      </c>
      <c r="X653" t="s">
        <v>470</v>
      </c>
      <c r="Y653" t="s">
        <v>2258</v>
      </c>
      <c r="Z653" t="s">
        <v>2259</v>
      </c>
      <c r="AA653" t="s">
        <v>1162</v>
      </c>
    </row>
    <row r="654" spans="1:27" x14ac:dyDescent="0.2">
      <c r="A654" s="225" t="s">
        <v>311</v>
      </c>
      <c r="B654" t="s">
        <v>303</v>
      </c>
      <c r="C654" t="s">
        <v>372</v>
      </c>
      <c r="D654" t="s">
        <v>371</v>
      </c>
      <c r="E654" t="s">
        <v>370</v>
      </c>
      <c r="F654" s="226" t="s">
        <v>369</v>
      </c>
      <c r="G654" t="str">
        <f>_xlfn.XLOOKUP(FMECA[[#This Row],[HazardRisk_name]],categories[HazardRisk_Name],categories[HazardRisk])</f>
        <v>Risk</v>
      </c>
      <c r="H654" t="str">
        <f>_xlfn.XLOOKUP(FMECA[[#This Row],[HazardRisk_name]],categories[HazardRisk_Name],categories[Category])</f>
        <v>Environmental</v>
      </c>
      <c r="I654" t="s">
        <v>644</v>
      </c>
      <c r="J654" s="10">
        <v>3</v>
      </c>
      <c r="K654" t="s">
        <v>2243</v>
      </c>
      <c r="L654" s="10">
        <v>7</v>
      </c>
      <c r="M654" t="s">
        <v>2243</v>
      </c>
      <c r="N654" s="10">
        <f>FMECA[[#This Row],[probability_value]]*FMECA[[#This Row],[consequence_value]]</f>
        <v>21</v>
      </c>
      <c r="O65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54" s="10" t="s">
        <v>770</v>
      </c>
      <c r="Q654" t="s">
        <v>1162</v>
      </c>
      <c r="R654" t="s">
        <v>768</v>
      </c>
      <c r="S654" t="s">
        <v>2235</v>
      </c>
      <c r="U654" t="s">
        <v>2237</v>
      </c>
      <c r="V654" t="s">
        <v>466</v>
      </c>
      <c r="Y654" t="s">
        <v>2258</v>
      </c>
      <c r="Z654" t="s">
        <v>2259</v>
      </c>
      <c r="AA654" t="s">
        <v>1162</v>
      </c>
    </row>
    <row r="655" spans="1:27" x14ac:dyDescent="0.2">
      <c r="A655" s="225" t="s">
        <v>311</v>
      </c>
      <c r="B655" t="s">
        <v>303</v>
      </c>
      <c r="C655" t="s">
        <v>372</v>
      </c>
      <c r="D655" t="s">
        <v>371</v>
      </c>
      <c r="E655" t="s">
        <v>370</v>
      </c>
      <c r="F655" s="226" t="s">
        <v>369</v>
      </c>
      <c r="G655" t="str">
        <f>_xlfn.XLOOKUP(FMECA[[#This Row],[HazardRisk_name]],categories[HazardRisk_Name],categories[HazardRisk])</f>
        <v>Risk</v>
      </c>
      <c r="H655" t="str">
        <f>_xlfn.XLOOKUP(FMECA[[#This Row],[HazardRisk_name]],categories[HazardRisk_Name],categories[Category])</f>
        <v>Assessment</v>
      </c>
      <c r="I655" t="s">
        <v>698</v>
      </c>
      <c r="J655" s="10">
        <v>5</v>
      </c>
      <c r="K655" t="s">
        <v>2236</v>
      </c>
      <c r="L655" s="10">
        <v>4</v>
      </c>
      <c r="M655" t="s">
        <v>2236</v>
      </c>
      <c r="N655" s="10">
        <f>FMECA[[#This Row],[probability_value]]*FMECA[[#This Row],[consequence_value]]</f>
        <v>20</v>
      </c>
      <c r="O65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55" s="10" t="s">
        <v>770</v>
      </c>
      <c r="Q655" t="s">
        <v>1162</v>
      </c>
      <c r="R655" t="s">
        <v>768</v>
      </c>
      <c r="S655" t="s">
        <v>2235</v>
      </c>
      <c r="U655" t="s">
        <v>2238</v>
      </c>
      <c r="V655" t="s">
        <v>466</v>
      </c>
      <c r="W655" t="s">
        <v>2240</v>
      </c>
      <c r="X655" t="s">
        <v>470</v>
      </c>
      <c r="Y655" t="s">
        <v>2258</v>
      </c>
      <c r="Z655" t="s">
        <v>2259</v>
      </c>
      <c r="AA655" t="s">
        <v>1162</v>
      </c>
    </row>
    <row r="656" spans="1:27" x14ac:dyDescent="0.2">
      <c r="A656" s="225" t="s">
        <v>311</v>
      </c>
      <c r="B656" t="s">
        <v>303</v>
      </c>
      <c r="C656" t="s">
        <v>372</v>
      </c>
      <c r="D656" t="s">
        <v>371</v>
      </c>
      <c r="E656" t="s">
        <v>370</v>
      </c>
      <c r="F656" s="226" t="s">
        <v>369</v>
      </c>
      <c r="G656" t="str">
        <f>_xlfn.XLOOKUP(FMECA[[#This Row],[HazardRisk_name]],categories[HazardRisk_Name],categories[HazardRisk])</f>
        <v>Risk</v>
      </c>
      <c r="H656" t="str">
        <f>_xlfn.XLOOKUP(FMECA[[#This Row],[HazardRisk_name]],categories[HazardRisk_Name],categories[Category])</f>
        <v>Assessment</v>
      </c>
      <c r="I656" t="s">
        <v>667</v>
      </c>
      <c r="J656" s="10">
        <v>5</v>
      </c>
      <c r="K656" t="s">
        <v>2236</v>
      </c>
      <c r="L656" s="10">
        <v>4</v>
      </c>
      <c r="M656" t="s">
        <v>2236</v>
      </c>
      <c r="N656" s="10">
        <f>FMECA[[#This Row],[probability_value]]*FMECA[[#This Row],[consequence_value]]</f>
        <v>20</v>
      </c>
      <c r="O65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56" s="10" t="s">
        <v>770</v>
      </c>
      <c r="Q656" t="s">
        <v>1162</v>
      </c>
      <c r="R656" t="s">
        <v>768</v>
      </c>
      <c r="S656" t="s">
        <v>2235</v>
      </c>
      <c r="U656" t="s">
        <v>2239</v>
      </c>
      <c r="V656" t="s">
        <v>470</v>
      </c>
      <c r="W656" t="s">
        <v>2240</v>
      </c>
      <c r="X656" t="s">
        <v>470</v>
      </c>
      <c r="Y656" t="s">
        <v>2258</v>
      </c>
      <c r="Z656" t="s">
        <v>2259</v>
      </c>
      <c r="AA656" t="s">
        <v>1162</v>
      </c>
    </row>
    <row r="657" spans="1:27" x14ac:dyDescent="0.2">
      <c r="A657" s="225" t="s">
        <v>311</v>
      </c>
      <c r="B657" t="s">
        <v>303</v>
      </c>
      <c r="C657" t="s">
        <v>372</v>
      </c>
      <c r="D657" t="s">
        <v>371</v>
      </c>
      <c r="E657" t="s">
        <v>370</v>
      </c>
      <c r="F657" s="226" t="s">
        <v>369</v>
      </c>
      <c r="G657" t="str">
        <f>_xlfn.XLOOKUP(FMECA[[#This Row],[HazardRisk_name]],categories[HazardRisk_Name],categories[HazardRisk])</f>
        <v>Hazard</v>
      </c>
      <c r="H657" t="str">
        <f>_xlfn.XLOOKUP(FMECA[[#This Row],[HazardRisk_name]],categories[HazardRisk_Name],categories[Category])</f>
        <v>Navigational</v>
      </c>
      <c r="I657" t="s">
        <v>496</v>
      </c>
      <c r="J657" s="10">
        <v>3</v>
      </c>
      <c r="K657" t="s">
        <v>2252</v>
      </c>
      <c r="L657" s="10">
        <v>7</v>
      </c>
      <c r="M657" t="s">
        <v>2252</v>
      </c>
      <c r="N657" s="10">
        <f>FMECA[[#This Row],[probability_value]]*FMECA[[#This Row],[consequence_value]]</f>
        <v>21</v>
      </c>
      <c r="O65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57" s="10" t="s">
        <v>770</v>
      </c>
      <c r="Q657" t="s">
        <v>1162</v>
      </c>
      <c r="R657" t="s">
        <v>768</v>
      </c>
      <c r="S657" t="s">
        <v>2235</v>
      </c>
      <c r="U657" t="s">
        <v>2253</v>
      </c>
      <c r="V657" t="s">
        <v>466</v>
      </c>
      <c r="W657" t="s">
        <v>2254</v>
      </c>
      <c r="X657" t="s">
        <v>470</v>
      </c>
      <c r="Y657" t="s">
        <v>2258</v>
      </c>
      <c r="Z657" t="s">
        <v>2259</v>
      </c>
      <c r="AA657" t="s">
        <v>1162</v>
      </c>
    </row>
    <row r="658" spans="1:27" x14ac:dyDescent="0.2">
      <c r="A658" s="225" t="s">
        <v>311</v>
      </c>
      <c r="B658" t="s">
        <v>303</v>
      </c>
      <c r="C658" t="s">
        <v>372</v>
      </c>
      <c r="D658" t="s">
        <v>371</v>
      </c>
      <c r="E658" t="s">
        <v>370</v>
      </c>
      <c r="F658" s="226" t="s">
        <v>369</v>
      </c>
      <c r="G658" t="str">
        <f>_xlfn.XLOOKUP(FMECA[[#This Row],[HazardRisk_name]],categories[HazardRisk_Name],categories[HazardRisk])</f>
        <v>Hazard</v>
      </c>
      <c r="H658" t="str">
        <f>_xlfn.XLOOKUP(FMECA[[#This Row],[HazardRisk_name]],categories[HazardRisk_Name],categories[Category])</f>
        <v>Pollutants</v>
      </c>
      <c r="I658" t="s">
        <v>632</v>
      </c>
      <c r="J658" s="10">
        <v>4</v>
      </c>
      <c r="K658" t="s">
        <v>2260</v>
      </c>
      <c r="L658" s="10">
        <v>7</v>
      </c>
      <c r="M658" t="s">
        <v>2260</v>
      </c>
      <c r="N658" s="10">
        <f>FMECA[[#This Row],[probability_value]]*FMECA[[#This Row],[consequence_value]]</f>
        <v>28</v>
      </c>
      <c r="O658" s="10" t="str">
        <f>IF(AND(FMECA[[#This Row],[Score]]&gt;=0, 9&gt;=FMECA[[#This Row],[Score]]), "UNDETECTABLE", IF(AND(FMECA[[#This Row],[Score]]&gt;=10, 24&gt;=FMECA[[#This Row],[Score]]), "MODERATE", IF(AND(FMECA[[#This Row],[Score]]&gt;=25, 35&gt;=FMECA[[#This Row],[Score]]), "HIGH", IF(AND(FMECA[[#This Row],[Score]]&gt;=36, 50&gt;=FMECA[[#This Row],[Score]]), "VERY HIGH", "Check Formula"))))</f>
        <v>HIGH</v>
      </c>
      <c r="P658" s="10" t="s">
        <v>770</v>
      </c>
      <c r="Q658" t="s">
        <v>1162</v>
      </c>
      <c r="R658" t="s">
        <v>768</v>
      </c>
      <c r="S658" t="s">
        <v>2235</v>
      </c>
      <c r="U658" t="s">
        <v>722</v>
      </c>
      <c r="W658" t="s">
        <v>2261</v>
      </c>
      <c r="Y658" t="s">
        <v>2258</v>
      </c>
      <c r="Z658" t="s">
        <v>2259</v>
      </c>
      <c r="AA658" t="s">
        <v>1162</v>
      </c>
    </row>
    <row r="659" spans="1:27" x14ac:dyDescent="0.2">
      <c r="A659" s="225" t="s">
        <v>311</v>
      </c>
      <c r="B659" t="s">
        <v>303</v>
      </c>
      <c r="C659" t="s">
        <v>372</v>
      </c>
      <c r="D659" t="s">
        <v>371</v>
      </c>
      <c r="E659" t="s">
        <v>370</v>
      </c>
      <c r="F659" s="226" t="s">
        <v>369</v>
      </c>
      <c r="G659" t="str">
        <f>_xlfn.XLOOKUP(FMECA[[#This Row],[HazardRisk_name]],categories[HazardRisk_Name],categories[HazardRisk])</f>
        <v>Hazard</v>
      </c>
      <c r="H659" t="str">
        <f>_xlfn.XLOOKUP(FMECA[[#This Row],[HazardRisk_name]],categories[HazardRisk_Name],categories[Category])</f>
        <v>Environmental</v>
      </c>
      <c r="I659" t="s">
        <v>2248</v>
      </c>
      <c r="J659" s="10">
        <v>3</v>
      </c>
      <c r="K659" t="s">
        <v>2247</v>
      </c>
      <c r="L659" s="10">
        <v>10</v>
      </c>
      <c r="M659" t="s">
        <v>2247</v>
      </c>
      <c r="N659" s="10">
        <f>FMECA[[#This Row],[probability_value]]*FMECA[[#This Row],[consequence_value]]</f>
        <v>30</v>
      </c>
      <c r="O659" s="10" t="str">
        <f>IF(AND(FMECA[[#This Row],[Score]]&gt;=0, 9&gt;=FMECA[[#This Row],[Score]]), "UNDETECTABLE", IF(AND(FMECA[[#This Row],[Score]]&gt;=10, 24&gt;=FMECA[[#This Row],[Score]]), "MODERATE", IF(AND(FMECA[[#This Row],[Score]]&gt;=25, 35&gt;=FMECA[[#This Row],[Score]]), "HIGH", IF(AND(FMECA[[#This Row],[Score]]&gt;=36, 50&gt;=FMECA[[#This Row],[Score]]), "VERY HIGH", "Check Formula"))))</f>
        <v>HIGH</v>
      </c>
      <c r="P659" s="10" t="s">
        <v>770</v>
      </c>
      <c r="Q659" t="s">
        <v>1162</v>
      </c>
      <c r="R659" t="s">
        <v>768</v>
      </c>
      <c r="S659" t="s">
        <v>2235</v>
      </c>
      <c r="U659" t="s">
        <v>2249</v>
      </c>
      <c r="V659" t="s">
        <v>466</v>
      </c>
      <c r="W659" t="s">
        <v>2250</v>
      </c>
      <c r="X659" t="s">
        <v>466</v>
      </c>
      <c r="Y659" t="s">
        <v>2258</v>
      </c>
      <c r="Z659" t="s">
        <v>2259</v>
      </c>
      <c r="AA659" t="s">
        <v>1162</v>
      </c>
    </row>
    <row r="660" spans="1:27" x14ac:dyDescent="0.2">
      <c r="A660" s="225" t="s">
        <v>311</v>
      </c>
      <c r="B660" t="s">
        <v>303</v>
      </c>
      <c r="C660" t="s">
        <v>372</v>
      </c>
      <c r="D660" t="s">
        <v>371</v>
      </c>
      <c r="E660" t="s">
        <v>370</v>
      </c>
      <c r="F660" s="226" t="s">
        <v>369</v>
      </c>
      <c r="G660" t="str">
        <f>_xlfn.XLOOKUP(FMECA[[#This Row],[HazardRisk_name]],categories[HazardRisk_Name],categories[HazardRisk])</f>
        <v>Risk</v>
      </c>
      <c r="H660" t="str">
        <f>_xlfn.XLOOKUP(FMECA[[#This Row],[HazardRisk_name]],categories[HazardRisk_Name],categories[Category])</f>
        <v>Navigational</v>
      </c>
      <c r="I660" t="s">
        <v>703</v>
      </c>
      <c r="J660" s="10">
        <v>3</v>
      </c>
      <c r="K660" t="s">
        <v>2244</v>
      </c>
      <c r="L660" s="10">
        <v>7</v>
      </c>
      <c r="M660" t="s">
        <v>2244</v>
      </c>
      <c r="N660" s="10">
        <f>FMECA[[#This Row],[probability_value]]*FMECA[[#This Row],[consequence_value]]</f>
        <v>21</v>
      </c>
      <c r="O66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60" s="10" t="s">
        <v>770</v>
      </c>
      <c r="Q660" t="s">
        <v>1162</v>
      </c>
      <c r="R660" t="s">
        <v>768</v>
      </c>
      <c r="S660" t="s">
        <v>2235</v>
      </c>
      <c r="U660" t="s">
        <v>2245</v>
      </c>
      <c r="V660" t="s">
        <v>466</v>
      </c>
      <c r="W660" t="s">
        <v>2246</v>
      </c>
      <c r="X660" t="s">
        <v>466</v>
      </c>
      <c r="Y660" t="s">
        <v>2258</v>
      </c>
      <c r="Z660" t="s">
        <v>2259</v>
      </c>
      <c r="AA660" t="s">
        <v>1162</v>
      </c>
    </row>
    <row r="661" spans="1:27" x14ac:dyDescent="0.2">
      <c r="A661" s="225" t="s">
        <v>311</v>
      </c>
      <c r="B661" t="s">
        <v>303</v>
      </c>
      <c r="C661" t="s">
        <v>372</v>
      </c>
      <c r="D661" t="s">
        <v>371</v>
      </c>
      <c r="E661" t="s">
        <v>370</v>
      </c>
      <c r="F661" s="226" t="s">
        <v>369</v>
      </c>
      <c r="G661" t="str">
        <f>_xlfn.XLOOKUP(FMECA[[#This Row],[HazardRisk_name]],categories[HazardRisk_Name],categories[HazardRisk])</f>
        <v>Risk</v>
      </c>
      <c r="H661" t="str">
        <f>_xlfn.XLOOKUP(FMECA[[#This Row],[HazardRisk_name]],categories[HazardRisk_Name],categories[Category])</f>
        <v>Navigational</v>
      </c>
      <c r="I661" t="s">
        <v>631</v>
      </c>
      <c r="J661" s="10">
        <v>3</v>
      </c>
      <c r="K661" t="s">
        <v>2243</v>
      </c>
      <c r="L661" s="10">
        <v>7</v>
      </c>
      <c r="M661" t="s">
        <v>2243</v>
      </c>
      <c r="N661" s="10">
        <f>FMECA[[#This Row],[probability_value]]*FMECA[[#This Row],[consequence_value]]</f>
        <v>21</v>
      </c>
      <c r="O66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61" s="10" t="s">
        <v>770</v>
      </c>
      <c r="Q661" t="s">
        <v>1162</v>
      </c>
      <c r="R661" t="s">
        <v>768</v>
      </c>
      <c r="S661" t="s">
        <v>2235</v>
      </c>
      <c r="W661" t="s">
        <v>2241</v>
      </c>
      <c r="X661" t="s">
        <v>466</v>
      </c>
      <c r="Y661" t="s">
        <v>2258</v>
      </c>
      <c r="Z661" t="s">
        <v>2259</v>
      </c>
      <c r="AA661" t="s">
        <v>1162</v>
      </c>
    </row>
    <row r="662" spans="1:27" x14ac:dyDescent="0.2">
      <c r="A662" s="225" t="s">
        <v>312</v>
      </c>
      <c r="B662" t="s">
        <v>303</v>
      </c>
      <c r="C662" t="s">
        <v>376</v>
      </c>
      <c r="D662" t="s">
        <v>375</v>
      </c>
      <c r="E662" t="s">
        <v>374</v>
      </c>
      <c r="F662" s="226" t="s">
        <v>373</v>
      </c>
      <c r="G662" t="str">
        <f>_xlfn.XLOOKUP(FMECA[[#This Row],[HazardRisk_name]],categories[HazardRisk_Name],categories[HazardRisk])</f>
        <v>Hazard</v>
      </c>
      <c r="H662" t="str">
        <f>_xlfn.XLOOKUP(FMECA[[#This Row],[HazardRisk_name]],categories[HazardRisk_Name],categories[Category])</f>
        <v>Technological</v>
      </c>
      <c r="I662" t="s">
        <v>495</v>
      </c>
      <c r="J662" s="10">
        <v>2</v>
      </c>
      <c r="K662" t="s">
        <v>2194</v>
      </c>
      <c r="L662" s="10">
        <v>7</v>
      </c>
      <c r="M662" t="s">
        <v>2194</v>
      </c>
      <c r="N662" s="10">
        <f>FMECA[[#This Row],[probability_value]]*FMECA[[#This Row],[consequence_value]]</f>
        <v>14</v>
      </c>
      <c r="O66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62" s="10" t="s">
        <v>785</v>
      </c>
      <c r="Q662" t="s">
        <v>1162</v>
      </c>
      <c r="R662" t="s">
        <v>780</v>
      </c>
      <c r="S662" t="s">
        <v>2200</v>
      </c>
      <c r="T662" t="s">
        <v>778</v>
      </c>
      <c r="U662" t="s">
        <v>2203</v>
      </c>
      <c r="V662" t="s">
        <v>466</v>
      </c>
      <c r="W662" t="s">
        <v>2204</v>
      </c>
      <c r="X662" t="s">
        <v>466</v>
      </c>
      <c r="AA662" t="s">
        <v>1162</v>
      </c>
    </row>
    <row r="663" spans="1:27" ht="34" x14ac:dyDescent="0.2">
      <c r="A663" s="225" t="s">
        <v>312</v>
      </c>
      <c r="B663" t="s">
        <v>303</v>
      </c>
      <c r="C663" t="s">
        <v>376</v>
      </c>
      <c r="D663" t="s">
        <v>375</v>
      </c>
      <c r="E663" t="s">
        <v>374</v>
      </c>
      <c r="F663" s="226" t="s">
        <v>373</v>
      </c>
      <c r="G663" t="str">
        <f>_xlfn.XLOOKUP(FMECA[[#This Row],[HazardRisk_name]],categories[HazardRisk_Name],categories[HazardRisk])</f>
        <v>Risk</v>
      </c>
      <c r="H663" t="str">
        <f>_xlfn.XLOOKUP(FMECA[[#This Row],[HazardRisk_name]],categories[HazardRisk_Name],categories[Category])</f>
        <v>Operational</v>
      </c>
      <c r="I663" s="15" t="s">
        <v>1320</v>
      </c>
      <c r="J663" s="10">
        <v>5</v>
      </c>
      <c r="K663" t="s">
        <v>2205</v>
      </c>
      <c r="L663" s="10">
        <v>7</v>
      </c>
      <c r="M663" t="s">
        <v>2205</v>
      </c>
      <c r="N663" s="10">
        <f>FMECA[[#This Row],[probability_value]]*FMECA[[#This Row],[consequence_value]]</f>
        <v>35</v>
      </c>
      <c r="O663" s="10" t="str">
        <f>IF(AND(FMECA[[#This Row],[Score]]&gt;=0, 9&gt;=FMECA[[#This Row],[Score]]), "UNDETECTABLE", IF(AND(FMECA[[#This Row],[Score]]&gt;=10, 24&gt;=FMECA[[#This Row],[Score]]), "MODERATE", IF(AND(FMECA[[#This Row],[Score]]&gt;=25, 35&gt;=FMECA[[#This Row],[Score]]), "HIGH", IF(AND(FMECA[[#This Row],[Score]]&gt;=36, 50&gt;=FMECA[[#This Row],[Score]]), "VERY HIGH", "Check Formula"))))</f>
        <v>HIGH</v>
      </c>
      <c r="P663" s="10" t="s">
        <v>785</v>
      </c>
      <c r="Q663" t="s">
        <v>1162</v>
      </c>
      <c r="R663" t="s">
        <v>780</v>
      </c>
      <c r="S663" t="s">
        <v>2200</v>
      </c>
      <c r="T663" t="s">
        <v>778</v>
      </c>
      <c r="U663" t="s">
        <v>2206</v>
      </c>
      <c r="V663" t="s">
        <v>466</v>
      </c>
      <c r="W663" t="s">
        <v>2207</v>
      </c>
      <c r="X663" t="s">
        <v>470</v>
      </c>
      <c r="AA663" t="s">
        <v>1162</v>
      </c>
    </row>
    <row r="664" spans="1:27" x14ac:dyDescent="0.2">
      <c r="A664" s="225" t="s">
        <v>312</v>
      </c>
      <c r="B664" t="s">
        <v>303</v>
      </c>
      <c r="C664" t="s">
        <v>376</v>
      </c>
      <c r="D664" t="s">
        <v>375</v>
      </c>
      <c r="E664" t="s">
        <v>374</v>
      </c>
      <c r="F664" s="226" t="s">
        <v>373</v>
      </c>
      <c r="G664" t="str">
        <f>_xlfn.XLOOKUP(FMECA[[#This Row],[HazardRisk_name]],categories[HazardRisk_Name],categories[HazardRisk])</f>
        <v>Risk</v>
      </c>
      <c r="H664" t="str">
        <f>_xlfn.XLOOKUP(FMECA[[#This Row],[HazardRisk_name]],categories[HazardRisk_Name],categories[Category])</f>
        <v>Pollutants</v>
      </c>
      <c r="I664" t="s">
        <v>627</v>
      </c>
      <c r="J664" s="10">
        <v>3</v>
      </c>
      <c r="K664" t="s">
        <v>2222</v>
      </c>
      <c r="L664" s="10">
        <v>7</v>
      </c>
      <c r="M664" t="s">
        <v>2222</v>
      </c>
      <c r="N664" s="10">
        <f>FMECA[[#This Row],[probability_value]]*FMECA[[#This Row],[consequence_value]]</f>
        <v>21</v>
      </c>
      <c r="O66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64" s="10" t="s">
        <v>785</v>
      </c>
      <c r="Q664" t="s">
        <v>1162</v>
      </c>
      <c r="R664" t="s">
        <v>780</v>
      </c>
      <c r="S664" t="s">
        <v>2200</v>
      </c>
      <c r="T664" t="s">
        <v>778</v>
      </c>
      <c r="U664" t="s">
        <v>2224</v>
      </c>
      <c r="V664" t="s">
        <v>466</v>
      </c>
      <c r="W664" t="s">
        <v>2223</v>
      </c>
      <c r="X664" t="s">
        <v>466</v>
      </c>
      <c r="AA664" t="s">
        <v>1162</v>
      </c>
    </row>
    <row r="665" spans="1:27" x14ac:dyDescent="0.2">
      <c r="A665" s="225" t="s">
        <v>312</v>
      </c>
      <c r="B665" t="s">
        <v>303</v>
      </c>
      <c r="C665" t="s">
        <v>376</v>
      </c>
      <c r="D665" t="s">
        <v>375</v>
      </c>
      <c r="E665" t="s">
        <v>374</v>
      </c>
      <c r="F665" s="226" t="s">
        <v>373</v>
      </c>
      <c r="G665" t="str">
        <f>_xlfn.XLOOKUP(FMECA[[#This Row],[HazardRisk_name]],categories[HazardRisk_Name],categories[HazardRisk])</f>
        <v>Risk</v>
      </c>
      <c r="H665" t="str">
        <f>_xlfn.XLOOKUP(FMECA[[#This Row],[HazardRisk_name]],categories[HazardRisk_Name],categories[Category])</f>
        <v>Navigational</v>
      </c>
      <c r="I665" t="s">
        <v>704</v>
      </c>
      <c r="J665" s="10">
        <v>5</v>
      </c>
      <c r="K665" t="s">
        <v>2205</v>
      </c>
      <c r="L665" s="10">
        <v>7</v>
      </c>
      <c r="M665" t="s">
        <v>2205</v>
      </c>
      <c r="N665" s="10">
        <f>FMECA[[#This Row],[probability_value]]*FMECA[[#This Row],[consequence_value]]</f>
        <v>35</v>
      </c>
      <c r="O665" s="10" t="str">
        <f>IF(AND(FMECA[[#This Row],[Score]]&gt;=0, 9&gt;=FMECA[[#This Row],[Score]]), "UNDETECTABLE", IF(AND(FMECA[[#This Row],[Score]]&gt;=10, 24&gt;=FMECA[[#This Row],[Score]]), "MODERATE", IF(AND(FMECA[[#This Row],[Score]]&gt;=25, 35&gt;=FMECA[[#This Row],[Score]]), "HIGH", IF(AND(FMECA[[#This Row],[Score]]&gt;=36, 50&gt;=FMECA[[#This Row],[Score]]), "VERY HIGH", "Check Formula"))))</f>
        <v>HIGH</v>
      </c>
      <c r="P665" s="10" t="s">
        <v>785</v>
      </c>
      <c r="Q665" t="s">
        <v>1162</v>
      </c>
      <c r="R665" t="s">
        <v>780</v>
      </c>
      <c r="S665" t="s">
        <v>2200</v>
      </c>
      <c r="T665" t="s">
        <v>778</v>
      </c>
      <c r="U665" t="s">
        <v>2206</v>
      </c>
      <c r="V665" t="s">
        <v>466</v>
      </c>
      <c r="W665" t="s">
        <v>2207</v>
      </c>
      <c r="X665" t="s">
        <v>470</v>
      </c>
      <c r="AA665" t="s">
        <v>1162</v>
      </c>
    </row>
    <row r="666" spans="1:27" x14ac:dyDescent="0.2">
      <c r="A666" s="225" t="s">
        <v>312</v>
      </c>
      <c r="B666" t="s">
        <v>303</v>
      </c>
      <c r="C666" t="s">
        <v>376</v>
      </c>
      <c r="D666" t="s">
        <v>375</v>
      </c>
      <c r="E666" t="s">
        <v>374</v>
      </c>
      <c r="F666" s="226" t="s">
        <v>373</v>
      </c>
      <c r="G666" t="str">
        <f>_xlfn.XLOOKUP(FMECA[[#This Row],[HazardRisk_name]],categories[HazardRisk_Name],categories[HazardRisk])</f>
        <v>Risk</v>
      </c>
      <c r="H666" t="str">
        <f>_xlfn.XLOOKUP(FMECA[[#This Row],[HazardRisk_name]],categories[HazardRisk_Name],categories[Category])</f>
        <v>Assessment</v>
      </c>
      <c r="I666" t="s">
        <v>667</v>
      </c>
      <c r="J666" s="10">
        <v>5</v>
      </c>
      <c r="K666" t="s">
        <v>2205</v>
      </c>
      <c r="L666" s="10">
        <v>7</v>
      </c>
      <c r="M666" t="s">
        <v>2205</v>
      </c>
      <c r="N666" s="10">
        <f>FMECA[[#This Row],[probability_value]]*FMECA[[#This Row],[consequence_value]]</f>
        <v>35</v>
      </c>
      <c r="O666" s="10" t="str">
        <f>IF(AND(FMECA[[#This Row],[Score]]&gt;=0, 9&gt;=FMECA[[#This Row],[Score]]), "UNDETECTABLE", IF(AND(FMECA[[#This Row],[Score]]&gt;=10, 24&gt;=FMECA[[#This Row],[Score]]), "MODERATE", IF(AND(FMECA[[#This Row],[Score]]&gt;=25, 35&gt;=FMECA[[#This Row],[Score]]), "HIGH", IF(AND(FMECA[[#This Row],[Score]]&gt;=36, 50&gt;=FMECA[[#This Row],[Score]]), "VERY HIGH", "Check Formula"))))</f>
        <v>HIGH</v>
      </c>
      <c r="P666" s="10" t="s">
        <v>785</v>
      </c>
      <c r="Q666" t="s">
        <v>1162</v>
      </c>
      <c r="R666" t="s">
        <v>780</v>
      </c>
      <c r="S666" t="s">
        <v>2200</v>
      </c>
      <c r="T666" t="s">
        <v>778</v>
      </c>
      <c r="U666" t="s">
        <v>2206</v>
      </c>
      <c r="V666" t="s">
        <v>466</v>
      </c>
      <c r="W666" t="s">
        <v>2207</v>
      </c>
      <c r="X666" t="s">
        <v>470</v>
      </c>
      <c r="AA666" t="s">
        <v>1162</v>
      </c>
    </row>
    <row r="667" spans="1:27" x14ac:dyDescent="0.2">
      <c r="A667" s="225" t="s">
        <v>312</v>
      </c>
      <c r="B667" t="s">
        <v>303</v>
      </c>
      <c r="C667" t="s">
        <v>376</v>
      </c>
      <c r="D667" t="s">
        <v>375</v>
      </c>
      <c r="E667" t="s">
        <v>374</v>
      </c>
      <c r="F667" s="226" t="s">
        <v>373</v>
      </c>
      <c r="G667" t="str">
        <f>_xlfn.XLOOKUP(FMECA[[#This Row],[HazardRisk_name]],categories[HazardRisk_Name],categories[HazardRisk])</f>
        <v>Hazard</v>
      </c>
      <c r="H667" t="str">
        <f>_xlfn.XLOOKUP(FMECA[[#This Row],[HazardRisk_name]],categories[HazardRisk_Name],categories[Category])</f>
        <v>Pollutants</v>
      </c>
      <c r="I667" t="s">
        <v>844</v>
      </c>
      <c r="J667" s="10">
        <v>2</v>
      </c>
      <c r="K667" t="s">
        <v>2195</v>
      </c>
      <c r="L667" s="10">
        <v>7</v>
      </c>
      <c r="M667" t="s">
        <v>2195</v>
      </c>
      <c r="N667" s="10">
        <f>FMECA[[#This Row],[probability_value]]*FMECA[[#This Row],[consequence_value]]</f>
        <v>14</v>
      </c>
      <c r="O66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67" s="10" t="s">
        <v>785</v>
      </c>
      <c r="Q667" t="s">
        <v>1162</v>
      </c>
      <c r="R667" t="s">
        <v>780</v>
      </c>
      <c r="S667" t="s">
        <v>2200</v>
      </c>
      <c r="T667" t="s">
        <v>778</v>
      </c>
      <c r="AA667" t="s">
        <v>1162</v>
      </c>
    </row>
    <row r="668" spans="1:27" x14ac:dyDescent="0.2">
      <c r="A668" s="225" t="s">
        <v>312</v>
      </c>
      <c r="B668" t="s">
        <v>303</v>
      </c>
      <c r="C668" t="s">
        <v>376</v>
      </c>
      <c r="D668" t="s">
        <v>375</v>
      </c>
      <c r="E668" t="s">
        <v>374</v>
      </c>
      <c r="F668" s="226" t="s">
        <v>373</v>
      </c>
      <c r="G668" t="str">
        <f>_xlfn.XLOOKUP(FMECA[[#This Row],[HazardRisk_name]],categories[HazardRisk_Name],categories[HazardRisk])</f>
        <v>Hazard</v>
      </c>
      <c r="H668" t="str">
        <f>_xlfn.XLOOKUP(FMECA[[#This Row],[HazardRisk_name]],categories[HazardRisk_Name],categories[Category])</f>
        <v>Environmental</v>
      </c>
      <c r="I668" t="s">
        <v>684</v>
      </c>
      <c r="J668" s="10">
        <v>4</v>
      </c>
      <c r="K668" t="s">
        <v>2234</v>
      </c>
      <c r="L668" s="10">
        <v>7</v>
      </c>
      <c r="M668" t="s">
        <v>2234</v>
      </c>
      <c r="N668" s="10">
        <f>FMECA[[#This Row],[probability_value]]*FMECA[[#This Row],[consequence_value]]</f>
        <v>28</v>
      </c>
      <c r="O668" s="10" t="str">
        <f>IF(AND(FMECA[[#This Row],[Score]]&gt;=0, 9&gt;=FMECA[[#This Row],[Score]]), "UNDETECTABLE", IF(AND(FMECA[[#This Row],[Score]]&gt;=10, 24&gt;=FMECA[[#This Row],[Score]]), "MODERATE", IF(AND(FMECA[[#This Row],[Score]]&gt;=25, 35&gt;=FMECA[[#This Row],[Score]]), "HIGH", IF(AND(FMECA[[#This Row],[Score]]&gt;=36, 50&gt;=FMECA[[#This Row],[Score]]), "VERY HIGH", "Check Formula"))))</f>
        <v>HIGH</v>
      </c>
      <c r="P668" s="10" t="s">
        <v>785</v>
      </c>
      <c r="Q668" t="s">
        <v>1162</v>
      </c>
      <c r="R668" t="s">
        <v>780</v>
      </c>
      <c r="S668" t="s">
        <v>2200</v>
      </c>
      <c r="T668" t="s">
        <v>778</v>
      </c>
      <c r="AA668" t="s">
        <v>1162</v>
      </c>
    </row>
    <row r="669" spans="1:27" x14ac:dyDescent="0.2">
      <c r="A669" s="225" t="s">
        <v>312</v>
      </c>
      <c r="B669" t="s">
        <v>303</v>
      </c>
      <c r="C669" t="s">
        <v>376</v>
      </c>
      <c r="D669" t="s">
        <v>375</v>
      </c>
      <c r="E669" t="s">
        <v>374</v>
      </c>
      <c r="F669" s="226" t="s">
        <v>373</v>
      </c>
      <c r="G669" t="str">
        <f>_xlfn.XLOOKUP(FMECA[[#This Row],[HazardRisk_name]],categories[HazardRisk_Name],categories[HazardRisk])</f>
        <v>Risk</v>
      </c>
      <c r="H669" t="str">
        <f>_xlfn.XLOOKUP(FMECA[[#This Row],[HazardRisk_name]],categories[HazardRisk_Name],categories[Category])</f>
        <v>Operational</v>
      </c>
      <c r="I669" t="s">
        <v>572</v>
      </c>
      <c r="J669" s="10">
        <v>4</v>
      </c>
      <c r="K669" t="s">
        <v>2231</v>
      </c>
      <c r="L669" s="10">
        <v>7</v>
      </c>
      <c r="M669" t="s">
        <v>2231</v>
      </c>
      <c r="N669" s="10">
        <f>FMECA[[#This Row],[probability_value]]*FMECA[[#This Row],[consequence_value]]</f>
        <v>28</v>
      </c>
      <c r="O669" s="10" t="str">
        <f>IF(AND(FMECA[[#This Row],[Score]]&gt;=0, 9&gt;=FMECA[[#This Row],[Score]]), "UNDETECTABLE", IF(AND(FMECA[[#This Row],[Score]]&gt;=10, 24&gt;=FMECA[[#This Row],[Score]]), "MODERATE", IF(AND(FMECA[[#This Row],[Score]]&gt;=25, 35&gt;=FMECA[[#This Row],[Score]]), "HIGH", IF(AND(FMECA[[#This Row],[Score]]&gt;=36, 50&gt;=FMECA[[#This Row],[Score]]), "VERY HIGH", "Check Formula"))))</f>
        <v>HIGH</v>
      </c>
      <c r="P669" s="10" t="s">
        <v>785</v>
      </c>
      <c r="Q669" t="s">
        <v>1162</v>
      </c>
      <c r="R669" t="s">
        <v>780</v>
      </c>
      <c r="S669" t="s">
        <v>2200</v>
      </c>
      <c r="T669" t="s">
        <v>778</v>
      </c>
      <c r="U669" t="s">
        <v>2232</v>
      </c>
      <c r="V669" t="s">
        <v>466</v>
      </c>
      <c r="W669" t="s">
        <v>2233</v>
      </c>
      <c r="X669" t="s">
        <v>466</v>
      </c>
      <c r="AA669" t="s">
        <v>1162</v>
      </c>
    </row>
    <row r="670" spans="1:27" x14ac:dyDescent="0.2">
      <c r="A670" s="225" t="s">
        <v>312</v>
      </c>
      <c r="B670" t="s">
        <v>303</v>
      </c>
      <c r="C670" t="s">
        <v>376</v>
      </c>
      <c r="D670" t="s">
        <v>375</v>
      </c>
      <c r="E670" t="s">
        <v>374</v>
      </c>
      <c r="F670" s="226" t="s">
        <v>373</v>
      </c>
      <c r="G670" t="str">
        <f>_xlfn.XLOOKUP(FMECA[[#This Row],[HazardRisk_name]],categories[HazardRisk_Name],categories[HazardRisk])</f>
        <v>Risk</v>
      </c>
      <c r="H670" t="str">
        <f>_xlfn.XLOOKUP(FMECA[[#This Row],[HazardRisk_name]],categories[HazardRisk_Name],categories[Category])</f>
        <v>Assessment</v>
      </c>
      <c r="I670" t="s">
        <v>708</v>
      </c>
      <c r="J670" s="10">
        <v>5</v>
      </c>
      <c r="K670" t="s">
        <v>2227</v>
      </c>
      <c r="L670" s="10">
        <v>7</v>
      </c>
      <c r="M670" t="s">
        <v>2227</v>
      </c>
      <c r="N670" s="10">
        <f>FMECA[[#This Row],[probability_value]]*FMECA[[#This Row],[consequence_value]]</f>
        <v>35</v>
      </c>
      <c r="O670" s="10" t="str">
        <f>IF(AND(FMECA[[#This Row],[Score]]&gt;=0, 9&gt;=FMECA[[#This Row],[Score]]), "UNDETECTABLE", IF(AND(FMECA[[#This Row],[Score]]&gt;=10, 24&gt;=FMECA[[#This Row],[Score]]), "MODERATE", IF(AND(FMECA[[#This Row],[Score]]&gt;=25, 35&gt;=FMECA[[#This Row],[Score]]), "HIGH", IF(AND(FMECA[[#This Row],[Score]]&gt;=36, 50&gt;=FMECA[[#This Row],[Score]]), "VERY HIGH", "Check Formula"))))</f>
        <v>HIGH</v>
      </c>
      <c r="P670" s="10" t="s">
        <v>785</v>
      </c>
      <c r="Q670" t="s">
        <v>1162</v>
      </c>
      <c r="R670" t="s">
        <v>780</v>
      </c>
      <c r="S670" t="s">
        <v>2200</v>
      </c>
      <c r="T670" t="s">
        <v>778</v>
      </c>
      <c r="U670" t="s">
        <v>2228</v>
      </c>
      <c r="V670" t="s">
        <v>466</v>
      </c>
      <c r="W670" t="s">
        <v>2229</v>
      </c>
      <c r="X670" t="s">
        <v>466</v>
      </c>
      <c r="Y670" t="s">
        <v>1153</v>
      </c>
      <c r="Z670" t="s">
        <v>2230</v>
      </c>
      <c r="AA670" t="s">
        <v>1132</v>
      </c>
    </row>
    <row r="671" spans="1:27" x14ac:dyDescent="0.2">
      <c r="A671" s="225" t="s">
        <v>312</v>
      </c>
      <c r="B671" t="s">
        <v>303</v>
      </c>
      <c r="C671" t="s">
        <v>376</v>
      </c>
      <c r="D671" t="s">
        <v>375</v>
      </c>
      <c r="E671" t="s">
        <v>374</v>
      </c>
      <c r="F671" s="226" t="s">
        <v>373</v>
      </c>
      <c r="G671" t="str">
        <f>_xlfn.XLOOKUP(FMECA[[#This Row],[HazardRisk_name]],categories[HazardRisk_Name],categories[HazardRisk])</f>
        <v>Hazard</v>
      </c>
      <c r="H671" t="str">
        <f>_xlfn.XLOOKUP(FMECA[[#This Row],[HazardRisk_name]],categories[HazardRisk_Name],categories[Category])</f>
        <v>Social</v>
      </c>
      <c r="I671" t="s">
        <v>1165</v>
      </c>
      <c r="J671" s="10">
        <v>4</v>
      </c>
      <c r="K671" t="s">
        <v>2195</v>
      </c>
      <c r="L671" s="10">
        <v>1</v>
      </c>
      <c r="M671" t="s">
        <v>2195</v>
      </c>
      <c r="N671" s="10">
        <f>FMECA[[#This Row],[probability_value]]*FMECA[[#This Row],[consequence_value]]</f>
        <v>4</v>
      </c>
      <c r="O671"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671" s="10" t="s">
        <v>785</v>
      </c>
      <c r="Q671" t="s">
        <v>1162</v>
      </c>
      <c r="R671" t="s">
        <v>780</v>
      </c>
      <c r="S671" t="s">
        <v>2200</v>
      </c>
      <c r="T671" t="s">
        <v>778</v>
      </c>
      <c r="U671" t="s">
        <v>2197</v>
      </c>
      <c r="V671" t="s">
        <v>470</v>
      </c>
      <c r="W671" t="s">
        <v>2198</v>
      </c>
      <c r="X671" t="s">
        <v>466</v>
      </c>
      <c r="AA671" t="s">
        <v>1162</v>
      </c>
    </row>
    <row r="672" spans="1:27" x14ac:dyDescent="0.2">
      <c r="A672" s="225" t="s">
        <v>312</v>
      </c>
      <c r="B672" t="s">
        <v>303</v>
      </c>
      <c r="C672" t="s">
        <v>376</v>
      </c>
      <c r="D672" t="s">
        <v>375</v>
      </c>
      <c r="E672" t="s">
        <v>374</v>
      </c>
      <c r="F672" s="226" t="s">
        <v>373</v>
      </c>
      <c r="G672" t="str">
        <f>_xlfn.XLOOKUP(FMECA[[#This Row],[HazardRisk_name]],categories[HazardRisk_Name],categories[HazardRisk])</f>
        <v>Hazard</v>
      </c>
      <c r="H672" t="str">
        <f>_xlfn.XLOOKUP(FMECA[[#This Row],[HazardRisk_name]],categories[HazardRisk_Name],categories[Category])</f>
        <v>Environmental</v>
      </c>
      <c r="I672" t="s">
        <v>1164</v>
      </c>
      <c r="J672" s="10">
        <v>4</v>
      </c>
      <c r="K672" t="s">
        <v>2195</v>
      </c>
      <c r="L672" s="10">
        <v>1</v>
      </c>
      <c r="M672" t="s">
        <v>2195</v>
      </c>
      <c r="N672" s="10">
        <f>FMECA[[#This Row],[probability_value]]*FMECA[[#This Row],[consequence_value]]</f>
        <v>4</v>
      </c>
      <c r="O672"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672" s="10" t="s">
        <v>785</v>
      </c>
      <c r="Q672" t="s">
        <v>1162</v>
      </c>
      <c r="R672" t="s">
        <v>780</v>
      </c>
      <c r="S672" t="s">
        <v>2200</v>
      </c>
      <c r="T672" t="s">
        <v>778</v>
      </c>
      <c r="U672" t="s">
        <v>2196</v>
      </c>
      <c r="V672" t="s">
        <v>470</v>
      </c>
      <c r="W672" t="s">
        <v>2199</v>
      </c>
      <c r="X672" t="s">
        <v>466</v>
      </c>
      <c r="AA672" t="s">
        <v>1162</v>
      </c>
    </row>
    <row r="673" spans="1:27" x14ac:dyDescent="0.2">
      <c r="A673" s="225" t="s">
        <v>312</v>
      </c>
      <c r="B673" t="s">
        <v>303</v>
      </c>
      <c r="C673" t="s">
        <v>376</v>
      </c>
      <c r="D673" t="s">
        <v>375</v>
      </c>
      <c r="E673" t="s">
        <v>374</v>
      </c>
      <c r="F673" s="226" t="s">
        <v>373</v>
      </c>
      <c r="G673" t="str">
        <f>_xlfn.XLOOKUP(FMECA[[#This Row],[HazardRisk_name]],categories[HazardRisk_Name],categories[HazardRisk])</f>
        <v>Risk</v>
      </c>
      <c r="H673" t="str">
        <f>_xlfn.XLOOKUP(FMECA[[#This Row],[HazardRisk_name]],categories[HazardRisk_Name],categories[Category])</f>
        <v>Economic</v>
      </c>
      <c r="I673" t="s">
        <v>672</v>
      </c>
      <c r="J673" s="10">
        <v>5</v>
      </c>
      <c r="K673" t="s">
        <v>2201</v>
      </c>
      <c r="L673" s="10">
        <v>4</v>
      </c>
      <c r="M673" t="s">
        <v>2201</v>
      </c>
      <c r="N673" s="10">
        <f>FMECA[[#This Row],[probability_value]]*FMECA[[#This Row],[consequence_value]]</f>
        <v>20</v>
      </c>
      <c r="O67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73" s="10" t="s">
        <v>785</v>
      </c>
      <c r="Q673" t="s">
        <v>1162</v>
      </c>
      <c r="R673" t="s">
        <v>780</v>
      </c>
      <c r="S673" t="s">
        <v>2200</v>
      </c>
      <c r="T673" t="s">
        <v>778</v>
      </c>
      <c r="U673" t="s">
        <v>2202</v>
      </c>
      <c r="V673" t="s">
        <v>470</v>
      </c>
      <c r="AA673" t="s">
        <v>1162</v>
      </c>
    </row>
    <row r="674" spans="1:27" x14ac:dyDescent="0.2">
      <c r="A674" s="225" t="s">
        <v>312</v>
      </c>
      <c r="B674" t="s">
        <v>303</v>
      </c>
      <c r="C674" t="s">
        <v>376</v>
      </c>
      <c r="D674" t="s">
        <v>375</v>
      </c>
      <c r="E674" t="s">
        <v>374</v>
      </c>
      <c r="F674" s="226" t="s">
        <v>373</v>
      </c>
      <c r="G674" t="str">
        <f>_xlfn.XLOOKUP(FMECA[[#This Row],[HazardRisk_name]],categories[HazardRisk_Name],categories[HazardRisk])</f>
        <v>Risk</v>
      </c>
      <c r="H674" t="str">
        <f>_xlfn.XLOOKUP(FMECA[[#This Row],[HazardRisk_name]],categories[HazardRisk_Name],categories[Category])</f>
        <v>Operational</v>
      </c>
      <c r="I674" t="s">
        <v>596</v>
      </c>
      <c r="J674" s="10">
        <v>3</v>
      </c>
      <c r="K674" t="s">
        <v>2208</v>
      </c>
      <c r="L674" s="10">
        <v>10</v>
      </c>
      <c r="M674" t="s">
        <v>2208</v>
      </c>
      <c r="N674" s="10">
        <f>FMECA[[#This Row],[probability_value]]*FMECA[[#This Row],[consequence_value]]</f>
        <v>30</v>
      </c>
      <c r="O674" s="10" t="str">
        <f>IF(AND(FMECA[[#This Row],[Score]]&gt;=0, 9&gt;=FMECA[[#This Row],[Score]]), "UNDETECTABLE", IF(AND(FMECA[[#This Row],[Score]]&gt;=10, 24&gt;=FMECA[[#This Row],[Score]]), "MODERATE", IF(AND(FMECA[[#This Row],[Score]]&gt;=25, 35&gt;=FMECA[[#This Row],[Score]]), "HIGH", IF(AND(FMECA[[#This Row],[Score]]&gt;=36, 50&gt;=FMECA[[#This Row],[Score]]), "VERY HIGH", "Check Formula"))))</f>
        <v>HIGH</v>
      </c>
      <c r="P674" s="10" t="s">
        <v>785</v>
      </c>
      <c r="Q674" t="s">
        <v>1162</v>
      </c>
      <c r="R674" t="s">
        <v>780</v>
      </c>
      <c r="S674" t="s">
        <v>2200</v>
      </c>
      <c r="T674" t="s">
        <v>778</v>
      </c>
      <c r="U674" t="s">
        <v>2209</v>
      </c>
      <c r="V674" t="s">
        <v>466</v>
      </c>
      <c r="W674" t="s">
        <v>2210</v>
      </c>
      <c r="X674" t="s">
        <v>466</v>
      </c>
      <c r="Y674" t="s">
        <v>2211</v>
      </c>
      <c r="Z674" t="s">
        <v>2214</v>
      </c>
      <c r="AA674" t="s">
        <v>1162</v>
      </c>
    </row>
    <row r="675" spans="1:27" x14ac:dyDescent="0.2">
      <c r="A675" s="225" t="s">
        <v>312</v>
      </c>
      <c r="B675" t="s">
        <v>303</v>
      </c>
      <c r="C675" t="s">
        <v>376</v>
      </c>
      <c r="D675" t="s">
        <v>375</v>
      </c>
      <c r="E675" t="s">
        <v>374</v>
      </c>
      <c r="F675" s="226" t="s">
        <v>373</v>
      </c>
      <c r="G675" t="str">
        <f>_xlfn.XLOOKUP(FMECA[[#This Row],[HazardRisk_name]],categories[HazardRisk_Name],categories[HazardRisk])</f>
        <v>Hazard</v>
      </c>
      <c r="H675" t="str">
        <f>_xlfn.XLOOKUP(FMECA[[#This Row],[HazardRisk_name]],categories[HazardRisk_Name],categories[Category])</f>
        <v>Sea Ice</v>
      </c>
      <c r="I675" t="s">
        <v>673</v>
      </c>
      <c r="J675" s="10">
        <v>4</v>
      </c>
      <c r="K675" t="s">
        <v>2208</v>
      </c>
      <c r="L675" s="10">
        <v>7</v>
      </c>
      <c r="M675" t="s">
        <v>2208</v>
      </c>
      <c r="N675" s="10">
        <f>FMECA[[#This Row],[probability_value]]*FMECA[[#This Row],[consequence_value]]</f>
        <v>28</v>
      </c>
      <c r="O675" s="10" t="str">
        <f>IF(AND(FMECA[[#This Row],[Score]]&gt;=0, 9&gt;=FMECA[[#This Row],[Score]]), "UNDETECTABLE", IF(AND(FMECA[[#This Row],[Score]]&gt;=10, 24&gt;=FMECA[[#This Row],[Score]]), "MODERATE", IF(AND(FMECA[[#This Row],[Score]]&gt;=25, 35&gt;=FMECA[[#This Row],[Score]]), "HIGH", IF(AND(FMECA[[#This Row],[Score]]&gt;=36, 50&gt;=FMECA[[#This Row],[Score]]), "VERY HIGH", "Check Formula"))))</f>
        <v>HIGH</v>
      </c>
      <c r="P675" s="10" t="s">
        <v>785</v>
      </c>
      <c r="Q675" t="s">
        <v>1162</v>
      </c>
      <c r="R675" t="s">
        <v>780</v>
      </c>
      <c r="S675" t="s">
        <v>2200</v>
      </c>
      <c r="T675" t="s">
        <v>778</v>
      </c>
      <c r="U675" t="s">
        <v>2215</v>
      </c>
      <c r="V675" t="s">
        <v>466</v>
      </c>
      <c r="W675" t="s">
        <v>2216</v>
      </c>
      <c r="X675" t="s">
        <v>466</v>
      </c>
      <c r="Y675" t="s">
        <v>2212</v>
      </c>
      <c r="Z675" t="s">
        <v>2213</v>
      </c>
      <c r="AA675" t="s">
        <v>1162</v>
      </c>
    </row>
    <row r="676" spans="1:27" x14ac:dyDescent="0.2">
      <c r="A676" s="225" t="s">
        <v>312</v>
      </c>
      <c r="B676" t="s">
        <v>303</v>
      </c>
      <c r="C676" t="s">
        <v>376</v>
      </c>
      <c r="D676" t="s">
        <v>375</v>
      </c>
      <c r="E676" t="s">
        <v>374</v>
      </c>
      <c r="F676" s="226" t="s">
        <v>373</v>
      </c>
      <c r="G676" t="str">
        <f>_xlfn.XLOOKUP(FMECA[[#This Row],[HazardRisk_name]],categories[HazardRisk_Name],categories[HazardRisk])</f>
        <v>Risk</v>
      </c>
      <c r="H676" t="str">
        <f>_xlfn.XLOOKUP(FMECA[[#This Row],[HazardRisk_name]],categories[HazardRisk_Name],categories[Category])</f>
        <v>Environmental</v>
      </c>
      <c r="I676" t="s">
        <v>602</v>
      </c>
      <c r="J676" s="10">
        <v>3</v>
      </c>
      <c r="K676" t="s">
        <v>2225</v>
      </c>
      <c r="L676" s="10">
        <v>4</v>
      </c>
      <c r="M676" t="s">
        <v>2225</v>
      </c>
      <c r="N676" s="10">
        <f>FMECA[[#This Row],[probability_value]]*FMECA[[#This Row],[consequence_value]]</f>
        <v>12</v>
      </c>
      <c r="O67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76" s="10" t="s">
        <v>785</v>
      </c>
      <c r="Q676" t="s">
        <v>1162</v>
      </c>
      <c r="R676" t="s">
        <v>780</v>
      </c>
      <c r="S676" t="s">
        <v>2200</v>
      </c>
      <c r="T676" t="s">
        <v>778</v>
      </c>
      <c r="U676" t="s">
        <v>1826</v>
      </c>
      <c r="V676" t="s">
        <v>466</v>
      </c>
      <c r="W676" t="s">
        <v>2226</v>
      </c>
      <c r="X676" t="s">
        <v>466</v>
      </c>
      <c r="AA676" t="s">
        <v>1162</v>
      </c>
    </row>
    <row r="677" spans="1:27" x14ac:dyDescent="0.2">
      <c r="A677" s="225" t="s">
        <v>312</v>
      </c>
      <c r="B677" t="s">
        <v>303</v>
      </c>
      <c r="C677" t="s">
        <v>376</v>
      </c>
      <c r="D677" t="s">
        <v>375</v>
      </c>
      <c r="E677" t="s">
        <v>374</v>
      </c>
      <c r="F677" s="226" t="s">
        <v>373</v>
      </c>
      <c r="G677" t="str">
        <f>_xlfn.XLOOKUP(FMECA[[#This Row],[HazardRisk_name]],categories[HazardRisk_Name],categories[HazardRisk])</f>
        <v>Hazard</v>
      </c>
      <c r="H677" t="str">
        <f>_xlfn.XLOOKUP(FMECA[[#This Row],[HazardRisk_name]],categories[HazardRisk_Name],categories[Category])</f>
        <v>Environmental</v>
      </c>
      <c r="I677" t="s">
        <v>724</v>
      </c>
      <c r="J677" s="10">
        <v>5</v>
      </c>
      <c r="K677" t="s">
        <v>2220</v>
      </c>
      <c r="L677" s="10">
        <v>7</v>
      </c>
      <c r="M677" t="s">
        <v>2220</v>
      </c>
      <c r="N677" s="10">
        <f>FMECA[[#This Row],[probability_value]]*FMECA[[#This Row],[consequence_value]]</f>
        <v>35</v>
      </c>
      <c r="O677" s="10" t="str">
        <f>IF(AND(FMECA[[#This Row],[Score]]&gt;=0, 9&gt;=FMECA[[#This Row],[Score]]), "UNDETECTABLE", IF(AND(FMECA[[#This Row],[Score]]&gt;=10, 24&gt;=FMECA[[#This Row],[Score]]), "MODERATE", IF(AND(FMECA[[#This Row],[Score]]&gt;=25, 35&gt;=FMECA[[#This Row],[Score]]), "HIGH", IF(AND(FMECA[[#This Row],[Score]]&gt;=36, 50&gt;=FMECA[[#This Row],[Score]]), "VERY HIGH", "Check Formula"))))</f>
        <v>HIGH</v>
      </c>
      <c r="P677" s="10" t="s">
        <v>785</v>
      </c>
      <c r="Q677" t="s">
        <v>1162</v>
      </c>
      <c r="R677" t="s">
        <v>780</v>
      </c>
      <c r="S677" t="s">
        <v>2200</v>
      </c>
      <c r="T677" t="s">
        <v>778</v>
      </c>
      <c r="U677" t="s">
        <v>1826</v>
      </c>
      <c r="V677" t="s">
        <v>466</v>
      </c>
      <c r="W677" t="s">
        <v>2221</v>
      </c>
      <c r="X677" t="s">
        <v>466</v>
      </c>
      <c r="AA677" t="s">
        <v>1162</v>
      </c>
    </row>
    <row r="678" spans="1:27" x14ac:dyDescent="0.2">
      <c r="A678" s="225" t="s">
        <v>312</v>
      </c>
      <c r="B678" t="s">
        <v>303</v>
      </c>
      <c r="C678" t="s">
        <v>376</v>
      </c>
      <c r="D678" t="s">
        <v>375</v>
      </c>
      <c r="E678" t="s">
        <v>374</v>
      </c>
      <c r="F678" s="226" t="s">
        <v>373</v>
      </c>
      <c r="G678" t="str">
        <f>_xlfn.XLOOKUP(FMECA[[#This Row],[HazardRisk_name]],categories[HazardRisk_Name],categories[HazardRisk])</f>
        <v>Risk</v>
      </c>
      <c r="H678" t="str">
        <f>_xlfn.XLOOKUP(FMECA[[#This Row],[HazardRisk_name]],categories[HazardRisk_Name],categories[Category])</f>
        <v>Operational</v>
      </c>
      <c r="I678" t="s">
        <v>694</v>
      </c>
      <c r="J678" s="10">
        <v>5</v>
      </c>
      <c r="K678" t="s">
        <v>2217</v>
      </c>
      <c r="L678" s="10">
        <v>7</v>
      </c>
      <c r="M678" t="s">
        <v>2217</v>
      </c>
      <c r="N678" s="10">
        <f>FMECA[[#This Row],[probability_value]]*FMECA[[#This Row],[consequence_value]]</f>
        <v>35</v>
      </c>
      <c r="O678" s="10" t="str">
        <f>IF(AND(FMECA[[#This Row],[Score]]&gt;=0, 9&gt;=FMECA[[#This Row],[Score]]), "UNDETECTABLE", IF(AND(FMECA[[#This Row],[Score]]&gt;=10, 24&gt;=FMECA[[#This Row],[Score]]), "MODERATE", IF(AND(FMECA[[#This Row],[Score]]&gt;=25, 35&gt;=FMECA[[#This Row],[Score]]), "HIGH", IF(AND(FMECA[[#This Row],[Score]]&gt;=36, 50&gt;=FMECA[[#This Row],[Score]]), "VERY HIGH", "Check Formula"))))</f>
        <v>HIGH</v>
      </c>
      <c r="P678" s="10" t="s">
        <v>785</v>
      </c>
      <c r="Q678" t="s">
        <v>1162</v>
      </c>
      <c r="R678" t="s">
        <v>780</v>
      </c>
      <c r="S678" t="s">
        <v>2200</v>
      </c>
      <c r="T678" t="s">
        <v>778</v>
      </c>
      <c r="U678" t="s">
        <v>2218</v>
      </c>
      <c r="V678" t="s">
        <v>466</v>
      </c>
      <c r="W678" t="s">
        <v>2219</v>
      </c>
      <c r="X678" t="s">
        <v>466</v>
      </c>
      <c r="AA678" t="s">
        <v>1162</v>
      </c>
    </row>
    <row r="679" spans="1:27" x14ac:dyDescent="0.2">
      <c r="A679" s="225" t="s">
        <v>312</v>
      </c>
      <c r="B679" t="s">
        <v>303</v>
      </c>
      <c r="C679" t="s">
        <v>376</v>
      </c>
      <c r="D679" t="s">
        <v>375</v>
      </c>
      <c r="E679" t="s">
        <v>374</v>
      </c>
      <c r="F679" s="226" t="s">
        <v>373</v>
      </c>
      <c r="G679" t="str">
        <f>_xlfn.XLOOKUP(FMECA[[#This Row],[HazardRisk_name]],categories[HazardRisk_Name],categories[HazardRisk])</f>
        <v>Risk</v>
      </c>
      <c r="H679" t="str">
        <f>_xlfn.XLOOKUP(FMECA[[#This Row],[HazardRisk_name]],categories[HazardRisk_Name],categories[Category])</f>
        <v>Technological</v>
      </c>
      <c r="I679" t="s">
        <v>692</v>
      </c>
      <c r="J679" s="10">
        <v>4</v>
      </c>
      <c r="K679" t="s">
        <v>2208</v>
      </c>
      <c r="L679" s="10">
        <v>7</v>
      </c>
      <c r="M679" t="s">
        <v>2208</v>
      </c>
      <c r="N679" s="10">
        <f>FMECA[[#This Row],[probability_value]]*FMECA[[#This Row],[consequence_value]]</f>
        <v>28</v>
      </c>
      <c r="O679" s="10" t="str">
        <f>IF(AND(FMECA[[#This Row],[Score]]&gt;=0, 9&gt;=FMECA[[#This Row],[Score]]), "UNDETECTABLE", IF(AND(FMECA[[#This Row],[Score]]&gt;=10, 24&gt;=FMECA[[#This Row],[Score]]), "MODERATE", IF(AND(FMECA[[#This Row],[Score]]&gt;=25, 35&gt;=FMECA[[#This Row],[Score]]), "HIGH", IF(AND(FMECA[[#This Row],[Score]]&gt;=36, 50&gt;=FMECA[[#This Row],[Score]]), "VERY HIGH", "Check Formula"))))</f>
        <v>HIGH</v>
      </c>
      <c r="P679" s="10" t="s">
        <v>785</v>
      </c>
      <c r="Q679" t="s">
        <v>1162</v>
      </c>
      <c r="R679" t="s">
        <v>780</v>
      </c>
      <c r="S679" t="s">
        <v>2200</v>
      </c>
      <c r="T679" t="s">
        <v>778</v>
      </c>
      <c r="AA679" t="s">
        <v>1162</v>
      </c>
    </row>
    <row r="680" spans="1:27" x14ac:dyDescent="0.2">
      <c r="A680" s="227" t="s">
        <v>313</v>
      </c>
      <c r="B680" s="206"/>
      <c r="C680" s="206"/>
      <c r="D680" s="206"/>
      <c r="E680" s="206"/>
      <c r="F680" s="228"/>
      <c r="G680" s="206" t="e">
        <f>_xlfn.XLOOKUP(FMECA[[#This Row],[HazardRisk_name]],categories[HazardRisk_Name],categories[HazardRisk])</f>
        <v>#N/A</v>
      </c>
      <c r="H680" s="206" t="e">
        <f>_xlfn.XLOOKUP(FMECA[[#This Row],[HazardRisk_name]],categories[HazardRisk_Name],categories[Category])</f>
        <v>#N/A</v>
      </c>
      <c r="I680" s="206"/>
      <c r="J680" s="207"/>
      <c r="K680" s="206"/>
      <c r="L680" s="207"/>
      <c r="M680" s="206"/>
      <c r="N680" s="207">
        <f>FMECA[[#This Row],[probability_value]]*FMECA[[#This Row],[consequence_value]]</f>
        <v>0</v>
      </c>
      <c r="O680" s="207"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680" s="207"/>
      <c r="Q680" s="206"/>
      <c r="R680" s="206"/>
      <c r="S680" s="206"/>
      <c r="T680" s="206"/>
      <c r="U680" s="206"/>
      <c r="V680" s="206"/>
      <c r="W680" s="206"/>
      <c r="X680" s="206"/>
      <c r="Y680" s="206"/>
      <c r="Z680" s="206"/>
      <c r="AA680" s="206"/>
    </row>
    <row r="681" spans="1:27" x14ac:dyDescent="0.2">
      <c r="A681" s="225" t="s">
        <v>314</v>
      </c>
      <c r="B681" t="s">
        <v>303</v>
      </c>
      <c r="C681" t="s">
        <v>379</v>
      </c>
      <c r="D681" t="s">
        <v>179</v>
      </c>
      <c r="E681" t="s">
        <v>378</v>
      </c>
      <c r="F681" s="226" t="s">
        <v>377</v>
      </c>
      <c r="G681" t="str">
        <f>_xlfn.XLOOKUP(FMECA[[#This Row],[HazardRisk_name]],categories[HazardRisk_Name],categories[HazardRisk])</f>
        <v>Risk</v>
      </c>
      <c r="H681" t="str">
        <f>_xlfn.XLOOKUP(FMECA[[#This Row],[HazardRisk_name]],categories[HazardRisk_Name],categories[Category])</f>
        <v>Environmental</v>
      </c>
      <c r="I681" t="s">
        <v>625</v>
      </c>
      <c r="J681" s="10">
        <v>4</v>
      </c>
      <c r="K681" t="s">
        <v>1648</v>
      </c>
      <c r="L681" s="10">
        <v>7</v>
      </c>
      <c r="M681" t="s">
        <v>1648</v>
      </c>
      <c r="N681" s="10">
        <f>FMECA[[#This Row],[probability_value]]*FMECA[[#This Row],[consequence_value]]</f>
        <v>28</v>
      </c>
      <c r="O681" s="10" t="str">
        <f>IF(AND(FMECA[[#This Row],[Score]]&gt;=0, 9&gt;=FMECA[[#This Row],[Score]]), "UNDETECTABLE", IF(AND(FMECA[[#This Row],[Score]]&gt;=10, 24&gt;=FMECA[[#This Row],[Score]]), "MODERATE", IF(AND(FMECA[[#This Row],[Score]]&gt;=25, 35&gt;=FMECA[[#This Row],[Score]]), "HIGH", IF(AND(FMECA[[#This Row],[Score]]&gt;=36, 50&gt;=FMECA[[#This Row],[Score]]), "VERY HIGH", "Check Formula"))))</f>
        <v>HIGH</v>
      </c>
      <c r="P681" s="10" t="s">
        <v>770</v>
      </c>
      <c r="Q681" t="s">
        <v>1132</v>
      </c>
      <c r="R681" t="s">
        <v>771</v>
      </c>
      <c r="S681" t="s">
        <v>1647</v>
      </c>
      <c r="T681" t="s">
        <v>793</v>
      </c>
      <c r="AA681" t="s">
        <v>1162</v>
      </c>
    </row>
    <row r="682" spans="1:27" x14ac:dyDescent="0.2">
      <c r="A682" s="225" t="s">
        <v>314</v>
      </c>
      <c r="B682" t="s">
        <v>303</v>
      </c>
      <c r="C682" t="s">
        <v>379</v>
      </c>
      <c r="D682" t="s">
        <v>179</v>
      </c>
      <c r="E682" t="s">
        <v>378</v>
      </c>
      <c r="F682" s="226" t="s">
        <v>377</v>
      </c>
      <c r="G682" t="str">
        <f>_xlfn.XLOOKUP(FMECA[[#This Row],[HazardRisk_name]],categories[HazardRisk_Name],categories[HazardRisk])</f>
        <v>Risk</v>
      </c>
      <c r="H682" t="str">
        <f>_xlfn.XLOOKUP(FMECA[[#This Row],[HazardRisk_name]],categories[HazardRisk_Name],categories[Category])</f>
        <v>Environmental</v>
      </c>
      <c r="I682" t="s">
        <v>553</v>
      </c>
      <c r="J682" s="10">
        <v>3</v>
      </c>
      <c r="K682" t="s">
        <v>1651</v>
      </c>
      <c r="L682" s="10">
        <v>10</v>
      </c>
      <c r="M682" t="s">
        <v>1651</v>
      </c>
      <c r="N682" s="10">
        <f>FMECA[[#This Row],[probability_value]]*FMECA[[#This Row],[consequence_value]]</f>
        <v>30</v>
      </c>
      <c r="O682" s="10" t="str">
        <f>IF(AND(FMECA[[#This Row],[Score]]&gt;=0, 9&gt;=FMECA[[#This Row],[Score]]), "UNDETECTABLE", IF(AND(FMECA[[#This Row],[Score]]&gt;=10, 24&gt;=FMECA[[#This Row],[Score]]), "MODERATE", IF(AND(FMECA[[#This Row],[Score]]&gt;=25, 35&gt;=FMECA[[#This Row],[Score]]), "HIGH", IF(AND(FMECA[[#This Row],[Score]]&gt;=36, 50&gt;=FMECA[[#This Row],[Score]]), "VERY HIGH", "Check Formula"))))</f>
        <v>HIGH</v>
      </c>
      <c r="P682" s="10" t="s">
        <v>770</v>
      </c>
      <c r="Q682" t="s">
        <v>1132</v>
      </c>
      <c r="R682" t="s">
        <v>771</v>
      </c>
      <c r="S682" t="s">
        <v>1647</v>
      </c>
      <c r="T682" t="s">
        <v>793</v>
      </c>
      <c r="AA682" t="s">
        <v>1162</v>
      </c>
    </row>
    <row r="683" spans="1:27" x14ac:dyDescent="0.2">
      <c r="A683" s="225" t="s">
        <v>314</v>
      </c>
      <c r="B683" t="s">
        <v>303</v>
      </c>
      <c r="C683" t="s">
        <v>379</v>
      </c>
      <c r="D683" t="s">
        <v>179</v>
      </c>
      <c r="E683" t="s">
        <v>378</v>
      </c>
      <c r="F683" s="226" t="s">
        <v>377</v>
      </c>
      <c r="G683" t="str">
        <f>_xlfn.XLOOKUP(FMECA[[#This Row],[HazardRisk_name]],categories[HazardRisk_Name],categories[HazardRisk])</f>
        <v>Hazard</v>
      </c>
      <c r="H683" t="str">
        <f>_xlfn.XLOOKUP(FMECA[[#This Row],[HazardRisk_name]],categories[HazardRisk_Name],categories[Category])</f>
        <v>Environmental</v>
      </c>
      <c r="I683" t="s">
        <v>682</v>
      </c>
      <c r="J683" s="10">
        <v>3</v>
      </c>
      <c r="K683" t="s">
        <v>1650</v>
      </c>
      <c r="L683" s="10">
        <v>7</v>
      </c>
      <c r="M683" t="s">
        <v>1650</v>
      </c>
      <c r="N683" s="10">
        <f>FMECA[[#This Row],[probability_value]]*FMECA[[#This Row],[consequence_value]]</f>
        <v>21</v>
      </c>
      <c r="O68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83" s="10" t="s">
        <v>770</v>
      </c>
      <c r="Q683" t="s">
        <v>1132</v>
      </c>
      <c r="R683" t="s">
        <v>771</v>
      </c>
      <c r="S683" t="s">
        <v>1647</v>
      </c>
      <c r="T683" t="s">
        <v>793</v>
      </c>
      <c r="AA683" t="s">
        <v>1162</v>
      </c>
    </row>
    <row r="684" spans="1:27" x14ac:dyDescent="0.2">
      <c r="A684" s="225" t="s">
        <v>314</v>
      </c>
      <c r="B684" t="s">
        <v>303</v>
      </c>
      <c r="C684" t="s">
        <v>379</v>
      </c>
      <c r="D684" t="s">
        <v>179</v>
      </c>
      <c r="E684" t="s">
        <v>378</v>
      </c>
      <c r="F684" s="226" t="s">
        <v>377</v>
      </c>
      <c r="G684" t="str">
        <f>_xlfn.XLOOKUP(FMECA[[#This Row],[HazardRisk_name]],categories[HazardRisk_Name],categories[HazardRisk])</f>
        <v>Risk</v>
      </c>
      <c r="H684" t="str">
        <f>_xlfn.XLOOKUP(FMECA[[#This Row],[HazardRisk_name]],categories[HazardRisk_Name],categories[Category])</f>
        <v>Environmental</v>
      </c>
      <c r="I684" t="s">
        <v>554</v>
      </c>
      <c r="J684" s="10">
        <v>5</v>
      </c>
      <c r="K684" t="s">
        <v>1615</v>
      </c>
      <c r="L684" s="10">
        <v>7</v>
      </c>
      <c r="M684" t="s">
        <v>1615</v>
      </c>
      <c r="N684" s="10">
        <f>FMECA[[#This Row],[probability_value]]*FMECA[[#This Row],[consequence_value]]</f>
        <v>35</v>
      </c>
      <c r="O684" s="10" t="str">
        <f>IF(AND(FMECA[[#This Row],[Score]]&gt;=0, 9&gt;=FMECA[[#This Row],[Score]]), "UNDETECTABLE", IF(AND(FMECA[[#This Row],[Score]]&gt;=10, 24&gt;=FMECA[[#This Row],[Score]]), "MODERATE", IF(AND(FMECA[[#This Row],[Score]]&gt;=25, 35&gt;=FMECA[[#This Row],[Score]]), "HIGH", IF(AND(FMECA[[#This Row],[Score]]&gt;=36, 50&gt;=FMECA[[#This Row],[Score]]), "VERY HIGH", "Check Formula"))))</f>
        <v>HIGH</v>
      </c>
      <c r="P684" s="10" t="s">
        <v>770</v>
      </c>
      <c r="Q684" t="s">
        <v>1132</v>
      </c>
      <c r="R684" t="s">
        <v>771</v>
      </c>
      <c r="S684" t="s">
        <v>1647</v>
      </c>
      <c r="T684" t="s">
        <v>793</v>
      </c>
      <c r="AA684" t="s">
        <v>1162</v>
      </c>
    </row>
    <row r="685" spans="1:27" s="206" customFormat="1" x14ac:dyDescent="0.2">
      <c r="A685" s="225" t="s">
        <v>314</v>
      </c>
      <c r="B685" t="s">
        <v>303</v>
      </c>
      <c r="C685" t="s">
        <v>379</v>
      </c>
      <c r="D685" t="s">
        <v>179</v>
      </c>
      <c r="E685" t="s">
        <v>378</v>
      </c>
      <c r="F685" s="226" t="s">
        <v>377</v>
      </c>
      <c r="G685" t="str">
        <f>_xlfn.XLOOKUP(FMECA[[#This Row],[HazardRisk_name]],categories[HazardRisk_Name],categories[HazardRisk])</f>
        <v>Risk</v>
      </c>
      <c r="H685" t="str">
        <f>_xlfn.XLOOKUP(FMECA[[#This Row],[HazardRisk_name]],categories[HazardRisk_Name],categories[Category])</f>
        <v>Navigational</v>
      </c>
      <c r="I685" t="s">
        <v>474</v>
      </c>
      <c r="J685" s="10">
        <v>5</v>
      </c>
      <c r="K685" t="s">
        <v>1652</v>
      </c>
      <c r="L685" s="10">
        <v>7</v>
      </c>
      <c r="M685" t="s">
        <v>1652</v>
      </c>
      <c r="N685" s="10">
        <f>FMECA[[#This Row],[probability_value]]*FMECA[[#This Row],[consequence_value]]</f>
        <v>35</v>
      </c>
      <c r="O685" s="10" t="str">
        <f>IF(AND(FMECA[[#This Row],[Score]]&gt;=0, 9&gt;=FMECA[[#This Row],[Score]]), "UNDETECTABLE", IF(AND(FMECA[[#This Row],[Score]]&gt;=10, 24&gt;=FMECA[[#This Row],[Score]]), "MODERATE", IF(AND(FMECA[[#This Row],[Score]]&gt;=25, 35&gt;=FMECA[[#This Row],[Score]]), "HIGH", IF(AND(FMECA[[#This Row],[Score]]&gt;=36, 50&gt;=FMECA[[#This Row],[Score]]), "VERY HIGH", "Check Formula"))))</f>
        <v>HIGH</v>
      </c>
      <c r="P685" s="10" t="s">
        <v>770</v>
      </c>
      <c r="Q685" t="s">
        <v>1132</v>
      </c>
      <c r="R685" t="s">
        <v>771</v>
      </c>
      <c r="S685" t="s">
        <v>1647</v>
      </c>
      <c r="T685" t="s">
        <v>793</v>
      </c>
      <c r="U685"/>
      <c r="V685"/>
      <c r="W685"/>
      <c r="X685"/>
      <c r="Y685"/>
      <c r="Z685"/>
      <c r="AA685" t="s">
        <v>1162</v>
      </c>
    </row>
    <row r="686" spans="1:27" x14ac:dyDescent="0.2">
      <c r="A686" s="225" t="s">
        <v>314</v>
      </c>
      <c r="B686" t="s">
        <v>303</v>
      </c>
      <c r="C686" t="s">
        <v>379</v>
      </c>
      <c r="D686" t="s">
        <v>179</v>
      </c>
      <c r="E686" t="s">
        <v>378</v>
      </c>
      <c r="F686" s="226" t="s">
        <v>377</v>
      </c>
      <c r="G686" t="str">
        <f>_xlfn.XLOOKUP(FMECA[[#This Row],[HazardRisk_name]],categories[HazardRisk_Name],categories[HazardRisk])</f>
        <v>Hazard</v>
      </c>
      <c r="H686" t="str">
        <f>_xlfn.XLOOKUP(FMECA[[#This Row],[HazardRisk_name]],categories[HazardRisk_Name],categories[Category])</f>
        <v>Pollutants</v>
      </c>
      <c r="I686" t="s">
        <v>844</v>
      </c>
      <c r="J686" s="10">
        <v>2</v>
      </c>
      <c r="K686" t="s">
        <v>1649</v>
      </c>
      <c r="L686" s="10">
        <v>10</v>
      </c>
      <c r="M686" t="s">
        <v>1649</v>
      </c>
      <c r="N686" s="10">
        <f>FMECA[[#This Row],[probability_value]]*FMECA[[#This Row],[consequence_value]]</f>
        <v>20</v>
      </c>
      <c r="O68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86" s="10" t="s">
        <v>770</v>
      </c>
      <c r="Q686" t="s">
        <v>1132</v>
      </c>
      <c r="R686" t="s">
        <v>771</v>
      </c>
      <c r="S686" t="s">
        <v>1647</v>
      </c>
      <c r="T686" t="s">
        <v>793</v>
      </c>
      <c r="AA686" t="s">
        <v>1162</v>
      </c>
    </row>
    <row r="687" spans="1:27" x14ac:dyDescent="0.2">
      <c r="A687" s="225" t="s">
        <v>314</v>
      </c>
      <c r="B687" t="s">
        <v>303</v>
      </c>
      <c r="C687" t="s">
        <v>379</v>
      </c>
      <c r="D687" t="s">
        <v>179</v>
      </c>
      <c r="E687" t="s">
        <v>378</v>
      </c>
      <c r="F687" s="226" t="s">
        <v>377</v>
      </c>
      <c r="G687" t="str">
        <f>_xlfn.XLOOKUP(FMECA[[#This Row],[HazardRisk_name]],categories[HazardRisk_Name],categories[HazardRisk])</f>
        <v>Risk</v>
      </c>
      <c r="H687" t="str">
        <f>_xlfn.XLOOKUP(FMECA[[#This Row],[HazardRisk_name]],categories[HazardRisk_Name],categories[Category])</f>
        <v>Navigational</v>
      </c>
      <c r="I687" t="s">
        <v>631</v>
      </c>
      <c r="J687" s="10">
        <v>4</v>
      </c>
      <c r="K687" t="s">
        <v>1649</v>
      </c>
      <c r="L687" s="10">
        <v>7</v>
      </c>
      <c r="M687" t="s">
        <v>1649</v>
      </c>
      <c r="N687" s="10">
        <f>FMECA[[#This Row],[probability_value]]*FMECA[[#This Row],[consequence_value]]</f>
        <v>28</v>
      </c>
      <c r="O687" s="10" t="str">
        <f>IF(AND(FMECA[[#This Row],[Score]]&gt;=0, 9&gt;=FMECA[[#This Row],[Score]]), "UNDETECTABLE", IF(AND(FMECA[[#This Row],[Score]]&gt;=10, 24&gt;=FMECA[[#This Row],[Score]]), "MODERATE", IF(AND(FMECA[[#This Row],[Score]]&gt;=25, 35&gt;=FMECA[[#This Row],[Score]]), "HIGH", IF(AND(FMECA[[#This Row],[Score]]&gt;=36, 50&gt;=FMECA[[#This Row],[Score]]), "VERY HIGH", "Check Formula"))))</f>
        <v>HIGH</v>
      </c>
      <c r="P687" s="10" t="s">
        <v>770</v>
      </c>
      <c r="Q687" t="s">
        <v>1132</v>
      </c>
      <c r="R687" t="s">
        <v>771</v>
      </c>
      <c r="S687" t="s">
        <v>1647</v>
      </c>
      <c r="T687" t="s">
        <v>793</v>
      </c>
      <c r="AA687" t="s">
        <v>1162</v>
      </c>
    </row>
    <row r="688" spans="1:27" x14ac:dyDescent="0.2">
      <c r="A688" s="227" t="s">
        <v>315</v>
      </c>
      <c r="B688" s="206"/>
      <c r="C688" s="206"/>
      <c r="D688" s="206"/>
      <c r="E688" s="206"/>
      <c r="F688" s="228"/>
      <c r="G688" s="206" t="e">
        <f>_xlfn.XLOOKUP(FMECA[[#This Row],[HazardRisk_name]],categories[HazardRisk_Name],categories[HazardRisk])</f>
        <v>#N/A</v>
      </c>
      <c r="H688" s="206" t="e">
        <f>_xlfn.XLOOKUP(FMECA[[#This Row],[HazardRisk_name]],categories[HazardRisk_Name],categories[Category])</f>
        <v>#N/A</v>
      </c>
      <c r="I688" s="206"/>
      <c r="J688" s="207"/>
      <c r="K688" s="206"/>
      <c r="L688" s="207"/>
      <c r="M688" s="206"/>
      <c r="N688" s="207">
        <f>FMECA[[#This Row],[probability_value]]*FMECA[[#This Row],[consequence_value]]</f>
        <v>0</v>
      </c>
      <c r="O688" s="207"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688" s="207"/>
      <c r="Q688" s="206"/>
      <c r="R688" s="206"/>
      <c r="S688" s="206"/>
      <c r="T688" s="206"/>
      <c r="U688" s="206"/>
      <c r="V688" s="206"/>
      <c r="W688" s="206"/>
      <c r="X688" s="206"/>
      <c r="Y688" s="206"/>
      <c r="Z688" s="206"/>
      <c r="AA688" s="206"/>
    </row>
    <row r="689" spans="1:27" x14ac:dyDescent="0.2">
      <c r="A689" s="225" t="s">
        <v>316</v>
      </c>
      <c r="B689" t="s">
        <v>303</v>
      </c>
      <c r="C689" t="s">
        <v>73</v>
      </c>
      <c r="D689" t="s">
        <v>381</v>
      </c>
      <c r="E689" t="s">
        <v>380</v>
      </c>
      <c r="F689" s="226" t="s">
        <v>382</v>
      </c>
      <c r="G689" t="str">
        <f>_xlfn.XLOOKUP(FMECA[[#This Row],[HazardRisk_name]],categories[HazardRisk_Name],categories[HazardRisk])</f>
        <v>Risk</v>
      </c>
      <c r="H689" t="str">
        <f>_xlfn.XLOOKUP(FMECA[[#This Row],[HazardRisk_name]],categories[HazardRisk_Name],categories[Category])</f>
        <v>Sea Ice</v>
      </c>
      <c r="I689" t="s">
        <v>480</v>
      </c>
      <c r="J689" s="10">
        <v>3</v>
      </c>
      <c r="K689" t="s">
        <v>1640</v>
      </c>
      <c r="L689" s="10">
        <v>4</v>
      </c>
      <c r="M689" t="s">
        <v>1641</v>
      </c>
      <c r="N689" s="10">
        <f>FMECA[[#This Row],[probability_value]]*FMECA[[#This Row],[consequence_value]]</f>
        <v>12</v>
      </c>
      <c r="O68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89" s="10" t="s">
        <v>767</v>
      </c>
      <c r="Q689" t="s">
        <v>793</v>
      </c>
      <c r="R689" t="s">
        <v>780</v>
      </c>
      <c r="S689" t="s">
        <v>1574</v>
      </c>
      <c r="T689" t="s">
        <v>1132</v>
      </c>
      <c r="Y689" t="s">
        <v>1153</v>
      </c>
      <c r="Z689" t="s">
        <v>1643</v>
      </c>
      <c r="AA689" t="s">
        <v>1162</v>
      </c>
    </row>
    <row r="690" spans="1:27" x14ac:dyDescent="0.2">
      <c r="A690" s="225" t="s">
        <v>316</v>
      </c>
      <c r="B690" t="s">
        <v>303</v>
      </c>
      <c r="C690" t="s">
        <v>73</v>
      </c>
      <c r="D690" t="s">
        <v>381</v>
      </c>
      <c r="E690" t="s">
        <v>380</v>
      </c>
      <c r="F690" s="226" t="s">
        <v>382</v>
      </c>
      <c r="G690" t="str">
        <f>_xlfn.XLOOKUP(FMECA[[#This Row],[HazardRisk_name]],categories[HazardRisk_Name],categories[HazardRisk])</f>
        <v>Risk</v>
      </c>
      <c r="H690" t="str">
        <f>_xlfn.XLOOKUP(FMECA[[#This Row],[HazardRisk_name]],categories[HazardRisk_Name],categories[Category])</f>
        <v>Social</v>
      </c>
      <c r="I690" t="s">
        <v>555</v>
      </c>
      <c r="J690" s="10">
        <v>3</v>
      </c>
      <c r="K690" t="s">
        <v>1645</v>
      </c>
      <c r="L690" s="10">
        <v>7</v>
      </c>
      <c r="M690" t="s">
        <v>1645</v>
      </c>
      <c r="N690" s="10">
        <f>FMECA[[#This Row],[probability_value]]*FMECA[[#This Row],[consequence_value]]</f>
        <v>21</v>
      </c>
      <c r="O69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90" s="10" t="s">
        <v>767</v>
      </c>
      <c r="Q690" t="s">
        <v>793</v>
      </c>
      <c r="R690" t="s">
        <v>780</v>
      </c>
      <c r="S690" t="s">
        <v>1574</v>
      </c>
      <c r="T690" t="s">
        <v>1132</v>
      </c>
      <c r="Y690" t="s">
        <v>1153</v>
      </c>
      <c r="Z690" t="s">
        <v>1643</v>
      </c>
      <c r="AA690" t="s">
        <v>1162</v>
      </c>
    </row>
    <row r="691" spans="1:27" x14ac:dyDescent="0.2">
      <c r="A691" s="225" t="s">
        <v>316</v>
      </c>
      <c r="B691" t="s">
        <v>303</v>
      </c>
      <c r="C691" t="s">
        <v>73</v>
      </c>
      <c r="D691" t="s">
        <v>381</v>
      </c>
      <c r="E691" t="s">
        <v>380</v>
      </c>
      <c r="F691" s="226" t="s">
        <v>382</v>
      </c>
      <c r="G691" t="str">
        <f>_xlfn.XLOOKUP(FMECA[[#This Row],[HazardRisk_name]],categories[HazardRisk_Name],categories[HazardRisk])</f>
        <v>Risk</v>
      </c>
      <c r="H691" t="str">
        <f>_xlfn.XLOOKUP(FMECA[[#This Row],[HazardRisk_name]],categories[HazardRisk_Name],categories[Category])</f>
        <v>Navigational</v>
      </c>
      <c r="I691" t="s">
        <v>474</v>
      </c>
      <c r="J691" s="10">
        <v>4</v>
      </c>
      <c r="K691" t="s">
        <v>1644</v>
      </c>
      <c r="L691" s="10">
        <v>4</v>
      </c>
      <c r="M691" t="s">
        <v>1641</v>
      </c>
      <c r="N691" s="10">
        <f>FMECA[[#This Row],[probability_value]]*FMECA[[#This Row],[consequence_value]]</f>
        <v>16</v>
      </c>
      <c r="O69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91" s="10" t="s">
        <v>767</v>
      </c>
      <c r="Q691" t="s">
        <v>793</v>
      </c>
      <c r="R691" t="s">
        <v>780</v>
      </c>
      <c r="S691" t="s">
        <v>1574</v>
      </c>
      <c r="T691" t="s">
        <v>1132</v>
      </c>
      <c r="Y691" t="s">
        <v>1153</v>
      </c>
      <c r="Z691" t="s">
        <v>1643</v>
      </c>
      <c r="AA691" t="s">
        <v>1162</v>
      </c>
    </row>
    <row r="692" spans="1:27" x14ac:dyDescent="0.2">
      <c r="A692" s="225" t="s">
        <v>316</v>
      </c>
      <c r="B692" t="s">
        <v>303</v>
      </c>
      <c r="C692" t="s">
        <v>73</v>
      </c>
      <c r="D692" t="s">
        <v>381</v>
      </c>
      <c r="E692" t="s">
        <v>380</v>
      </c>
      <c r="F692" s="226" t="s">
        <v>382</v>
      </c>
      <c r="G692" t="str">
        <f>_xlfn.XLOOKUP(FMECA[[#This Row],[HazardRisk_name]],categories[HazardRisk_Name],categories[HazardRisk])</f>
        <v>Risk</v>
      </c>
      <c r="H692" t="str">
        <f>_xlfn.XLOOKUP(FMECA[[#This Row],[HazardRisk_name]],categories[HazardRisk_Name],categories[Category])</f>
        <v>Operational</v>
      </c>
      <c r="I692" t="s">
        <v>572</v>
      </c>
      <c r="J692" s="10">
        <v>4</v>
      </c>
      <c r="K692" t="s">
        <v>1644</v>
      </c>
      <c r="L692" s="10">
        <v>7</v>
      </c>
      <c r="M692" t="s">
        <v>1642</v>
      </c>
      <c r="N692" s="10">
        <f>FMECA[[#This Row],[probability_value]]*FMECA[[#This Row],[consequence_value]]</f>
        <v>28</v>
      </c>
      <c r="O692" s="10" t="str">
        <f>IF(AND(FMECA[[#This Row],[Score]]&gt;=0, 9&gt;=FMECA[[#This Row],[Score]]), "UNDETECTABLE", IF(AND(FMECA[[#This Row],[Score]]&gt;=10, 24&gt;=FMECA[[#This Row],[Score]]), "MODERATE", IF(AND(FMECA[[#This Row],[Score]]&gt;=25, 35&gt;=FMECA[[#This Row],[Score]]), "HIGH", IF(AND(FMECA[[#This Row],[Score]]&gt;=36, 50&gt;=FMECA[[#This Row],[Score]]), "VERY HIGH", "Check Formula"))))</f>
        <v>HIGH</v>
      </c>
      <c r="P692" s="10" t="s">
        <v>767</v>
      </c>
      <c r="Q692" t="s">
        <v>793</v>
      </c>
      <c r="R692" t="s">
        <v>780</v>
      </c>
      <c r="S692" t="s">
        <v>1574</v>
      </c>
      <c r="T692" t="s">
        <v>1132</v>
      </c>
      <c r="Y692" t="s">
        <v>1153</v>
      </c>
      <c r="Z692" t="s">
        <v>1643</v>
      </c>
      <c r="AA692" t="s">
        <v>1162</v>
      </c>
    </row>
    <row r="693" spans="1:27" x14ac:dyDescent="0.2">
      <c r="A693" s="225" t="s">
        <v>316</v>
      </c>
      <c r="B693" t="s">
        <v>303</v>
      </c>
      <c r="C693" t="s">
        <v>73</v>
      </c>
      <c r="D693" t="s">
        <v>381</v>
      </c>
      <c r="E693" t="s">
        <v>380</v>
      </c>
      <c r="F693" s="226" t="s">
        <v>382</v>
      </c>
      <c r="G693" t="str">
        <f>_xlfn.XLOOKUP(FMECA[[#This Row],[HazardRisk_name]],categories[HazardRisk_Name],categories[HazardRisk])</f>
        <v>Risk</v>
      </c>
      <c r="H693" t="str">
        <f>_xlfn.XLOOKUP(FMECA[[#This Row],[HazardRisk_name]],categories[HazardRisk_Name],categories[Category])</f>
        <v>Community</v>
      </c>
      <c r="I693" t="s">
        <v>562</v>
      </c>
      <c r="J693" s="10">
        <v>3</v>
      </c>
      <c r="K693" t="s">
        <v>1641</v>
      </c>
      <c r="L693" s="10">
        <v>7</v>
      </c>
      <c r="M693" t="s">
        <v>1641</v>
      </c>
      <c r="N693" s="10">
        <f>FMECA[[#This Row],[probability_value]]*FMECA[[#This Row],[consequence_value]]</f>
        <v>21</v>
      </c>
      <c r="O69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93" s="10" t="s">
        <v>767</v>
      </c>
      <c r="Q693" t="s">
        <v>793</v>
      </c>
      <c r="R693" t="s">
        <v>780</v>
      </c>
      <c r="S693" t="s">
        <v>1574</v>
      </c>
      <c r="T693" t="s">
        <v>1132</v>
      </c>
      <c r="Y693" t="s">
        <v>1153</v>
      </c>
      <c r="Z693" t="s">
        <v>1643</v>
      </c>
      <c r="AA693" t="s">
        <v>1162</v>
      </c>
    </row>
    <row r="694" spans="1:27" x14ac:dyDescent="0.2">
      <c r="A694" s="225" t="s">
        <v>316</v>
      </c>
      <c r="B694" t="s">
        <v>303</v>
      </c>
      <c r="C694" t="s">
        <v>73</v>
      </c>
      <c r="D694" t="s">
        <v>381</v>
      </c>
      <c r="E694" t="s">
        <v>380</v>
      </c>
      <c r="F694" s="226" t="s">
        <v>382</v>
      </c>
      <c r="G694" t="str">
        <f>_xlfn.XLOOKUP(FMECA[[#This Row],[HazardRisk_name]],categories[HazardRisk_Name],categories[HazardRisk])</f>
        <v>Risk</v>
      </c>
      <c r="H694" t="str">
        <f>_xlfn.XLOOKUP(FMECA[[#This Row],[HazardRisk_name]],categories[HazardRisk_Name],categories[Category])</f>
        <v>Social</v>
      </c>
      <c r="I694" t="s">
        <v>569</v>
      </c>
      <c r="J694" s="10">
        <v>3</v>
      </c>
      <c r="K694" t="s">
        <v>1642</v>
      </c>
      <c r="L694" s="10">
        <v>7</v>
      </c>
      <c r="M694" t="s">
        <v>1642</v>
      </c>
      <c r="N694" s="10">
        <f>FMECA[[#This Row],[probability_value]]*FMECA[[#This Row],[consequence_value]]</f>
        <v>21</v>
      </c>
      <c r="O69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94" s="10" t="s">
        <v>767</v>
      </c>
      <c r="Q694" t="s">
        <v>793</v>
      </c>
      <c r="R694" t="s">
        <v>780</v>
      </c>
      <c r="S694" t="s">
        <v>1574</v>
      </c>
      <c r="T694" t="s">
        <v>1132</v>
      </c>
      <c r="Y694" t="s">
        <v>1153</v>
      </c>
      <c r="Z694" t="s">
        <v>1643</v>
      </c>
      <c r="AA694" t="s">
        <v>1162</v>
      </c>
    </row>
    <row r="695" spans="1:27" x14ac:dyDescent="0.2">
      <c r="A695" s="225" t="s">
        <v>316</v>
      </c>
      <c r="B695" t="s">
        <v>303</v>
      </c>
      <c r="C695" t="s">
        <v>73</v>
      </c>
      <c r="D695" t="s">
        <v>381</v>
      </c>
      <c r="E695" t="s">
        <v>380</v>
      </c>
      <c r="F695" s="226" t="s">
        <v>382</v>
      </c>
      <c r="G695" t="str">
        <f>_xlfn.XLOOKUP(FMECA[[#This Row],[HazardRisk_name]],categories[HazardRisk_Name],categories[HazardRisk])</f>
        <v>Risk</v>
      </c>
      <c r="H695" t="str">
        <f>_xlfn.XLOOKUP(FMECA[[#This Row],[HazardRisk_name]],categories[HazardRisk_Name],categories[Category])</f>
        <v>Environmental</v>
      </c>
      <c r="I695" t="s">
        <v>625</v>
      </c>
      <c r="J695" s="10">
        <v>3</v>
      </c>
      <c r="K695" t="s">
        <v>1646</v>
      </c>
      <c r="L695" s="10">
        <v>7</v>
      </c>
      <c r="M695" t="s">
        <v>1646</v>
      </c>
      <c r="N695" s="10">
        <f>FMECA[[#This Row],[probability_value]]*FMECA[[#This Row],[consequence_value]]</f>
        <v>21</v>
      </c>
      <c r="O69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95" s="10" t="s">
        <v>767</v>
      </c>
      <c r="Q695" t="s">
        <v>793</v>
      </c>
      <c r="R695" t="s">
        <v>780</v>
      </c>
      <c r="S695" t="s">
        <v>1574</v>
      </c>
      <c r="T695" t="s">
        <v>1132</v>
      </c>
      <c r="Y695" t="s">
        <v>1153</v>
      </c>
      <c r="Z695" t="s">
        <v>1643</v>
      </c>
      <c r="AA695" t="s">
        <v>1162</v>
      </c>
    </row>
    <row r="696" spans="1:27" x14ac:dyDescent="0.2">
      <c r="A696" s="225" t="s">
        <v>317</v>
      </c>
      <c r="B696" t="s">
        <v>303</v>
      </c>
      <c r="C696" t="s">
        <v>359</v>
      </c>
      <c r="D696" t="s">
        <v>385</v>
      </c>
      <c r="E696" t="s">
        <v>384</v>
      </c>
      <c r="F696" s="226" t="s">
        <v>383</v>
      </c>
      <c r="G696" t="str">
        <f>_xlfn.XLOOKUP(FMECA[[#This Row],[HazardRisk_name]],categories[HazardRisk_Name],categories[HazardRisk])</f>
        <v>Hazard</v>
      </c>
      <c r="H696" t="str">
        <f>_xlfn.XLOOKUP(FMECA[[#This Row],[HazardRisk_name]],categories[HazardRisk_Name],categories[Category])</f>
        <v>Environmental</v>
      </c>
      <c r="I696" t="s">
        <v>693</v>
      </c>
      <c r="J696" s="10">
        <v>4</v>
      </c>
      <c r="K696" t="s">
        <v>1627</v>
      </c>
      <c r="L696" s="10">
        <v>7</v>
      </c>
      <c r="M696" t="s">
        <v>1619</v>
      </c>
      <c r="N696" s="10">
        <f>FMECA[[#This Row],[probability_value]]*FMECA[[#This Row],[consequence_value]]</f>
        <v>28</v>
      </c>
      <c r="O696" s="10" t="str">
        <f>IF(AND(FMECA[[#This Row],[Score]]&gt;=0, 9&gt;=FMECA[[#This Row],[Score]]), "UNDETECTABLE", IF(AND(FMECA[[#This Row],[Score]]&gt;=10, 24&gt;=FMECA[[#This Row],[Score]]), "MODERATE", IF(AND(FMECA[[#This Row],[Score]]&gt;=25, 35&gt;=FMECA[[#This Row],[Score]]), "HIGH", IF(AND(FMECA[[#This Row],[Score]]&gt;=36, 50&gt;=FMECA[[#This Row],[Score]]), "VERY HIGH", "Check Formula"))))</f>
        <v>HIGH</v>
      </c>
      <c r="P696" s="10" t="s">
        <v>777</v>
      </c>
      <c r="Q696" t="s">
        <v>793</v>
      </c>
      <c r="R696" t="s">
        <v>780</v>
      </c>
      <c r="S696" t="s">
        <v>1574</v>
      </c>
      <c r="T696" t="s">
        <v>1132</v>
      </c>
      <c r="U696" t="s">
        <v>1621</v>
      </c>
      <c r="V696" t="s">
        <v>466</v>
      </c>
      <c r="W696" t="s">
        <v>1622</v>
      </c>
      <c r="X696" t="s">
        <v>466</v>
      </c>
      <c r="Y696" t="s">
        <v>1153</v>
      </c>
      <c r="Z696" t="s">
        <v>1620</v>
      </c>
      <c r="AA696" t="s">
        <v>793</v>
      </c>
    </row>
    <row r="697" spans="1:27" x14ac:dyDescent="0.2">
      <c r="A697" s="225" t="s">
        <v>317</v>
      </c>
      <c r="B697" t="s">
        <v>303</v>
      </c>
      <c r="C697" t="s">
        <v>359</v>
      </c>
      <c r="D697" t="s">
        <v>385</v>
      </c>
      <c r="E697" t="s">
        <v>384</v>
      </c>
      <c r="F697" s="226" t="s">
        <v>383</v>
      </c>
      <c r="G697" t="str">
        <f>_xlfn.XLOOKUP(FMECA[[#This Row],[HazardRisk_name]],categories[HazardRisk_Name],categories[HazardRisk])</f>
        <v>Risk</v>
      </c>
      <c r="H697" t="str">
        <f>_xlfn.XLOOKUP(FMECA[[#This Row],[HazardRisk_name]],categories[HazardRisk_Name],categories[Category])</f>
        <v>Political</v>
      </c>
      <c r="I697" t="s">
        <v>622</v>
      </c>
      <c r="J697" s="10">
        <v>5</v>
      </c>
      <c r="K697" t="s">
        <v>1623</v>
      </c>
      <c r="L697" s="10">
        <v>4</v>
      </c>
      <c r="M697" t="s">
        <v>1623</v>
      </c>
      <c r="N697" s="10">
        <f>FMECA[[#This Row],[probability_value]]*FMECA[[#This Row],[consequence_value]]</f>
        <v>20</v>
      </c>
      <c r="O69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697" s="10" t="s">
        <v>777</v>
      </c>
      <c r="Q697" t="s">
        <v>793</v>
      </c>
      <c r="R697" t="s">
        <v>780</v>
      </c>
      <c r="S697" t="s">
        <v>1574</v>
      </c>
      <c r="T697" t="s">
        <v>1132</v>
      </c>
      <c r="W697" t="s">
        <v>1635</v>
      </c>
      <c r="X697" t="s">
        <v>470</v>
      </c>
      <c r="AA697" t="s">
        <v>1162</v>
      </c>
    </row>
    <row r="698" spans="1:27" x14ac:dyDescent="0.2">
      <c r="A698" s="225" t="s">
        <v>317</v>
      </c>
      <c r="B698" t="s">
        <v>303</v>
      </c>
      <c r="C698" t="s">
        <v>359</v>
      </c>
      <c r="D698" t="s">
        <v>385</v>
      </c>
      <c r="E698" t="s">
        <v>384</v>
      </c>
      <c r="F698" s="226" t="s">
        <v>383</v>
      </c>
      <c r="G698" t="str">
        <f>_xlfn.XLOOKUP(FMECA[[#This Row],[HazardRisk_name]],categories[HazardRisk_Name],categories[HazardRisk])</f>
        <v>Risk</v>
      </c>
      <c r="H698" t="str">
        <f>_xlfn.XLOOKUP(FMECA[[#This Row],[HazardRisk_name]],categories[HazardRisk_Name],categories[Category])</f>
        <v>Social</v>
      </c>
      <c r="I698" t="s">
        <v>569</v>
      </c>
      <c r="J698" s="10">
        <v>5</v>
      </c>
      <c r="K698" t="s">
        <v>1624</v>
      </c>
      <c r="L698" s="10">
        <v>7</v>
      </c>
      <c r="M698" t="s">
        <v>1624</v>
      </c>
      <c r="N698" s="10">
        <f>FMECA[[#This Row],[probability_value]]*FMECA[[#This Row],[consequence_value]]</f>
        <v>35</v>
      </c>
      <c r="O698" s="10" t="str">
        <f>IF(AND(FMECA[[#This Row],[Score]]&gt;=0, 9&gt;=FMECA[[#This Row],[Score]]), "UNDETECTABLE", IF(AND(FMECA[[#This Row],[Score]]&gt;=10, 24&gt;=FMECA[[#This Row],[Score]]), "MODERATE", IF(AND(FMECA[[#This Row],[Score]]&gt;=25, 35&gt;=FMECA[[#This Row],[Score]]), "HIGH", IF(AND(FMECA[[#This Row],[Score]]&gt;=36, 50&gt;=FMECA[[#This Row],[Score]]), "VERY HIGH", "Check Formula"))))</f>
        <v>HIGH</v>
      </c>
      <c r="P698" s="10" t="s">
        <v>777</v>
      </c>
      <c r="Q698" t="s">
        <v>793</v>
      </c>
      <c r="R698" t="s">
        <v>780</v>
      </c>
      <c r="S698" t="s">
        <v>1574</v>
      </c>
      <c r="T698" t="s">
        <v>1132</v>
      </c>
      <c r="X698" t="s">
        <v>1306</v>
      </c>
      <c r="AA698" t="s">
        <v>1162</v>
      </c>
    </row>
    <row r="699" spans="1:27" x14ac:dyDescent="0.2">
      <c r="A699" s="225" t="s">
        <v>317</v>
      </c>
      <c r="B699" t="s">
        <v>303</v>
      </c>
      <c r="C699" t="s">
        <v>359</v>
      </c>
      <c r="D699" t="s">
        <v>385</v>
      </c>
      <c r="E699" t="s">
        <v>384</v>
      </c>
      <c r="F699" s="226" t="s">
        <v>383</v>
      </c>
      <c r="G699" t="str">
        <f>_xlfn.XLOOKUP(FMECA[[#This Row],[HazardRisk_name]],categories[HazardRisk_Name],categories[HazardRisk])</f>
        <v>Risk</v>
      </c>
      <c r="H699" t="str">
        <f>_xlfn.XLOOKUP(FMECA[[#This Row],[HazardRisk_name]],categories[HazardRisk_Name],categories[Category])</f>
        <v>Community</v>
      </c>
      <c r="I699" t="s">
        <v>1625</v>
      </c>
      <c r="J699" s="10">
        <v>5</v>
      </c>
      <c r="K699" t="s">
        <v>1626</v>
      </c>
      <c r="L699" s="10">
        <v>10</v>
      </c>
      <c r="M699" t="s">
        <v>1626</v>
      </c>
      <c r="N699" s="10">
        <f>FMECA[[#This Row],[probability_value]]*FMECA[[#This Row],[consequence_value]]</f>
        <v>50</v>
      </c>
      <c r="O699"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699" s="10" t="s">
        <v>777</v>
      </c>
      <c r="Q699" t="s">
        <v>793</v>
      </c>
      <c r="R699" t="s">
        <v>780</v>
      </c>
      <c r="S699" t="s">
        <v>1574</v>
      </c>
      <c r="T699" t="s">
        <v>1132</v>
      </c>
      <c r="U699" t="s">
        <v>1789</v>
      </c>
      <c r="V699" t="s">
        <v>466</v>
      </c>
      <c r="W699" t="s">
        <v>1636</v>
      </c>
      <c r="X699" t="s">
        <v>449</v>
      </c>
      <c r="AA699" t="s">
        <v>1162</v>
      </c>
    </row>
    <row r="700" spans="1:27" x14ac:dyDescent="0.2">
      <c r="A700" s="225" t="s">
        <v>317</v>
      </c>
      <c r="B700" t="s">
        <v>303</v>
      </c>
      <c r="C700" t="s">
        <v>359</v>
      </c>
      <c r="D700" t="s">
        <v>385</v>
      </c>
      <c r="E700" t="s">
        <v>384</v>
      </c>
      <c r="F700" s="226" t="s">
        <v>383</v>
      </c>
      <c r="G700" t="str">
        <f>_xlfn.XLOOKUP(FMECA[[#This Row],[HazardRisk_name]],categories[HazardRisk_Name],categories[HazardRisk])</f>
        <v>Hazard</v>
      </c>
      <c r="H700" t="str">
        <f>_xlfn.XLOOKUP(FMECA[[#This Row],[HazardRisk_name]],categories[HazardRisk_Name],categories[Category])</f>
        <v>Environmental</v>
      </c>
      <c r="I700" t="s">
        <v>718</v>
      </c>
      <c r="J700" s="10">
        <v>5</v>
      </c>
      <c r="K700" t="s">
        <v>1628</v>
      </c>
      <c r="L700" s="10">
        <v>7</v>
      </c>
      <c r="M700" t="s">
        <v>1628</v>
      </c>
      <c r="N700" s="10">
        <f>FMECA[[#This Row],[probability_value]]*FMECA[[#This Row],[consequence_value]]</f>
        <v>35</v>
      </c>
      <c r="O700" s="10" t="str">
        <f>IF(AND(FMECA[[#This Row],[Score]]&gt;=0, 9&gt;=FMECA[[#This Row],[Score]]), "UNDETECTABLE", IF(AND(FMECA[[#This Row],[Score]]&gt;=10, 24&gt;=FMECA[[#This Row],[Score]]), "MODERATE", IF(AND(FMECA[[#This Row],[Score]]&gt;=25, 35&gt;=FMECA[[#This Row],[Score]]), "HIGH", IF(AND(FMECA[[#This Row],[Score]]&gt;=36, 50&gt;=FMECA[[#This Row],[Score]]), "VERY HIGH", "Check Formula"))))</f>
        <v>HIGH</v>
      </c>
      <c r="P700" s="10" t="s">
        <v>777</v>
      </c>
      <c r="Q700" t="s">
        <v>793</v>
      </c>
      <c r="R700" t="s">
        <v>780</v>
      </c>
      <c r="S700" t="s">
        <v>1574</v>
      </c>
      <c r="T700" t="s">
        <v>1132</v>
      </c>
      <c r="U700" t="s">
        <v>1629</v>
      </c>
      <c r="V700" t="s">
        <v>470</v>
      </c>
      <c r="W700" t="s">
        <v>1630</v>
      </c>
      <c r="X700" t="s">
        <v>466</v>
      </c>
      <c r="AA700" t="s">
        <v>1162</v>
      </c>
    </row>
    <row r="701" spans="1:27" x14ac:dyDescent="0.2">
      <c r="A701" s="225" t="s">
        <v>317</v>
      </c>
      <c r="B701" t="s">
        <v>303</v>
      </c>
      <c r="C701" t="s">
        <v>359</v>
      </c>
      <c r="D701" t="s">
        <v>385</v>
      </c>
      <c r="E701" t="s">
        <v>384</v>
      </c>
      <c r="F701" s="226" t="s">
        <v>383</v>
      </c>
      <c r="G701" t="str">
        <f>_xlfn.XLOOKUP(FMECA[[#This Row],[HazardRisk_name]],categories[HazardRisk_Name],categories[HazardRisk])</f>
        <v>Risk</v>
      </c>
      <c r="H701" t="str">
        <f>_xlfn.XLOOKUP(FMECA[[#This Row],[HazardRisk_name]],categories[HazardRisk_Name],categories[Category])</f>
        <v>Political</v>
      </c>
      <c r="I701" t="s">
        <v>711</v>
      </c>
      <c r="J701" s="10">
        <v>3</v>
      </c>
      <c r="K701" t="s">
        <v>1631</v>
      </c>
      <c r="L701" s="10">
        <v>4</v>
      </c>
      <c r="M701" t="s">
        <v>1631</v>
      </c>
      <c r="N701" s="10">
        <f>FMECA[[#This Row],[probability_value]]*FMECA[[#This Row],[consequence_value]]</f>
        <v>12</v>
      </c>
      <c r="O70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01" s="10" t="s">
        <v>777</v>
      </c>
      <c r="Q701" t="s">
        <v>793</v>
      </c>
      <c r="R701" t="s">
        <v>780</v>
      </c>
      <c r="S701" t="s">
        <v>1574</v>
      </c>
      <c r="T701" t="s">
        <v>1132</v>
      </c>
      <c r="V701" t="s">
        <v>1306</v>
      </c>
      <c r="X701" t="s">
        <v>1306</v>
      </c>
      <c r="AA701" t="s">
        <v>1162</v>
      </c>
    </row>
    <row r="702" spans="1:27" x14ac:dyDescent="0.2">
      <c r="A702" s="225" t="s">
        <v>317</v>
      </c>
      <c r="B702" t="s">
        <v>303</v>
      </c>
      <c r="C702" t="s">
        <v>359</v>
      </c>
      <c r="D702" t="s">
        <v>385</v>
      </c>
      <c r="E702" t="s">
        <v>384</v>
      </c>
      <c r="F702" s="226" t="s">
        <v>383</v>
      </c>
      <c r="G702" t="str">
        <f>_xlfn.XLOOKUP(FMECA[[#This Row],[HazardRisk_name]],categories[HazardRisk_Name],categories[HazardRisk])</f>
        <v>Risk</v>
      </c>
      <c r="H702" t="str">
        <f>_xlfn.XLOOKUP(FMECA[[#This Row],[HazardRisk_name]],categories[HazardRisk_Name],categories[Category])</f>
        <v>Political</v>
      </c>
      <c r="I702" t="s">
        <v>690</v>
      </c>
      <c r="J702" s="10">
        <v>3</v>
      </c>
      <c r="K702" t="s">
        <v>1633</v>
      </c>
      <c r="L702" s="10">
        <v>7</v>
      </c>
      <c r="M702" t="s">
        <v>1633</v>
      </c>
      <c r="N702" s="10">
        <f>FMECA[[#This Row],[probability_value]]*FMECA[[#This Row],[consequence_value]]</f>
        <v>21</v>
      </c>
      <c r="O70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02" s="10" t="s">
        <v>777</v>
      </c>
      <c r="Q702" t="s">
        <v>793</v>
      </c>
      <c r="R702" t="s">
        <v>780</v>
      </c>
      <c r="S702" t="s">
        <v>1574</v>
      </c>
      <c r="T702" t="s">
        <v>1132</v>
      </c>
      <c r="V702" t="s">
        <v>1306</v>
      </c>
      <c r="W702" t="s">
        <v>1634</v>
      </c>
      <c r="X702" t="s">
        <v>449</v>
      </c>
      <c r="AA702" t="s">
        <v>1162</v>
      </c>
    </row>
    <row r="703" spans="1:27" x14ac:dyDescent="0.2">
      <c r="A703" s="225" t="s">
        <v>317</v>
      </c>
      <c r="B703" t="s">
        <v>303</v>
      </c>
      <c r="C703" t="s">
        <v>359</v>
      </c>
      <c r="D703" t="s">
        <v>385</v>
      </c>
      <c r="E703" t="s">
        <v>384</v>
      </c>
      <c r="F703" s="226" t="s">
        <v>383</v>
      </c>
      <c r="G703" t="str">
        <f>_xlfn.XLOOKUP(FMECA[[#This Row],[HazardRisk_name]],categories[HazardRisk_Name],categories[HazardRisk])</f>
        <v>Risk</v>
      </c>
      <c r="H703" t="str">
        <f>_xlfn.XLOOKUP(FMECA[[#This Row],[HazardRisk_name]],categories[HazardRisk_Name],categories[Category])</f>
        <v>Operational</v>
      </c>
      <c r="I703" t="s">
        <v>572</v>
      </c>
      <c r="J703" s="10">
        <v>5</v>
      </c>
      <c r="K703" t="s">
        <v>1632</v>
      </c>
      <c r="L703" s="10">
        <v>10</v>
      </c>
      <c r="M703" t="s">
        <v>1632</v>
      </c>
      <c r="N703" s="10">
        <f>FMECA[[#This Row],[probability_value]]*FMECA[[#This Row],[consequence_value]]</f>
        <v>50</v>
      </c>
      <c r="O703"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703" s="10" t="s">
        <v>777</v>
      </c>
      <c r="Q703" t="s">
        <v>793</v>
      </c>
      <c r="R703" t="s">
        <v>780</v>
      </c>
      <c r="S703" t="s">
        <v>1574</v>
      </c>
      <c r="T703" t="s">
        <v>1132</v>
      </c>
      <c r="V703" t="s">
        <v>1306</v>
      </c>
      <c r="X703" t="s">
        <v>1306</v>
      </c>
      <c r="AA703" t="s">
        <v>1162</v>
      </c>
    </row>
    <row r="704" spans="1:27" s="206" customFormat="1" x14ac:dyDescent="0.2">
      <c r="A704" s="225" t="s">
        <v>317</v>
      </c>
      <c r="B704" t="s">
        <v>303</v>
      </c>
      <c r="C704" t="s">
        <v>359</v>
      </c>
      <c r="D704" t="s">
        <v>385</v>
      </c>
      <c r="E704" t="s">
        <v>384</v>
      </c>
      <c r="F704" s="226" t="s">
        <v>383</v>
      </c>
      <c r="G704" t="str">
        <f>_xlfn.XLOOKUP(FMECA[[#This Row],[HazardRisk_name]],categories[HazardRisk_Name],categories[HazardRisk])</f>
        <v>Risk</v>
      </c>
      <c r="H704" t="str">
        <f>_xlfn.XLOOKUP(FMECA[[#This Row],[HazardRisk_name]],categories[HazardRisk_Name],categories[Category])</f>
        <v>Operational</v>
      </c>
      <c r="I704" t="s">
        <v>1313</v>
      </c>
      <c r="J704" s="10">
        <v>5</v>
      </c>
      <c r="K704" t="s">
        <v>1637</v>
      </c>
      <c r="L704" s="10">
        <v>7</v>
      </c>
      <c r="M704" t="s">
        <v>1637</v>
      </c>
      <c r="N704" s="10">
        <f>FMECA[[#This Row],[probability_value]]*FMECA[[#This Row],[consequence_value]]</f>
        <v>35</v>
      </c>
      <c r="O704" s="10" t="str">
        <f>IF(AND(FMECA[[#This Row],[Score]]&gt;=0, 9&gt;=FMECA[[#This Row],[Score]]), "UNDETECTABLE", IF(AND(FMECA[[#This Row],[Score]]&gt;=10, 24&gt;=FMECA[[#This Row],[Score]]), "MODERATE", IF(AND(FMECA[[#This Row],[Score]]&gt;=25, 35&gt;=FMECA[[#This Row],[Score]]), "HIGH", IF(AND(FMECA[[#This Row],[Score]]&gt;=36, 50&gt;=FMECA[[#This Row],[Score]]), "VERY HIGH", "Check Formula"))))</f>
        <v>HIGH</v>
      </c>
      <c r="P704" s="10" t="s">
        <v>777</v>
      </c>
      <c r="Q704" t="s">
        <v>793</v>
      </c>
      <c r="R704" t="s">
        <v>780</v>
      </c>
      <c r="S704" t="s">
        <v>1574</v>
      </c>
      <c r="T704" t="s">
        <v>1132</v>
      </c>
      <c r="U704"/>
      <c r="V704" t="s">
        <v>1306</v>
      </c>
      <c r="W704"/>
      <c r="X704" t="s">
        <v>1306</v>
      </c>
      <c r="Y704"/>
      <c r="Z704"/>
      <c r="AA704" t="s">
        <v>1162</v>
      </c>
    </row>
    <row r="705" spans="1:27" x14ac:dyDescent="0.2">
      <c r="A705" s="225" t="s">
        <v>317</v>
      </c>
      <c r="B705" t="s">
        <v>303</v>
      </c>
      <c r="C705" t="s">
        <v>359</v>
      </c>
      <c r="D705" t="s">
        <v>385</v>
      </c>
      <c r="E705" t="s">
        <v>384</v>
      </c>
      <c r="F705" s="226" t="s">
        <v>383</v>
      </c>
      <c r="G705" t="str">
        <f>_xlfn.XLOOKUP(FMECA[[#This Row],[HazardRisk_name]],categories[HazardRisk_Name],categories[HazardRisk])</f>
        <v>Risk</v>
      </c>
      <c r="H705" t="str">
        <f>_xlfn.XLOOKUP(FMECA[[#This Row],[HazardRisk_name]],categories[HazardRisk_Name],categories[Category])</f>
        <v>Community</v>
      </c>
      <c r="I705" t="s">
        <v>728</v>
      </c>
      <c r="J705" s="10">
        <v>5</v>
      </c>
      <c r="K705" t="s">
        <v>1639</v>
      </c>
      <c r="L705" s="10">
        <v>7</v>
      </c>
      <c r="M705" t="s">
        <v>1639</v>
      </c>
      <c r="N705" s="10">
        <f>FMECA[[#This Row],[probability_value]]*FMECA[[#This Row],[consequence_value]]</f>
        <v>35</v>
      </c>
      <c r="O705" s="10" t="str">
        <f>IF(AND(FMECA[[#This Row],[Score]]&gt;=0, 9&gt;=FMECA[[#This Row],[Score]]), "UNDETECTABLE", IF(AND(FMECA[[#This Row],[Score]]&gt;=10, 24&gt;=FMECA[[#This Row],[Score]]), "MODERATE", IF(AND(FMECA[[#This Row],[Score]]&gt;=25, 35&gt;=FMECA[[#This Row],[Score]]), "HIGH", IF(AND(FMECA[[#This Row],[Score]]&gt;=36, 50&gt;=FMECA[[#This Row],[Score]]), "VERY HIGH", "Check Formula"))))</f>
        <v>HIGH</v>
      </c>
      <c r="P705" s="10" t="s">
        <v>777</v>
      </c>
      <c r="Q705" t="s">
        <v>793</v>
      </c>
      <c r="R705" t="s">
        <v>780</v>
      </c>
      <c r="S705" t="s">
        <v>1574</v>
      </c>
      <c r="T705" t="s">
        <v>1132</v>
      </c>
      <c r="V705" t="s">
        <v>1306</v>
      </c>
      <c r="X705" t="s">
        <v>1306</v>
      </c>
      <c r="AA705" t="s">
        <v>1162</v>
      </c>
    </row>
    <row r="706" spans="1:27" x14ac:dyDescent="0.2">
      <c r="A706" s="225" t="s">
        <v>317</v>
      </c>
      <c r="B706" t="s">
        <v>303</v>
      </c>
      <c r="C706" t="s">
        <v>359</v>
      </c>
      <c r="D706" t="s">
        <v>385</v>
      </c>
      <c r="E706" t="s">
        <v>384</v>
      </c>
      <c r="F706" s="226" t="s">
        <v>383</v>
      </c>
      <c r="G706" t="str">
        <f>_xlfn.XLOOKUP(FMECA[[#This Row],[HazardRisk_name]],categories[HazardRisk_Name],categories[HazardRisk])</f>
        <v>Risk</v>
      </c>
      <c r="H706" t="str">
        <f>_xlfn.XLOOKUP(FMECA[[#This Row],[HazardRisk_name]],categories[HazardRisk_Name],categories[Category])</f>
        <v>Community</v>
      </c>
      <c r="I706" t="s">
        <v>679</v>
      </c>
      <c r="J706" s="10">
        <v>5</v>
      </c>
      <c r="K706" t="s">
        <v>1638</v>
      </c>
      <c r="L706" s="10">
        <v>7</v>
      </c>
      <c r="M706" t="s">
        <v>1638</v>
      </c>
      <c r="N706" s="10">
        <f>FMECA[[#This Row],[probability_value]]*FMECA[[#This Row],[consequence_value]]</f>
        <v>35</v>
      </c>
      <c r="O706" s="10" t="str">
        <f>IF(AND(FMECA[[#This Row],[Score]]&gt;=0, 9&gt;=FMECA[[#This Row],[Score]]), "UNDETECTABLE", IF(AND(FMECA[[#This Row],[Score]]&gt;=10, 24&gt;=FMECA[[#This Row],[Score]]), "MODERATE", IF(AND(FMECA[[#This Row],[Score]]&gt;=25, 35&gt;=FMECA[[#This Row],[Score]]), "HIGH", IF(AND(FMECA[[#This Row],[Score]]&gt;=36, 50&gt;=FMECA[[#This Row],[Score]]), "VERY HIGH", "Check Formula"))))</f>
        <v>HIGH</v>
      </c>
      <c r="P706" s="10" t="s">
        <v>777</v>
      </c>
      <c r="Q706" t="s">
        <v>793</v>
      </c>
      <c r="R706" t="s">
        <v>780</v>
      </c>
      <c r="S706" t="s">
        <v>1574</v>
      </c>
      <c r="T706" t="s">
        <v>1132</v>
      </c>
      <c r="V706" t="s">
        <v>1306</v>
      </c>
      <c r="X706" t="s">
        <v>1306</v>
      </c>
      <c r="AA706" t="s">
        <v>1162</v>
      </c>
    </row>
    <row r="707" spans="1:27" x14ac:dyDescent="0.2">
      <c r="A707" s="227" t="s">
        <v>318</v>
      </c>
      <c r="B707" s="206" t="s">
        <v>303</v>
      </c>
      <c r="C707" s="206" t="s">
        <v>389</v>
      </c>
      <c r="D707" s="206" t="s">
        <v>388</v>
      </c>
      <c r="E707" s="206" t="s">
        <v>386</v>
      </c>
      <c r="F707" s="228" t="s">
        <v>387</v>
      </c>
      <c r="G707" s="206" t="e">
        <f>_xlfn.XLOOKUP(FMECA[[#This Row],[HazardRisk_name]],categories[HazardRisk_Name],categories[HazardRisk])</f>
        <v>#N/A</v>
      </c>
      <c r="H707" s="206" t="e">
        <f>_xlfn.XLOOKUP(FMECA[[#This Row],[HazardRisk_name]],categories[HazardRisk_Name],categories[Category])</f>
        <v>#N/A</v>
      </c>
      <c r="I707" s="206"/>
      <c r="J707" s="207"/>
      <c r="K707" s="206"/>
      <c r="L707" s="207"/>
      <c r="M707" s="206"/>
      <c r="N707" s="207">
        <f>FMECA[[#This Row],[probability_value]]*FMECA[[#This Row],[consequence_value]]</f>
        <v>0</v>
      </c>
      <c r="O707" s="207"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707" s="207"/>
      <c r="Q707" s="206"/>
      <c r="R707" s="206"/>
      <c r="S707" s="206"/>
      <c r="T707" s="206"/>
      <c r="U707" s="206"/>
      <c r="V707" s="206"/>
      <c r="W707" s="206"/>
      <c r="X707" s="206"/>
      <c r="Y707" s="206"/>
      <c r="Z707" s="206"/>
      <c r="AA707" s="206"/>
    </row>
    <row r="708" spans="1:27" x14ac:dyDescent="0.2">
      <c r="A708" s="225" t="s">
        <v>319</v>
      </c>
      <c r="B708" t="s">
        <v>303</v>
      </c>
      <c r="C708" t="s">
        <v>393</v>
      </c>
      <c r="D708" t="s">
        <v>392</v>
      </c>
      <c r="E708" t="s">
        <v>391</v>
      </c>
      <c r="F708" s="226" t="s">
        <v>390</v>
      </c>
      <c r="G708" t="str">
        <f>_xlfn.XLOOKUP(FMECA[[#This Row],[HazardRisk_name]],categories[HazardRisk_Name],categories[HazardRisk])</f>
        <v>Hazard</v>
      </c>
      <c r="H708" t="str">
        <f>_xlfn.XLOOKUP(FMECA[[#This Row],[HazardRisk_name]],categories[HazardRisk_Name],categories[Category])</f>
        <v>Environmental</v>
      </c>
      <c r="I708" t="s">
        <v>724</v>
      </c>
      <c r="J708" s="10">
        <v>4</v>
      </c>
      <c r="K708" t="s">
        <v>1614</v>
      </c>
      <c r="L708" s="10">
        <v>4</v>
      </c>
      <c r="M708" t="s">
        <v>1615</v>
      </c>
      <c r="N708" s="10">
        <f>FMECA[[#This Row],[probability_value]]*FMECA[[#This Row],[consequence_value]]</f>
        <v>16</v>
      </c>
      <c r="O70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08" s="10" t="s">
        <v>770</v>
      </c>
      <c r="Q708" t="s">
        <v>1132</v>
      </c>
      <c r="R708" t="s">
        <v>780</v>
      </c>
      <c r="S708" t="s">
        <v>1618</v>
      </c>
      <c r="T708" t="s">
        <v>793</v>
      </c>
      <c r="V708" t="s">
        <v>1306</v>
      </c>
      <c r="X708" t="s">
        <v>1306</v>
      </c>
      <c r="AA708" t="s">
        <v>1162</v>
      </c>
    </row>
    <row r="709" spans="1:27" x14ac:dyDescent="0.2">
      <c r="A709" s="225" t="s">
        <v>319</v>
      </c>
      <c r="B709" t="s">
        <v>303</v>
      </c>
      <c r="C709" t="s">
        <v>393</v>
      </c>
      <c r="D709" t="s">
        <v>392</v>
      </c>
      <c r="E709" t="s">
        <v>391</v>
      </c>
      <c r="F709" s="226" t="s">
        <v>390</v>
      </c>
      <c r="G709" t="str">
        <f>_xlfn.XLOOKUP(FMECA[[#This Row],[HazardRisk_name]],categories[HazardRisk_Name],categories[HazardRisk])</f>
        <v>Risk</v>
      </c>
      <c r="H709" t="str">
        <f>_xlfn.XLOOKUP(FMECA[[#This Row],[HazardRisk_name]],categories[HazardRisk_Name],categories[Category])</f>
        <v>Environmental</v>
      </c>
      <c r="I709" t="s">
        <v>1219</v>
      </c>
      <c r="J709" s="10">
        <v>4</v>
      </c>
      <c r="K709" t="s">
        <v>1614</v>
      </c>
      <c r="L709" s="10">
        <v>7</v>
      </c>
      <c r="M709" t="s">
        <v>1615</v>
      </c>
      <c r="N709" s="10">
        <f>FMECA[[#This Row],[probability_value]]*FMECA[[#This Row],[consequence_value]]</f>
        <v>28</v>
      </c>
      <c r="O709" s="10" t="str">
        <f>IF(AND(FMECA[[#This Row],[Score]]&gt;=0, 9&gt;=FMECA[[#This Row],[Score]]), "UNDETECTABLE", IF(AND(FMECA[[#This Row],[Score]]&gt;=10, 24&gt;=FMECA[[#This Row],[Score]]), "MODERATE", IF(AND(FMECA[[#This Row],[Score]]&gt;=25, 35&gt;=FMECA[[#This Row],[Score]]), "HIGH", IF(AND(FMECA[[#This Row],[Score]]&gt;=36, 50&gt;=FMECA[[#This Row],[Score]]), "VERY HIGH", "Check Formula"))))</f>
        <v>HIGH</v>
      </c>
      <c r="P709" s="10" t="s">
        <v>770</v>
      </c>
      <c r="Q709" t="s">
        <v>1132</v>
      </c>
      <c r="R709" t="s">
        <v>780</v>
      </c>
      <c r="S709" t="s">
        <v>1618</v>
      </c>
      <c r="T709" t="s">
        <v>793</v>
      </c>
      <c r="V709" t="s">
        <v>1306</v>
      </c>
      <c r="X709" t="s">
        <v>1306</v>
      </c>
      <c r="AA709" t="s">
        <v>1162</v>
      </c>
    </row>
    <row r="710" spans="1:27" x14ac:dyDescent="0.2">
      <c r="A710" s="225" t="s">
        <v>319</v>
      </c>
      <c r="B710" t="s">
        <v>303</v>
      </c>
      <c r="C710" t="s">
        <v>393</v>
      </c>
      <c r="D710" t="s">
        <v>392</v>
      </c>
      <c r="E710" t="s">
        <v>391</v>
      </c>
      <c r="F710" s="226" t="s">
        <v>390</v>
      </c>
      <c r="G710" t="str">
        <f>_xlfn.XLOOKUP(FMECA[[#This Row],[HazardRisk_name]],categories[HazardRisk_Name],categories[HazardRisk])</f>
        <v>Hazard</v>
      </c>
      <c r="H710" t="str">
        <f>_xlfn.XLOOKUP(FMECA[[#This Row],[HazardRisk_name]],categories[HazardRisk_Name],categories[Category])</f>
        <v>Environmental</v>
      </c>
      <c r="I710" t="s">
        <v>1164</v>
      </c>
      <c r="J710" s="10">
        <v>4</v>
      </c>
      <c r="K710" t="s">
        <v>1614</v>
      </c>
      <c r="L710" s="10">
        <v>4</v>
      </c>
      <c r="M710" t="s">
        <v>1616</v>
      </c>
      <c r="N710" s="10">
        <f>FMECA[[#This Row],[probability_value]]*FMECA[[#This Row],[consequence_value]]</f>
        <v>16</v>
      </c>
      <c r="O71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10" s="10" t="s">
        <v>770</v>
      </c>
      <c r="Q710" t="s">
        <v>1132</v>
      </c>
      <c r="R710" t="s">
        <v>780</v>
      </c>
      <c r="S710" t="s">
        <v>1618</v>
      </c>
      <c r="T710" t="s">
        <v>793</v>
      </c>
      <c r="V710" t="s">
        <v>1306</v>
      </c>
      <c r="X710" t="s">
        <v>1306</v>
      </c>
      <c r="AA710" t="s">
        <v>1162</v>
      </c>
    </row>
    <row r="711" spans="1:27" x14ac:dyDescent="0.2">
      <c r="A711" s="225" t="s">
        <v>319</v>
      </c>
      <c r="B711" t="s">
        <v>303</v>
      </c>
      <c r="C711" t="s">
        <v>393</v>
      </c>
      <c r="D711" t="s">
        <v>392</v>
      </c>
      <c r="E711" t="s">
        <v>391</v>
      </c>
      <c r="F711" s="226" t="s">
        <v>390</v>
      </c>
      <c r="G711" t="str">
        <f>_xlfn.XLOOKUP(FMECA[[#This Row],[HazardRisk_name]],categories[HazardRisk_Name],categories[HazardRisk])</f>
        <v>Hazard</v>
      </c>
      <c r="H711" t="str">
        <f>_xlfn.XLOOKUP(FMECA[[#This Row],[HazardRisk_name]],categories[HazardRisk_Name],categories[Category])</f>
        <v>Social</v>
      </c>
      <c r="I711" t="s">
        <v>1165</v>
      </c>
      <c r="J711" s="10">
        <v>4</v>
      </c>
      <c r="K711" t="s">
        <v>1614</v>
      </c>
      <c r="L711" s="10">
        <v>4</v>
      </c>
      <c r="M711" t="s">
        <v>1616</v>
      </c>
      <c r="N711" s="10">
        <f>FMECA[[#This Row],[probability_value]]*FMECA[[#This Row],[consequence_value]]</f>
        <v>16</v>
      </c>
      <c r="O71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11" s="10" t="s">
        <v>770</v>
      </c>
      <c r="Q711" t="s">
        <v>1132</v>
      </c>
      <c r="R711" t="s">
        <v>780</v>
      </c>
      <c r="S711" t="s">
        <v>1618</v>
      </c>
      <c r="T711" t="s">
        <v>793</v>
      </c>
      <c r="V711" t="s">
        <v>1306</v>
      </c>
      <c r="X711" t="s">
        <v>1306</v>
      </c>
      <c r="AA711" t="s">
        <v>1162</v>
      </c>
    </row>
    <row r="712" spans="1:27" x14ac:dyDescent="0.2">
      <c r="A712" s="225" t="s">
        <v>319</v>
      </c>
      <c r="B712" t="s">
        <v>303</v>
      </c>
      <c r="C712" t="s">
        <v>393</v>
      </c>
      <c r="D712" t="s">
        <v>392</v>
      </c>
      <c r="E712" t="s">
        <v>391</v>
      </c>
      <c r="F712" s="226" t="s">
        <v>390</v>
      </c>
      <c r="G712" t="str">
        <f>_xlfn.XLOOKUP(FMECA[[#This Row],[HazardRisk_name]],categories[HazardRisk_Name],categories[HazardRisk])</f>
        <v>Hazard</v>
      </c>
      <c r="H712" t="str">
        <f>_xlfn.XLOOKUP(FMECA[[#This Row],[HazardRisk_name]],categories[HazardRisk_Name],categories[Category])</f>
        <v>Environmental</v>
      </c>
      <c r="I712" t="s">
        <v>600</v>
      </c>
      <c r="J712" s="10">
        <v>4</v>
      </c>
      <c r="K712" t="s">
        <v>1614</v>
      </c>
      <c r="L712" s="10">
        <v>7</v>
      </c>
      <c r="M712" t="s">
        <v>1615</v>
      </c>
      <c r="N712" s="10">
        <f>FMECA[[#This Row],[probability_value]]*FMECA[[#This Row],[consequence_value]]</f>
        <v>28</v>
      </c>
      <c r="O712" s="10" t="str">
        <f>IF(AND(FMECA[[#This Row],[Score]]&gt;=0, 9&gt;=FMECA[[#This Row],[Score]]), "UNDETECTABLE", IF(AND(FMECA[[#This Row],[Score]]&gt;=10, 24&gt;=FMECA[[#This Row],[Score]]), "MODERATE", IF(AND(FMECA[[#This Row],[Score]]&gt;=25, 35&gt;=FMECA[[#This Row],[Score]]), "HIGH", IF(AND(FMECA[[#This Row],[Score]]&gt;=36, 50&gt;=FMECA[[#This Row],[Score]]), "VERY HIGH", "Check Formula"))))</f>
        <v>HIGH</v>
      </c>
      <c r="P712" s="10" t="s">
        <v>770</v>
      </c>
      <c r="Q712" t="s">
        <v>1132</v>
      </c>
      <c r="R712" t="s">
        <v>780</v>
      </c>
      <c r="S712" t="s">
        <v>1618</v>
      </c>
      <c r="T712" t="s">
        <v>793</v>
      </c>
      <c r="V712" t="s">
        <v>1306</v>
      </c>
      <c r="X712" t="s">
        <v>1306</v>
      </c>
      <c r="AA712" t="s">
        <v>1162</v>
      </c>
    </row>
    <row r="713" spans="1:27" x14ac:dyDescent="0.2">
      <c r="A713" s="225" t="s">
        <v>319</v>
      </c>
      <c r="B713" t="s">
        <v>303</v>
      </c>
      <c r="C713" t="s">
        <v>393</v>
      </c>
      <c r="D713" t="s">
        <v>392</v>
      </c>
      <c r="E713" t="s">
        <v>391</v>
      </c>
      <c r="F713" s="226" t="s">
        <v>390</v>
      </c>
      <c r="G713" t="str">
        <f>_xlfn.XLOOKUP(FMECA[[#This Row],[HazardRisk_name]],categories[HazardRisk_Name],categories[HazardRisk])</f>
        <v>Risk</v>
      </c>
      <c r="H713" t="str">
        <f>_xlfn.XLOOKUP(FMECA[[#This Row],[HazardRisk_name]],categories[HazardRisk_Name],categories[Category])</f>
        <v>Sea Ice</v>
      </c>
      <c r="I713" t="s">
        <v>480</v>
      </c>
      <c r="J713" s="10">
        <v>4</v>
      </c>
      <c r="K713" t="s">
        <v>1614</v>
      </c>
      <c r="L713" s="10">
        <v>7</v>
      </c>
      <c r="M713" t="s">
        <v>1615</v>
      </c>
      <c r="N713" s="10">
        <f>FMECA[[#This Row],[probability_value]]*FMECA[[#This Row],[consequence_value]]</f>
        <v>28</v>
      </c>
      <c r="O713" s="10" t="str">
        <f>IF(AND(FMECA[[#This Row],[Score]]&gt;=0, 9&gt;=FMECA[[#This Row],[Score]]), "UNDETECTABLE", IF(AND(FMECA[[#This Row],[Score]]&gt;=10, 24&gt;=FMECA[[#This Row],[Score]]), "MODERATE", IF(AND(FMECA[[#This Row],[Score]]&gt;=25, 35&gt;=FMECA[[#This Row],[Score]]), "HIGH", IF(AND(FMECA[[#This Row],[Score]]&gt;=36, 50&gt;=FMECA[[#This Row],[Score]]), "VERY HIGH", "Check Formula"))))</f>
        <v>HIGH</v>
      </c>
      <c r="P713" s="10" t="s">
        <v>770</v>
      </c>
      <c r="Q713" t="s">
        <v>1132</v>
      </c>
      <c r="R713" t="s">
        <v>780</v>
      </c>
      <c r="S713" t="s">
        <v>1618</v>
      </c>
      <c r="T713" t="s">
        <v>793</v>
      </c>
      <c r="V713" t="s">
        <v>1306</v>
      </c>
      <c r="X713" t="s">
        <v>1306</v>
      </c>
      <c r="AA713" t="s">
        <v>1162</v>
      </c>
    </row>
    <row r="714" spans="1:27" x14ac:dyDescent="0.2">
      <c r="A714" s="225" t="s">
        <v>319</v>
      </c>
      <c r="B714" t="s">
        <v>303</v>
      </c>
      <c r="C714" t="s">
        <v>393</v>
      </c>
      <c r="D714" t="s">
        <v>392</v>
      </c>
      <c r="E714" t="s">
        <v>391</v>
      </c>
      <c r="F714" s="226" t="s">
        <v>390</v>
      </c>
      <c r="G714" t="str">
        <f>_xlfn.XLOOKUP(FMECA[[#This Row],[HazardRisk_name]],categories[HazardRisk_Name],categories[HazardRisk])</f>
        <v>Risk</v>
      </c>
      <c r="H714" t="str">
        <f>_xlfn.XLOOKUP(FMECA[[#This Row],[HazardRisk_name]],categories[HazardRisk_Name],categories[Category])</f>
        <v>Assessment</v>
      </c>
      <c r="I714" t="s">
        <v>667</v>
      </c>
      <c r="J714" s="10">
        <v>2</v>
      </c>
      <c r="K714" t="s">
        <v>1617</v>
      </c>
      <c r="L714" s="10">
        <v>7</v>
      </c>
      <c r="M714" t="s">
        <v>1617</v>
      </c>
      <c r="N714" s="10">
        <f>FMECA[[#This Row],[probability_value]]*FMECA[[#This Row],[consequence_value]]</f>
        <v>14</v>
      </c>
      <c r="O71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14" s="10" t="s">
        <v>770</v>
      </c>
      <c r="Q714" t="s">
        <v>1132</v>
      </c>
      <c r="R714" t="s">
        <v>780</v>
      </c>
      <c r="S714" t="s">
        <v>1618</v>
      </c>
      <c r="T714" t="s">
        <v>793</v>
      </c>
      <c r="V714" t="s">
        <v>1306</v>
      </c>
      <c r="X714" t="s">
        <v>1306</v>
      </c>
      <c r="AA714" t="s">
        <v>1162</v>
      </c>
    </row>
    <row r="715" spans="1:27" x14ac:dyDescent="0.2">
      <c r="A715" s="225" t="s">
        <v>319</v>
      </c>
      <c r="B715" t="s">
        <v>303</v>
      </c>
      <c r="C715" t="s">
        <v>393</v>
      </c>
      <c r="D715" t="s">
        <v>392</v>
      </c>
      <c r="E715" t="s">
        <v>391</v>
      </c>
      <c r="F715" s="226" t="s">
        <v>390</v>
      </c>
      <c r="G715" t="str">
        <f>_xlfn.XLOOKUP(FMECA[[#This Row],[HazardRisk_name]],categories[HazardRisk_Name],categories[HazardRisk])</f>
        <v>Risk</v>
      </c>
      <c r="H715" t="str">
        <f>_xlfn.XLOOKUP(FMECA[[#This Row],[HazardRisk_name]],categories[HazardRisk_Name],categories[Category])</f>
        <v>Environmental</v>
      </c>
      <c r="I715" t="s">
        <v>573</v>
      </c>
      <c r="J715" s="10">
        <v>4</v>
      </c>
      <c r="K715" t="s">
        <v>1614</v>
      </c>
      <c r="L715" s="10">
        <v>4</v>
      </c>
      <c r="M715" t="s">
        <v>1615</v>
      </c>
      <c r="N715" s="10">
        <f>FMECA[[#This Row],[probability_value]]*FMECA[[#This Row],[consequence_value]]</f>
        <v>16</v>
      </c>
      <c r="O71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15" s="10" t="s">
        <v>770</v>
      </c>
      <c r="Q715" t="s">
        <v>1132</v>
      </c>
      <c r="R715" t="s">
        <v>780</v>
      </c>
      <c r="S715" t="s">
        <v>1618</v>
      </c>
      <c r="T715" t="s">
        <v>793</v>
      </c>
      <c r="V715" t="s">
        <v>1306</v>
      </c>
      <c r="X715" t="s">
        <v>1306</v>
      </c>
      <c r="AA715" t="s">
        <v>1162</v>
      </c>
    </row>
    <row r="716" spans="1:27" x14ac:dyDescent="0.2">
      <c r="A716" s="225" t="s">
        <v>320</v>
      </c>
      <c r="B716" t="s">
        <v>303</v>
      </c>
      <c r="C716" t="s">
        <v>372</v>
      </c>
      <c r="D716" t="s">
        <v>395</v>
      </c>
      <c r="E716" t="s">
        <v>394</v>
      </c>
      <c r="F716" s="226" t="s">
        <v>396</v>
      </c>
      <c r="G716" t="str">
        <f>_xlfn.XLOOKUP(FMECA[[#This Row],[HazardRisk_name]],categories[HazardRisk_Name],categories[HazardRisk])</f>
        <v>Hazard</v>
      </c>
      <c r="H716" t="str">
        <f>_xlfn.XLOOKUP(FMECA[[#This Row],[HazardRisk_name]],categories[HazardRisk_Name],categories[Category])</f>
        <v>Environmental</v>
      </c>
      <c r="I716" t="s">
        <v>693</v>
      </c>
      <c r="J716" s="10">
        <v>4</v>
      </c>
      <c r="K716" t="s">
        <v>1607</v>
      </c>
      <c r="L716" s="10">
        <v>7</v>
      </c>
      <c r="M716" t="s">
        <v>1607</v>
      </c>
      <c r="N716" s="10">
        <f>FMECA[[#This Row],[probability_value]]*FMECA[[#This Row],[consequence_value]]</f>
        <v>28</v>
      </c>
      <c r="O716" s="10" t="str">
        <f>IF(AND(FMECA[[#This Row],[Score]]&gt;=0, 9&gt;=FMECA[[#This Row],[Score]]), "UNDETECTABLE", IF(AND(FMECA[[#This Row],[Score]]&gt;=10, 24&gt;=FMECA[[#This Row],[Score]]), "MODERATE", IF(AND(FMECA[[#This Row],[Score]]&gt;=25, 35&gt;=FMECA[[#This Row],[Score]]), "HIGH", IF(AND(FMECA[[#This Row],[Score]]&gt;=36, 50&gt;=FMECA[[#This Row],[Score]]), "VERY HIGH", "Check Formula"))))</f>
        <v>HIGH</v>
      </c>
      <c r="P716" s="10" t="s">
        <v>770</v>
      </c>
      <c r="Q716" t="s">
        <v>1162</v>
      </c>
      <c r="R716" t="s">
        <v>780</v>
      </c>
      <c r="S716" t="s">
        <v>1608</v>
      </c>
      <c r="T716" t="s">
        <v>793</v>
      </c>
      <c r="V716" t="s">
        <v>1306</v>
      </c>
      <c r="X716" t="s">
        <v>1306</v>
      </c>
      <c r="AA716" t="s">
        <v>1162</v>
      </c>
    </row>
    <row r="717" spans="1:27" x14ac:dyDescent="0.2">
      <c r="A717" s="225" t="s">
        <v>320</v>
      </c>
      <c r="B717" t="s">
        <v>303</v>
      </c>
      <c r="C717" t="s">
        <v>372</v>
      </c>
      <c r="D717" t="s">
        <v>395</v>
      </c>
      <c r="E717" t="s">
        <v>394</v>
      </c>
      <c r="F717" s="226" t="s">
        <v>396</v>
      </c>
      <c r="G717" t="str">
        <f>_xlfn.XLOOKUP(FMECA[[#This Row],[HazardRisk_name]],categories[HazardRisk_Name],categories[HazardRisk])</f>
        <v>Risk</v>
      </c>
      <c r="H717" t="str">
        <f>_xlfn.XLOOKUP(FMECA[[#This Row],[HazardRisk_name]],categories[HazardRisk_Name],categories[Category])</f>
        <v>Navigational</v>
      </c>
      <c r="I717" t="s">
        <v>589</v>
      </c>
      <c r="J717" s="10">
        <v>2</v>
      </c>
      <c r="K717" t="s">
        <v>1607</v>
      </c>
      <c r="L717" s="10">
        <v>10</v>
      </c>
      <c r="M717" t="s">
        <v>1607</v>
      </c>
      <c r="N717" s="10">
        <f>FMECA[[#This Row],[probability_value]]*FMECA[[#This Row],[consequence_value]]</f>
        <v>20</v>
      </c>
      <c r="O71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17" s="10" t="s">
        <v>770</v>
      </c>
      <c r="Q717" t="s">
        <v>1162</v>
      </c>
      <c r="R717" t="s">
        <v>780</v>
      </c>
      <c r="S717" t="s">
        <v>1608</v>
      </c>
      <c r="T717" t="s">
        <v>793</v>
      </c>
      <c r="V717" t="s">
        <v>1306</v>
      </c>
      <c r="X717" t="s">
        <v>1306</v>
      </c>
      <c r="AA717" t="s">
        <v>1162</v>
      </c>
    </row>
    <row r="718" spans="1:27" x14ac:dyDescent="0.2">
      <c r="A718" s="225" t="s">
        <v>320</v>
      </c>
      <c r="B718" t="s">
        <v>303</v>
      </c>
      <c r="C718" t="s">
        <v>372</v>
      </c>
      <c r="D718" t="s">
        <v>395</v>
      </c>
      <c r="E718" t="s">
        <v>394</v>
      </c>
      <c r="F718" s="226" t="s">
        <v>396</v>
      </c>
      <c r="G718" t="str">
        <f>_xlfn.XLOOKUP(FMECA[[#This Row],[HazardRisk_name]],categories[HazardRisk_Name],categories[HazardRisk])</f>
        <v>Hazard</v>
      </c>
      <c r="H718" t="str">
        <f>_xlfn.XLOOKUP(FMECA[[#This Row],[HazardRisk_name]],categories[HazardRisk_Name],categories[Category])</f>
        <v>Environmental</v>
      </c>
      <c r="I718" t="s">
        <v>718</v>
      </c>
      <c r="J718" s="10">
        <v>1</v>
      </c>
      <c r="K718" t="s">
        <v>1607</v>
      </c>
      <c r="L718" s="10">
        <v>5</v>
      </c>
      <c r="M718" t="s">
        <v>1607</v>
      </c>
      <c r="N718" s="10">
        <f>FMECA[[#This Row],[probability_value]]*FMECA[[#This Row],[consequence_value]]</f>
        <v>5</v>
      </c>
      <c r="O718"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718" s="10" t="s">
        <v>770</v>
      </c>
      <c r="Q718" t="s">
        <v>1162</v>
      </c>
      <c r="R718" t="s">
        <v>780</v>
      </c>
      <c r="S718" t="s">
        <v>1608</v>
      </c>
      <c r="T718" t="s">
        <v>793</v>
      </c>
      <c r="U718" t="s">
        <v>1613</v>
      </c>
      <c r="V718" t="s">
        <v>470</v>
      </c>
      <c r="X718" t="s">
        <v>1306</v>
      </c>
      <c r="AA718" t="s">
        <v>1162</v>
      </c>
    </row>
    <row r="719" spans="1:27" x14ac:dyDescent="0.2">
      <c r="A719" s="225" t="s">
        <v>320</v>
      </c>
      <c r="B719" t="s">
        <v>303</v>
      </c>
      <c r="C719" t="s">
        <v>372</v>
      </c>
      <c r="D719" t="s">
        <v>395</v>
      </c>
      <c r="E719" t="s">
        <v>394</v>
      </c>
      <c r="F719" s="226" t="s">
        <v>396</v>
      </c>
      <c r="G719" t="str">
        <f>_xlfn.XLOOKUP(FMECA[[#This Row],[HazardRisk_name]],categories[HazardRisk_Name],categories[HazardRisk])</f>
        <v>Hazard</v>
      </c>
      <c r="H719" t="str">
        <f>_xlfn.XLOOKUP(FMECA[[#This Row],[HazardRisk_name]],categories[HazardRisk_Name],categories[Category])</f>
        <v>Navigational</v>
      </c>
      <c r="I719" t="s">
        <v>484</v>
      </c>
      <c r="J719" s="10">
        <v>2</v>
      </c>
      <c r="K719" t="s">
        <v>1607</v>
      </c>
      <c r="L719" s="10">
        <v>10</v>
      </c>
      <c r="M719" t="s">
        <v>1607</v>
      </c>
      <c r="N719" s="10">
        <f>FMECA[[#This Row],[probability_value]]*FMECA[[#This Row],[consequence_value]]</f>
        <v>20</v>
      </c>
      <c r="O71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19" s="10" t="s">
        <v>770</v>
      </c>
      <c r="Q719" t="s">
        <v>1162</v>
      </c>
      <c r="R719" t="s">
        <v>780</v>
      </c>
      <c r="S719" t="s">
        <v>1608</v>
      </c>
      <c r="T719" t="s">
        <v>793</v>
      </c>
      <c r="U719" t="s">
        <v>1613</v>
      </c>
      <c r="V719" t="s">
        <v>470</v>
      </c>
      <c r="X719" t="s">
        <v>1306</v>
      </c>
      <c r="AA719" t="s">
        <v>1162</v>
      </c>
    </row>
    <row r="720" spans="1:27" x14ac:dyDescent="0.2">
      <c r="A720" s="225" t="s">
        <v>320</v>
      </c>
      <c r="B720" t="s">
        <v>303</v>
      </c>
      <c r="C720" t="s">
        <v>372</v>
      </c>
      <c r="D720" t="s">
        <v>395</v>
      </c>
      <c r="E720" t="s">
        <v>394</v>
      </c>
      <c r="F720" s="226" t="s">
        <v>396</v>
      </c>
      <c r="G720" t="str">
        <f>_xlfn.XLOOKUP(FMECA[[#This Row],[HazardRisk_name]],categories[HazardRisk_Name],categories[HazardRisk])</f>
        <v>Risk</v>
      </c>
      <c r="H720" t="str">
        <f>_xlfn.XLOOKUP(FMECA[[#This Row],[HazardRisk_name]],categories[HazardRisk_Name],categories[Category])</f>
        <v>Human</v>
      </c>
      <c r="I720" t="s">
        <v>490</v>
      </c>
      <c r="J720" s="10">
        <v>2</v>
      </c>
      <c r="K720" t="s">
        <v>1607</v>
      </c>
      <c r="L720" s="10">
        <v>10</v>
      </c>
      <c r="M720" t="s">
        <v>1607</v>
      </c>
      <c r="N720" s="10">
        <f>FMECA[[#This Row],[probability_value]]*FMECA[[#This Row],[consequence_value]]</f>
        <v>20</v>
      </c>
      <c r="O72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20" s="10" t="s">
        <v>770</v>
      </c>
      <c r="Q720" t="s">
        <v>1162</v>
      </c>
      <c r="R720" t="s">
        <v>780</v>
      </c>
      <c r="S720" t="s">
        <v>1608</v>
      </c>
      <c r="T720" t="s">
        <v>793</v>
      </c>
      <c r="U720" t="s">
        <v>1613</v>
      </c>
      <c r="V720" t="s">
        <v>470</v>
      </c>
      <c r="X720" t="s">
        <v>1306</v>
      </c>
      <c r="AA720" t="s">
        <v>1162</v>
      </c>
    </row>
    <row r="721" spans="1:27" x14ac:dyDescent="0.2">
      <c r="A721" s="225" t="s">
        <v>320</v>
      </c>
      <c r="B721" t="s">
        <v>303</v>
      </c>
      <c r="C721" t="s">
        <v>372</v>
      </c>
      <c r="D721" t="s">
        <v>395</v>
      </c>
      <c r="E721" t="s">
        <v>394</v>
      </c>
      <c r="F721" s="226" t="s">
        <v>396</v>
      </c>
      <c r="G721" t="str">
        <f>_xlfn.XLOOKUP(FMECA[[#This Row],[HazardRisk_name]],categories[HazardRisk_Name],categories[HazardRisk])</f>
        <v>Risk</v>
      </c>
      <c r="H721" t="str">
        <f>_xlfn.XLOOKUP(FMECA[[#This Row],[HazardRisk_name]],categories[HazardRisk_Name],categories[Category])</f>
        <v>Human</v>
      </c>
      <c r="I721" t="s">
        <v>493</v>
      </c>
      <c r="J721" s="10">
        <v>2</v>
      </c>
      <c r="K721" t="s">
        <v>1607</v>
      </c>
      <c r="L721" s="10">
        <v>10</v>
      </c>
      <c r="M721" t="s">
        <v>1607</v>
      </c>
      <c r="N721" s="10">
        <f>FMECA[[#This Row],[probability_value]]*FMECA[[#This Row],[consequence_value]]</f>
        <v>20</v>
      </c>
      <c r="O72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21" s="10" t="s">
        <v>770</v>
      </c>
      <c r="Q721" t="s">
        <v>1162</v>
      </c>
      <c r="R721" t="s">
        <v>780</v>
      </c>
      <c r="S721" t="s">
        <v>1608</v>
      </c>
      <c r="T721" t="s">
        <v>793</v>
      </c>
      <c r="U721" t="s">
        <v>1613</v>
      </c>
      <c r="V721" t="s">
        <v>470</v>
      </c>
      <c r="X721" t="s">
        <v>1306</v>
      </c>
      <c r="AA721" t="s">
        <v>1162</v>
      </c>
    </row>
    <row r="722" spans="1:27" x14ac:dyDescent="0.2">
      <c r="A722" s="225" t="s">
        <v>320</v>
      </c>
      <c r="B722" t="s">
        <v>303</v>
      </c>
      <c r="C722" t="s">
        <v>372</v>
      </c>
      <c r="D722" t="s">
        <v>395</v>
      </c>
      <c r="E722" t="s">
        <v>394</v>
      </c>
      <c r="F722" s="226" t="s">
        <v>396</v>
      </c>
      <c r="G722" t="str">
        <f>_xlfn.XLOOKUP(FMECA[[#This Row],[HazardRisk_name]],categories[HazardRisk_Name],categories[HazardRisk])</f>
        <v>Hazard</v>
      </c>
      <c r="H722" t="str">
        <f>_xlfn.XLOOKUP(FMECA[[#This Row],[HazardRisk_name]],categories[HazardRisk_Name],categories[Category])</f>
        <v>Environmental</v>
      </c>
      <c r="I722" t="s">
        <v>684</v>
      </c>
      <c r="J722" s="10">
        <v>3</v>
      </c>
      <c r="K722" t="s">
        <v>1607</v>
      </c>
      <c r="L722" s="10">
        <v>7</v>
      </c>
      <c r="M722" t="s">
        <v>1607</v>
      </c>
      <c r="N722" s="10">
        <f>FMECA[[#This Row],[probability_value]]*FMECA[[#This Row],[consequence_value]]</f>
        <v>21</v>
      </c>
      <c r="O72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22" s="10" t="s">
        <v>770</v>
      </c>
      <c r="Q722" t="s">
        <v>1162</v>
      </c>
      <c r="R722" t="s">
        <v>780</v>
      </c>
      <c r="S722" t="s">
        <v>1608</v>
      </c>
      <c r="T722" t="s">
        <v>793</v>
      </c>
      <c r="V722" t="s">
        <v>1306</v>
      </c>
      <c r="X722" t="s">
        <v>1306</v>
      </c>
      <c r="AA722" t="s">
        <v>1162</v>
      </c>
    </row>
    <row r="723" spans="1:27" x14ac:dyDescent="0.2">
      <c r="A723" s="225" t="s">
        <v>320</v>
      </c>
      <c r="B723" t="s">
        <v>303</v>
      </c>
      <c r="C723" t="s">
        <v>372</v>
      </c>
      <c r="D723" t="s">
        <v>395</v>
      </c>
      <c r="E723" t="s">
        <v>394</v>
      </c>
      <c r="F723" s="226" t="s">
        <v>396</v>
      </c>
      <c r="G723" t="str">
        <f>_xlfn.XLOOKUP(FMECA[[#This Row],[HazardRisk_name]],categories[HazardRisk_Name],categories[HazardRisk])</f>
        <v>Risk</v>
      </c>
      <c r="H723" t="str">
        <f>_xlfn.XLOOKUP(FMECA[[#This Row],[HazardRisk_name]],categories[HazardRisk_Name],categories[Category])</f>
        <v>Navigational</v>
      </c>
      <c r="I723" t="s">
        <v>587</v>
      </c>
      <c r="J723" s="10">
        <v>1</v>
      </c>
      <c r="K723" t="s">
        <v>1607</v>
      </c>
      <c r="L723" s="10">
        <v>10</v>
      </c>
      <c r="M723" t="s">
        <v>1607</v>
      </c>
      <c r="N723" s="10">
        <f>FMECA[[#This Row],[probability_value]]*FMECA[[#This Row],[consequence_value]]</f>
        <v>10</v>
      </c>
      <c r="O72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23" s="10" t="s">
        <v>770</v>
      </c>
      <c r="Q723" t="s">
        <v>1162</v>
      </c>
      <c r="R723" t="s">
        <v>780</v>
      </c>
      <c r="S723" t="s">
        <v>1608</v>
      </c>
      <c r="T723" t="s">
        <v>793</v>
      </c>
      <c r="U723" t="s">
        <v>1613</v>
      </c>
      <c r="V723" t="s">
        <v>470</v>
      </c>
      <c r="X723" t="s">
        <v>1306</v>
      </c>
      <c r="AA723" t="s">
        <v>1162</v>
      </c>
    </row>
    <row r="724" spans="1:27" x14ac:dyDescent="0.2">
      <c r="A724" s="225" t="s">
        <v>320</v>
      </c>
      <c r="B724" t="s">
        <v>303</v>
      </c>
      <c r="C724" t="s">
        <v>372</v>
      </c>
      <c r="D724" t="s">
        <v>395</v>
      </c>
      <c r="E724" t="s">
        <v>394</v>
      </c>
      <c r="F724" s="226" t="s">
        <v>396</v>
      </c>
      <c r="G724" t="str">
        <f>_xlfn.XLOOKUP(FMECA[[#This Row],[HazardRisk_name]],categories[HazardRisk_Name],categories[HazardRisk])</f>
        <v>Risk</v>
      </c>
      <c r="H724" t="str">
        <f>_xlfn.XLOOKUP(FMECA[[#This Row],[HazardRisk_name]],categories[HazardRisk_Name],categories[Category])</f>
        <v>Operational</v>
      </c>
      <c r="I724" t="s">
        <v>1611</v>
      </c>
      <c r="J724" s="10">
        <v>1</v>
      </c>
      <c r="K724" t="s">
        <v>1607</v>
      </c>
      <c r="L724" s="10">
        <v>10</v>
      </c>
      <c r="M724" t="s">
        <v>1607</v>
      </c>
      <c r="N724" s="10">
        <f>FMECA[[#This Row],[probability_value]]*FMECA[[#This Row],[consequence_value]]</f>
        <v>10</v>
      </c>
      <c r="O72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24" s="10" t="s">
        <v>770</v>
      </c>
      <c r="Q724" t="s">
        <v>1162</v>
      </c>
      <c r="R724" t="s">
        <v>780</v>
      </c>
      <c r="S724" t="s">
        <v>1608</v>
      </c>
      <c r="T724" t="s">
        <v>793</v>
      </c>
      <c r="U724" t="s">
        <v>1613</v>
      </c>
      <c r="V724" t="s">
        <v>470</v>
      </c>
      <c r="X724" t="s">
        <v>1306</v>
      </c>
      <c r="AA724" t="s">
        <v>1162</v>
      </c>
    </row>
    <row r="725" spans="1:27" x14ac:dyDescent="0.2">
      <c r="A725" s="225" t="s">
        <v>320</v>
      </c>
      <c r="B725" t="s">
        <v>303</v>
      </c>
      <c r="C725" t="s">
        <v>372</v>
      </c>
      <c r="D725" t="s">
        <v>395</v>
      </c>
      <c r="E725" t="s">
        <v>394</v>
      </c>
      <c r="F725" s="226" t="s">
        <v>396</v>
      </c>
      <c r="G725" t="str">
        <f>_xlfn.XLOOKUP(FMECA[[#This Row],[HazardRisk_name]],categories[HazardRisk_Name],categories[HazardRisk])</f>
        <v>Risk</v>
      </c>
      <c r="H725" t="str">
        <f>_xlfn.XLOOKUP(FMECA[[#This Row],[HazardRisk_name]],categories[HazardRisk_Name],categories[Category])</f>
        <v>Sea Ice</v>
      </c>
      <c r="I725" t="s">
        <v>480</v>
      </c>
      <c r="J725" s="10">
        <v>1</v>
      </c>
      <c r="K725" t="s">
        <v>1607</v>
      </c>
      <c r="L725" s="10">
        <v>10</v>
      </c>
      <c r="M725" t="s">
        <v>1607</v>
      </c>
      <c r="N725" s="10">
        <f>FMECA[[#This Row],[probability_value]]*FMECA[[#This Row],[consequence_value]]</f>
        <v>10</v>
      </c>
      <c r="O72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25" s="10" t="s">
        <v>770</v>
      </c>
      <c r="Q725" t="s">
        <v>1162</v>
      </c>
      <c r="R725" t="s">
        <v>780</v>
      </c>
      <c r="S725" t="s">
        <v>1608</v>
      </c>
      <c r="T725" t="s">
        <v>793</v>
      </c>
      <c r="U725" t="s">
        <v>1613</v>
      </c>
      <c r="V725" t="s">
        <v>470</v>
      </c>
      <c r="X725" t="s">
        <v>1306</v>
      </c>
      <c r="AA725" t="s">
        <v>1162</v>
      </c>
    </row>
    <row r="726" spans="1:27" x14ac:dyDescent="0.2">
      <c r="A726" s="225" t="s">
        <v>320</v>
      </c>
      <c r="B726" t="s">
        <v>303</v>
      </c>
      <c r="C726" t="s">
        <v>372</v>
      </c>
      <c r="D726" t="s">
        <v>395</v>
      </c>
      <c r="E726" t="s">
        <v>394</v>
      </c>
      <c r="F726" s="226" t="s">
        <v>396</v>
      </c>
      <c r="G726" t="str">
        <f>_xlfn.XLOOKUP(FMECA[[#This Row],[HazardRisk_name]],categories[HazardRisk_Name],categories[HazardRisk])</f>
        <v>Hazard</v>
      </c>
      <c r="H726" t="str">
        <f>_xlfn.XLOOKUP(FMECA[[#This Row],[HazardRisk_name]],categories[HazardRisk_Name],categories[Category])</f>
        <v>Human</v>
      </c>
      <c r="I726" t="s">
        <v>590</v>
      </c>
      <c r="J726" s="10">
        <v>1</v>
      </c>
      <c r="K726" t="s">
        <v>1607</v>
      </c>
      <c r="L726" s="10">
        <v>10</v>
      </c>
      <c r="M726" t="s">
        <v>1607</v>
      </c>
      <c r="N726" s="10">
        <f>FMECA[[#This Row],[probability_value]]*FMECA[[#This Row],[consequence_value]]</f>
        <v>10</v>
      </c>
      <c r="O72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26" s="10" t="s">
        <v>770</v>
      </c>
      <c r="Q726" t="s">
        <v>1162</v>
      </c>
      <c r="R726" t="s">
        <v>780</v>
      </c>
      <c r="S726" t="s">
        <v>1608</v>
      </c>
      <c r="T726" t="s">
        <v>793</v>
      </c>
      <c r="U726" t="s">
        <v>1613</v>
      </c>
      <c r="V726" t="s">
        <v>470</v>
      </c>
      <c r="X726" t="s">
        <v>1306</v>
      </c>
      <c r="AA726" t="s">
        <v>1162</v>
      </c>
    </row>
    <row r="727" spans="1:27" x14ac:dyDescent="0.2">
      <c r="A727" s="225" t="s">
        <v>320</v>
      </c>
      <c r="B727" t="s">
        <v>303</v>
      </c>
      <c r="C727" t="s">
        <v>372</v>
      </c>
      <c r="D727" t="s">
        <v>395</v>
      </c>
      <c r="E727" t="s">
        <v>394</v>
      </c>
      <c r="F727" s="226" t="s">
        <v>396</v>
      </c>
      <c r="G727" t="str">
        <f>_xlfn.XLOOKUP(FMECA[[#This Row],[HazardRisk_name]],categories[HazardRisk_Name],categories[HazardRisk])</f>
        <v>Risk</v>
      </c>
      <c r="H727" t="str">
        <f>_xlfn.XLOOKUP(FMECA[[#This Row],[HazardRisk_name]],categories[HazardRisk_Name],categories[Category])</f>
        <v>Navigational</v>
      </c>
      <c r="I727" t="s">
        <v>586</v>
      </c>
      <c r="J727" s="10">
        <v>1</v>
      </c>
      <c r="K727" t="s">
        <v>1607</v>
      </c>
      <c r="L727" s="10">
        <v>10</v>
      </c>
      <c r="M727" t="s">
        <v>1607</v>
      </c>
      <c r="N727" s="10">
        <f>FMECA[[#This Row],[probability_value]]*FMECA[[#This Row],[consequence_value]]</f>
        <v>10</v>
      </c>
      <c r="O72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27" s="10" t="s">
        <v>770</v>
      </c>
      <c r="Q727" t="s">
        <v>1162</v>
      </c>
      <c r="R727" t="s">
        <v>780</v>
      </c>
      <c r="S727" t="s">
        <v>1608</v>
      </c>
      <c r="T727" t="s">
        <v>793</v>
      </c>
      <c r="U727" t="s">
        <v>1613</v>
      </c>
      <c r="V727" t="s">
        <v>470</v>
      </c>
      <c r="X727" t="s">
        <v>1306</v>
      </c>
      <c r="AA727" t="s">
        <v>1162</v>
      </c>
    </row>
    <row r="728" spans="1:27" x14ac:dyDescent="0.2">
      <c r="A728" s="225" t="s">
        <v>320</v>
      </c>
      <c r="B728" t="s">
        <v>303</v>
      </c>
      <c r="C728" t="s">
        <v>372</v>
      </c>
      <c r="D728" t="s">
        <v>395</v>
      </c>
      <c r="E728" t="s">
        <v>394</v>
      </c>
      <c r="F728" s="226" t="s">
        <v>396</v>
      </c>
      <c r="G728" t="str">
        <f>_xlfn.XLOOKUP(FMECA[[#This Row],[HazardRisk_name]],categories[HazardRisk_Name],categories[HazardRisk])</f>
        <v>Hazard</v>
      </c>
      <c r="H728" t="str">
        <f>_xlfn.XLOOKUP(FMECA[[#This Row],[HazardRisk_name]],categories[HazardRisk_Name],categories[Category])</f>
        <v>Human</v>
      </c>
      <c r="I728" t="s">
        <v>491</v>
      </c>
      <c r="J728" s="10">
        <v>1</v>
      </c>
      <c r="K728" t="s">
        <v>1607</v>
      </c>
      <c r="L728" s="10">
        <v>10</v>
      </c>
      <c r="M728" t="s">
        <v>1607</v>
      </c>
      <c r="N728" s="10">
        <f>FMECA[[#This Row],[probability_value]]*FMECA[[#This Row],[consequence_value]]</f>
        <v>10</v>
      </c>
      <c r="O72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28" s="10" t="s">
        <v>770</v>
      </c>
      <c r="Q728" t="s">
        <v>1162</v>
      </c>
      <c r="R728" t="s">
        <v>780</v>
      </c>
      <c r="S728" t="s">
        <v>1608</v>
      </c>
      <c r="T728" t="s">
        <v>793</v>
      </c>
      <c r="U728" t="s">
        <v>1613</v>
      </c>
      <c r="V728" t="s">
        <v>470</v>
      </c>
      <c r="X728" t="s">
        <v>1306</v>
      </c>
      <c r="AA728" t="s">
        <v>1162</v>
      </c>
    </row>
    <row r="729" spans="1:27" x14ac:dyDescent="0.2">
      <c r="A729" s="225" t="s">
        <v>320</v>
      </c>
      <c r="B729" t="s">
        <v>303</v>
      </c>
      <c r="C729" t="s">
        <v>372</v>
      </c>
      <c r="D729" t="s">
        <v>395</v>
      </c>
      <c r="E729" t="s">
        <v>394</v>
      </c>
      <c r="F729" s="226" t="s">
        <v>396</v>
      </c>
      <c r="G729" t="str">
        <f>_xlfn.XLOOKUP(FMECA[[#This Row],[HazardRisk_name]],categories[HazardRisk_Name],categories[HazardRisk])</f>
        <v>Risk</v>
      </c>
      <c r="H729" t="str">
        <f>_xlfn.XLOOKUP(FMECA[[#This Row],[HazardRisk_name]],categories[HazardRisk_Name],categories[Category])</f>
        <v>Navigational</v>
      </c>
      <c r="I729" t="s">
        <v>1312</v>
      </c>
      <c r="J729" s="10">
        <v>1</v>
      </c>
      <c r="K729" t="s">
        <v>1607</v>
      </c>
      <c r="L729" s="10">
        <v>10</v>
      </c>
      <c r="M729" t="s">
        <v>1607</v>
      </c>
      <c r="N729" s="10">
        <f>FMECA[[#This Row],[probability_value]]*FMECA[[#This Row],[consequence_value]]</f>
        <v>10</v>
      </c>
      <c r="O72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29" s="10" t="s">
        <v>770</v>
      </c>
      <c r="Q729" t="s">
        <v>1162</v>
      </c>
      <c r="R729" t="s">
        <v>780</v>
      </c>
      <c r="S729" t="s">
        <v>1608</v>
      </c>
      <c r="T729" t="s">
        <v>793</v>
      </c>
      <c r="U729" t="s">
        <v>1613</v>
      </c>
      <c r="V729" t="s">
        <v>470</v>
      </c>
      <c r="X729" t="s">
        <v>1306</v>
      </c>
      <c r="AA729" t="s">
        <v>1162</v>
      </c>
    </row>
    <row r="730" spans="1:27" x14ac:dyDescent="0.2">
      <c r="A730" s="225" t="s">
        <v>320</v>
      </c>
      <c r="B730" t="s">
        <v>303</v>
      </c>
      <c r="C730" t="s">
        <v>372</v>
      </c>
      <c r="D730" t="s">
        <v>395</v>
      </c>
      <c r="E730" t="s">
        <v>394</v>
      </c>
      <c r="F730" s="226" t="s">
        <v>396</v>
      </c>
      <c r="G730" t="str">
        <f>_xlfn.XLOOKUP(FMECA[[#This Row],[HazardRisk_name]],categories[HazardRisk_Name],categories[HazardRisk])</f>
        <v>Hazard</v>
      </c>
      <c r="H730" t="str">
        <f>_xlfn.XLOOKUP(FMECA[[#This Row],[HazardRisk_name]],categories[HazardRisk_Name],categories[Category])</f>
        <v>Navigational</v>
      </c>
      <c r="I730" t="s">
        <v>1307</v>
      </c>
      <c r="J730" s="10">
        <v>1</v>
      </c>
      <c r="K730" t="s">
        <v>1607</v>
      </c>
      <c r="L730" s="10">
        <v>10</v>
      </c>
      <c r="M730" t="s">
        <v>1607</v>
      </c>
      <c r="N730" s="10">
        <f>FMECA[[#This Row],[probability_value]]*FMECA[[#This Row],[consequence_value]]</f>
        <v>10</v>
      </c>
      <c r="O73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30" s="10" t="s">
        <v>770</v>
      </c>
      <c r="Q730" t="s">
        <v>1162</v>
      </c>
      <c r="R730" t="s">
        <v>780</v>
      </c>
      <c r="S730" t="s">
        <v>1608</v>
      </c>
      <c r="T730" t="s">
        <v>793</v>
      </c>
      <c r="U730" t="s">
        <v>1613</v>
      </c>
      <c r="V730" t="s">
        <v>470</v>
      </c>
      <c r="X730" t="s">
        <v>1306</v>
      </c>
      <c r="AA730" t="s">
        <v>1162</v>
      </c>
    </row>
    <row r="731" spans="1:27" x14ac:dyDescent="0.2">
      <c r="A731" s="225" t="s">
        <v>320</v>
      </c>
      <c r="B731" t="s">
        <v>303</v>
      </c>
      <c r="C731" t="s">
        <v>372</v>
      </c>
      <c r="D731" t="s">
        <v>395</v>
      </c>
      <c r="E731" t="s">
        <v>394</v>
      </c>
      <c r="F731" s="226" t="s">
        <v>396</v>
      </c>
      <c r="G731" t="str">
        <f>_xlfn.XLOOKUP(FMECA[[#This Row],[HazardRisk_name]],categories[HazardRisk_Name],categories[HazardRisk])</f>
        <v>Hazard</v>
      </c>
      <c r="H731" t="str">
        <f>_xlfn.XLOOKUP(FMECA[[#This Row],[HazardRisk_name]],categories[HazardRisk_Name],categories[Category])</f>
        <v>Operational</v>
      </c>
      <c r="I731" t="s">
        <v>685</v>
      </c>
      <c r="J731" s="10">
        <v>1</v>
      </c>
      <c r="K731" t="s">
        <v>1607</v>
      </c>
      <c r="L731" s="10">
        <v>10</v>
      </c>
      <c r="M731" t="s">
        <v>1607</v>
      </c>
      <c r="N731" s="10">
        <f>FMECA[[#This Row],[probability_value]]*FMECA[[#This Row],[consequence_value]]</f>
        <v>10</v>
      </c>
      <c r="O73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31" s="10" t="s">
        <v>770</v>
      </c>
      <c r="Q731" t="s">
        <v>1162</v>
      </c>
      <c r="R731" t="s">
        <v>780</v>
      </c>
      <c r="S731" t="s">
        <v>1608</v>
      </c>
      <c r="T731" t="s">
        <v>793</v>
      </c>
      <c r="U731" t="s">
        <v>1613</v>
      </c>
      <c r="V731" t="s">
        <v>470</v>
      </c>
      <c r="X731" t="s">
        <v>1306</v>
      </c>
      <c r="AA731" t="s">
        <v>1162</v>
      </c>
    </row>
    <row r="732" spans="1:27" x14ac:dyDescent="0.2">
      <c r="A732" s="225" t="s">
        <v>320</v>
      </c>
      <c r="B732" t="s">
        <v>303</v>
      </c>
      <c r="C732" t="s">
        <v>372</v>
      </c>
      <c r="D732" t="s">
        <v>395</v>
      </c>
      <c r="E732" t="s">
        <v>394</v>
      </c>
      <c r="F732" s="226" t="s">
        <v>396</v>
      </c>
      <c r="G732" t="str">
        <f>_xlfn.XLOOKUP(FMECA[[#This Row],[HazardRisk_name]],categories[HazardRisk_Name],categories[HazardRisk])</f>
        <v>Hazard</v>
      </c>
      <c r="H732" t="str">
        <f>_xlfn.XLOOKUP(FMECA[[#This Row],[HazardRisk_name]],categories[HazardRisk_Name],categories[Category])</f>
        <v>Technological</v>
      </c>
      <c r="I732" t="s">
        <v>1311</v>
      </c>
      <c r="J732" s="10">
        <v>1</v>
      </c>
      <c r="K732" t="s">
        <v>1607</v>
      </c>
      <c r="L732" s="10">
        <v>10</v>
      </c>
      <c r="M732" t="s">
        <v>1607</v>
      </c>
      <c r="N732" s="10">
        <f>FMECA[[#This Row],[probability_value]]*FMECA[[#This Row],[consequence_value]]</f>
        <v>10</v>
      </c>
      <c r="O73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32" s="10" t="s">
        <v>770</v>
      </c>
      <c r="Q732" t="s">
        <v>1162</v>
      </c>
      <c r="R732" t="s">
        <v>780</v>
      </c>
      <c r="S732" t="s">
        <v>1608</v>
      </c>
      <c r="T732" t="s">
        <v>793</v>
      </c>
      <c r="U732" t="s">
        <v>1613</v>
      </c>
      <c r="V732" t="s">
        <v>470</v>
      </c>
      <c r="X732" t="s">
        <v>1306</v>
      </c>
      <c r="AA732" t="s">
        <v>1162</v>
      </c>
    </row>
    <row r="733" spans="1:27" x14ac:dyDescent="0.2">
      <c r="A733" s="225" t="s">
        <v>320</v>
      </c>
      <c r="B733" t="s">
        <v>303</v>
      </c>
      <c r="C733" t="s">
        <v>372</v>
      </c>
      <c r="D733" t="s">
        <v>395</v>
      </c>
      <c r="E733" t="s">
        <v>394</v>
      </c>
      <c r="F733" s="226" t="s">
        <v>396</v>
      </c>
      <c r="G733" t="str">
        <f>_xlfn.XLOOKUP(FMECA[[#This Row],[HazardRisk_name]],categories[HazardRisk_Name],categories[HazardRisk])</f>
        <v>Risk</v>
      </c>
      <c r="H733" t="str">
        <f>_xlfn.XLOOKUP(FMECA[[#This Row],[HazardRisk_name]],categories[HazardRisk_Name],categories[Category])</f>
        <v>Operational</v>
      </c>
      <c r="I733" t="s">
        <v>596</v>
      </c>
      <c r="J733" s="10">
        <v>1</v>
      </c>
      <c r="K733" t="s">
        <v>1607</v>
      </c>
      <c r="L733" s="10">
        <v>10</v>
      </c>
      <c r="M733" t="s">
        <v>1607</v>
      </c>
      <c r="N733" s="10">
        <f>FMECA[[#This Row],[probability_value]]*FMECA[[#This Row],[consequence_value]]</f>
        <v>10</v>
      </c>
      <c r="O73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33" s="10" t="s">
        <v>770</v>
      </c>
      <c r="Q733" t="s">
        <v>1162</v>
      </c>
      <c r="R733" t="s">
        <v>780</v>
      </c>
      <c r="S733" t="s">
        <v>1608</v>
      </c>
      <c r="T733" t="s">
        <v>793</v>
      </c>
      <c r="U733" s="9" t="s">
        <v>1610</v>
      </c>
      <c r="V733" t="s">
        <v>470</v>
      </c>
      <c r="W733" t="s">
        <v>1609</v>
      </c>
      <c r="X733" t="s">
        <v>470</v>
      </c>
      <c r="AA733" t="s">
        <v>1162</v>
      </c>
    </row>
    <row r="734" spans="1:27" x14ac:dyDescent="0.2">
      <c r="A734" s="225" t="s">
        <v>320</v>
      </c>
      <c r="B734" t="s">
        <v>303</v>
      </c>
      <c r="C734" t="s">
        <v>372</v>
      </c>
      <c r="D734" t="s">
        <v>395</v>
      </c>
      <c r="E734" t="s">
        <v>394</v>
      </c>
      <c r="F734" s="226" t="s">
        <v>396</v>
      </c>
      <c r="G734" t="str">
        <f>_xlfn.XLOOKUP(FMECA[[#This Row],[HazardRisk_name]],categories[HazardRisk_Name],categories[HazardRisk])</f>
        <v>Risk</v>
      </c>
      <c r="H734" t="str">
        <f>_xlfn.XLOOKUP(FMECA[[#This Row],[HazardRisk_name]],categories[HazardRisk_Name],categories[Category])</f>
        <v>Navigational</v>
      </c>
      <c r="I734" t="s">
        <v>1314</v>
      </c>
      <c r="J734" s="10">
        <v>1</v>
      </c>
      <c r="K734" t="s">
        <v>1607</v>
      </c>
      <c r="L734" s="10">
        <v>10</v>
      </c>
      <c r="M734" t="s">
        <v>1607</v>
      </c>
      <c r="N734" s="10">
        <f>FMECA[[#This Row],[probability_value]]*FMECA[[#This Row],[consequence_value]]</f>
        <v>10</v>
      </c>
      <c r="O73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34" s="10" t="s">
        <v>770</v>
      </c>
      <c r="Q734" t="s">
        <v>1162</v>
      </c>
      <c r="R734" t="s">
        <v>780</v>
      </c>
      <c r="S734" t="s">
        <v>1608</v>
      </c>
      <c r="T734" t="s">
        <v>793</v>
      </c>
      <c r="U734" s="9" t="s">
        <v>1610</v>
      </c>
      <c r="V734" t="s">
        <v>470</v>
      </c>
      <c r="W734" t="s">
        <v>1609</v>
      </c>
      <c r="X734" t="s">
        <v>470</v>
      </c>
      <c r="AA734" t="s">
        <v>1162</v>
      </c>
    </row>
    <row r="735" spans="1:27" x14ac:dyDescent="0.2">
      <c r="A735" s="225" t="s">
        <v>320</v>
      </c>
      <c r="B735" t="s">
        <v>303</v>
      </c>
      <c r="C735" t="s">
        <v>372</v>
      </c>
      <c r="D735" t="s">
        <v>395</v>
      </c>
      <c r="E735" t="s">
        <v>394</v>
      </c>
      <c r="F735" s="226" t="s">
        <v>396</v>
      </c>
      <c r="G735" t="str">
        <f>_xlfn.XLOOKUP(FMECA[[#This Row],[HazardRisk_name]],categories[HazardRisk_Name],categories[HazardRisk])</f>
        <v>Risk</v>
      </c>
      <c r="H735" t="str">
        <f>_xlfn.XLOOKUP(FMECA[[#This Row],[HazardRisk_name]],categories[HazardRisk_Name],categories[Category])</f>
        <v>Operational</v>
      </c>
      <c r="I735" t="s">
        <v>492</v>
      </c>
      <c r="J735" s="10">
        <v>1</v>
      </c>
      <c r="K735" t="s">
        <v>1607</v>
      </c>
      <c r="L735" s="10">
        <v>10</v>
      </c>
      <c r="M735" t="s">
        <v>1607</v>
      </c>
      <c r="N735" s="10">
        <f>FMECA[[#This Row],[probability_value]]*FMECA[[#This Row],[consequence_value]]</f>
        <v>10</v>
      </c>
      <c r="O73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35" s="10" t="s">
        <v>770</v>
      </c>
      <c r="Q735" t="s">
        <v>1162</v>
      </c>
      <c r="R735" t="s">
        <v>780</v>
      </c>
      <c r="S735" t="s">
        <v>1608</v>
      </c>
      <c r="T735" t="s">
        <v>793</v>
      </c>
      <c r="U735" s="9" t="s">
        <v>1610</v>
      </c>
      <c r="V735" t="s">
        <v>470</v>
      </c>
      <c r="W735" t="s">
        <v>1609</v>
      </c>
      <c r="X735" t="s">
        <v>470</v>
      </c>
      <c r="AA735" t="s">
        <v>1162</v>
      </c>
    </row>
    <row r="736" spans="1:27" x14ac:dyDescent="0.2">
      <c r="A736" s="225" t="s">
        <v>320</v>
      </c>
      <c r="B736" t="s">
        <v>303</v>
      </c>
      <c r="C736" t="s">
        <v>372</v>
      </c>
      <c r="D736" t="s">
        <v>395</v>
      </c>
      <c r="E736" t="s">
        <v>394</v>
      </c>
      <c r="F736" s="226" t="s">
        <v>396</v>
      </c>
      <c r="G736" t="str">
        <f>_xlfn.XLOOKUP(FMECA[[#This Row],[HazardRisk_name]],categories[HazardRisk_Name],categories[HazardRisk])</f>
        <v>Risk</v>
      </c>
      <c r="H736" t="str">
        <f>_xlfn.XLOOKUP(FMECA[[#This Row],[HazardRisk_name]],categories[HazardRisk_Name],categories[Category])</f>
        <v>Navigational</v>
      </c>
      <c r="I736" t="s">
        <v>705</v>
      </c>
      <c r="J736" s="10">
        <v>1</v>
      </c>
      <c r="K736" t="s">
        <v>1607</v>
      </c>
      <c r="L736" s="10">
        <v>10</v>
      </c>
      <c r="M736" t="s">
        <v>1607</v>
      </c>
      <c r="N736" s="10">
        <f>FMECA[[#This Row],[probability_value]]*FMECA[[#This Row],[consequence_value]]</f>
        <v>10</v>
      </c>
      <c r="O73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36" s="10" t="s">
        <v>770</v>
      </c>
      <c r="Q736" t="s">
        <v>1162</v>
      </c>
      <c r="R736" t="s">
        <v>780</v>
      </c>
      <c r="S736" t="s">
        <v>1608</v>
      </c>
      <c r="T736" t="s">
        <v>793</v>
      </c>
      <c r="U736" s="9" t="s">
        <v>1610</v>
      </c>
      <c r="V736" t="s">
        <v>470</v>
      </c>
      <c r="W736" t="s">
        <v>1609</v>
      </c>
      <c r="X736" t="s">
        <v>470</v>
      </c>
      <c r="AA736" t="s">
        <v>1162</v>
      </c>
    </row>
    <row r="737" spans="1:27" x14ac:dyDescent="0.2">
      <c r="A737" s="225" t="s">
        <v>320</v>
      </c>
      <c r="B737" t="s">
        <v>303</v>
      </c>
      <c r="C737" t="s">
        <v>372</v>
      </c>
      <c r="D737" t="s">
        <v>395</v>
      </c>
      <c r="E737" t="s">
        <v>394</v>
      </c>
      <c r="F737" s="226" t="s">
        <v>396</v>
      </c>
      <c r="G737" t="str">
        <f>_xlfn.XLOOKUP(FMECA[[#This Row],[HazardRisk_name]],categories[HazardRisk_Name],categories[HazardRisk])</f>
        <v>Hazard</v>
      </c>
      <c r="H737" t="str">
        <f>_xlfn.XLOOKUP(FMECA[[#This Row],[HazardRisk_name]],categories[HazardRisk_Name],categories[Category])</f>
        <v>Navigational</v>
      </c>
      <c r="I737" t="s">
        <v>1316</v>
      </c>
      <c r="J737" s="10">
        <v>1</v>
      </c>
      <c r="K737" t="s">
        <v>1607</v>
      </c>
      <c r="L737" s="10">
        <v>10</v>
      </c>
      <c r="M737" t="s">
        <v>1607</v>
      </c>
      <c r="N737" s="10">
        <f>FMECA[[#This Row],[probability_value]]*FMECA[[#This Row],[consequence_value]]</f>
        <v>10</v>
      </c>
      <c r="O73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37" s="10" t="s">
        <v>770</v>
      </c>
      <c r="Q737" t="s">
        <v>1162</v>
      </c>
      <c r="R737" t="s">
        <v>780</v>
      </c>
      <c r="S737" t="s">
        <v>1608</v>
      </c>
      <c r="T737" t="s">
        <v>793</v>
      </c>
      <c r="U737" s="9" t="s">
        <v>1610</v>
      </c>
      <c r="V737" t="s">
        <v>470</v>
      </c>
      <c r="W737" t="s">
        <v>1609</v>
      </c>
      <c r="X737" t="s">
        <v>470</v>
      </c>
      <c r="AA737" t="s">
        <v>1162</v>
      </c>
    </row>
    <row r="738" spans="1:27" x14ac:dyDescent="0.2">
      <c r="A738" s="225" t="s">
        <v>320</v>
      </c>
      <c r="B738" t="s">
        <v>303</v>
      </c>
      <c r="C738" t="s">
        <v>372</v>
      </c>
      <c r="D738" t="s">
        <v>395</v>
      </c>
      <c r="E738" t="s">
        <v>394</v>
      </c>
      <c r="F738" s="226" t="s">
        <v>396</v>
      </c>
      <c r="G738" t="str">
        <f>_xlfn.XLOOKUP(FMECA[[#This Row],[HazardRisk_name]],categories[HazardRisk_Name],categories[HazardRisk])</f>
        <v>Risk</v>
      </c>
      <c r="H738" t="str">
        <f>_xlfn.XLOOKUP(FMECA[[#This Row],[HazardRisk_name]],categories[HazardRisk_Name],categories[Category])</f>
        <v>Operational</v>
      </c>
      <c r="I738" t="s">
        <v>1320</v>
      </c>
      <c r="J738" s="10">
        <v>1</v>
      </c>
      <c r="K738" t="s">
        <v>1607</v>
      </c>
      <c r="L738" s="10">
        <v>10</v>
      </c>
      <c r="M738" t="s">
        <v>1607</v>
      </c>
      <c r="N738" s="10">
        <f>FMECA[[#This Row],[probability_value]]*FMECA[[#This Row],[consequence_value]]</f>
        <v>10</v>
      </c>
      <c r="O73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38" s="10" t="s">
        <v>770</v>
      </c>
      <c r="Q738" t="s">
        <v>1162</v>
      </c>
      <c r="R738" t="s">
        <v>780</v>
      </c>
      <c r="S738" t="s">
        <v>1608</v>
      </c>
      <c r="T738" t="s">
        <v>793</v>
      </c>
      <c r="U738" s="9" t="s">
        <v>1610</v>
      </c>
      <c r="V738" t="s">
        <v>470</v>
      </c>
      <c r="W738" t="s">
        <v>1609</v>
      </c>
      <c r="X738" t="s">
        <v>470</v>
      </c>
      <c r="AA738" t="s">
        <v>1162</v>
      </c>
    </row>
    <row r="739" spans="1:27" x14ac:dyDescent="0.2">
      <c r="A739" s="225" t="s">
        <v>320</v>
      </c>
      <c r="B739" t="s">
        <v>303</v>
      </c>
      <c r="C739" t="s">
        <v>372</v>
      </c>
      <c r="D739" t="s">
        <v>395</v>
      </c>
      <c r="E739" t="s">
        <v>394</v>
      </c>
      <c r="F739" s="226" t="s">
        <v>396</v>
      </c>
      <c r="G739" t="str">
        <f>_xlfn.XLOOKUP(FMECA[[#This Row],[HazardRisk_name]],categories[HazardRisk_Name],categories[HazardRisk])</f>
        <v>Hazard</v>
      </c>
      <c r="H739" t="str">
        <f>_xlfn.XLOOKUP(FMECA[[#This Row],[HazardRisk_name]],categories[HazardRisk_Name],categories[Category])</f>
        <v>Operational</v>
      </c>
      <c r="I739" t="s">
        <v>1612</v>
      </c>
      <c r="J739" s="10">
        <v>1</v>
      </c>
      <c r="K739" t="s">
        <v>1607</v>
      </c>
      <c r="L739" s="10">
        <v>10</v>
      </c>
      <c r="M739" t="s">
        <v>1607</v>
      </c>
      <c r="N739" s="10">
        <f>FMECA[[#This Row],[probability_value]]*FMECA[[#This Row],[consequence_value]]</f>
        <v>10</v>
      </c>
      <c r="O73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39" s="10" t="s">
        <v>770</v>
      </c>
      <c r="Q739" t="s">
        <v>1162</v>
      </c>
      <c r="R739" t="s">
        <v>780</v>
      </c>
      <c r="S739" t="s">
        <v>1608</v>
      </c>
      <c r="T739" t="s">
        <v>793</v>
      </c>
      <c r="U739" s="9" t="s">
        <v>1610</v>
      </c>
      <c r="V739" t="s">
        <v>470</v>
      </c>
      <c r="W739" t="s">
        <v>1609</v>
      </c>
      <c r="X739" t="s">
        <v>470</v>
      </c>
      <c r="AA739" t="s">
        <v>1162</v>
      </c>
    </row>
    <row r="740" spans="1:27" x14ac:dyDescent="0.2">
      <c r="A740" s="225" t="s">
        <v>320</v>
      </c>
      <c r="B740" t="s">
        <v>303</v>
      </c>
      <c r="C740" t="s">
        <v>372</v>
      </c>
      <c r="D740" t="s">
        <v>395</v>
      </c>
      <c r="E740" t="s">
        <v>394</v>
      </c>
      <c r="F740" s="226" t="s">
        <v>396</v>
      </c>
      <c r="G740" t="str">
        <f>_xlfn.XLOOKUP(FMECA[[#This Row],[HazardRisk_name]],categories[HazardRisk_Name],categories[HazardRisk])</f>
        <v>Risk</v>
      </c>
      <c r="H740" t="str">
        <f>_xlfn.XLOOKUP(FMECA[[#This Row],[HazardRisk_name]],categories[HazardRisk_Name],categories[Category])</f>
        <v>Navigational</v>
      </c>
      <c r="I740" t="s">
        <v>474</v>
      </c>
      <c r="J740" s="10">
        <v>2</v>
      </c>
      <c r="K740" t="s">
        <v>1607</v>
      </c>
      <c r="L740" s="10">
        <v>5</v>
      </c>
      <c r="M740" t="s">
        <v>1607</v>
      </c>
      <c r="N740" s="10">
        <f>FMECA[[#This Row],[probability_value]]*FMECA[[#This Row],[consequence_value]]</f>
        <v>10</v>
      </c>
      <c r="O74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40" s="10" t="s">
        <v>770</v>
      </c>
      <c r="Q740" t="s">
        <v>1162</v>
      </c>
      <c r="R740" t="s">
        <v>780</v>
      </c>
      <c r="S740" t="s">
        <v>1608</v>
      </c>
      <c r="T740" t="s">
        <v>793</v>
      </c>
      <c r="V740" t="s">
        <v>1306</v>
      </c>
      <c r="X740" t="s">
        <v>1306</v>
      </c>
      <c r="AA740" t="s">
        <v>1162</v>
      </c>
    </row>
    <row r="741" spans="1:27" x14ac:dyDescent="0.2">
      <c r="A741" s="225" t="s">
        <v>321</v>
      </c>
      <c r="B741" t="s">
        <v>303</v>
      </c>
      <c r="C741" t="s">
        <v>73</v>
      </c>
      <c r="D741" t="s">
        <v>133</v>
      </c>
      <c r="E741" t="s">
        <v>2743</v>
      </c>
      <c r="F741" s="226" t="s">
        <v>1538</v>
      </c>
      <c r="G741" t="str">
        <f>_xlfn.XLOOKUP(FMECA[[#This Row],[HazardRisk_name]],categories[HazardRisk_Name],categories[HazardRisk])</f>
        <v>Risk</v>
      </c>
      <c r="H741" t="str">
        <f>_xlfn.XLOOKUP(FMECA[[#This Row],[HazardRisk_name]],categories[HazardRisk_Name],categories[Category])</f>
        <v>Pollutants</v>
      </c>
      <c r="I741" t="s">
        <v>547</v>
      </c>
      <c r="J741" s="10">
        <v>5</v>
      </c>
      <c r="K741" t="s">
        <v>1540</v>
      </c>
      <c r="L741" s="10">
        <v>10</v>
      </c>
      <c r="M741" t="s">
        <v>1540</v>
      </c>
      <c r="N741" s="10">
        <f>FMECA[[#This Row],[probability_value]]*FMECA[[#This Row],[consequence_value]]</f>
        <v>50</v>
      </c>
      <c r="O741"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741" s="10" t="s">
        <v>770</v>
      </c>
      <c r="Q741" t="s">
        <v>1132</v>
      </c>
      <c r="R741" t="s">
        <v>780</v>
      </c>
      <c r="S741" t="s">
        <v>1539</v>
      </c>
      <c r="T741" t="s">
        <v>793</v>
      </c>
      <c r="V741" t="s">
        <v>1306</v>
      </c>
      <c r="X741" t="s">
        <v>1306</v>
      </c>
      <c r="Y741" t="s">
        <v>1153</v>
      </c>
      <c r="Z741" t="s">
        <v>1537</v>
      </c>
      <c r="AA741" t="s">
        <v>793</v>
      </c>
    </row>
    <row r="742" spans="1:27" x14ac:dyDescent="0.2">
      <c r="A742" s="225" t="s">
        <v>321</v>
      </c>
      <c r="B742" t="s">
        <v>303</v>
      </c>
      <c r="C742" t="s">
        <v>73</v>
      </c>
      <c r="D742" t="s">
        <v>133</v>
      </c>
      <c r="E742" t="s">
        <v>2743</v>
      </c>
      <c r="F742" s="226" t="s">
        <v>1538</v>
      </c>
      <c r="G742" t="str">
        <f>_xlfn.XLOOKUP(FMECA[[#This Row],[HazardRisk_name]],categories[HazardRisk_Name],categories[HazardRisk])</f>
        <v>Hazard</v>
      </c>
      <c r="H742" t="str">
        <f>_xlfn.XLOOKUP(FMECA[[#This Row],[HazardRisk_name]],categories[HazardRisk_Name],categories[Category])</f>
        <v>Pollutants</v>
      </c>
      <c r="I742" t="s">
        <v>568</v>
      </c>
      <c r="J742" s="10">
        <v>3</v>
      </c>
      <c r="K742" t="s">
        <v>1541</v>
      </c>
      <c r="L742" s="10">
        <v>10</v>
      </c>
      <c r="M742" t="s">
        <v>1541</v>
      </c>
      <c r="N742" s="10">
        <f>FMECA[[#This Row],[probability_value]]*FMECA[[#This Row],[consequence_value]]</f>
        <v>30</v>
      </c>
      <c r="O742" s="10" t="str">
        <f>IF(AND(FMECA[[#This Row],[Score]]&gt;=0, 9&gt;=FMECA[[#This Row],[Score]]), "UNDETECTABLE", IF(AND(FMECA[[#This Row],[Score]]&gt;=10, 24&gt;=FMECA[[#This Row],[Score]]), "MODERATE", IF(AND(FMECA[[#This Row],[Score]]&gt;=25, 35&gt;=FMECA[[#This Row],[Score]]), "HIGH", IF(AND(FMECA[[#This Row],[Score]]&gt;=36, 50&gt;=FMECA[[#This Row],[Score]]), "VERY HIGH", "Check Formula"))))</f>
        <v>HIGH</v>
      </c>
      <c r="P742" s="10" t="s">
        <v>770</v>
      </c>
      <c r="Q742" t="s">
        <v>1132</v>
      </c>
      <c r="R742" t="s">
        <v>780</v>
      </c>
      <c r="S742" t="s">
        <v>1539</v>
      </c>
      <c r="T742" t="s">
        <v>793</v>
      </c>
      <c r="V742" t="s">
        <v>1306</v>
      </c>
      <c r="X742" t="s">
        <v>1306</v>
      </c>
      <c r="Y742" t="s">
        <v>1153</v>
      </c>
      <c r="Z742" t="s">
        <v>1537</v>
      </c>
      <c r="AA742" t="s">
        <v>793</v>
      </c>
    </row>
    <row r="743" spans="1:27" x14ac:dyDescent="0.2">
      <c r="A743" s="225" t="s">
        <v>321</v>
      </c>
      <c r="B743" t="s">
        <v>303</v>
      </c>
      <c r="C743" t="s">
        <v>73</v>
      </c>
      <c r="D743" t="s">
        <v>133</v>
      </c>
      <c r="E743" t="s">
        <v>2743</v>
      </c>
      <c r="F743" s="226" t="s">
        <v>1538</v>
      </c>
      <c r="G743" t="str">
        <f>_xlfn.XLOOKUP(FMECA[[#This Row],[HazardRisk_name]],categories[HazardRisk_Name],categories[HazardRisk])</f>
        <v>Hazard</v>
      </c>
      <c r="H743" t="str">
        <f>_xlfn.XLOOKUP(FMECA[[#This Row],[HazardRisk_name]],categories[HazardRisk_Name],categories[Category])</f>
        <v>Pollutants</v>
      </c>
      <c r="I743" t="s">
        <v>636</v>
      </c>
      <c r="J743" s="10">
        <v>5</v>
      </c>
      <c r="K743" t="s">
        <v>1542</v>
      </c>
      <c r="L743" s="10">
        <v>10</v>
      </c>
      <c r="M743" t="s">
        <v>1542</v>
      </c>
      <c r="N743" s="10">
        <f>FMECA[[#This Row],[probability_value]]*FMECA[[#This Row],[consequence_value]]</f>
        <v>50</v>
      </c>
      <c r="O743"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743" s="10" t="s">
        <v>770</v>
      </c>
      <c r="Q743" t="s">
        <v>1132</v>
      </c>
      <c r="R743" t="s">
        <v>780</v>
      </c>
      <c r="S743" t="s">
        <v>1539</v>
      </c>
      <c r="T743" t="s">
        <v>793</v>
      </c>
      <c r="V743" t="s">
        <v>1306</v>
      </c>
      <c r="X743" t="s">
        <v>1306</v>
      </c>
      <c r="Y743" t="s">
        <v>1153</v>
      </c>
      <c r="Z743" t="s">
        <v>1537</v>
      </c>
      <c r="AA743" t="s">
        <v>793</v>
      </c>
    </row>
    <row r="744" spans="1:27" x14ac:dyDescent="0.2">
      <c r="A744" s="225" t="s">
        <v>321</v>
      </c>
      <c r="B744" t="s">
        <v>303</v>
      </c>
      <c r="C744" t="s">
        <v>73</v>
      </c>
      <c r="D744" t="s">
        <v>133</v>
      </c>
      <c r="E744" t="s">
        <v>2743</v>
      </c>
      <c r="F744" s="226" t="s">
        <v>1538</v>
      </c>
      <c r="G744" t="str">
        <f>_xlfn.XLOOKUP(FMECA[[#This Row],[HazardRisk_name]],categories[HazardRisk_Name],categories[HazardRisk])</f>
        <v>Hazard</v>
      </c>
      <c r="H744" t="str">
        <f>_xlfn.XLOOKUP(FMECA[[#This Row],[HazardRisk_name]],categories[HazardRisk_Name],categories[Category])</f>
        <v>Operational</v>
      </c>
      <c r="I744" t="s">
        <v>1533</v>
      </c>
      <c r="J744" s="10">
        <v>3</v>
      </c>
      <c r="K744" t="s">
        <v>1543</v>
      </c>
      <c r="L744" s="10">
        <v>7</v>
      </c>
      <c r="M744" t="s">
        <v>1543</v>
      </c>
      <c r="N744" s="10">
        <f>FMECA[[#This Row],[probability_value]]*FMECA[[#This Row],[consequence_value]]</f>
        <v>21</v>
      </c>
      <c r="O74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44" s="10" t="s">
        <v>770</v>
      </c>
      <c r="Q744" t="s">
        <v>1132</v>
      </c>
      <c r="R744" t="s">
        <v>780</v>
      </c>
      <c r="S744" t="s">
        <v>1539</v>
      </c>
      <c r="T744" t="s">
        <v>793</v>
      </c>
      <c r="V744" t="s">
        <v>1306</v>
      </c>
      <c r="X744" t="s">
        <v>1306</v>
      </c>
      <c r="Y744" t="s">
        <v>1153</v>
      </c>
      <c r="Z744" t="s">
        <v>1537</v>
      </c>
      <c r="AA744" t="s">
        <v>793</v>
      </c>
    </row>
    <row r="745" spans="1:27" x14ac:dyDescent="0.2">
      <c r="A745" s="225" t="s">
        <v>321</v>
      </c>
      <c r="B745" t="s">
        <v>303</v>
      </c>
      <c r="C745" t="s">
        <v>73</v>
      </c>
      <c r="D745" t="s">
        <v>133</v>
      </c>
      <c r="E745" t="s">
        <v>2743</v>
      </c>
      <c r="F745" s="226" t="s">
        <v>1538</v>
      </c>
      <c r="G745" t="str">
        <f>_xlfn.XLOOKUP(FMECA[[#This Row],[HazardRisk_name]],categories[HazardRisk_Name],categories[HazardRisk])</f>
        <v>Risk</v>
      </c>
      <c r="H745" t="str">
        <f>_xlfn.XLOOKUP(FMECA[[#This Row],[HazardRisk_name]],categories[HazardRisk_Name],categories[Category])</f>
        <v>Navigational</v>
      </c>
      <c r="I745" t="s">
        <v>635</v>
      </c>
      <c r="J745" s="10">
        <v>5</v>
      </c>
      <c r="K745" t="s">
        <v>1540</v>
      </c>
      <c r="L745" s="10">
        <v>4</v>
      </c>
      <c r="M745" t="s">
        <v>1540</v>
      </c>
      <c r="N745" s="10">
        <f>FMECA[[#This Row],[probability_value]]*FMECA[[#This Row],[consequence_value]]</f>
        <v>20</v>
      </c>
      <c r="O74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45" s="10" t="s">
        <v>770</v>
      </c>
      <c r="Q745" t="s">
        <v>1132</v>
      </c>
      <c r="R745" t="s">
        <v>780</v>
      </c>
      <c r="S745" t="s">
        <v>1539</v>
      </c>
      <c r="T745" t="s">
        <v>793</v>
      </c>
      <c r="V745" t="s">
        <v>1306</v>
      </c>
      <c r="X745" t="s">
        <v>1306</v>
      </c>
      <c r="AA745" t="s">
        <v>1162</v>
      </c>
    </row>
    <row r="746" spans="1:27" x14ac:dyDescent="0.2">
      <c r="A746" s="225" t="s">
        <v>321</v>
      </c>
      <c r="B746" t="s">
        <v>303</v>
      </c>
      <c r="C746" t="s">
        <v>73</v>
      </c>
      <c r="D746" t="s">
        <v>133</v>
      </c>
      <c r="E746" t="s">
        <v>2743</v>
      </c>
      <c r="F746" s="226" t="s">
        <v>1538</v>
      </c>
      <c r="G746" t="str">
        <f>_xlfn.XLOOKUP(FMECA[[#This Row],[HazardRisk_name]],categories[HazardRisk_Name],categories[HazardRisk])</f>
        <v>Hazard</v>
      </c>
      <c r="H746" t="str">
        <f>_xlfn.XLOOKUP(FMECA[[#This Row],[HazardRisk_name]],categories[HazardRisk_Name],categories[Category])</f>
        <v>Pollutants</v>
      </c>
      <c r="I746" t="s">
        <v>630</v>
      </c>
      <c r="J746" s="10">
        <v>5</v>
      </c>
      <c r="K746" t="s">
        <v>1540</v>
      </c>
      <c r="L746" s="10">
        <v>10</v>
      </c>
      <c r="M746" t="s">
        <v>1540</v>
      </c>
      <c r="N746" s="10">
        <f>FMECA[[#This Row],[probability_value]]*FMECA[[#This Row],[consequence_value]]</f>
        <v>50</v>
      </c>
      <c r="O746"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746" s="10" t="s">
        <v>770</v>
      </c>
      <c r="Q746" t="s">
        <v>1132</v>
      </c>
      <c r="R746" t="s">
        <v>780</v>
      </c>
      <c r="S746" t="s">
        <v>1539</v>
      </c>
      <c r="T746" t="s">
        <v>793</v>
      </c>
      <c r="V746" t="s">
        <v>1306</v>
      </c>
      <c r="X746" t="s">
        <v>1306</v>
      </c>
      <c r="Y746" t="s">
        <v>1153</v>
      </c>
      <c r="Z746" t="s">
        <v>1537</v>
      </c>
      <c r="AA746" t="s">
        <v>793</v>
      </c>
    </row>
    <row r="747" spans="1:27" x14ac:dyDescent="0.2">
      <c r="A747" s="225" t="s">
        <v>322</v>
      </c>
      <c r="B747" t="s">
        <v>303</v>
      </c>
      <c r="C747" t="s">
        <v>372</v>
      </c>
      <c r="D747" t="s">
        <v>399</v>
      </c>
      <c r="E747" t="s">
        <v>397</v>
      </c>
      <c r="F747" s="226" t="s">
        <v>398</v>
      </c>
      <c r="G747" t="str">
        <f>_xlfn.XLOOKUP(FMECA[[#This Row],[HazardRisk_name]],categories[HazardRisk_Name],categories[HazardRisk])</f>
        <v>Hazard</v>
      </c>
      <c r="H747" t="str">
        <f>_xlfn.XLOOKUP(FMECA[[#This Row],[HazardRisk_name]],categories[HazardRisk_Name],categories[Category])</f>
        <v>Social</v>
      </c>
      <c r="I747" t="s">
        <v>645</v>
      </c>
      <c r="J747" s="10">
        <v>4</v>
      </c>
      <c r="K747" t="s">
        <v>1575</v>
      </c>
      <c r="L747" s="10">
        <v>4</v>
      </c>
      <c r="M747" t="s">
        <v>1575</v>
      </c>
      <c r="N747" s="10">
        <f>FMECA[[#This Row],[probability_value]]*FMECA[[#This Row],[consequence_value]]</f>
        <v>16</v>
      </c>
      <c r="O74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47" s="10" t="s">
        <v>767</v>
      </c>
      <c r="Q747" t="s">
        <v>1132</v>
      </c>
      <c r="R747" t="s">
        <v>771</v>
      </c>
      <c r="S747" t="s">
        <v>1576</v>
      </c>
      <c r="T747" t="s">
        <v>793</v>
      </c>
      <c r="U747" t="s">
        <v>1577</v>
      </c>
      <c r="V747" t="s">
        <v>466</v>
      </c>
      <c r="W747" t="s">
        <v>1578</v>
      </c>
      <c r="X747" t="s">
        <v>470</v>
      </c>
      <c r="Y747" t="s">
        <v>1153</v>
      </c>
      <c r="Z747" t="s">
        <v>1579</v>
      </c>
      <c r="AA747" t="s">
        <v>1132</v>
      </c>
    </row>
    <row r="748" spans="1:27" x14ac:dyDescent="0.2">
      <c r="A748" s="225" t="s">
        <v>322</v>
      </c>
      <c r="B748" t="s">
        <v>303</v>
      </c>
      <c r="C748" t="s">
        <v>372</v>
      </c>
      <c r="D748" t="s">
        <v>399</v>
      </c>
      <c r="E748" t="s">
        <v>397</v>
      </c>
      <c r="F748" s="226" t="s">
        <v>398</v>
      </c>
      <c r="G748" t="str">
        <f>_xlfn.XLOOKUP(FMECA[[#This Row],[HazardRisk_name]],categories[HazardRisk_Name],categories[HazardRisk])</f>
        <v>Risk</v>
      </c>
      <c r="H748" t="str">
        <f>_xlfn.XLOOKUP(FMECA[[#This Row],[HazardRisk_name]],categories[HazardRisk_Name],categories[Category])</f>
        <v>Community</v>
      </c>
      <c r="I748" t="s">
        <v>1584</v>
      </c>
      <c r="J748" s="10">
        <v>4</v>
      </c>
      <c r="K748" t="s">
        <v>1603</v>
      </c>
      <c r="L748" s="10">
        <v>4</v>
      </c>
      <c r="M748" t="s">
        <v>1603</v>
      </c>
      <c r="N748" s="10">
        <f>FMECA[[#This Row],[probability_value]]*FMECA[[#This Row],[consequence_value]]</f>
        <v>16</v>
      </c>
      <c r="O74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48" s="10" t="s">
        <v>767</v>
      </c>
      <c r="Q748" t="s">
        <v>1132</v>
      </c>
      <c r="R748" t="s">
        <v>771</v>
      </c>
      <c r="S748" t="s">
        <v>1576</v>
      </c>
      <c r="T748" t="s">
        <v>793</v>
      </c>
      <c r="V748" t="s">
        <v>1306</v>
      </c>
      <c r="X748" t="s">
        <v>1306</v>
      </c>
      <c r="AA748" t="s">
        <v>1162</v>
      </c>
    </row>
    <row r="749" spans="1:27" x14ac:dyDescent="0.2">
      <c r="A749" s="225" t="s">
        <v>322</v>
      </c>
      <c r="B749" t="s">
        <v>303</v>
      </c>
      <c r="C749" t="s">
        <v>372</v>
      </c>
      <c r="D749" t="s">
        <v>399</v>
      </c>
      <c r="E749" t="s">
        <v>397</v>
      </c>
      <c r="F749" s="226" t="s">
        <v>398</v>
      </c>
      <c r="G749" t="str">
        <f>_xlfn.XLOOKUP(FMECA[[#This Row],[HazardRisk_name]],categories[HazardRisk_Name],categories[HazardRisk])</f>
        <v>Risk</v>
      </c>
      <c r="H749" t="str">
        <f>_xlfn.XLOOKUP(FMECA[[#This Row],[HazardRisk_name]],categories[HazardRisk_Name],categories[Category])</f>
        <v>Political</v>
      </c>
      <c r="I749" t="s">
        <v>622</v>
      </c>
      <c r="J749" s="10">
        <v>5</v>
      </c>
      <c r="K749" t="s">
        <v>1580</v>
      </c>
      <c r="L749" s="10">
        <v>4</v>
      </c>
      <c r="M749" t="s">
        <v>1580</v>
      </c>
      <c r="N749" s="10">
        <f>FMECA[[#This Row],[probability_value]]*FMECA[[#This Row],[consequence_value]]</f>
        <v>20</v>
      </c>
      <c r="O74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49" s="10" t="s">
        <v>767</v>
      </c>
      <c r="Q749" t="s">
        <v>1132</v>
      </c>
      <c r="R749" t="s">
        <v>771</v>
      </c>
      <c r="S749" t="s">
        <v>1576</v>
      </c>
      <c r="T749" t="s">
        <v>793</v>
      </c>
      <c r="U749" t="s">
        <v>1582</v>
      </c>
      <c r="V749" t="s">
        <v>470</v>
      </c>
      <c r="W749" t="s">
        <v>1581</v>
      </c>
      <c r="X749" t="s">
        <v>466</v>
      </c>
      <c r="Y749" t="s">
        <v>1153</v>
      </c>
      <c r="Z749" t="s">
        <v>1583</v>
      </c>
      <c r="AA749" t="s">
        <v>1132</v>
      </c>
    </row>
    <row r="750" spans="1:27" x14ac:dyDescent="0.2">
      <c r="A750" s="225" t="s">
        <v>322</v>
      </c>
      <c r="B750" t="s">
        <v>303</v>
      </c>
      <c r="C750" t="s">
        <v>372</v>
      </c>
      <c r="D750" t="s">
        <v>399</v>
      </c>
      <c r="E750" t="s">
        <v>397</v>
      </c>
      <c r="F750" s="226" t="s">
        <v>398</v>
      </c>
      <c r="G750" t="str">
        <f>_xlfn.XLOOKUP(FMECA[[#This Row],[HazardRisk_name]],categories[HazardRisk_Name],categories[HazardRisk])</f>
        <v>Risk</v>
      </c>
      <c r="H750" t="str">
        <f>_xlfn.XLOOKUP(FMECA[[#This Row],[HazardRisk_name]],categories[HazardRisk_Name],categories[Category])</f>
        <v>Community</v>
      </c>
      <c r="I750" t="s">
        <v>678</v>
      </c>
      <c r="J750" s="10">
        <v>5</v>
      </c>
      <c r="K750" t="s">
        <v>1599</v>
      </c>
      <c r="L750" s="10">
        <v>7</v>
      </c>
      <c r="M750" t="s">
        <v>1599</v>
      </c>
      <c r="N750" s="10">
        <f>FMECA[[#This Row],[probability_value]]*FMECA[[#This Row],[consequence_value]]</f>
        <v>35</v>
      </c>
      <c r="O750" s="10" t="str">
        <f>IF(AND(FMECA[[#This Row],[Score]]&gt;=0, 9&gt;=FMECA[[#This Row],[Score]]), "UNDETECTABLE", IF(AND(FMECA[[#This Row],[Score]]&gt;=10, 24&gt;=FMECA[[#This Row],[Score]]), "MODERATE", IF(AND(FMECA[[#This Row],[Score]]&gt;=25, 35&gt;=FMECA[[#This Row],[Score]]), "HIGH", IF(AND(FMECA[[#This Row],[Score]]&gt;=36, 50&gt;=FMECA[[#This Row],[Score]]), "VERY HIGH", "Check Formula"))))</f>
        <v>HIGH</v>
      </c>
      <c r="P750" s="10" t="s">
        <v>767</v>
      </c>
      <c r="Q750" t="s">
        <v>1132</v>
      </c>
      <c r="R750" t="s">
        <v>771</v>
      </c>
      <c r="S750" t="s">
        <v>1576</v>
      </c>
      <c r="T750" t="s">
        <v>793</v>
      </c>
      <c r="U750" t="s">
        <v>1601</v>
      </c>
      <c r="V750" t="s">
        <v>466</v>
      </c>
      <c r="W750" t="s">
        <v>1602</v>
      </c>
      <c r="X750" t="s">
        <v>466</v>
      </c>
      <c r="Y750" t="s">
        <v>1153</v>
      </c>
      <c r="Z750" t="s">
        <v>1600</v>
      </c>
      <c r="AA750" t="s">
        <v>1132</v>
      </c>
    </row>
    <row r="751" spans="1:27" x14ac:dyDescent="0.2">
      <c r="A751" s="225" t="s">
        <v>322</v>
      </c>
      <c r="B751" t="s">
        <v>303</v>
      </c>
      <c r="C751" t="s">
        <v>372</v>
      </c>
      <c r="D751" t="s">
        <v>399</v>
      </c>
      <c r="E751" t="s">
        <v>397</v>
      </c>
      <c r="F751" s="226" t="s">
        <v>398</v>
      </c>
      <c r="G751" t="str">
        <f>_xlfn.XLOOKUP(FMECA[[#This Row],[HazardRisk_name]],categories[HazardRisk_Name],categories[HazardRisk])</f>
        <v>Risk</v>
      </c>
      <c r="H751" t="str">
        <f>_xlfn.XLOOKUP(FMECA[[#This Row],[HazardRisk_name]],categories[HazardRisk_Name],categories[Category])</f>
        <v>Political</v>
      </c>
      <c r="I751" t="s">
        <v>476</v>
      </c>
      <c r="J751" s="10">
        <v>5</v>
      </c>
      <c r="K751" t="s">
        <v>1592</v>
      </c>
      <c r="L751" s="10">
        <v>4</v>
      </c>
      <c r="M751" t="s">
        <v>1592</v>
      </c>
      <c r="N751" s="10">
        <f>FMECA[[#This Row],[probability_value]]*FMECA[[#This Row],[consequence_value]]</f>
        <v>20</v>
      </c>
      <c r="O75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51" s="10" t="s">
        <v>767</v>
      </c>
      <c r="Q751" t="s">
        <v>1132</v>
      </c>
      <c r="R751" t="s">
        <v>771</v>
      </c>
      <c r="S751" t="s">
        <v>1576</v>
      </c>
      <c r="T751" t="s">
        <v>793</v>
      </c>
      <c r="U751" t="s">
        <v>1594</v>
      </c>
      <c r="V751" t="s">
        <v>470</v>
      </c>
      <c r="W751" t="s">
        <v>1593</v>
      </c>
      <c r="X751" t="s">
        <v>466</v>
      </c>
      <c r="AA751" t="s">
        <v>1162</v>
      </c>
    </row>
    <row r="752" spans="1:27" x14ac:dyDescent="0.2">
      <c r="A752" s="225" t="s">
        <v>322</v>
      </c>
      <c r="B752" t="s">
        <v>303</v>
      </c>
      <c r="C752" t="s">
        <v>372</v>
      </c>
      <c r="D752" t="s">
        <v>399</v>
      </c>
      <c r="E752" t="s">
        <v>397</v>
      </c>
      <c r="F752" s="226" t="s">
        <v>398</v>
      </c>
      <c r="G752" t="str">
        <f>_xlfn.XLOOKUP(FMECA[[#This Row],[HazardRisk_name]],categories[HazardRisk_Name],categories[HazardRisk])</f>
        <v>Risk</v>
      </c>
      <c r="H752" t="str">
        <f>_xlfn.XLOOKUP(FMECA[[#This Row],[HazardRisk_name]],categories[HazardRisk_Name],categories[Category])</f>
        <v>Political</v>
      </c>
      <c r="I752" t="s">
        <v>629</v>
      </c>
      <c r="J752" s="10">
        <v>5</v>
      </c>
      <c r="K752" t="s">
        <v>1588</v>
      </c>
      <c r="L752" s="10">
        <v>4</v>
      </c>
      <c r="M752" t="s">
        <v>1588</v>
      </c>
      <c r="N752" s="10">
        <f>FMECA[[#This Row],[probability_value]]*FMECA[[#This Row],[consequence_value]]</f>
        <v>20</v>
      </c>
      <c r="O75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52" s="10" t="s">
        <v>767</v>
      </c>
      <c r="Q752" t="s">
        <v>1132</v>
      </c>
      <c r="R752" t="s">
        <v>771</v>
      </c>
      <c r="S752" t="s">
        <v>1576</v>
      </c>
      <c r="T752" t="s">
        <v>793</v>
      </c>
      <c r="U752" t="s">
        <v>1589</v>
      </c>
      <c r="V752" t="s">
        <v>470</v>
      </c>
      <c r="W752" t="s">
        <v>1590</v>
      </c>
      <c r="X752" t="s">
        <v>470</v>
      </c>
      <c r="Y752" t="s">
        <v>1153</v>
      </c>
      <c r="Z752" t="s">
        <v>1591</v>
      </c>
      <c r="AA752" t="s">
        <v>1132</v>
      </c>
    </row>
    <row r="753" spans="1:27" x14ac:dyDescent="0.2">
      <c r="A753" s="225" t="s">
        <v>322</v>
      </c>
      <c r="B753" t="s">
        <v>303</v>
      </c>
      <c r="C753" t="s">
        <v>372</v>
      </c>
      <c r="D753" t="s">
        <v>399</v>
      </c>
      <c r="E753" t="s">
        <v>397</v>
      </c>
      <c r="F753" s="226" t="s">
        <v>398</v>
      </c>
      <c r="G753" t="str">
        <f>_xlfn.XLOOKUP(FMECA[[#This Row],[HazardRisk_name]],categories[HazardRisk_Name],categories[HazardRisk])</f>
        <v>Risk</v>
      </c>
      <c r="H753" t="str">
        <f>_xlfn.XLOOKUP(FMECA[[#This Row],[HazardRisk_name]],categories[HazardRisk_Name],categories[Category])</f>
        <v>Operational</v>
      </c>
      <c r="I753" t="s">
        <v>725</v>
      </c>
      <c r="J753" s="10">
        <v>3</v>
      </c>
      <c r="K753" t="s">
        <v>1595</v>
      </c>
      <c r="L753" s="10">
        <v>7</v>
      </c>
      <c r="M753" t="s">
        <v>1595</v>
      </c>
      <c r="N753" s="10">
        <f>FMECA[[#This Row],[probability_value]]*FMECA[[#This Row],[consequence_value]]</f>
        <v>21</v>
      </c>
      <c r="O75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53" s="10" t="s">
        <v>767</v>
      </c>
      <c r="Q753" t="s">
        <v>1132</v>
      </c>
      <c r="R753" t="s">
        <v>771</v>
      </c>
      <c r="S753" t="s">
        <v>1576</v>
      </c>
      <c r="T753" t="s">
        <v>793</v>
      </c>
      <c r="U753" t="s">
        <v>1596</v>
      </c>
      <c r="V753" t="s">
        <v>470</v>
      </c>
      <c r="W753" t="s">
        <v>1597</v>
      </c>
      <c r="X753" t="s">
        <v>470</v>
      </c>
      <c r="Y753" t="s">
        <v>1245</v>
      </c>
      <c r="Z753" t="s">
        <v>1598</v>
      </c>
      <c r="AA753" t="s">
        <v>1132</v>
      </c>
    </row>
    <row r="754" spans="1:27" x14ac:dyDescent="0.2">
      <c r="A754" s="225" t="s">
        <v>322</v>
      </c>
      <c r="B754" t="s">
        <v>303</v>
      </c>
      <c r="C754" t="s">
        <v>372</v>
      </c>
      <c r="D754" t="s">
        <v>399</v>
      </c>
      <c r="E754" t="s">
        <v>397</v>
      </c>
      <c r="F754" s="226" t="s">
        <v>398</v>
      </c>
      <c r="G754" t="str">
        <f>_xlfn.XLOOKUP(FMECA[[#This Row],[HazardRisk_name]],categories[HazardRisk_Name],categories[HazardRisk])</f>
        <v>Risk</v>
      </c>
      <c r="H754" t="str">
        <f>_xlfn.XLOOKUP(FMECA[[#This Row],[HazardRisk_name]],categories[HazardRisk_Name],categories[Category])</f>
        <v>Environmental</v>
      </c>
      <c r="I754" t="s">
        <v>726</v>
      </c>
      <c r="J754" s="10">
        <v>5</v>
      </c>
      <c r="K754" t="s">
        <v>1599</v>
      </c>
      <c r="L754" s="10">
        <v>4</v>
      </c>
      <c r="M754" t="s">
        <v>1599</v>
      </c>
      <c r="N754" s="10">
        <f>FMECA[[#This Row],[probability_value]]*FMECA[[#This Row],[consequence_value]]</f>
        <v>20</v>
      </c>
      <c r="O75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54" s="10" t="s">
        <v>767</v>
      </c>
      <c r="Q754" t="s">
        <v>1132</v>
      </c>
      <c r="R754" t="s">
        <v>771</v>
      </c>
      <c r="S754" t="s">
        <v>1576</v>
      </c>
      <c r="T754" t="s">
        <v>793</v>
      </c>
      <c r="U754" t="s">
        <v>1601</v>
      </c>
      <c r="V754" t="s">
        <v>466</v>
      </c>
      <c r="W754" t="s">
        <v>1602</v>
      </c>
      <c r="X754" t="s">
        <v>466</v>
      </c>
      <c r="Y754" t="s">
        <v>1153</v>
      </c>
      <c r="Z754" t="s">
        <v>1600</v>
      </c>
      <c r="AA754" t="s">
        <v>1132</v>
      </c>
    </row>
    <row r="755" spans="1:27" x14ac:dyDescent="0.2">
      <c r="A755" s="225" t="s">
        <v>322</v>
      </c>
      <c r="B755" t="s">
        <v>303</v>
      </c>
      <c r="C755" t="s">
        <v>372</v>
      </c>
      <c r="D755" t="s">
        <v>399</v>
      </c>
      <c r="E755" t="s">
        <v>397</v>
      </c>
      <c r="F755" s="226" t="s">
        <v>398</v>
      </c>
      <c r="G755" t="str">
        <f>_xlfn.XLOOKUP(FMECA[[#This Row],[HazardRisk_name]],categories[HazardRisk_Name],categories[HazardRisk])</f>
        <v>Risk</v>
      </c>
      <c r="H755" t="str">
        <f>_xlfn.XLOOKUP(FMECA[[#This Row],[HazardRisk_name]],categories[HazardRisk_Name],categories[Category])</f>
        <v>Navigational</v>
      </c>
      <c r="I755" t="s">
        <v>703</v>
      </c>
      <c r="J755" s="10">
        <v>2</v>
      </c>
      <c r="K755" t="s">
        <v>1604</v>
      </c>
      <c r="L755" s="10">
        <v>7</v>
      </c>
      <c r="M755" t="s">
        <v>1604</v>
      </c>
      <c r="N755" s="10">
        <f>FMECA[[#This Row],[probability_value]]*FMECA[[#This Row],[consequence_value]]</f>
        <v>14</v>
      </c>
      <c r="O75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55" s="10" t="s">
        <v>767</v>
      </c>
      <c r="Q755" t="s">
        <v>1132</v>
      </c>
      <c r="R755" t="s">
        <v>771</v>
      </c>
      <c r="S755" t="s">
        <v>1576</v>
      </c>
      <c r="T755" t="s">
        <v>793</v>
      </c>
      <c r="U755" t="s">
        <v>1605</v>
      </c>
      <c r="V755" t="s">
        <v>466</v>
      </c>
      <c r="W755" t="s">
        <v>1606</v>
      </c>
    </row>
    <row r="756" spans="1:27" x14ac:dyDescent="0.2">
      <c r="A756" s="225" t="s">
        <v>322</v>
      </c>
      <c r="B756" t="s">
        <v>303</v>
      </c>
      <c r="C756" t="s">
        <v>372</v>
      </c>
      <c r="D756" t="s">
        <v>399</v>
      </c>
      <c r="E756" t="s">
        <v>397</v>
      </c>
      <c r="F756" s="226" t="s">
        <v>398</v>
      </c>
      <c r="G756" t="str">
        <f>_xlfn.XLOOKUP(FMECA[[#This Row],[HazardRisk_name]],categories[HazardRisk_Name],categories[HazardRisk])</f>
        <v>Risk</v>
      </c>
      <c r="H756" t="str">
        <f>_xlfn.XLOOKUP(FMECA[[#This Row],[HazardRisk_name]],categories[HazardRisk_Name],categories[Category])</f>
        <v>Community</v>
      </c>
      <c r="I756" t="s">
        <v>562</v>
      </c>
      <c r="J756" s="10">
        <v>5</v>
      </c>
      <c r="K756" t="s">
        <v>1599</v>
      </c>
      <c r="L756" s="10">
        <v>7</v>
      </c>
      <c r="M756" t="s">
        <v>1599</v>
      </c>
      <c r="N756" s="10">
        <f>FMECA[[#This Row],[probability_value]]*FMECA[[#This Row],[consequence_value]]</f>
        <v>35</v>
      </c>
      <c r="O756" s="10" t="str">
        <f>IF(AND(FMECA[[#This Row],[Score]]&gt;=0, 9&gt;=FMECA[[#This Row],[Score]]), "UNDETECTABLE", IF(AND(FMECA[[#This Row],[Score]]&gt;=10, 24&gt;=FMECA[[#This Row],[Score]]), "MODERATE", IF(AND(FMECA[[#This Row],[Score]]&gt;=25, 35&gt;=FMECA[[#This Row],[Score]]), "HIGH", IF(AND(FMECA[[#This Row],[Score]]&gt;=36, 50&gt;=FMECA[[#This Row],[Score]]), "VERY HIGH", "Check Formula"))))</f>
        <v>HIGH</v>
      </c>
      <c r="P756" s="10" t="s">
        <v>767</v>
      </c>
      <c r="Q756" t="s">
        <v>1132</v>
      </c>
      <c r="R756" t="s">
        <v>771</v>
      </c>
      <c r="S756" t="s">
        <v>1576</v>
      </c>
      <c r="T756" t="s">
        <v>793</v>
      </c>
      <c r="U756" t="s">
        <v>1601</v>
      </c>
      <c r="V756" t="s">
        <v>470</v>
      </c>
      <c r="W756" t="s">
        <v>1602</v>
      </c>
      <c r="X756" t="s">
        <v>470</v>
      </c>
      <c r="Y756" t="s">
        <v>1153</v>
      </c>
      <c r="Z756" t="s">
        <v>1600</v>
      </c>
      <c r="AA756" t="s">
        <v>1132</v>
      </c>
    </row>
    <row r="757" spans="1:27" x14ac:dyDescent="0.2">
      <c r="A757" s="225" t="s">
        <v>322</v>
      </c>
      <c r="B757" t="s">
        <v>303</v>
      </c>
      <c r="C757" t="s">
        <v>372</v>
      </c>
      <c r="D757" t="s">
        <v>399</v>
      </c>
      <c r="E757" t="s">
        <v>397</v>
      </c>
      <c r="F757" s="226" t="s">
        <v>398</v>
      </c>
      <c r="G757" t="str">
        <f>_xlfn.XLOOKUP(FMECA[[#This Row],[HazardRisk_name]],categories[HazardRisk_Name],categories[HazardRisk])</f>
        <v>Risk</v>
      </c>
      <c r="H757" t="str">
        <f>_xlfn.XLOOKUP(FMECA[[#This Row],[HazardRisk_name]],categories[HazardRisk_Name],categories[Category])</f>
        <v>Assessment</v>
      </c>
      <c r="I757" t="s">
        <v>667</v>
      </c>
      <c r="J757" s="10">
        <v>5</v>
      </c>
      <c r="K757" t="s">
        <v>1595</v>
      </c>
      <c r="L757" s="10">
        <v>7</v>
      </c>
      <c r="M757" t="s">
        <v>1595</v>
      </c>
      <c r="N757" s="10">
        <f>FMECA[[#This Row],[probability_value]]*FMECA[[#This Row],[consequence_value]]</f>
        <v>35</v>
      </c>
      <c r="O757" s="10" t="str">
        <f>IF(AND(FMECA[[#This Row],[Score]]&gt;=0, 9&gt;=FMECA[[#This Row],[Score]]), "UNDETECTABLE", IF(AND(FMECA[[#This Row],[Score]]&gt;=10, 24&gt;=FMECA[[#This Row],[Score]]), "MODERATE", IF(AND(FMECA[[#This Row],[Score]]&gt;=25, 35&gt;=FMECA[[#This Row],[Score]]), "HIGH", IF(AND(FMECA[[#This Row],[Score]]&gt;=36, 50&gt;=FMECA[[#This Row],[Score]]), "VERY HIGH", "Check Formula"))))</f>
        <v>HIGH</v>
      </c>
      <c r="P757" s="10" t="s">
        <v>767</v>
      </c>
      <c r="Q757" t="s">
        <v>1132</v>
      </c>
      <c r="R757" t="s">
        <v>771</v>
      </c>
      <c r="S757" t="s">
        <v>1576</v>
      </c>
      <c r="T757" t="s">
        <v>793</v>
      </c>
      <c r="U757" t="s">
        <v>1596</v>
      </c>
      <c r="V757" t="s">
        <v>470</v>
      </c>
      <c r="W757" t="s">
        <v>1597</v>
      </c>
      <c r="X757" t="s">
        <v>470</v>
      </c>
      <c r="Y757" t="s">
        <v>1245</v>
      </c>
      <c r="Z757" t="s">
        <v>1598</v>
      </c>
      <c r="AA757" t="s">
        <v>1132</v>
      </c>
    </row>
    <row r="758" spans="1:27" x14ac:dyDescent="0.2">
      <c r="A758" s="225" t="s">
        <v>322</v>
      </c>
      <c r="B758" t="s">
        <v>303</v>
      </c>
      <c r="C758" t="s">
        <v>372</v>
      </c>
      <c r="D758" t="s">
        <v>399</v>
      </c>
      <c r="E758" t="s">
        <v>397</v>
      </c>
      <c r="F758" s="226" t="s">
        <v>398</v>
      </c>
      <c r="G758" t="str">
        <f>_xlfn.XLOOKUP(FMECA[[#This Row],[HazardRisk_name]],categories[HazardRisk_Name],categories[HazardRisk])</f>
        <v>Risk</v>
      </c>
      <c r="H758" t="str">
        <f>_xlfn.XLOOKUP(FMECA[[#This Row],[HazardRisk_name]],categories[HazardRisk_Name],categories[Category])</f>
        <v>Social</v>
      </c>
      <c r="I758" t="s">
        <v>555</v>
      </c>
      <c r="J758" s="10">
        <v>4</v>
      </c>
      <c r="K758" t="s">
        <v>1585</v>
      </c>
      <c r="L758" s="10">
        <v>7</v>
      </c>
      <c r="M758" t="s">
        <v>1585</v>
      </c>
      <c r="N758" s="10">
        <f>FMECA[[#This Row],[probability_value]]*FMECA[[#This Row],[consequence_value]]</f>
        <v>28</v>
      </c>
      <c r="O758" s="10" t="str">
        <f>IF(AND(FMECA[[#This Row],[Score]]&gt;=0, 9&gt;=FMECA[[#This Row],[Score]]), "UNDETECTABLE", IF(AND(FMECA[[#This Row],[Score]]&gt;=10, 24&gt;=FMECA[[#This Row],[Score]]), "MODERATE", IF(AND(FMECA[[#This Row],[Score]]&gt;=25, 35&gt;=FMECA[[#This Row],[Score]]), "HIGH", IF(AND(FMECA[[#This Row],[Score]]&gt;=36, 50&gt;=FMECA[[#This Row],[Score]]), "VERY HIGH", "Check Formula"))))</f>
        <v>HIGH</v>
      </c>
      <c r="P758" s="10" t="s">
        <v>767</v>
      </c>
      <c r="Q758" t="s">
        <v>1132</v>
      </c>
      <c r="R758" t="s">
        <v>771</v>
      </c>
      <c r="S758" t="s">
        <v>1576</v>
      </c>
      <c r="T758" t="s">
        <v>793</v>
      </c>
      <c r="U758" t="s">
        <v>1586</v>
      </c>
      <c r="V758" t="s">
        <v>470</v>
      </c>
      <c r="W758" t="s">
        <v>1587</v>
      </c>
      <c r="X758" t="s">
        <v>470</v>
      </c>
      <c r="AA758" t="s">
        <v>1162</v>
      </c>
    </row>
    <row r="759" spans="1:27" x14ac:dyDescent="0.2">
      <c r="A759" s="225" t="s">
        <v>323</v>
      </c>
      <c r="B759" t="s">
        <v>303</v>
      </c>
      <c r="C759" t="s">
        <v>407</v>
      </c>
      <c r="D759" t="s">
        <v>406</v>
      </c>
      <c r="E759" t="s">
        <v>404</v>
      </c>
      <c r="F759" s="226" t="s">
        <v>405</v>
      </c>
      <c r="G759" t="str">
        <f>_xlfn.XLOOKUP(FMECA[[#This Row],[HazardRisk_name]],categories[HazardRisk_Name],categories[HazardRisk])</f>
        <v>Risk</v>
      </c>
      <c r="H759" t="str">
        <f>_xlfn.XLOOKUP(FMECA[[#This Row],[HazardRisk_name]],categories[HazardRisk_Name],categories[Category])</f>
        <v>Pollutants</v>
      </c>
      <c r="I759" t="s">
        <v>547</v>
      </c>
      <c r="J759" s="10">
        <v>3</v>
      </c>
      <c r="K759" t="s">
        <v>1566</v>
      </c>
      <c r="L759" s="10">
        <v>7</v>
      </c>
      <c r="M759" t="s">
        <v>1566</v>
      </c>
      <c r="N759" s="10">
        <f>FMECA[[#This Row],[probability_value]]*FMECA[[#This Row],[consequence_value]]</f>
        <v>21</v>
      </c>
      <c r="O75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59" s="10" t="s">
        <v>770</v>
      </c>
      <c r="Q759" t="s">
        <v>1162</v>
      </c>
      <c r="R759" t="s">
        <v>780</v>
      </c>
      <c r="S759" t="s">
        <v>1561</v>
      </c>
      <c r="U759" t="s">
        <v>1567</v>
      </c>
      <c r="V759" t="s">
        <v>466</v>
      </c>
      <c r="W759" t="s">
        <v>1568</v>
      </c>
      <c r="X759" t="s">
        <v>470</v>
      </c>
      <c r="AA759" t="s">
        <v>1162</v>
      </c>
    </row>
    <row r="760" spans="1:27" x14ac:dyDescent="0.2">
      <c r="A760" s="225" t="s">
        <v>323</v>
      </c>
      <c r="B760" t="s">
        <v>303</v>
      </c>
      <c r="C760" t="s">
        <v>407</v>
      </c>
      <c r="D760" t="s">
        <v>406</v>
      </c>
      <c r="E760" t="s">
        <v>404</v>
      </c>
      <c r="F760" s="226" t="s">
        <v>405</v>
      </c>
      <c r="G760" t="str">
        <f>_xlfn.XLOOKUP(FMECA[[#This Row],[HazardRisk_name]],categories[HazardRisk_Name],categories[HazardRisk])</f>
        <v>Risk</v>
      </c>
      <c r="H760" t="str">
        <f>_xlfn.XLOOKUP(FMECA[[#This Row],[HazardRisk_name]],categories[HazardRisk_Name],categories[Category])</f>
        <v>Pollutants</v>
      </c>
      <c r="I760" t="s">
        <v>640</v>
      </c>
      <c r="J760" s="10">
        <v>4</v>
      </c>
      <c r="K760" t="s">
        <v>1563</v>
      </c>
      <c r="L760" s="10">
        <v>7</v>
      </c>
      <c r="M760" t="s">
        <v>1563</v>
      </c>
      <c r="N760" s="10">
        <f>FMECA[[#This Row],[probability_value]]*FMECA[[#This Row],[consequence_value]]</f>
        <v>28</v>
      </c>
      <c r="O760" s="10" t="str">
        <f>IF(AND(FMECA[[#This Row],[Score]]&gt;=0, 9&gt;=FMECA[[#This Row],[Score]]), "UNDETECTABLE", IF(AND(FMECA[[#This Row],[Score]]&gt;=10, 24&gt;=FMECA[[#This Row],[Score]]), "MODERATE", IF(AND(FMECA[[#This Row],[Score]]&gt;=25, 35&gt;=FMECA[[#This Row],[Score]]), "HIGH", IF(AND(FMECA[[#This Row],[Score]]&gt;=36, 50&gt;=FMECA[[#This Row],[Score]]), "VERY HIGH", "Check Formula"))))</f>
        <v>HIGH</v>
      </c>
      <c r="P760" s="10" t="s">
        <v>770</v>
      </c>
      <c r="Q760" t="s">
        <v>1162</v>
      </c>
      <c r="R760" t="s">
        <v>780</v>
      </c>
      <c r="S760" t="s">
        <v>1561</v>
      </c>
      <c r="U760" t="s">
        <v>1564</v>
      </c>
      <c r="V760" t="s">
        <v>466</v>
      </c>
      <c r="W760" t="s">
        <v>1565</v>
      </c>
      <c r="X760" t="s">
        <v>466</v>
      </c>
      <c r="AA760" t="s">
        <v>1162</v>
      </c>
    </row>
    <row r="761" spans="1:27" x14ac:dyDescent="0.2">
      <c r="A761" s="225" t="s">
        <v>323</v>
      </c>
      <c r="B761" t="s">
        <v>303</v>
      </c>
      <c r="C761" t="s">
        <v>407</v>
      </c>
      <c r="D761" t="s">
        <v>406</v>
      </c>
      <c r="E761" t="s">
        <v>404</v>
      </c>
      <c r="F761" s="226" t="s">
        <v>405</v>
      </c>
      <c r="G761" t="str">
        <f>_xlfn.XLOOKUP(FMECA[[#This Row],[HazardRisk_name]],categories[HazardRisk_Name],categories[HazardRisk])</f>
        <v>Risk</v>
      </c>
      <c r="H761" t="str">
        <f>_xlfn.XLOOKUP(FMECA[[#This Row],[HazardRisk_name]],categories[HazardRisk_Name],categories[Category])</f>
        <v>Pollutants</v>
      </c>
      <c r="I761" t="s">
        <v>546</v>
      </c>
      <c r="J761" s="10">
        <v>4</v>
      </c>
      <c r="K761" t="s">
        <v>1558</v>
      </c>
      <c r="L761" s="10">
        <v>7</v>
      </c>
      <c r="M761" t="s">
        <v>1562</v>
      </c>
      <c r="N761" s="10">
        <f>FMECA[[#This Row],[probability_value]]*FMECA[[#This Row],[consequence_value]]</f>
        <v>28</v>
      </c>
      <c r="O761" s="10" t="str">
        <f>IF(AND(FMECA[[#This Row],[Score]]&gt;=0, 9&gt;=FMECA[[#This Row],[Score]]), "UNDETECTABLE", IF(AND(FMECA[[#This Row],[Score]]&gt;=10, 24&gt;=FMECA[[#This Row],[Score]]), "MODERATE", IF(AND(FMECA[[#This Row],[Score]]&gt;=25, 35&gt;=FMECA[[#This Row],[Score]]), "HIGH", IF(AND(FMECA[[#This Row],[Score]]&gt;=36, 50&gt;=FMECA[[#This Row],[Score]]), "VERY HIGH", "Check Formula"))))</f>
        <v>HIGH</v>
      </c>
      <c r="P761" s="10" t="s">
        <v>770</v>
      </c>
      <c r="Q761" t="s">
        <v>1162</v>
      </c>
      <c r="R761" t="s">
        <v>780</v>
      </c>
      <c r="S761" t="s">
        <v>1561</v>
      </c>
      <c r="U761" t="s">
        <v>1559</v>
      </c>
      <c r="V761" t="s">
        <v>466</v>
      </c>
      <c r="W761" t="s">
        <v>1560</v>
      </c>
      <c r="X761" t="s">
        <v>466</v>
      </c>
      <c r="AA761" t="s">
        <v>1162</v>
      </c>
    </row>
    <row r="762" spans="1:27" x14ac:dyDescent="0.2">
      <c r="A762" s="225" t="s">
        <v>323</v>
      </c>
      <c r="B762" t="s">
        <v>303</v>
      </c>
      <c r="C762" t="s">
        <v>407</v>
      </c>
      <c r="D762" t="s">
        <v>406</v>
      </c>
      <c r="E762" t="s">
        <v>404</v>
      </c>
      <c r="F762" s="226" t="s">
        <v>405</v>
      </c>
      <c r="G762" t="str">
        <f>_xlfn.XLOOKUP(FMECA[[#This Row],[HazardRisk_name]],categories[HazardRisk_Name],categories[HazardRisk])</f>
        <v>Risk</v>
      </c>
      <c r="H762" t="str">
        <f>_xlfn.XLOOKUP(FMECA[[#This Row],[HazardRisk_name]],categories[HazardRisk_Name],categories[Category])</f>
        <v>Environmental</v>
      </c>
      <c r="I762" t="s">
        <v>625</v>
      </c>
      <c r="J762" s="10">
        <v>4</v>
      </c>
      <c r="K762" t="s">
        <v>1569</v>
      </c>
      <c r="L762" s="10">
        <v>5</v>
      </c>
      <c r="M762" t="s">
        <v>1569</v>
      </c>
      <c r="N762" s="10">
        <f>FMECA[[#This Row],[probability_value]]*FMECA[[#This Row],[consequence_value]]</f>
        <v>20</v>
      </c>
      <c r="O76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62" s="10" t="s">
        <v>770</v>
      </c>
      <c r="Q762" t="s">
        <v>1162</v>
      </c>
      <c r="R762" t="s">
        <v>780</v>
      </c>
      <c r="S762" t="s">
        <v>1561</v>
      </c>
      <c r="U762" t="s">
        <v>1570</v>
      </c>
      <c r="V762" t="s">
        <v>466</v>
      </c>
      <c r="W762" t="s">
        <v>1571</v>
      </c>
      <c r="X762" t="s">
        <v>466</v>
      </c>
      <c r="AA762" t="s">
        <v>1162</v>
      </c>
    </row>
    <row r="763" spans="1:27" x14ac:dyDescent="0.2">
      <c r="A763" s="225" t="s">
        <v>324</v>
      </c>
      <c r="B763" t="s">
        <v>303</v>
      </c>
      <c r="C763" t="s">
        <v>403</v>
      </c>
      <c r="D763" t="s">
        <v>402</v>
      </c>
      <c r="E763" t="s">
        <v>400</v>
      </c>
      <c r="F763" s="226" t="s">
        <v>401</v>
      </c>
      <c r="G763" t="str">
        <f>_xlfn.XLOOKUP(FMECA[[#This Row],[HazardRisk_name]],categories[HazardRisk_Name],categories[HazardRisk])</f>
        <v>Hazard</v>
      </c>
      <c r="H763" t="str">
        <f>_xlfn.XLOOKUP(FMECA[[#This Row],[HazardRisk_name]],categories[HazardRisk_Name],categories[Category])</f>
        <v>Sea Ice</v>
      </c>
      <c r="I763" t="s">
        <v>563</v>
      </c>
      <c r="J763" s="10">
        <v>5</v>
      </c>
      <c r="K763" t="s">
        <v>1544</v>
      </c>
      <c r="L763" s="10">
        <v>7</v>
      </c>
      <c r="M763" t="s">
        <v>1544</v>
      </c>
      <c r="N763" s="10">
        <f>FMECA[[#This Row],[probability_value]]*FMECA[[#This Row],[consequence_value]]</f>
        <v>35</v>
      </c>
      <c r="O763" s="10" t="str">
        <f>IF(AND(FMECA[[#This Row],[Score]]&gt;=0, 9&gt;=FMECA[[#This Row],[Score]]), "UNDETECTABLE", IF(AND(FMECA[[#This Row],[Score]]&gt;=10, 24&gt;=FMECA[[#This Row],[Score]]), "MODERATE", IF(AND(FMECA[[#This Row],[Score]]&gt;=25, 35&gt;=FMECA[[#This Row],[Score]]), "HIGH", IF(AND(FMECA[[#This Row],[Score]]&gt;=36, 50&gt;=FMECA[[#This Row],[Score]]), "VERY HIGH", "Check Formula"))))</f>
        <v>HIGH</v>
      </c>
      <c r="P763" s="10" t="s">
        <v>777</v>
      </c>
      <c r="Q763" t="s">
        <v>793</v>
      </c>
      <c r="R763" t="s">
        <v>780</v>
      </c>
      <c r="S763" t="s">
        <v>1545</v>
      </c>
      <c r="T763" t="s">
        <v>1132</v>
      </c>
      <c r="U763" t="s">
        <v>1549</v>
      </c>
      <c r="V763" t="s">
        <v>470</v>
      </c>
      <c r="W763" t="s">
        <v>1550</v>
      </c>
      <c r="AA763" t="s">
        <v>1162</v>
      </c>
    </row>
    <row r="764" spans="1:27" x14ac:dyDescent="0.2">
      <c r="A764" s="225" t="s">
        <v>324</v>
      </c>
      <c r="B764" t="s">
        <v>303</v>
      </c>
      <c r="C764" t="s">
        <v>403</v>
      </c>
      <c r="D764" t="s">
        <v>402</v>
      </c>
      <c r="E764" t="s">
        <v>400</v>
      </c>
      <c r="F764" s="226" t="s">
        <v>401</v>
      </c>
      <c r="G764" t="str">
        <f>_xlfn.XLOOKUP(FMECA[[#This Row],[HazardRisk_name]],categories[HazardRisk_Name],categories[HazardRisk])</f>
        <v>Hazard</v>
      </c>
      <c r="H764" t="str">
        <f>_xlfn.XLOOKUP(FMECA[[#This Row],[HazardRisk_name]],categories[HazardRisk_Name],categories[Category])</f>
        <v>Pollutants</v>
      </c>
      <c r="I764" t="s">
        <v>632</v>
      </c>
      <c r="J764" s="10">
        <v>2</v>
      </c>
      <c r="K764" t="s">
        <v>1554</v>
      </c>
      <c r="L764" s="10">
        <v>4</v>
      </c>
      <c r="M764" t="s">
        <v>1554</v>
      </c>
      <c r="N764" s="10">
        <f>FMECA[[#This Row],[probability_value]]*FMECA[[#This Row],[consequence_value]]</f>
        <v>8</v>
      </c>
      <c r="O764"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764" s="10" t="s">
        <v>777</v>
      </c>
      <c r="Q764" t="s">
        <v>793</v>
      </c>
      <c r="R764" t="s">
        <v>780</v>
      </c>
      <c r="S764" t="s">
        <v>1545</v>
      </c>
      <c r="T764" t="s">
        <v>1132</v>
      </c>
      <c r="U764" t="s">
        <v>1555</v>
      </c>
      <c r="V764" t="s">
        <v>466</v>
      </c>
      <c r="X764" t="s">
        <v>1306</v>
      </c>
      <c r="Y764" t="s">
        <v>1245</v>
      </c>
      <c r="Z764" t="s">
        <v>1556</v>
      </c>
      <c r="AA764" t="s">
        <v>1162</v>
      </c>
    </row>
    <row r="765" spans="1:27" x14ac:dyDescent="0.2">
      <c r="A765" s="225" t="s">
        <v>324</v>
      </c>
      <c r="B765" t="s">
        <v>303</v>
      </c>
      <c r="C765" t="s">
        <v>403</v>
      </c>
      <c r="D765" t="s">
        <v>402</v>
      </c>
      <c r="E765" t="s">
        <v>400</v>
      </c>
      <c r="F765" s="226" t="s">
        <v>401</v>
      </c>
      <c r="G765" t="str">
        <f>_xlfn.XLOOKUP(FMECA[[#This Row],[HazardRisk_name]],categories[HazardRisk_Name],categories[HazardRisk])</f>
        <v>Risk</v>
      </c>
      <c r="H765" t="str">
        <f>_xlfn.XLOOKUP(FMECA[[#This Row],[HazardRisk_name]],categories[HazardRisk_Name],categories[Category])</f>
        <v>Environmental</v>
      </c>
      <c r="I765" t="s">
        <v>554</v>
      </c>
      <c r="J765" s="10">
        <v>5</v>
      </c>
      <c r="K765" t="s">
        <v>1546</v>
      </c>
      <c r="L765" s="10">
        <v>7</v>
      </c>
      <c r="M765" t="s">
        <v>1546</v>
      </c>
      <c r="N765" s="10">
        <f>FMECA[[#This Row],[probability_value]]*FMECA[[#This Row],[consequence_value]]</f>
        <v>35</v>
      </c>
      <c r="O765" s="10" t="str">
        <f>IF(AND(FMECA[[#This Row],[Score]]&gt;=0, 9&gt;=FMECA[[#This Row],[Score]]), "UNDETECTABLE", IF(AND(FMECA[[#This Row],[Score]]&gt;=10, 24&gt;=FMECA[[#This Row],[Score]]), "MODERATE", IF(AND(FMECA[[#This Row],[Score]]&gt;=25, 35&gt;=FMECA[[#This Row],[Score]]), "HIGH", IF(AND(FMECA[[#This Row],[Score]]&gt;=36, 50&gt;=FMECA[[#This Row],[Score]]), "VERY HIGH", "Check Formula"))))</f>
        <v>HIGH</v>
      </c>
      <c r="P765" s="10" t="s">
        <v>777</v>
      </c>
      <c r="Q765" t="s">
        <v>793</v>
      </c>
      <c r="R765" t="s">
        <v>780</v>
      </c>
      <c r="S765" t="s">
        <v>1545</v>
      </c>
      <c r="T765" t="s">
        <v>1132</v>
      </c>
      <c r="U765" t="s">
        <v>1547</v>
      </c>
      <c r="V765" t="s">
        <v>466</v>
      </c>
      <c r="W765" t="s">
        <v>1548</v>
      </c>
      <c r="X765" t="s">
        <v>449</v>
      </c>
      <c r="AA765" t="s">
        <v>1162</v>
      </c>
    </row>
    <row r="766" spans="1:27" x14ac:dyDescent="0.2">
      <c r="A766" s="225" t="s">
        <v>324</v>
      </c>
      <c r="B766" t="s">
        <v>303</v>
      </c>
      <c r="C766" t="s">
        <v>403</v>
      </c>
      <c r="D766" t="s">
        <v>402</v>
      </c>
      <c r="E766" t="s">
        <v>400</v>
      </c>
      <c r="F766" s="226" t="s">
        <v>401</v>
      </c>
      <c r="G766" t="str">
        <f>_xlfn.XLOOKUP(FMECA[[#This Row],[HazardRisk_name]],categories[HazardRisk_Name],categories[HazardRisk])</f>
        <v>Risk</v>
      </c>
      <c r="H766" t="str">
        <f>_xlfn.XLOOKUP(FMECA[[#This Row],[HazardRisk_name]],categories[HazardRisk_Name],categories[Category])</f>
        <v>Environmental</v>
      </c>
      <c r="I766" t="s">
        <v>567</v>
      </c>
      <c r="J766" s="10">
        <v>2</v>
      </c>
      <c r="K766" t="s">
        <v>1553</v>
      </c>
      <c r="L766" s="10">
        <v>4</v>
      </c>
      <c r="M766" t="s">
        <v>1553</v>
      </c>
      <c r="N766" s="10">
        <f>FMECA[[#This Row],[probability_value]]*FMECA[[#This Row],[consequence_value]]</f>
        <v>8</v>
      </c>
      <c r="O766"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766" s="10" t="s">
        <v>777</v>
      </c>
      <c r="Q766" t="s">
        <v>793</v>
      </c>
      <c r="R766" t="s">
        <v>780</v>
      </c>
      <c r="S766" t="s">
        <v>1545</v>
      </c>
      <c r="T766" t="s">
        <v>1132</v>
      </c>
      <c r="U766" t="s">
        <v>1557</v>
      </c>
      <c r="V766" t="s">
        <v>470</v>
      </c>
      <c r="X766" t="s">
        <v>1306</v>
      </c>
      <c r="AA766" t="s">
        <v>1162</v>
      </c>
    </row>
    <row r="767" spans="1:27" x14ac:dyDescent="0.2">
      <c r="A767" s="225" t="s">
        <v>324</v>
      </c>
      <c r="B767" t="s">
        <v>303</v>
      </c>
      <c r="C767" t="s">
        <v>403</v>
      </c>
      <c r="D767" t="s">
        <v>402</v>
      </c>
      <c r="E767" t="s">
        <v>400</v>
      </c>
      <c r="F767" s="226" t="s">
        <v>401</v>
      </c>
      <c r="G767" t="str">
        <f>_xlfn.XLOOKUP(FMECA[[#This Row],[HazardRisk_name]],categories[HazardRisk_Name],categories[HazardRisk])</f>
        <v>Hazard</v>
      </c>
      <c r="H767" t="str">
        <f>_xlfn.XLOOKUP(FMECA[[#This Row],[HazardRisk_name]],categories[HazardRisk_Name],categories[Category])</f>
        <v>Environmental</v>
      </c>
      <c r="I767" t="s">
        <v>483</v>
      </c>
      <c r="J767" s="10">
        <v>4</v>
      </c>
      <c r="K767" t="s">
        <v>1544</v>
      </c>
      <c r="L767" s="10">
        <v>7</v>
      </c>
      <c r="M767" t="s">
        <v>1544</v>
      </c>
      <c r="N767" s="10">
        <f>FMECA[[#This Row],[probability_value]]*FMECA[[#This Row],[consequence_value]]</f>
        <v>28</v>
      </c>
      <c r="O767" s="10" t="str">
        <f>IF(AND(FMECA[[#This Row],[Score]]&gt;=0, 9&gt;=FMECA[[#This Row],[Score]]), "UNDETECTABLE", IF(AND(FMECA[[#This Row],[Score]]&gt;=10, 24&gt;=FMECA[[#This Row],[Score]]), "MODERATE", IF(AND(FMECA[[#This Row],[Score]]&gt;=25, 35&gt;=FMECA[[#This Row],[Score]]), "HIGH", IF(AND(FMECA[[#This Row],[Score]]&gt;=36, 50&gt;=FMECA[[#This Row],[Score]]), "VERY HIGH", "Check Formula"))))</f>
        <v>HIGH</v>
      </c>
      <c r="P767" s="10" t="s">
        <v>777</v>
      </c>
      <c r="Q767" t="s">
        <v>793</v>
      </c>
      <c r="R767" t="s">
        <v>780</v>
      </c>
      <c r="S767" t="s">
        <v>1545</v>
      </c>
      <c r="T767" t="s">
        <v>1132</v>
      </c>
      <c r="U767" t="s">
        <v>1551</v>
      </c>
      <c r="V767" t="s">
        <v>466</v>
      </c>
      <c r="W767" t="s">
        <v>1552</v>
      </c>
      <c r="X767" t="s">
        <v>466</v>
      </c>
      <c r="AA767" t="s">
        <v>1162</v>
      </c>
    </row>
    <row r="768" spans="1:27" x14ac:dyDescent="0.2">
      <c r="A768" s="225" t="s">
        <v>325</v>
      </c>
      <c r="B768" t="s">
        <v>303</v>
      </c>
      <c r="C768" t="s">
        <v>411</v>
      </c>
      <c r="D768" t="s">
        <v>410</v>
      </c>
      <c r="E768" t="s">
        <v>409</v>
      </c>
      <c r="F768" s="226" t="s">
        <v>408</v>
      </c>
      <c r="G768" t="str">
        <f>_xlfn.XLOOKUP(FMECA[[#This Row],[HazardRisk_name]],categories[HazardRisk_Name],categories[HazardRisk])</f>
        <v>Risk</v>
      </c>
      <c r="H768" t="str">
        <f>_xlfn.XLOOKUP(FMECA[[#This Row],[HazardRisk_name]],categories[HazardRisk_Name],categories[Category])</f>
        <v>Operational</v>
      </c>
      <c r="I768" t="s">
        <v>599</v>
      </c>
      <c r="J768" s="10">
        <v>2</v>
      </c>
      <c r="K768" t="s">
        <v>1333</v>
      </c>
      <c r="L768" s="10">
        <v>4</v>
      </c>
      <c r="M768" t="s">
        <v>1332</v>
      </c>
      <c r="N768" s="10">
        <f>FMECA[[#This Row],[probability_value]]*FMECA[[#This Row],[consequence_value]]</f>
        <v>8</v>
      </c>
      <c r="O768"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768" s="10" t="s">
        <v>767</v>
      </c>
      <c r="Q768" t="s">
        <v>1162</v>
      </c>
      <c r="R768" t="s">
        <v>768</v>
      </c>
      <c r="S768" t="s">
        <v>769</v>
      </c>
      <c r="U768" t="s">
        <v>1334</v>
      </c>
      <c r="V768" t="s">
        <v>470</v>
      </c>
      <c r="W768" t="s">
        <v>1335</v>
      </c>
      <c r="X768" t="s">
        <v>466</v>
      </c>
      <c r="Y768" t="s">
        <v>1153</v>
      </c>
      <c r="Z768" t="s">
        <v>1336</v>
      </c>
      <c r="AA768" t="s">
        <v>793</v>
      </c>
    </row>
    <row r="769" spans="1:27" x14ac:dyDescent="0.2">
      <c r="A769" s="225" t="s">
        <v>325</v>
      </c>
      <c r="B769" t="s">
        <v>303</v>
      </c>
      <c r="C769" t="s">
        <v>411</v>
      </c>
      <c r="D769" t="s">
        <v>410</v>
      </c>
      <c r="E769" t="s">
        <v>409</v>
      </c>
      <c r="F769" s="226" t="s">
        <v>408</v>
      </c>
      <c r="G769" t="str">
        <f>_xlfn.XLOOKUP(FMECA[[#This Row],[HazardRisk_name]],categories[HazardRisk_Name],categories[HazardRisk])</f>
        <v>Hazard</v>
      </c>
      <c r="H769" t="str">
        <f>_xlfn.XLOOKUP(FMECA[[#This Row],[HazardRisk_name]],categories[HazardRisk_Name],categories[Category])</f>
        <v>Operational</v>
      </c>
      <c r="I769" t="s">
        <v>601</v>
      </c>
      <c r="J769" s="10">
        <v>1</v>
      </c>
      <c r="K769" t="s">
        <v>1333</v>
      </c>
      <c r="L769" s="10">
        <v>4</v>
      </c>
      <c r="M769" t="s">
        <v>1337</v>
      </c>
      <c r="N769" s="10">
        <f>FMECA[[#This Row],[probability_value]]*FMECA[[#This Row],[consequence_value]]</f>
        <v>4</v>
      </c>
      <c r="O769"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769" s="10" t="s">
        <v>767</v>
      </c>
      <c r="Q769" t="s">
        <v>1162</v>
      </c>
      <c r="R769" t="s">
        <v>768</v>
      </c>
      <c r="S769" t="s">
        <v>769</v>
      </c>
      <c r="U769" t="s">
        <v>1334</v>
      </c>
      <c r="V769" t="s">
        <v>470</v>
      </c>
      <c r="W769" t="s">
        <v>1335</v>
      </c>
      <c r="X769" t="s">
        <v>466</v>
      </c>
      <c r="Y769" t="s">
        <v>1153</v>
      </c>
      <c r="Z769" t="s">
        <v>1336</v>
      </c>
      <c r="AA769" t="s">
        <v>793</v>
      </c>
    </row>
    <row r="770" spans="1:27" x14ac:dyDescent="0.2">
      <c r="A770" s="225" t="s">
        <v>325</v>
      </c>
      <c r="B770" t="s">
        <v>303</v>
      </c>
      <c r="C770" t="s">
        <v>411</v>
      </c>
      <c r="D770" t="s">
        <v>410</v>
      </c>
      <c r="E770" t="s">
        <v>409</v>
      </c>
      <c r="F770" s="226" t="s">
        <v>408</v>
      </c>
      <c r="G770" t="str">
        <f>_xlfn.XLOOKUP(FMECA[[#This Row],[HazardRisk_name]],categories[HazardRisk_Name],categories[HazardRisk])</f>
        <v>Hazard</v>
      </c>
      <c r="H770" t="str">
        <f>_xlfn.XLOOKUP(FMECA[[#This Row],[HazardRisk_name]],categories[HazardRisk_Name],categories[Category])</f>
        <v>Operational</v>
      </c>
      <c r="I770" t="s">
        <v>593</v>
      </c>
      <c r="J770" s="10">
        <v>1</v>
      </c>
      <c r="K770" t="s">
        <v>1333</v>
      </c>
      <c r="L770" s="10">
        <v>4</v>
      </c>
      <c r="M770" t="s">
        <v>1338</v>
      </c>
      <c r="N770" s="10">
        <f>FMECA[[#This Row],[probability_value]]*FMECA[[#This Row],[consequence_value]]</f>
        <v>4</v>
      </c>
      <c r="O770"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770" s="10" t="s">
        <v>767</v>
      </c>
      <c r="Q770" t="s">
        <v>1162</v>
      </c>
      <c r="R770" t="s">
        <v>768</v>
      </c>
      <c r="S770" t="s">
        <v>769</v>
      </c>
      <c r="U770" t="s">
        <v>1334</v>
      </c>
      <c r="V770" t="s">
        <v>470</v>
      </c>
      <c r="W770" t="s">
        <v>1335</v>
      </c>
      <c r="X770" t="s">
        <v>466</v>
      </c>
      <c r="Y770" t="s">
        <v>1153</v>
      </c>
      <c r="Z770" t="s">
        <v>1336</v>
      </c>
      <c r="AA770" t="s">
        <v>793</v>
      </c>
    </row>
    <row r="771" spans="1:27" x14ac:dyDescent="0.2">
      <c r="A771" s="225" t="s">
        <v>325</v>
      </c>
      <c r="B771" t="s">
        <v>303</v>
      </c>
      <c r="C771" t="s">
        <v>411</v>
      </c>
      <c r="D771" t="s">
        <v>410</v>
      </c>
      <c r="E771" t="s">
        <v>409</v>
      </c>
      <c r="F771" s="226" t="s">
        <v>408</v>
      </c>
      <c r="G771" t="str">
        <f>_xlfn.XLOOKUP(FMECA[[#This Row],[HazardRisk_name]],categories[HazardRisk_Name],categories[HazardRisk])</f>
        <v>Hazard</v>
      </c>
      <c r="H771" t="str">
        <f>_xlfn.XLOOKUP(FMECA[[#This Row],[HazardRisk_name]],categories[HazardRisk_Name],categories[Category])</f>
        <v>Operational</v>
      </c>
      <c r="I771" t="s">
        <v>595</v>
      </c>
      <c r="J771" s="10">
        <v>4</v>
      </c>
      <c r="K771" t="s">
        <v>1333</v>
      </c>
      <c r="L771" s="10">
        <v>4</v>
      </c>
      <c r="M771" t="s">
        <v>1339</v>
      </c>
      <c r="N771" s="10">
        <f>FMECA[[#This Row],[probability_value]]*FMECA[[#This Row],[consequence_value]]</f>
        <v>16</v>
      </c>
      <c r="O77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71" s="10" t="s">
        <v>767</v>
      </c>
      <c r="Q771" t="s">
        <v>1162</v>
      </c>
      <c r="R771" t="s">
        <v>768</v>
      </c>
      <c r="S771" t="s">
        <v>769</v>
      </c>
      <c r="U771" t="s">
        <v>1340</v>
      </c>
      <c r="V771" t="s">
        <v>466</v>
      </c>
      <c r="W771" t="s">
        <v>1341</v>
      </c>
      <c r="X771" t="s">
        <v>470</v>
      </c>
      <c r="Y771" t="s">
        <v>1161</v>
      </c>
      <c r="AA771" t="s">
        <v>1162</v>
      </c>
    </row>
    <row r="772" spans="1:27" x14ac:dyDescent="0.2">
      <c r="A772" s="225" t="s">
        <v>325</v>
      </c>
      <c r="B772" t="s">
        <v>303</v>
      </c>
      <c r="C772" t="s">
        <v>411</v>
      </c>
      <c r="D772" t="s">
        <v>410</v>
      </c>
      <c r="E772" t="s">
        <v>409</v>
      </c>
      <c r="F772" s="226" t="s">
        <v>408</v>
      </c>
      <c r="G772" t="str">
        <f>_xlfn.XLOOKUP(FMECA[[#This Row],[HazardRisk_name]],categories[HazardRisk_Name],categories[HazardRisk])</f>
        <v>Risk</v>
      </c>
      <c r="H772" t="str">
        <f>_xlfn.XLOOKUP(FMECA[[#This Row],[HazardRisk_name]],categories[HazardRisk_Name],categories[Category])</f>
        <v>Operational</v>
      </c>
      <c r="I772" t="s">
        <v>1320</v>
      </c>
      <c r="J772" s="10">
        <v>2</v>
      </c>
      <c r="K772" t="s">
        <v>1333</v>
      </c>
      <c r="L772" s="10">
        <v>4</v>
      </c>
      <c r="M772" t="s">
        <v>1344</v>
      </c>
      <c r="N772" s="10">
        <f>FMECA[[#This Row],[probability_value]]*FMECA[[#This Row],[consequence_value]]</f>
        <v>8</v>
      </c>
      <c r="O772"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772" s="10" t="s">
        <v>767</v>
      </c>
      <c r="Q772" t="s">
        <v>1162</v>
      </c>
      <c r="R772" t="s">
        <v>768</v>
      </c>
      <c r="S772" t="s">
        <v>769</v>
      </c>
      <c r="U772" t="s">
        <v>1334</v>
      </c>
      <c r="V772" t="s">
        <v>470</v>
      </c>
      <c r="W772" t="s">
        <v>1335</v>
      </c>
      <c r="X772" t="s">
        <v>466</v>
      </c>
      <c r="Y772" t="s">
        <v>1153</v>
      </c>
      <c r="Z772" t="s">
        <v>1336</v>
      </c>
      <c r="AA772" t="s">
        <v>793</v>
      </c>
    </row>
    <row r="773" spans="1:27" x14ac:dyDescent="0.2">
      <c r="A773" s="225" t="s">
        <v>325</v>
      </c>
      <c r="B773" t="s">
        <v>303</v>
      </c>
      <c r="C773" t="s">
        <v>411</v>
      </c>
      <c r="D773" t="s">
        <v>410</v>
      </c>
      <c r="E773" t="s">
        <v>409</v>
      </c>
      <c r="F773" s="226" t="s">
        <v>408</v>
      </c>
      <c r="G773" t="str">
        <f>_xlfn.XLOOKUP(FMECA[[#This Row],[HazardRisk_name]],categories[HazardRisk_Name],categories[HazardRisk])</f>
        <v>Risk</v>
      </c>
      <c r="H773" t="str">
        <f>_xlfn.XLOOKUP(FMECA[[#This Row],[HazardRisk_name]],categories[HazardRisk_Name],categories[Category])</f>
        <v>Operational</v>
      </c>
      <c r="I773" t="s">
        <v>597</v>
      </c>
      <c r="J773" s="10">
        <v>2</v>
      </c>
      <c r="K773" t="s">
        <v>1333</v>
      </c>
      <c r="L773" s="10">
        <v>4</v>
      </c>
      <c r="M773" t="s">
        <v>1343</v>
      </c>
      <c r="N773" s="10">
        <f>FMECA[[#This Row],[probability_value]]*FMECA[[#This Row],[consequence_value]]</f>
        <v>8</v>
      </c>
      <c r="O773"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773" s="10" t="s">
        <v>767</v>
      </c>
      <c r="Q773" t="s">
        <v>1162</v>
      </c>
      <c r="R773" t="s">
        <v>768</v>
      </c>
      <c r="S773" t="s">
        <v>769</v>
      </c>
      <c r="U773" t="s">
        <v>1352</v>
      </c>
      <c r="V773" t="s">
        <v>449</v>
      </c>
      <c r="W773" t="s">
        <v>1335</v>
      </c>
      <c r="X773" t="s">
        <v>466</v>
      </c>
      <c r="AA773" t="s">
        <v>1162</v>
      </c>
    </row>
    <row r="774" spans="1:27" x14ac:dyDescent="0.2">
      <c r="A774" s="225" t="s">
        <v>325</v>
      </c>
      <c r="B774" t="s">
        <v>303</v>
      </c>
      <c r="C774" t="s">
        <v>411</v>
      </c>
      <c r="D774" t="s">
        <v>410</v>
      </c>
      <c r="E774" t="s">
        <v>409</v>
      </c>
      <c r="F774" s="226" t="s">
        <v>408</v>
      </c>
      <c r="G774" t="str">
        <f>_xlfn.XLOOKUP(FMECA[[#This Row],[HazardRisk_name]],categories[HazardRisk_Name],categories[HazardRisk])</f>
        <v>Risk</v>
      </c>
      <c r="H774" t="str">
        <f>_xlfn.XLOOKUP(FMECA[[#This Row],[HazardRisk_name]],categories[HazardRisk_Name],categories[Category])</f>
        <v>Operational</v>
      </c>
      <c r="I774" t="s">
        <v>598</v>
      </c>
      <c r="J774" s="10">
        <v>3</v>
      </c>
      <c r="K774" t="s">
        <v>1333</v>
      </c>
      <c r="L774" s="10">
        <v>4</v>
      </c>
      <c r="M774" t="s">
        <v>1347</v>
      </c>
      <c r="N774" s="10">
        <f>FMECA[[#This Row],[probability_value]]*FMECA[[#This Row],[consequence_value]]</f>
        <v>12</v>
      </c>
      <c r="O77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74" s="10" t="s">
        <v>767</v>
      </c>
      <c r="Q774" t="s">
        <v>1162</v>
      </c>
      <c r="R774" t="s">
        <v>768</v>
      </c>
      <c r="S774" t="s">
        <v>769</v>
      </c>
      <c r="U774" t="s">
        <v>778</v>
      </c>
      <c r="V774" t="s">
        <v>1306</v>
      </c>
      <c r="W774" t="s">
        <v>778</v>
      </c>
      <c r="X774" t="s">
        <v>1306</v>
      </c>
      <c r="AA774" t="s">
        <v>1162</v>
      </c>
    </row>
    <row r="775" spans="1:27" x14ac:dyDescent="0.2">
      <c r="A775" s="225" t="s">
        <v>325</v>
      </c>
      <c r="B775" t="s">
        <v>303</v>
      </c>
      <c r="C775" t="s">
        <v>411</v>
      </c>
      <c r="D775" t="s">
        <v>410</v>
      </c>
      <c r="E775" t="s">
        <v>409</v>
      </c>
      <c r="F775" s="226" t="s">
        <v>408</v>
      </c>
      <c r="G775" t="str">
        <f>_xlfn.XLOOKUP(FMECA[[#This Row],[HazardRisk_name]],categories[HazardRisk_Name],categories[HazardRisk])</f>
        <v>Risk</v>
      </c>
      <c r="H775" t="str">
        <f>_xlfn.XLOOKUP(FMECA[[#This Row],[HazardRisk_name]],categories[HazardRisk_Name],categories[Category])</f>
        <v>Pollutants</v>
      </c>
      <c r="I775" t="s">
        <v>627</v>
      </c>
      <c r="J775" s="10">
        <v>1</v>
      </c>
      <c r="K775" t="s">
        <v>1333</v>
      </c>
      <c r="L775" s="10">
        <v>7</v>
      </c>
      <c r="M775" t="s">
        <v>1351</v>
      </c>
      <c r="N775" s="10">
        <f>FMECA[[#This Row],[probability_value]]*FMECA[[#This Row],[consequence_value]]</f>
        <v>7</v>
      </c>
      <c r="O775"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775" s="10" t="s">
        <v>767</v>
      </c>
      <c r="Q775" t="s">
        <v>1162</v>
      </c>
      <c r="R775" t="s">
        <v>768</v>
      </c>
      <c r="S775" t="s">
        <v>769</v>
      </c>
      <c r="U775" t="s">
        <v>778</v>
      </c>
      <c r="V775" t="s">
        <v>1306</v>
      </c>
      <c r="W775" t="s">
        <v>778</v>
      </c>
      <c r="X775" t="s">
        <v>1306</v>
      </c>
      <c r="AA775" t="s">
        <v>1162</v>
      </c>
    </row>
    <row r="776" spans="1:27" x14ac:dyDescent="0.2">
      <c r="A776" s="225" t="s">
        <v>325</v>
      </c>
      <c r="B776" t="s">
        <v>303</v>
      </c>
      <c r="C776" t="s">
        <v>411</v>
      </c>
      <c r="D776" t="s">
        <v>410</v>
      </c>
      <c r="E776" t="s">
        <v>409</v>
      </c>
      <c r="F776" s="226" t="s">
        <v>408</v>
      </c>
      <c r="G776" t="str">
        <f>_xlfn.XLOOKUP(FMECA[[#This Row],[HazardRisk_name]],categories[HazardRisk_Name],categories[HazardRisk])</f>
        <v>Risk</v>
      </c>
      <c r="H776" t="str">
        <f>_xlfn.XLOOKUP(FMECA[[#This Row],[HazardRisk_name]],categories[HazardRisk_Name],categories[Category])</f>
        <v>Environmental</v>
      </c>
      <c r="I776" t="s">
        <v>573</v>
      </c>
      <c r="J776" s="10">
        <v>5</v>
      </c>
      <c r="K776" t="s">
        <v>1333</v>
      </c>
      <c r="L776" s="10">
        <v>4</v>
      </c>
      <c r="M776" t="s">
        <v>1350</v>
      </c>
      <c r="N776" s="10">
        <f>FMECA[[#This Row],[probability_value]]*FMECA[[#This Row],[consequence_value]]</f>
        <v>20</v>
      </c>
      <c r="O77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76" s="10" t="s">
        <v>767</v>
      </c>
      <c r="Q776" t="s">
        <v>1162</v>
      </c>
      <c r="R776" t="s">
        <v>768</v>
      </c>
      <c r="S776" t="s">
        <v>769</v>
      </c>
      <c r="U776" t="s">
        <v>778</v>
      </c>
      <c r="V776" t="s">
        <v>1306</v>
      </c>
      <c r="W776" t="s">
        <v>778</v>
      </c>
      <c r="X776" t="s">
        <v>1306</v>
      </c>
      <c r="AA776" t="s">
        <v>1162</v>
      </c>
    </row>
    <row r="777" spans="1:27" x14ac:dyDescent="0.2">
      <c r="A777" s="225" t="s">
        <v>325</v>
      </c>
      <c r="B777" t="s">
        <v>303</v>
      </c>
      <c r="C777" t="s">
        <v>411</v>
      </c>
      <c r="D777" t="s">
        <v>410</v>
      </c>
      <c r="E777" t="s">
        <v>409</v>
      </c>
      <c r="F777" s="226" t="s">
        <v>408</v>
      </c>
      <c r="G777" t="str">
        <f>_xlfn.XLOOKUP(FMECA[[#This Row],[HazardRisk_name]],categories[HazardRisk_Name],categories[HazardRisk])</f>
        <v>Hazard</v>
      </c>
      <c r="H777" t="str">
        <f>_xlfn.XLOOKUP(FMECA[[#This Row],[HazardRisk_name]],categories[HazardRisk_Name],categories[Category])</f>
        <v>Environmental</v>
      </c>
      <c r="I777" t="s">
        <v>600</v>
      </c>
      <c r="J777" s="10">
        <v>1</v>
      </c>
      <c r="K777" t="s">
        <v>1333</v>
      </c>
      <c r="L777" s="10">
        <v>4</v>
      </c>
      <c r="M777" t="s">
        <v>1348</v>
      </c>
      <c r="N777" s="10">
        <f>FMECA[[#This Row],[probability_value]]*FMECA[[#This Row],[consequence_value]]</f>
        <v>4</v>
      </c>
      <c r="O777"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777" s="10" t="s">
        <v>767</v>
      </c>
      <c r="Q777" t="s">
        <v>1162</v>
      </c>
      <c r="R777" t="s">
        <v>768</v>
      </c>
      <c r="S777" t="s">
        <v>769</v>
      </c>
      <c r="U777" t="s">
        <v>778</v>
      </c>
      <c r="V777" t="s">
        <v>1306</v>
      </c>
      <c r="W777" t="s">
        <v>778</v>
      </c>
      <c r="X777" t="s">
        <v>1306</v>
      </c>
      <c r="AA777" t="s">
        <v>1162</v>
      </c>
    </row>
    <row r="778" spans="1:27" x14ac:dyDescent="0.2">
      <c r="A778" s="225" t="s">
        <v>325</v>
      </c>
      <c r="B778" t="s">
        <v>303</v>
      </c>
      <c r="C778" t="s">
        <v>411</v>
      </c>
      <c r="D778" t="s">
        <v>410</v>
      </c>
      <c r="E778" t="s">
        <v>409</v>
      </c>
      <c r="F778" s="226" t="s">
        <v>408</v>
      </c>
      <c r="G778" t="str">
        <f>_xlfn.XLOOKUP(FMECA[[#This Row],[HazardRisk_name]],categories[HazardRisk_Name],categories[HazardRisk])</f>
        <v>Risk</v>
      </c>
      <c r="H778" t="str">
        <f>_xlfn.XLOOKUP(FMECA[[#This Row],[HazardRisk_name]],categories[HazardRisk_Name],categories[Category])</f>
        <v>Navigational</v>
      </c>
      <c r="I778" t="s">
        <v>620</v>
      </c>
      <c r="J778" s="10">
        <v>2</v>
      </c>
      <c r="K778" t="s">
        <v>1333</v>
      </c>
      <c r="L778" s="10">
        <v>4</v>
      </c>
      <c r="M778" t="s">
        <v>1346</v>
      </c>
      <c r="N778" s="10">
        <f>FMECA[[#This Row],[probability_value]]*FMECA[[#This Row],[consequence_value]]</f>
        <v>8</v>
      </c>
      <c r="O778"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778" s="10" t="s">
        <v>767</v>
      </c>
      <c r="Q778" t="s">
        <v>1162</v>
      </c>
      <c r="R778" t="s">
        <v>768</v>
      </c>
      <c r="S778" t="s">
        <v>769</v>
      </c>
      <c r="U778" t="s">
        <v>778</v>
      </c>
      <c r="V778" t="s">
        <v>1306</v>
      </c>
      <c r="W778" t="s">
        <v>778</v>
      </c>
      <c r="X778" t="s">
        <v>1306</v>
      </c>
      <c r="AA778" t="s">
        <v>1162</v>
      </c>
    </row>
    <row r="779" spans="1:27" x14ac:dyDescent="0.2">
      <c r="A779" s="225" t="s">
        <v>325</v>
      </c>
      <c r="B779" t="s">
        <v>303</v>
      </c>
      <c r="C779" t="s">
        <v>411</v>
      </c>
      <c r="D779" t="s">
        <v>410</v>
      </c>
      <c r="E779" t="s">
        <v>409</v>
      </c>
      <c r="F779" s="226" t="s">
        <v>408</v>
      </c>
      <c r="G779" t="str">
        <f>_xlfn.XLOOKUP(FMECA[[#This Row],[HazardRisk_name]],categories[HazardRisk_Name],categories[HazardRisk])</f>
        <v>Risk</v>
      </c>
      <c r="H779" t="str">
        <f>_xlfn.XLOOKUP(FMECA[[#This Row],[HazardRisk_name]],categories[HazardRisk_Name],categories[Category])</f>
        <v>Operational</v>
      </c>
      <c r="I779" t="s">
        <v>596</v>
      </c>
      <c r="J779" s="10">
        <v>1</v>
      </c>
      <c r="K779" t="s">
        <v>1333</v>
      </c>
      <c r="L779" s="10">
        <v>4</v>
      </c>
      <c r="M779" t="s">
        <v>1342</v>
      </c>
      <c r="N779" s="10">
        <f>FMECA[[#This Row],[probability_value]]*FMECA[[#This Row],[consequence_value]]</f>
        <v>4</v>
      </c>
      <c r="O779"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779" s="10" t="s">
        <v>767</v>
      </c>
      <c r="Q779" t="s">
        <v>1162</v>
      </c>
      <c r="R779" t="s">
        <v>768</v>
      </c>
      <c r="S779" t="s">
        <v>769</v>
      </c>
      <c r="U779" t="s">
        <v>1334</v>
      </c>
      <c r="V779" t="s">
        <v>470</v>
      </c>
      <c r="W779" t="s">
        <v>1335</v>
      </c>
      <c r="X779" t="s">
        <v>466</v>
      </c>
      <c r="Y779" t="s">
        <v>1153</v>
      </c>
      <c r="Z779" t="s">
        <v>1336</v>
      </c>
      <c r="AA779" t="s">
        <v>793</v>
      </c>
    </row>
    <row r="780" spans="1:27" x14ac:dyDescent="0.2">
      <c r="A780" s="225" t="s">
        <v>325</v>
      </c>
      <c r="B780" t="s">
        <v>303</v>
      </c>
      <c r="C780" t="s">
        <v>411</v>
      </c>
      <c r="D780" t="s">
        <v>410</v>
      </c>
      <c r="E780" t="s">
        <v>409</v>
      </c>
      <c r="F780" s="226" t="s">
        <v>408</v>
      </c>
      <c r="G780" t="str">
        <f>_xlfn.XLOOKUP(FMECA[[#This Row],[HazardRisk_name]],categories[HazardRisk_Name],categories[HazardRisk])</f>
        <v>Hazard</v>
      </c>
      <c r="H780" t="str">
        <f>_xlfn.XLOOKUP(FMECA[[#This Row],[HazardRisk_name]],categories[HazardRisk_Name],categories[Category])</f>
        <v>Human</v>
      </c>
      <c r="I780" t="s">
        <v>594</v>
      </c>
      <c r="J780" s="10">
        <v>2</v>
      </c>
      <c r="K780" t="s">
        <v>1333</v>
      </c>
      <c r="L780" s="10">
        <v>7</v>
      </c>
      <c r="M780" t="s">
        <v>1345</v>
      </c>
      <c r="N780" s="10">
        <f>FMECA[[#This Row],[probability_value]]*FMECA[[#This Row],[consequence_value]]</f>
        <v>14</v>
      </c>
      <c r="O78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80" s="10" t="s">
        <v>767</v>
      </c>
      <c r="Q780" t="s">
        <v>1162</v>
      </c>
      <c r="R780" t="s">
        <v>768</v>
      </c>
      <c r="S780" t="s">
        <v>769</v>
      </c>
      <c r="U780" t="s">
        <v>778</v>
      </c>
      <c r="V780" t="s">
        <v>1306</v>
      </c>
      <c r="W780" t="s">
        <v>778</v>
      </c>
      <c r="X780" t="s">
        <v>1306</v>
      </c>
      <c r="AA780" t="s">
        <v>1162</v>
      </c>
    </row>
    <row r="781" spans="1:27" x14ac:dyDescent="0.2">
      <c r="A781" s="225" t="s">
        <v>325</v>
      </c>
      <c r="B781" t="s">
        <v>303</v>
      </c>
      <c r="C781" t="s">
        <v>411</v>
      </c>
      <c r="D781" t="s">
        <v>410</v>
      </c>
      <c r="E781" t="s">
        <v>409</v>
      </c>
      <c r="F781" s="226" t="s">
        <v>408</v>
      </c>
      <c r="G781" t="str">
        <f>_xlfn.XLOOKUP(FMECA[[#This Row],[HazardRisk_name]],categories[HazardRisk_Name],categories[HazardRisk])</f>
        <v>Risk</v>
      </c>
      <c r="H781" t="str">
        <f>_xlfn.XLOOKUP(FMECA[[#This Row],[HazardRisk_name]],categories[HazardRisk_Name],categories[Category])</f>
        <v>Economic</v>
      </c>
      <c r="I781" t="s">
        <v>592</v>
      </c>
      <c r="J781" s="10">
        <v>3</v>
      </c>
      <c r="K781" t="s">
        <v>1333</v>
      </c>
      <c r="L781" s="10">
        <v>10</v>
      </c>
      <c r="M781" t="s">
        <v>1349</v>
      </c>
      <c r="N781" s="10">
        <f>FMECA[[#This Row],[probability_value]]*FMECA[[#This Row],[consequence_value]]</f>
        <v>30</v>
      </c>
      <c r="O781" s="10" t="str">
        <f>IF(AND(FMECA[[#This Row],[Score]]&gt;=0, 9&gt;=FMECA[[#This Row],[Score]]), "UNDETECTABLE", IF(AND(FMECA[[#This Row],[Score]]&gt;=10, 24&gt;=FMECA[[#This Row],[Score]]), "MODERATE", IF(AND(FMECA[[#This Row],[Score]]&gt;=25, 35&gt;=FMECA[[#This Row],[Score]]), "HIGH", IF(AND(FMECA[[#This Row],[Score]]&gt;=36, 50&gt;=FMECA[[#This Row],[Score]]), "VERY HIGH", "Check Formula"))))</f>
        <v>HIGH</v>
      </c>
      <c r="P781" s="10" t="s">
        <v>767</v>
      </c>
      <c r="Q781" t="s">
        <v>1162</v>
      </c>
      <c r="R781" t="s">
        <v>768</v>
      </c>
      <c r="S781" t="s">
        <v>769</v>
      </c>
      <c r="U781" t="s">
        <v>778</v>
      </c>
      <c r="V781" t="s">
        <v>1306</v>
      </c>
      <c r="W781" t="s">
        <v>778</v>
      </c>
      <c r="X781" t="s">
        <v>1306</v>
      </c>
      <c r="AA781" t="s">
        <v>1162</v>
      </c>
    </row>
    <row r="782" spans="1:27" x14ac:dyDescent="0.2">
      <c r="A782" s="225" t="s">
        <v>326</v>
      </c>
      <c r="B782" t="s">
        <v>303</v>
      </c>
      <c r="C782" t="s">
        <v>415</v>
      </c>
      <c r="D782" t="s">
        <v>414</v>
      </c>
      <c r="E782" t="s">
        <v>412</v>
      </c>
      <c r="F782" s="226" t="s">
        <v>413</v>
      </c>
      <c r="G782" t="str">
        <f>_xlfn.XLOOKUP(FMECA[[#This Row],[HazardRisk_name]],categories[HazardRisk_Name],categories[HazardRisk])</f>
        <v>Risk</v>
      </c>
      <c r="H782" t="str">
        <f>_xlfn.XLOOKUP(FMECA[[#This Row],[HazardRisk_name]],categories[HazardRisk_Name],categories[Category])</f>
        <v>Assessment</v>
      </c>
      <c r="I782" t="s">
        <v>667</v>
      </c>
      <c r="J782" s="10">
        <v>5</v>
      </c>
      <c r="K782" t="s">
        <v>1353</v>
      </c>
      <c r="L782" s="10">
        <v>5</v>
      </c>
      <c r="M782" t="s">
        <v>1353</v>
      </c>
      <c r="N782" s="10">
        <f>FMECA[[#This Row],[probability_value]]*FMECA[[#This Row],[consequence_value]]</f>
        <v>25</v>
      </c>
      <c r="O782" s="10" t="str">
        <f>IF(AND(FMECA[[#This Row],[Score]]&gt;=0, 9&gt;=FMECA[[#This Row],[Score]]), "UNDETECTABLE", IF(AND(FMECA[[#This Row],[Score]]&gt;=10, 24&gt;=FMECA[[#This Row],[Score]]), "MODERATE", IF(AND(FMECA[[#This Row],[Score]]&gt;=25, 35&gt;=FMECA[[#This Row],[Score]]), "HIGH", IF(AND(FMECA[[#This Row],[Score]]&gt;=36, 50&gt;=FMECA[[#This Row],[Score]]), "VERY HIGH", "Check Formula"))))</f>
        <v>HIGH</v>
      </c>
      <c r="P782" s="10" t="s">
        <v>770</v>
      </c>
      <c r="Q782" t="s">
        <v>1132</v>
      </c>
      <c r="R782" t="s">
        <v>771</v>
      </c>
      <c r="S782" t="s">
        <v>772</v>
      </c>
      <c r="T782" t="s">
        <v>1132</v>
      </c>
      <c r="U782" t="s">
        <v>1354</v>
      </c>
      <c r="V782" t="s">
        <v>466</v>
      </c>
      <c r="W782" t="s">
        <v>1356</v>
      </c>
      <c r="X782" t="s">
        <v>466</v>
      </c>
      <c r="Y782" t="s">
        <v>1245</v>
      </c>
      <c r="Z782" t="s">
        <v>1355</v>
      </c>
      <c r="AA782" t="s">
        <v>1132</v>
      </c>
    </row>
    <row r="783" spans="1:27" x14ac:dyDescent="0.2">
      <c r="A783" s="225" t="s">
        <v>326</v>
      </c>
      <c r="B783" t="s">
        <v>303</v>
      </c>
      <c r="C783" t="s">
        <v>415</v>
      </c>
      <c r="D783" t="s">
        <v>414</v>
      </c>
      <c r="E783" t="s">
        <v>412</v>
      </c>
      <c r="F783" s="226" t="s">
        <v>413</v>
      </c>
      <c r="G783" t="str">
        <f>_xlfn.XLOOKUP(FMECA[[#This Row],[HazardRisk_name]],categories[HazardRisk_Name],categories[HazardRisk])</f>
        <v>Risk</v>
      </c>
      <c r="H783" t="str">
        <f>_xlfn.XLOOKUP(FMECA[[#This Row],[HazardRisk_name]],categories[HazardRisk_Name],categories[Category])</f>
        <v>Navigational</v>
      </c>
      <c r="I783" t="s">
        <v>474</v>
      </c>
      <c r="J783" s="10">
        <v>5</v>
      </c>
      <c r="K783" t="s">
        <v>1357</v>
      </c>
      <c r="L783" s="10">
        <v>5</v>
      </c>
      <c r="M783" t="s">
        <v>1357</v>
      </c>
      <c r="N783" s="10">
        <f>FMECA[[#This Row],[probability_value]]*FMECA[[#This Row],[consequence_value]]</f>
        <v>25</v>
      </c>
      <c r="O783" s="10" t="str">
        <f>IF(AND(FMECA[[#This Row],[Score]]&gt;=0, 9&gt;=FMECA[[#This Row],[Score]]), "UNDETECTABLE", IF(AND(FMECA[[#This Row],[Score]]&gt;=10, 24&gt;=FMECA[[#This Row],[Score]]), "MODERATE", IF(AND(FMECA[[#This Row],[Score]]&gt;=25, 35&gt;=FMECA[[#This Row],[Score]]), "HIGH", IF(AND(FMECA[[#This Row],[Score]]&gt;=36, 50&gt;=FMECA[[#This Row],[Score]]), "VERY HIGH", "Check Formula"))))</f>
        <v>HIGH</v>
      </c>
      <c r="P783" s="10" t="s">
        <v>770</v>
      </c>
      <c r="Q783" t="s">
        <v>1132</v>
      </c>
      <c r="R783" t="s">
        <v>771</v>
      </c>
      <c r="S783" t="s">
        <v>772</v>
      </c>
      <c r="U783" t="s">
        <v>1361</v>
      </c>
      <c r="V783" t="s">
        <v>470</v>
      </c>
      <c r="W783" t="s">
        <v>1358</v>
      </c>
      <c r="X783" t="s">
        <v>470</v>
      </c>
      <c r="Y783" t="s">
        <v>1245</v>
      </c>
      <c r="Z783" t="s">
        <v>1355</v>
      </c>
      <c r="AA783" t="s">
        <v>1132</v>
      </c>
    </row>
    <row r="784" spans="1:27" x14ac:dyDescent="0.2">
      <c r="A784" s="225" t="s">
        <v>326</v>
      </c>
      <c r="B784" t="s">
        <v>303</v>
      </c>
      <c r="C784" t="s">
        <v>415</v>
      </c>
      <c r="D784" t="s">
        <v>414</v>
      </c>
      <c r="E784" t="s">
        <v>412</v>
      </c>
      <c r="F784" s="226" t="s">
        <v>413</v>
      </c>
      <c r="G784" t="str">
        <f>_xlfn.XLOOKUP(FMECA[[#This Row],[HazardRisk_name]],categories[HazardRisk_Name],categories[HazardRisk])</f>
        <v>Risk</v>
      </c>
      <c r="H784" t="str">
        <f>_xlfn.XLOOKUP(FMECA[[#This Row],[HazardRisk_name]],categories[HazardRisk_Name],categories[Category])</f>
        <v>Environmental</v>
      </c>
      <c r="I784" t="s">
        <v>602</v>
      </c>
      <c r="J784" s="10">
        <v>5</v>
      </c>
      <c r="K784" t="s">
        <v>1359</v>
      </c>
      <c r="L784" s="10">
        <v>7</v>
      </c>
      <c r="M784" t="s">
        <v>1359</v>
      </c>
      <c r="N784" s="10">
        <f>FMECA[[#This Row],[probability_value]]*FMECA[[#This Row],[consequence_value]]</f>
        <v>35</v>
      </c>
      <c r="O784" s="10" t="str">
        <f>IF(AND(FMECA[[#This Row],[Score]]&gt;=0, 9&gt;=FMECA[[#This Row],[Score]]), "UNDETECTABLE", IF(AND(FMECA[[#This Row],[Score]]&gt;=10, 24&gt;=FMECA[[#This Row],[Score]]), "MODERATE", IF(AND(FMECA[[#This Row],[Score]]&gt;=25, 35&gt;=FMECA[[#This Row],[Score]]), "HIGH", IF(AND(FMECA[[#This Row],[Score]]&gt;=36, 50&gt;=FMECA[[#This Row],[Score]]), "VERY HIGH", "Check Formula"))))</f>
        <v>HIGH</v>
      </c>
      <c r="P784" s="10" t="s">
        <v>770</v>
      </c>
      <c r="Q784" t="s">
        <v>1132</v>
      </c>
      <c r="R784" t="s">
        <v>771</v>
      </c>
      <c r="S784" t="s">
        <v>772</v>
      </c>
      <c r="T784" t="s">
        <v>1132</v>
      </c>
      <c r="U784" t="s">
        <v>1361</v>
      </c>
      <c r="V784" t="s">
        <v>470</v>
      </c>
      <c r="W784" t="s">
        <v>1358</v>
      </c>
      <c r="X784" t="s">
        <v>470</v>
      </c>
      <c r="Y784" t="s">
        <v>1245</v>
      </c>
      <c r="Z784" t="s">
        <v>1360</v>
      </c>
      <c r="AA784" t="s">
        <v>1132</v>
      </c>
    </row>
    <row r="785" spans="1:27" x14ac:dyDescent="0.2">
      <c r="A785" s="225" t="s">
        <v>327</v>
      </c>
      <c r="B785" t="s">
        <v>303</v>
      </c>
      <c r="C785" t="s">
        <v>403</v>
      </c>
      <c r="D785" t="s">
        <v>418</v>
      </c>
      <c r="E785" t="s">
        <v>416</v>
      </c>
      <c r="F785" s="226" t="s">
        <v>417</v>
      </c>
      <c r="G785" t="str">
        <f>_xlfn.XLOOKUP(FMECA[[#This Row],[HazardRisk_name]],categories[HazardRisk_Name],categories[HazardRisk])</f>
        <v>Hazard</v>
      </c>
      <c r="H785" t="str">
        <f>_xlfn.XLOOKUP(FMECA[[#This Row],[HazardRisk_name]],categories[HazardRisk_Name],categories[Category])</f>
        <v>Environmental</v>
      </c>
      <c r="I785" t="s">
        <v>483</v>
      </c>
      <c r="J785" s="10">
        <v>3</v>
      </c>
      <c r="K785" t="s">
        <v>1382</v>
      </c>
      <c r="L785" s="10">
        <v>4</v>
      </c>
      <c r="M785" t="s">
        <v>1367</v>
      </c>
      <c r="N785" s="10">
        <f>FMECA[[#This Row],[probability_value]]*FMECA[[#This Row],[consequence_value]]</f>
        <v>12</v>
      </c>
      <c r="O78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85" s="10" t="s">
        <v>770</v>
      </c>
      <c r="Q785" t="s">
        <v>1162</v>
      </c>
      <c r="R785" t="s">
        <v>780</v>
      </c>
      <c r="S785" t="s">
        <v>1362</v>
      </c>
      <c r="U785" t="s">
        <v>1383</v>
      </c>
      <c r="V785" t="s">
        <v>470</v>
      </c>
      <c r="W785" t="s">
        <v>1384</v>
      </c>
      <c r="X785" t="s">
        <v>470</v>
      </c>
      <c r="AA785" t="s">
        <v>1162</v>
      </c>
    </row>
    <row r="786" spans="1:27" x14ac:dyDescent="0.2">
      <c r="A786" s="225" t="s">
        <v>327</v>
      </c>
      <c r="B786" t="s">
        <v>303</v>
      </c>
      <c r="C786" t="s">
        <v>403</v>
      </c>
      <c r="D786" t="s">
        <v>418</v>
      </c>
      <c r="E786" t="s">
        <v>416</v>
      </c>
      <c r="F786" s="226" t="s">
        <v>417</v>
      </c>
      <c r="G786" t="str">
        <f>_xlfn.XLOOKUP(FMECA[[#This Row],[HazardRisk_name]],categories[HazardRisk_Name],categories[HazardRisk])</f>
        <v>Hazard</v>
      </c>
      <c r="H786" t="str">
        <f>_xlfn.XLOOKUP(FMECA[[#This Row],[HazardRisk_name]],categories[HazardRisk_Name],categories[Category])</f>
        <v>Human</v>
      </c>
      <c r="I786" t="s">
        <v>590</v>
      </c>
      <c r="J786" s="10">
        <v>4</v>
      </c>
      <c r="K786" t="s">
        <v>1385</v>
      </c>
      <c r="L786" s="10">
        <v>7</v>
      </c>
      <c r="M786" t="s">
        <v>1385</v>
      </c>
      <c r="N786" s="10">
        <f>FMECA[[#This Row],[probability_value]]*FMECA[[#This Row],[consequence_value]]</f>
        <v>28</v>
      </c>
      <c r="O786" s="10" t="str">
        <f>IF(AND(FMECA[[#This Row],[Score]]&gt;=0, 9&gt;=FMECA[[#This Row],[Score]]), "UNDETECTABLE", IF(AND(FMECA[[#This Row],[Score]]&gt;=10, 24&gt;=FMECA[[#This Row],[Score]]), "MODERATE", IF(AND(FMECA[[#This Row],[Score]]&gt;=25, 35&gt;=FMECA[[#This Row],[Score]]), "HIGH", IF(AND(FMECA[[#This Row],[Score]]&gt;=36, 50&gt;=FMECA[[#This Row],[Score]]), "VERY HIGH", "Check Formula"))))</f>
        <v>HIGH</v>
      </c>
      <c r="P786" s="10" t="s">
        <v>770</v>
      </c>
      <c r="Q786" t="s">
        <v>1162</v>
      </c>
      <c r="R786" t="s">
        <v>780</v>
      </c>
      <c r="S786" t="s">
        <v>1362</v>
      </c>
      <c r="U786" t="s">
        <v>1386</v>
      </c>
      <c r="V786" t="s">
        <v>449</v>
      </c>
      <c r="W786" t="s">
        <v>1387</v>
      </c>
      <c r="X786" t="s">
        <v>466</v>
      </c>
      <c r="AA786" t="s">
        <v>1162</v>
      </c>
    </row>
    <row r="787" spans="1:27" x14ac:dyDescent="0.2">
      <c r="A787" s="225" t="s">
        <v>327</v>
      </c>
      <c r="B787" t="s">
        <v>303</v>
      </c>
      <c r="C787" t="s">
        <v>403</v>
      </c>
      <c r="D787" t="s">
        <v>418</v>
      </c>
      <c r="E787" t="s">
        <v>416</v>
      </c>
      <c r="F787" s="226" t="s">
        <v>417</v>
      </c>
      <c r="G787" t="str">
        <f>_xlfn.XLOOKUP(FMECA[[#This Row],[HazardRisk_name]],categories[HazardRisk_Name],categories[HazardRisk])</f>
        <v>Risk</v>
      </c>
      <c r="H787" t="str">
        <f>_xlfn.XLOOKUP(FMECA[[#This Row],[HazardRisk_name]],categories[HazardRisk_Name],categories[Category])</f>
        <v>Navigational</v>
      </c>
      <c r="I787" t="s">
        <v>582</v>
      </c>
      <c r="J787" s="10">
        <v>2</v>
      </c>
      <c r="K787" t="s">
        <v>1390</v>
      </c>
      <c r="L787" s="10">
        <v>7</v>
      </c>
      <c r="M787" t="s">
        <v>1390</v>
      </c>
      <c r="N787" s="10">
        <f>FMECA[[#This Row],[probability_value]]*FMECA[[#This Row],[consequence_value]]</f>
        <v>14</v>
      </c>
      <c r="O78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87" s="10" t="s">
        <v>770</v>
      </c>
      <c r="Q787" t="s">
        <v>1162</v>
      </c>
      <c r="R787" t="s">
        <v>780</v>
      </c>
      <c r="S787" t="s">
        <v>1362</v>
      </c>
      <c r="U787" t="s">
        <v>1388</v>
      </c>
      <c r="V787" t="s">
        <v>470</v>
      </c>
      <c r="W787" t="s">
        <v>1389</v>
      </c>
      <c r="X787" t="s">
        <v>470</v>
      </c>
      <c r="AA787" t="s">
        <v>1162</v>
      </c>
    </row>
    <row r="788" spans="1:27" x14ac:dyDescent="0.2">
      <c r="A788" s="225" t="s">
        <v>327</v>
      </c>
      <c r="B788" t="s">
        <v>303</v>
      </c>
      <c r="C788" t="s">
        <v>403</v>
      </c>
      <c r="D788" t="s">
        <v>418</v>
      </c>
      <c r="E788" t="s">
        <v>416</v>
      </c>
      <c r="F788" s="226" t="s">
        <v>417</v>
      </c>
      <c r="G788" t="str">
        <f>_xlfn.XLOOKUP(FMECA[[#This Row],[HazardRisk_name]],categories[HazardRisk_Name],categories[HazardRisk])</f>
        <v>Hazard</v>
      </c>
      <c r="H788" t="str">
        <f>_xlfn.XLOOKUP(FMECA[[#This Row],[HazardRisk_name]],categories[HazardRisk_Name],categories[Category])</f>
        <v>Navigational</v>
      </c>
      <c r="I788" t="s">
        <v>498</v>
      </c>
      <c r="J788" s="10">
        <v>1</v>
      </c>
      <c r="K788" t="s">
        <v>1376</v>
      </c>
      <c r="L788" s="10">
        <v>7</v>
      </c>
      <c r="M788" t="s">
        <v>1376</v>
      </c>
      <c r="N788" s="10">
        <f>FMECA[[#This Row],[probability_value]]*FMECA[[#This Row],[consequence_value]]</f>
        <v>7</v>
      </c>
      <c r="O788"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788" s="10" t="s">
        <v>770</v>
      </c>
      <c r="Q788" t="s">
        <v>1162</v>
      </c>
      <c r="R788" t="s">
        <v>780</v>
      </c>
      <c r="S788" t="s">
        <v>1362</v>
      </c>
      <c r="U788" t="s">
        <v>1374</v>
      </c>
      <c r="V788" t="s">
        <v>470</v>
      </c>
      <c r="W788" t="s">
        <v>1375</v>
      </c>
      <c r="X788" t="s">
        <v>470</v>
      </c>
      <c r="AA788" t="s">
        <v>1162</v>
      </c>
    </row>
    <row r="789" spans="1:27" x14ac:dyDescent="0.2">
      <c r="A789" s="225" t="s">
        <v>327</v>
      </c>
      <c r="B789" t="s">
        <v>303</v>
      </c>
      <c r="C789" t="s">
        <v>403</v>
      </c>
      <c r="D789" t="s">
        <v>418</v>
      </c>
      <c r="E789" t="s">
        <v>416</v>
      </c>
      <c r="F789" s="226" t="s">
        <v>417</v>
      </c>
      <c r="G789" t="str">
        <f>_xlfn.XLOOKUP(FMECA[[#This Row],[HazardRisk_name]],categories[HazardRisk_Name],categories[HazardRisk])</f>
        <v>Hazard</v>
      </c>
      <c r="H789" t="str">
        <f>_xlfn.XLOOKUP(FMECA[[#This Row],[HazardRisk_name]],categories[HazardRisk_Name],categories[Category])</f>
        <v>Human</v>
      </c>
      <c r="I789" t="s">
        <v>591</v>
      </c>
      <c r="J789" s="10">
        <v>3</v>
      </c>
      <c r="K789" t="s">
        <v>1391</v>
      </c>
      <c r="L789" s="10">
        <v>7</v>
      </c>
      <c r="M789" t="s">
        <v>1391</v>
      </c>
      <c r="N789" s="10">
        <f>FMECA[[#This Row],[probability_value]]*FMECA[[#This Row],[consequence_value]]</f>
        <v>21</v>
      </c>
      <c r="O78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89" s="10" t="s">
        <v>770</v>
      </c>
      <c r="Q789" t="s">
        <v>1162</v>
      </c>
      <c r="R789" t="s">
        <v>780</v>
      </c>
      <c r="S789" t="s">
        <v>1362</v>
      </c>
      <c r="U789" t="s">
        <v>1392</v>
      </c>
      <c r="V789" t="s">
        <v>466</v>
      </c>
      <c r="W789" t="s">
        <v>1393</v>
      </c>
      <c r="X789" t="s">
        <v>449</v>
      </c>
      <c r="AA789" t="s">
        <v>1162</v>
      </c>
    </row>
    <row r="790" spans="1:27" x14ac:dyDescent="0.2">
      <c r="A790" s="225" t="s">
        <v>327</v>
      </c>
      <c r="B790" t="s">
        <v>303</v>
      </c>
      <c r="C790" t="s">
        <v>403</v>
      </c>
      <c r="D790" t="s">
        <v>418</v>
      </c>
      <c r="E790" t="s">
        <v>416</v>
      </c>
      <c r="F790" s="226" t="s">
        <v>417</v>
      </c>
      <c r="G790" t="str">
        <f>_xlfn.XLOOKUP(FMECA[[#This Row],[HazardRisk_name]],categories[HazardRisk_Name],categories[HazardRisk])</f>
        <v>Risk</v>
      </c>
      <c r="H790" t="str">
        <f>_xlfn.XLOOKUP(FMECA[[#This Row],[HazardRisk_name]],categories[HazardRisk_Name],categories[Category])</f>
        <v>Social</v>
      </c>
      <c r="I790" t="s">
        <v>569</v>
      </c>
      <c r="J790" s="10">
        <v>2</v>
      </c>
      <c r="K790" t="s">
        <v>1394</v>
      </c>
      <c r="L790" s="10">
        <v>10</v>
      </c>
      <c r="M790" t="s">
        <v>1394</v>
      </c>
      <c r="N790" s="10">
        <f>FMECA[[#This Row],[probability_value]]*FMECA[[#This Row],[consequence_value]]</f>
        <v>20</v>
      </c>
      <c r="O79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90" s="10" t="s">
        <v>770</v>
      </c>
      <c r="Q790" t="s">
        <v>1162</v>
      </c>
      <c r="R790" t="s">
        <v>780</v>
      </c>
      <c r="S790" t="s">
        <v>1362</v>
      </c>
      <c r="U790" t="s">
        <v>1395</v>
      </c>
      <c r="V790" t="s">
        <v>449</v>
      </c>
      <c r="W790" t="s">
        <v>1396</v>
      </c>
      <c r="X790" t="s">
        <v>466</v>
      </c>
      <c r="AA790" t="s">
        <v>1162</v>
      </c>
    </row>
    <row r="791" spans="1:27" x14ac:dyDescent="0.2">
      <c r="A791" s="225" t="s">
        <v>327</v>
      </c>
      <c r="B791" t="s">
        <v>303</v>
      </c>
      <c r="C791" t="s">
        <v>403</v>
      </c>
      <c r="D791" t="s">
        <v>418</v>
      </c>
      <c r="E791" t="s">
        <v>416</v>
      </c>
      <c r="F791" s="226" t="s">
        <v>417</v>
      </c>
      <c r="G791" t="str">
        <f>_xlfn.XLOOKUP(FMECA[[#This Row],[HazardRisk_name]],categories[HazardRisk_Name],categories[HazardRisk])</f>
        <v>Risk</v>
      </c>
      <c r="H791" t="str">
        <f>_xlfn.XLOOKUP(FMECA[[#This Row],[HazardRisk_name]],categories[HazardRisk_Name],categories[Category])</f>
        <v>Navigational</v>
      </c>
      <c r="I791" t="s">
        <v>620</v>
      </c>
      <c r="J791" s="10">
        <v>3</v>
      </c>
      <c r="K791" t="s">
        <v>1403</v>
      </c>
      <c r="L791" s="10">
        <v>4</v>
      </c>
      <c r="M791" t="s">
        <v>1403</v>
      </c>
      <c r="N791" s="10">
        <f>FMECA[[#This Row],[probability_value]]*FMECA[[#This Row],[consequence_value]]</f>
        <v>12</v>
      </c>
      <c r="O79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91" s="10" t="s">
        <v>770</v>
      </c>
      <c r="Q791" t="s">
        <v>1162</v>
      </c>
      <c r="R791" t="s">
        <v>780</v>
      </c>
      <c r="S791" t="s">
        <v>1362</v>
      </c>
      <c r="U791" t="s">
        <v>1401</v>
      </c>
      <c r="V791" t="s">
        <v>449</v>
      </c>
      <c r="W791" t="s">
        <v>1402</v>
      </c>
      <c r="X791" t="s">
        <v>466</v>
      </c>
      <c r="AA791" t="s">
        <v>1162</v>
      </c>
    </row>
    <row r="792" spans="1:27" x14ac:dyDescent="0.2">
      <c r="A792" s="225" t="s">
        <v>327</v>
      </c>
      <c r="B792" t="s">
        <v>303</v>
      </c>
      <c r="C792" t="s">
        <v>403</v>
      </c>
      <c r="D792" t="s">
        <v>418</v>
      </c>
      <c r="E792" t="s">
        <v>416</v>
      </c>
      <c r="F792" s="226" t="s">
        <v>417</v>
      </c>
      <c r="G792" t="str">
        <f>_xlfn.XLOOKUP(FMECA[[#This Row],[HazardRisk_name]],categories[HazardRisk_Name],categories[HazardRisk])</f>
        <v>Risk</v>
      </c>
      <c r="H792" t="str">
        <f>_xlfn.XLOOKUP(FMECA[[#This Row],[HazardRisk_name]],categories[HazardRisk_Name],categories[Category])</f>
        <v>Navigational</v>
      </c>
      <c r="I792" t="s">
        <v>586</v>
      </c>
      <c r="J792" s="10">
        <v>1</v>
      </c>
      <c r="K792" t="s">
        <v>1372</v>
      </c>
      <c r="L792" s="10">
        <v>7</v>
      </c>
      <c r="M792" t="s">
        <v>1372</v>
      </c>
      <c r="N792" s="10">
        <f>FMECA[[#This Row],[probability_value]]*FMECA[[#This Row],[consequence_value]]</f>
        <v>7</v>
      </c>
      <c r="O792"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792" s="10" t="s">
        <v>770</v>
      </c>
      <c r="Q792" t="s">
        <v>1162</v>
      </c>
      <c r="R792" t="s">
        <v>780</v>
      </c>
      <c r="S792" t="s">
        <v>1362</v>
      </c>
      <c r="U792" t="s">
        <v>1397</v>
      </c>
      <c r="V792" t="s">
        <v>470</v>
      </c>
      <c r="W792" t="s">
        <v>1398</v>
      </c>
      <c r="X792" t="s">
        <v>470</v>
      </c>
      <c r="AA792" t="s">
        <v>1162</v>
      </c>
    </row>
    <row r="793" spans="1:27" x14ac:dyDescent="0.2">
      <c r="A793" s="225" t="s">
        <v>327</v>
      </c>
      <c r="B793" t="s">
        <v>303</v>
      </c>
      <c r="C793" t="s">
        <v>403</v>
      </c>
      <c r="D793" t="s">
        <v>418</v>
      </c>
      <c r="E793" t="s">
        <v>416</v>
      </c>
      <c r="F793" s="226" t="s">
        <v>417</v>
      </c>
      <c r="G793" t="str">
        <f>_xlfn.XLOOKUP(FMECA[[#This Row],[HazardRisk_name]],categories[HazardRisk_Name],categories[HazardRisk])</f>
        <v>Risk</v>
      </c>
      <c r="H793" t="str">
        <f>_xlfn.XLOOKUP(FMECA[[#This Row],[HazardRisk_name]],categories[HazardRisk_Name],categories[Category])</f>
        <v>Navigational</v>
      </c>
      <c r="I793" t="s">
        <v>474</v>
      </c>
      <c r="J793" s="10">
        <v>3</v>
      </c>
      <c r="K793" t="s">
        <v>1373</v>
      </c>
      <c r="L793" s="10">
        <v>7</v>
      </c>
      <c r="M793" t="s">
        <v>1371</v>
      </c>
      <c r="N793" s="10">
        <f>FMECA[[#This Row],[probability_value]]*FMECA[[#This Row],[consequence_value]]</f>
        <v>21</v>
      </c>
      <c r="O79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93" s="10" t="s">
        <v>770</v>
      </c>
      <c r="Q793" t="s">
        <v>1162</v>
      </c>
      <c r="R793" t="s">
        <v>780</v>
      </c>
      <c r="S793" t="s">
        <v>1362</v>
      </c>
      <c r="U793" t="s">
        <v>1399</v>
      </c>
      <c r="V793" t="s">
        <v>449</v>
      </c>
      <c r="W793" t="s">
        <v>1400</v>
      </c>
      <c r="X793" t="s">
        <v>470</v>
      </c>
      <c r="AA793" t="s">
        <v>1162</v>
      </c>
    </row>
    <row r="794" spans="1:27" x14ac:dyDescent="0.2">
      <c r="A794" s="225" t="s">
        <v>327</v>
      </c>
      <c r="B794" t="s">
        <v>303</v>
      </c>
      <c r="C794" t="s">
        <v>403</v>
      </c>
      <c r="D794" t="s">
        <v>418</v>
      </c>
      <c r="E794" t="s">
        <v>416</v>
      </c>
      <c r="F794" s="226" t="s">
        <v>417</v>
      </c>
      <c r="G794" t="str">
        <f>_xlfn.XLOOKUP(FMECA[[#This Row],[HazardRisk_name]],categories[HazardRisk_Name],categories[HazardRisk])</f>
        <v>Risk</v>
      </c>
      <c r="H794" t="str">
        <f>_xlfn.XLOOKUP(FMECA[[#This Row],[HazardRisk_name]],categories[HazardRisk_Name],categories[Category])</f>
        <v>Sea Ice</v>
      </c>
      <c r="I794" t="s">
        <v>480</v>
      </c>
      <c r="J794" s="10">
        <v>3</v>
      </c>
      <c r="K794" t="s">
        <v>1366</v>
      </c>
      <c r="L794" s="10">
        <v>10</v>
      </c>
      <c r="M794" t="s">
        <v>1367</v>
      </c>
      <c r="N794" s="10">
        <f>FMECA[[#This Row],[probability_value]]*FMECA[[#This Row],[consequence_value]]</f>
        <v>30</v>
      </c>
      <c r="O794" s="10" t="str">
        <f>IF(AND(FMECA[[#This Row],[Score]]&gt;=0, 9&gt;=FMECA[[#This Row],[Score]]), "UNDETECTABLE", IF(AND(FMECA[[#This Row],[Score]]&gt;=10, 24&gt;=FMECA[[#This Row],[Score]]), "MODERATE", IF(AND(FMECA[[#This Row],[Score]]&gt;=25, 35&gt;=FMECA[[#This Row],[Score]]), "HIGH", IF(AND(FMECA[[#This Row],[Score]]&gt;=36, 50&gt;=FMECA[[#This Row],[Score]]), "VERY HIGH", "Check Formula"))))</f>
        <v>HIGH</v>
      </c>
      <c r="P794" s="10" t="s">
        <v>770</v>
      </c>
      <c r="Q794" t="s">
        <v>1162</v>
      </c>
      <c r="R794" t="s">
        <v>780</v>
      </c>
      <c r="S794" t="s">
        <v>1362</v>
      </c>
      <c r="U794" t="s">
        <v>1368</v>
      </c>
      <c r="V794" t="s">
        <v>470</v>
      </c>
      <c r="W794" t="s">
        <v>1369</v>
      </c>
      <c r="X794" t="s">
        <v>470</v>
      </c>
      <c r="AA794" t="s">
        <v>1162</v>
      </c>
    </row>
    <row r="795" spans="1:27" x14ac:dyDescent="0.2">
      <c r="A795" s="225" t="s">
        <v>327</v>
      </c>
      <c r="B795" t="s">
        <v>303</v>
      </c>
      <c r="C795" t="s">
        <v>403</v>
      </c>
      <c r="D795" t="s">
        <v>418</v>
      </c>
      <c r="E795" t="s">
        <v>416</v>
      </c>
      <c r="F795" s="226" t="s">
        <v>417</v>
      </c>
      <c r="G795" t="str">
        <f>_xlfn.XLOOKUP(FMECA[[#This Row],[HazardRisk_name]],categories[HazardRisk_Name],categories[HazardRisk])</f>
        <v>Hazard</v>
      </c>
      <c r="H795" t="str">
        <f>_xlfn.XLOOKUP(FMECA[[#This Row],[HazardRisk_name]],categories[HazardRisk_Name],categories[Category])</f>
        <v>Environmental</v>
      </c>
      <c r="I795" t="s">
        <v>600</v>
      </c>
      <c r="J795" s="10">
        <v>2</v>
      </c>
      <c r="K795" t="s">
        <v>1363</v>
      </c>
      <c r="L795" s="10">
        <v>7</v>
      </c>
      <c r="M795" t="s">
        <v>1363</v>
      </c>
      <c r="N795" s="10">
        <f>FMECA[[#This Row],[probability_value]]*FMECA[[#This Row],[consequence_value]]</f>
        <v>14</v>
      </c>
      <c r="O79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95" s="10" t="s">
        <v>770</v>
      </c>
      <c r="Q795" t="s">
        <v>1162</v>
      </c>
      <c r="R795" t="s">
        <v>780</v>
      </c>
      <c r="S795" t="s">
        <v>1362</v>
      </c>
      <c r="U795" t="s">
        <v>1364</v>
      </c>
      <c r="V795" t="s">
        <v>470</v>
      </c>
      <c r="W795" t="s">
        <v>1365</v>
      </c>
      <c r="X795" t="s">
        <v>470</v>
      </c>
      <c r="AA795" t="s">
        <v>1162</v>
      </c>
    </row>
    <row r="796" spans="1:27" x14ac:dyDescent="0.2">
      <c r="A796" s="225" t="s">
        <v>327</v>
      </c>
      <c r="B796" t="s">
        <v>303</v>
      </c>
      <c r="C796" t="s">
        <v>403</v>
      </c>
      <c r="D796" t="s">
        <v>418</v>
      </c>
      <c r="E796" t="s">
        <v>416</v>
      </c>
      <c r="F796" s="226" t="s">
        <v>417</v>
      </c>
      <c r="G796" t="str">
        <f>_xlfn.XLOOKUP(FMECA[[#This Row],[HazardRisk_name]],categories[HazardRisk_Name],categories[HazardRisk])</f>
        <v>Hazard</v>
      </c>
      <c r="H796" t="str">
        <f>_xlfn.XLOOKUP(FMECA[[#This Row],[HazardRisk_name]],categories[HazardRisk_Name],categories[Category])</f>
        <v>Environmental</v>
      </c>
      <c r="I796" t="s">
        <v>485</v>
      </c>
      <c r="J796" s="10">
        <v>5</v>
      </c>
      <c r="K796" t="s">
        <v>1370</v>
      </c>
      <c r="L796" s="10">
        <v>4</v>
      </c>
      <c r="M796" t="s">
        <v>1379</v>
      </c>
      <c r="N796" s="10">
        <f>FMECA[[#This Row],[probability_value]]*FMECA[[#This Row],[consequence_value]]</f>
        <v>20</v>
      </c>
      <c r="O79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796" s="10" t="s">
        <v>770</v>
      </c>
      <c r="Q796" t="s">
        <v>1162</v>
      </c>
      <c r="R796" t="s">
        <v>780</v>
      </c>
      <c r="S796" t="s">
        <v>1362</v>
      </c>
      <c r="U796" t="s">
        <v>1381</v>
      </c>
      <c r="V796" t="s">
        <v>449</v>
      </c>
      <c r="W796" t="s">
        <v>1380</v>
      </c>
      <c r="X796" t="s">
        <v>470</v>
      </c>
      <c r="AA796" t="s">
        <v>1162</v>
      </c>
    </row>
    <row r="797" spans="1:27" x14ac:dyDescent="0.2">
      <c r="A797" s="225" t="s">
        <v>327</v>
      </c>
      <c r="B797" t="s">
        <v>303</v>
      </c>
      <c r="C797" t="s">
        <v>403</v>
      </c>
      <c r="D797" t="s">
        <v>418</v>
      </c>
      <c r="E797" t="s">
        <v>416</v>
      </c>
      <c r="F797" s="226" t="s">
        <v>417</v>
      </c>
      <c r="G797" t="str">
        <f>_xlfn.XLOOKUP(FMECA[[#This Row],[HazardRisk_name]],categories[HazardRisk_Name],categories[HazardRisk])</f>
        <v>Risk</v>
      </c>
      <c r="H797" t="str">
        <f>_xlfn.XLOOKUP(FMECA[[#This Row],[HazardRisk_name]],categories[HazardRisk_Name],categories[Category])</f>
        <v>Economic</v>
      </c>
      <c r="I797" t="s">
        <v>592</v>
      </c>
      <c r="J797" s="10">
        <v>5</v>
      </c>
      <c r="K797" t="s">
        <v>1376</v>
      </c>
      <c r="L797" s="10">
        <v>10</v>
      </c>
      <c r="M797" t="s">
        <v>1376</v>
      </c>
      <c r="N797" s="10">
        <f>FMECA[[#This Row],[probability_value]]*FMECA[[#This Row],[consequence_value]]</f>
        <v>50</v>
      </c>
      <c r="O797"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797" s="10" t="s">
        <v>770</v>
      </c>
      <c r="Q797" t="s">
        <v>1162</v>
      </c>
      <c r="R797" t="s">
        <v>780</v>
      </c>
      <c r="S797" t="s">
        <v>1362</v>
      </c>
      <c r="U797" t="s">
        <v>1377</v>
      </c>
      <c r="V797" t="s">
        <v>466</v>
      </c>
      <c r="W797" t="s">
        <v>1378</v>
      </c>
      <c r="X797" t="s">
        <v>466</v>
      </c>
      <c r="AA797" t="s">
        <v>1162</v>
      </c>
    </row>
    <row r="798" spans="1:27" x14ac:dyDescent="0.2">
      <c r="A798" s="225" t="s">
        <v>328</v>
      </c>
      <c r="B798" t="s">
        <v>303</v>
      </c>
      <c r="C798" t="s">
        <v>421</v>
      </c>
      <c r="D798" t="s">
        <v>422</v>
      </c>
      <c r="E798" t="s">
        <v>419</v>
      </c>
      <c r="F798" s="226" t="s">
        <v>420</v>
      </c>
      <c r="G798" t="str">
        <f>_xlfn.XLOOKUP(FMECA[[#This Row],[HazardRisk_name]],categories[HazardRisk_Name],categories[HazardRisk])</f>
        <v>Risk</v>
      </c>
      <c r="H798" t="str">
        <f>_xlfn.XLOOKUP(FMECA[[#This Row],[HazardRisk_name]],categories[HazardRisk_Name],categories[Category])</f>
        <v>Operational</v>
      </c>
      <c r="I798" t="s">
        <v>572</v>
      </c>
      <c r="J798" s="10">
        <v>4</v>
      </c>
      <c r="K798" t="s">
        <v>1434</v>
      </c>
      <c r="L798" s="10">
        <v>10</v>
      </c>
      <c r="M798" t="s">
        <v>1434</v>
      </c>
      <c r="N798" s="10">
        <f>FMECA[[#This Row],[probability_value]]*FMECA[[#This Row],[consequence_value]]</f>
        <v>40</v>
      </c>
      <c r="O798"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798" s="10" t="s">
        <v>770</v>
      </c>
      <c r="Q798" t="s">
        <v>1132</v>
      </c>
      <c r="R798" t="s">
        <v>773</v>
      </c>
      <c r="S798" t="s">
        <v>774</v>
      </c>
      <c r="U798" t="s">
        <v>1432</v>
      </c>
      <c r="V798" t="s">
        <v>470</v>
      </c>
      <c r="W798" t="s">
        <v>1433</v>
      </c>
      <c r="X798" t="s">
        <v>470</v>
      </c>
      <c r="AA798" t="s">
        <v>1162</v>
      </c>
    </row>
    <row r="799" spans="1:27" x14ac:dyDescent="0.2">
      <c r="A799" s="225" t="s">
        <v>328</v>
      </c>
      <c r="B799" t="s">
        <v>303</v>
      </c>
      <c r="C799" t="s">
        <v>421</v>
      </c>
      <c r="D799" t="s">
        <v>422</v>
      </c>
      <c r="E799" t="s">
        <v>419</v>
      </c>
      <c r="F799" s="226" t="s">
        <v>420</v>
      </c>
      <c r="G799" t="str">
        <f>_xlfn.XLOOKUP(FMECA[[#This Row],[HazardRisk_name]],categories[HazardRisk_Name],categories[HazardRisk])</f>
        <v>Risk</v>
      </c>
      <c r="H799" t="str">
        <f>_xlfn.XLOOKUP(FMECA[[#This Row],[HazardRisk_name]],categories[HazardRisk_Name],categories[Category])</f>
        <v>Social</v>
      </c>
      <c r="I799" t="s">
        <v>569</v>
      </c>
      <c r="J799" s="10">
        <v>5</v>
      </c>
      <c r="K799" t="s">
        <v>1429</v>
      </c>
      <c r="L799" s="10">
        <v>7</v>
      </c>
      <c r="M799" t="s">
        <v>1430</v>
      </c>
      <c r="N799" s="10">
        <f>FMECA[[#This Row],[probability_value]]*FMECA[[#This Row],[consequence_value]]</f>
        <v>35</v>
      </c>
      <c r="O799" s="10" t="str">
        <f>IF(AND(FMECA[[#This Row],[Score]]&gt;=0, 9&gt;=FMECA[[#This Row],[Score]]), "UNDETECTABLE", IF(AND(FMECA[[#This Row],[Score]]&gt;=10, 24&gt;=FMECA[[#This Row],[Score]]), "MODERATE", IF(AND(FMECA[[#This Row],[Score]]&gt;=25, 35&gt;=FMECA[[#This Row],[Score]]), "HIGH", IF(AND(FMECA[[#This Row],[Score]]&gt;=36, 50&gt;=FMECA[[#This Row],[Score]]), "VERY HIGH", "Check Formula"))))</f>
        <v>HIGH</v>
      </c>
      <c r="P799" s="10" t="s">
        <v>770</v>
      </c>
      <c r="Q799" t="s">
        <v>1132</v>
      </c>
      <c r="R799" t="s">
        <v>773</v>
      </c>
      <c r="S799" t="s">
        <v>774</v>
      </c>
      <c r="U799" t="s">
        <v>1407</v>
      </c>
      <c r="V799" t="s">
        <v>470</v>
      </c>
      <c r="W799" t="s">
        <v>1431</v>
      </c>
      <c r="X799" t="s">
        <v>470</v>
      </c>
      <c r="AA799" t="s">
        <v>1162</v>
      </c>
    </row>
    <row r="800" spans="1:27" x14ac:dyDescent="0.2">
      <c r="A800" s="225" t="s">
        <v>328</v>
      </c>
      <c r="B800" t="s">
        <v>303</v>
      </c>
      <c r="C800" t="s">
        <v>421</v>
      </c>
      <c r="D800" t="s">
        <v>422</v>
      </c>
      <c r="E800" t="s">
        <v>419</v>
      </c>
      <c r="F800" s="226" t="s">
        <v>420</v>
      </c>
      <c r="G800" t="str">
        <f>_xlfn.XLOOKUP(FMECA[[#This Row],[HazardRisk_name]],categories[HazardRisk_Name],categories[HazardRisk])</f>
        <v>Risk</v>
      </c>
      <c r="H800" t="str">
        <f>_xlfn.XLOOKUP(FMECA[[#This Row],[HazardRisk_name]],categories[HazardRisk_Name],categories[Category])</f>
        <v>Social</v>
      </c>
      <c r="I800" t="s">
        <v>621</v>
      </c>
      <c r="J800" s="10">
        <v>4</v>
      </c>
      <c r="K800" t="s">
        <v>1426</v>
      </c>
      <c r="L800" s="10">
        <v>4</v>
      </c>
      <c r="M800" t="s">
        <v>1426</v>
      </c>
      <c r="N800" s="10">
        <f>FMECA[[#This Row],[probability_value]]*FMECA[[#This Row],[consequence_value]]</f>
        <v>16</v>
      </c>
      <c r="O80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00" s="10" t="s">
        <v>770</v>
      </c>
      <c r="Q800" t="s">
        <v>1132</v>
      </c>
      <c r="R800" t="s">
        <v>773</v>
      </c>
      <c r="S800" t="s">
        <v>774</v>
      </c>
      <c r="U800" t="s">
        <v>1427</v>
      </c>
      <c r="V800" t="s">
        <v>449</v>
      </c>
      <c r="W800" t="s">
        <v>1428</v>
      </c>
      <c r="X800" t="s">
        <v>470</v>
      </c>
      <c r="AA800" t="s">
        <v>1162</v>
      </c>
    </row>
    <row r="801" spans="1:27" x14ac:dyDescent="0.2">
      <c r="A801" s="225" t="s">
        <v>328</v>
      </c>
      <c r="B801" t="s">
        <v>303</v>
      </c>
      <c r="C801" t="s">
        <v>421</v>
      </c>
      <c r="D801" t="s">
        <v>422</v>
      </c>
      <c r="E801" t="s">
        <v>419</v>
      </c>
      <c r="F801" s="226" t="s">
        <v>420</v>
      </c>
      <c r="G801" t="str">
        <f>_xlfn.XLOOKUP(FMECA[[#This Row],[HazardRisk_name]],categories[HazardRisk_Name],categories[HazardRisk])</f>
        <v>Risk</v>
      </c>
      <c r="H801" t="str">
        <f>_xlfn.XLOOKUP(FMECA[[#This Row],[HazardRisk_name]],categories[HazardRisk_Name],categories[Category])</f>
        <v>Sea Ice</v>
      </c>
      <c r="I801" t="s">
        <v>480</v>
      </c>
      <c r="J801" s="10">
        <v>5</v>
      </c>
      <c r="K801" t="s">
        <v>1410</v>
      </c>
      <c r="L801" s="10">
        <v>7</v>
      </c>
      <c r="M801" t="s">
        <v>1425</v>
      </c>
      <c r="N801" s="10">
        <f>FMECA[[#This Row],[probability_value]]*FMECA[[#This Row],[consequence_value]]</f>
        <v>35</v>
      </c>
      <c r="O801" s="10" t="str">
        <f>IF(AND(FMECA[[#This Row],[Score]]&gt;=0, 9&gt;=FMECA[[#This Row],[Score]]), "UNDETECTABLE", IF(AND(FMECA[[#This Row],[Score]]&gt;=10, 24&gt;=FMECA[[#This Row],[Score]]), "MODERATE", IF(AND(FMECA[[#This Row],[Score]]&gt;=25, 35&gt;=FMECA[[#This Row],[Score]]), "HIGH", IF(AND(FMECA[[#This Row],[Score]]&gt;=36, 50&gt;=FMECA[[#This Row],[Score]]), "VERY HIGH", "Check Formula"))))</f>
        <v>HIGH</v>
      </c>
      <c r="P801" s="10" t="s">
        <v>770</v>
      </c>
      <c r="Q801" t="s">
        <v>1132</v>
      </c>
      <c r="R801" t="s">
        <v>773</v>
      </c>
      <c r="S801" t="s">
        <v>774</v>
      </c>
      <c r="U801" t="s">
        <v>1423</v>
      </c>
      <c r="V801" t="s">
        <v>466</v>
      </c>
      <c r="W801" t="s">
        <v>1424</v>
      </c>
      <c r="X801" t="s">
        <v>470</v>
      </c>
      <c r="Y801" t="s">
        <v>1414</v>
      </c>
      <c r="Z801" t="s">
        <v>1415</v>
      </c>
      <c r="AA801" t="s">
        <v>1132</v>
      </c>
    </row>
    <row r="802" spans="1:27" x14ac:dyDescent="0.2">
      <c r="A802" s="225" t="s">
        <v>328</v>
      </c>
      <c r="B802" t="s">
        <v>303</v>
      </c>
      <c r="C802" t="s">
        <v>421</v>
      </c>
      <c r="D802" t="s">
        <v>422</v>
      </c>
      <c r="E802" t="s">
        <v>419</v>
      </c>
      <c r="F802" s="226" t="s">
        <v>420</v>
      </c>
      <c r="G802" t="str">
        <f>_xlfn.XLOOKUP(FMECA[[#This Row],[HazardRisk_name]],categories[HazardRisk_Name],categories[HazardRisk])</f>
        <v>Risk</v>
      </c>
      <c r="H802" t="str">
        <f>_xlfn.XLOOKUP(FMECA[[#This Row],[HazardRisk_name]],categories[HazardRisk_Name],categories[Category])</f>
        <v>Navigational</v>
      </c>
      <c r="I802" t="s">
        <v>620</v>
      </c>
      <c r="J802" s="10">
        <v>4</v>
      </c>
      <c r="K802" t="s">
        <v>1421</v>
      </c>
      <c r="L802" s="10">
        <v>4</v>
      </c>
      <c r="M802" t="s">
        <v>1421</v>
      </c>
      <c r="N802" s="10">
        <f>FMECA[[#This Row],[probability_value]]*FMECA[[#This Row],[consequence_value]]</f>
        <v>16</v>
      </c>
      <c r="O80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02" s="10" t="s">
        <v>770</v>
      </c>
      <c r="Q802" t="s">
        <v>1132</v>
      </c>
      <c r="R802" t="s">
        <v>773</v>
      </c>
      <c r="S802" t="s">
        <v>774</v>
      </c>
      <c r="U802" t="s">
        <v>1405</v>
      </c>
      <c r="V802" t="s">
        <v>470</v>
      </c>
      <c r="W802" t="s">
        <v>1406</v>
      </c>
      <c r="X802" t="s">
        <v>470</v>
      </c>
      <c r="Y802" t="s">
        <v>1153</v>
      </c>
      <c r="Z802" t="s">
        <v>1422</v>
      </c>
      <c r="AA802" t="s">
        <v>1162</v>
      </c>
    </row>
    <row r="803" spans="1:27" x14ac:dyDescent="0.2">
      <c r="A803" s="225" t="s">
        <v>328</v>
      </c>
      <c r="B803" t="s">
        <v>303</v>
      </c>
      <c r="C803" t="s">
        <v>421</v>
      </c>
      <c r="D803" t="s">
        <v>422</v>
      </c>
      <c r="E803" t="s">
        <v>419</v>
      </c>
      <c r="F803" s="226" t="s">
        <v>420</v>
      </c>
      <c r="G803" t="str">
        <f>_xlfn.XLOOKUP(FMECA[[#This Row],[HazardRisk_name]],categories[HazardRisk_Name],categories[HazardRisk])</f>
        <v>Risk</v>
      </c>
      <c r="H803" t="str">
        <f>_xlfn.XLOOKUP(FMECA[[#This Row],[HazardRisk_name]],categories[HazardRisk_Name],categories[Category])</f>
        <v>Environmental</v>
      </c>
      <c r="I803" t="s">
        <v>1219</v>
      </c>
      <c r="J803" s="10">
        <v>4</v>
      </c>
      <c r="K803" t="s">
        <v>1418</v>
      </c>
      <c r="L803" s="10">
        <v>10</v>
      </c>
      <c r="M803" t="s">
        <v>1417</v>
      </c>
      <c r="N803" s="10">
        <f>FMECA[[#This Row],[probability_value]]*FMECA[[#This Row],[consequence_value]]</f>
        <v>40</v>
      </c>
      <c r="O803"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803" s="10" t="s">
        <v>770</v>
      </c>
      <c r="Q803" t="s">
        <v>1132</v>
      </c>
      <c r="R803" t="s">
        <v>773</v>
      </c>
      <c r="S803" t="s">
        <v>774</v>
      </c>
      <c r="U803" t="s">
        <v>1408</v>
      </c>
      <c r="V803" t="s">
        <v>470</v>
      </c>
      <c r="W803" t="s">
        <v>1409</v>
      </c>
      <c r="X803" t="s">
        <v>470</v>
      </c>
      <c r="AA803" t="s">
        <v>1162</v>
      </c>
    </row>
    <row r="804" spans="1:27" x14ac:dyDescent="0.2">
      <c r="A804" s="225" t="s">
        <v>328</v>
      </c>
      <c r="B804" t="s">
        <v>303</v>
      </c>
      <c r="C804" t="s">
        <v>421</v>
      </c>
      <c r="D804" t="s">
        <v>422</v>
      </c>
      <c r="E804" t="s">
        <v>419</v>
      </c>
      <c r="F804" s="226" t="s">
        <v>420</v>
      </c>
      <c r="G804" t="str">
        <f>_xlfn.XLOOKUP(FMECA[[#This Row],[HazardRisk_name]],categories[HazardRisk_Name],categories[HazardRisk])</f>
        <v>Hazard</v>
      </c>
      <c r="H804" t="str">
        <f>_xlfn.XLOOKUP(FMECA[[#This Row],[HazardRisk_name]],categories[HazardRisk_Name],categories[Category])</f>
        <v>Sea Ice</v>
      </c>
      <c r="I804" t="s">
        <v>447</v>
      </c>
      <c r="J804" s="10">
        <v>5</v>
      </c>
      <c r="K804" t="s">
        <v>1410</v>
      </c>
      <c r="L804" s="10">
        <v>10</v>
      </c>
      <c r="M804" t="s">
        <v>1411</v>
      </c>
      <c r="N804" s="10">
        <f>FMECA[[#This Row],[probability_value]]*FMECA[[#This Row],[consequence_value]]</f>
        <v>50</v>
      </c>
      <c r="O804" s="10" t="str">
        <f>IF(AND(FMECA[[#This Row],[Score]]&gt;=0, 9&gt;=FMECA[[#This Row],[Score]]), "UNDETECTABLE", IF(AND(FMECA[[#This Row],[Score]]&gt;=10, 24&gt;=FMECA[[#This Row],[Score]]), "MODERATE", IF(AND(FMECA[[#This Row],[Score]]&gt;=25, 35&gt;=FMECA[[#This Row],[Score]]), "HIGH", IF(AND(FMECA[[#This Row],[Score]]&gt;=36, 50&gt;=FMECA[[#This Row],[Score]]), "VERY HIGH", "Check Formula"))))</f>
        <v>VERY HIGH</v>
      </c>
      <c r="P804" s="10" t="s">
        <v>770</v>
      </c>
      <c r="Q804" t="s">
        <v>1132</v>
      </c>
      <c r="R804" t="s">
        <v>773</v>
      </c>
      <c r="S804" t="s">
        <v>774</v>
      </c>
      <c r="U804" t="s">
        <v>1412</v>
      </c>
      <c r="V804" t="s">
        <v>466</v>
      </c>
      <c r="W804" t="s">
        <v>1413</v>
      </c>
      <c r="X804" t="s">
        <v>470</v>
      </c>
      <c r="Y804" t="s">
        <v>1414</v>
      </c>
      <c r="Z804" t="s">
        <v>1415</v>
      </c>
      <c r="AA804" t="s">
        <v>1132</v>
      </c>
    </row>
    <row r="805" spans="1:27" x14ac:dyDescent="0.2">
      <c r="A805" s="225" t="s">
        <v>328</v>
      </c>
      <c r="B805" t="s">
        <v>303</v>
      </c>
      <c r="C805" t="s">
        <v>421</v>
      </c>
      <c r="D805" t="s">
        <v>422</v>
      </c>
      <c r="E805" t="s">
        <v>419</v>
      </c>
      <c r="F805" s="226" t="s">
        <v>420</v>
      </c>
      <c r="G805" t="str">
        <f>_xlfn.XLOOKUP(FMECA[[#This Row],[HazardRisk_name]],categories[HazardRisk_Name],categories[HazardRisk])</f>
        <v>Hazard</v>
      </c>
      <c r="H805" t="str">
        <f>_xlfn.XLOOKUP(FMECA[[#This Row],[HazardRisk_name]],categories[HazardRisk_Name],categories[Category])</f>
        <v>Sea Ice</v>
      </c>
      <c r="I805" t="s">
        <v>448</v>
      </c>
      <c r="J805" s="10">
        <v>5</v>
      </c>
      <c r="K805" t="s">
        <v>1410</v>
      </c>
      <c r="L805" s="10">
        <v>7</v>
      </c>
      <c r="M805" t="s">
        <v>1416</v>
      </c>
      <c r="N805" s="10">
        <f>FMECA[[#This Row],[probability_value]]*FMECA[[#This Row],[consequence_value]]</f>
        <v>35</v>
      </c>
      <c r="O805" s="10" t="str">
        <f>IF(AND(FMECA[[#This Row],[Score]]&gt;=0, 9&gt;=FMECA[[#This Row],[Score]]), "UNDETECTABLE", IF(AND(FMECA[[#This Row],[Score]]&gt;=10, 24&gt;=FMECA[[#This Row],[Score]]), "MODERATE", IF(AND(FMECA[[#This Row],[Score]]&gt;=25, 35&gt;=FMECA[[#This Row],[Score]]), "HIGH", IF(AND(FMECA[[#This Row],[Score]]&gt;=36, 50&gt;=FMECA[[#This Row],[Score]]), "VERY HIGH", "Check Formula"))))</f>
        <v>HIGH</v>
      </c>
      <c r="P805" s="10" t="s">
        <v>770</v>
      </c>
      <c r="Q805" t="s">
        <v>1132</v>
      </c>
      <c r="R805" t="s">
        <v>773</v>
      </c>
      <c r="S805" t="s">
        <v>774</v>
      </c>
      <c r="U805" t="s">
        <v>1412</v>
      </c>
      <c r="V805" t="s">
        <v>466</v>
      </c>
      <c r="W805" t="s">
        <v>1413</v>
      </c>
      <c r="X805" t="s">
        <v>470</v>
      </c>
      <c r="Y805" t="s">
        <v>1414</v>
      </c>
      <c r="Z805" t="s">
        <v>1415</v>
      </c>
      <c r="AA805" t="s">
        <v>1132</v>
      </c>
    </row>
    <row r="806" spans="1:27" x14ac:dyDescent="0.2">
      <c r="A806" s="225" t="s">
        <v>328</v>
      </c>
      <c r="B806" t="s">
        <v>303</v>
      </c>
      <c r="C806" t="s">
        <v>421</v>
      </c>
      <c r="D806" t="s">
        <v>422</v>
      </c>
      <c r="E806" t="s">
        <v>419</v>
      </c>
      <c r="F806" s="226" t="s">
        <v>420</v>
      </c>
      <c r="G806" t="str">
        <f>_xlfn.XLOOKUP(FMECA[[#This Row],[HazardRisk_name]],categories[HazardRisk_Name],categories[HazardRisk])</f>
        <v>Risk</v>
      </c>
      <c r="H806" t="str">
        <f>_xlfn.XLOOKUP(FMECA[[#This Row],[HazardRisk_name]],categories[HazardRisk_Name],categories[Category])</f>
        <v>Navigational</v>
      </c>
      <c r="I806" t="s">
        <v>586</v>
      </c>
      <c r="J806" s="10">
        <v>5</v>
      </c>
      <c r="K806" t="s">
        <v>1418</v>
      </c>
      <c r="L806" s="10">
        <v>7</v>
      </c>
      <c r="M806" t="s">
        <v>1418</v>
      </c>
      <c r="N806" s="10">
        <f>FMECA[[#This Row],[probability_value]]*FMECA[[#This Row],[consequence_value]]</f>
        <v>35</v>
      </c>
      <c r="O806" s="10" t="str">
        <f>IF(AND(FMECA[[#This Row],[Score]]&gt;=0, 9&gt;=FMECA[[#This Row],[Score]]), "UNDETECTABLE", IF(AND(FMECA[[#This Row],[Score]]&gt;=10, 24&gt;=FMECA[[#This Row],[Score]]), "MODERATE", IF(AND(FMECA[[#This Row],[Score]]&gt;=25, 35&gt;=FMECA[[#This Row],[Score]]), "HIGH", IF(AND(FMECA[[#This Row],[Score]]&gt;=36, 50&gt;=FMECA[[#This Row],[Score]]), "VERY HIGH", "Check Formula"))))</f>
        <v>HIGH</v>
      </c>
      <c r="P806" s="10" t="s">
        <v>770</v>
      </c>
      <c r="Q806" t="s">
        <v>1132</v>
      </c>
      <c r="R806" t="s">
        <v>773</v>
      </c>
      <c r="S806" t="s">
        <v>774</v>
      </c>
      <c r="U806" t="s">
        <v>1419</v>
      </c>
      <c r="V806" t="s">
        <v>470</v>
      </c>
      <c r="W806" t="s">
        <v>1420</v>
      </c>
      <c r="X806" t="s">
        <v>470</v>
      </c>
      <c r="AA806" t="s">
        <v>1162</v>
      </c>
    </row>
    <row r="807" spans="1:27" x14ac:dyDescent="0.2">
      <c r="A807" s="225" t="s">
        <v>329</v>
      </c>
      <c r="B807" t="s">
        <v>303</v>
      </c>
      <c r="C807" t="s">
        <v>426</v>
      </c>
      <c r="D807" t="s">
        <v>424</v>
      </c>
      <c r="E807" t="s">
        <v>423</v>
      </c>
      <c r="F807" s="226" t="s">
        <v>425</v>
      </c>
      <c r="G807" t="str">
        <f>_xlfn.XLOOKUP(FMECA[[#This Row],[HazardRisk_name]],categories[HazardRisk_Name],categories[HazardRisk])</f>
        <v>Risk</v>
      </c>
      <c r="H807" t="str">
        <f>_xlfn.XLOOKUP(FMECA[[#This Row],[HazardRisk_name]],categories[HazardRisk_Name],categories[Category])</f>
        <v>Assessment</v>
      </c>
      <c r="I807" t="s">
        <v>667</v>
      </c>
      <c r="J807" s="10">
        <v>5</v>
      </c>
      <c r="K807" t="s">
        <v>1450</v>
      </c>
      <c r="L807" s="10">
        <v>4</v>
      </c>
      <c r="M807" t="s">
        <v>1450</v>
      </c>
      <c r="N807" s="10">
        <f>FMECA[[#This Row],[probability_value]]*FMECA[[#This Row],[consequence_value]]</f>
        <v>20</v>
      </c>
      <c r="O80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07" s="10" t="s">
        <v>770</v>
      </c>
      <c r="Q807" t="s">
        <v>1132</v>
      </c>
      <c r="R807" t="s">
        <v>773</v>
      </c>
      <c r="S807" t="s">
        <v>774</v>
      </c>
      <c r="U807" t="s">
        <v>1451</v>
      </c>
      <c r="V807" t="s">
        <v>466</v>
      </c>
      <c r="W807" t="s">
        <v>1453</v>
      </c>
      <c r="X807" t="s">
        <v>466</v>
      </c>
      <c r="Y807" t="s">
        <v>1245</v>
      </c>
      <c r="Z807" t="s">
        <v>1452</v>
      </c>
      <c r="AA807" t="s">
        <v>1132</v>
      </c>
    </row>
    <row r="808" spans="1:27" x14ac:dyDescent="0.2">
      <c r="A808" s="225" t="s">
        <v>329</v>
      </c>
      <c r="B808" t="s">
        <v>303</v>
      </c>
      <c r="C808" t="s">
        <v>426</v>
      </c>
      <c r="D808" t="s">
        <v>424</v>
      </c>
      <c r="E808" t="s">
        <v>423</v>
      </c>
      <c r="F808" s="226" t="s">
        <v>425</v>
      </c>
      <c r="G808" t="str">
        <f>_xlfn.XLOOKUP(FMECA[[#This Row],[HazardRisk_name]],categories[HazardRisk_Name],categories[HazardRisk])</f>
        <v>Risk</v>
      </c>
      <c r="H808" t="str">
        <f>_xlfn.XLOOKUP(FMECA[[#This Row],[HazardRisk_name]],categories[HazardRisk_Name],categories[Category])</f>
        <v>Political</v>
      </c>
      <c r="I808" t="s">
        <v>622</v>
      </c>
      <c r="J808" s="10">
        <v>4</v>
      </c>
      <c r="K808" t="s">
        <v>1442</v>
      </c>
      <c r="L808" s="10">
        <v>4</v>
      </c>
      <c r="M808" t="s">
        <v>1442</v>
      </c>
      <c r="N808" s="10">
        <f>FMECA[[#This Row],[probability_value]]*FMECA[[#This Row],[consequence_value]]</f>
        <v>16</v>
      </c>
      <c r="O80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08" s="10" t="s">
        <v>770</v>
      </c>
      <c r="Q808" t="s">
        <v>1132</v>
      </c>
      <c r="R808" t="s">
        <v>773</v>
      </c>
      <c r="S808" t="s">
        <v>775</v>
      </c>
      <c r="U808" t="s">
        <v>1443</v>
      </c>
      <c r="V808" t="s">
        <v>449</v>
      </c>
      <c r="W808" t="s">
        <v>1444</v>
      </c>
      <c r="X808" t="s">
        <v>470</v>
      </c>
      <c r="Y808" t="s">
        <v>1153</v>
      </c>
      <c r="Z808" t="s">
        <v>1445</v>
      </c>
      <c r="AA808" t="s">
        <v>1132</v>
      </c>
    </row>
    <row r="809" spans="1:27" x14ac:dyDescent="0.2">
      <c r="A809" s="225" t="s">
        <v>329</v>
      </c>
      <c r="B809" t="s">
        <v>303</v>
      </c>
      <c r="C809" t="s">
        <v>426</v>
      </c>
      <c r="D809" t="s">
        <v>424</v>
      </c>
      <c r="E809" t="s">
        <v>423</v>
      </c>
      <c r="F809" s="226" t="s">
        <v>425</v>
      </c>
      <c r="G809" t="str">
        <f>_xlfn.XLOOKUP(FMECA[[#This Row],[HazardRisk_name]],categories[HazardRisk_Name],categories[HazardRisk])</f>
        <v>Risk</v>
      </c>
      <c r="H809" t="str">
        <f>_xlfn.XLOOKUP(FMECA[[#This Row],[HazardRisk_name]],categories[HazardRisk_Name],categories[Category])</f>
        <v>Political</v>
      </c>
      <c r="I809" t="s">
        <v>540</v>
      </c>
      <c r="J809" s="10">
        <v>3</v>
      </c>
      <c r="K809" t="s">
        <v>1442</v>
      </c>
      <c r="L809" s="10">
        <v>4</v>
      </c>
      <c r="M809" t="s">
        <v>1442</v>
      </c>
      <c r="N809" s="10">
        <f>FMECA[[#This Row],[probability_value]]*FMECA[[#This Row],[consequence_value]]</f>
        <v>12</v>
      </c>
      <c r="O80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09" s="10" t="s">
        <v>770</v>
      </c>
      <c r="Q809" t="s">
        <v>1132</v>
      </c>
      <c r="R809" t="s">
        <v>773</v>
      </c>
      <c r="S809" t="s">
        <v>775</v>
      </c>
      <c r="U809" t="s">
        <v>1448</v>
      </c>
      <c r="V809" t="s">
        <v>449</v>
      </c>
      <c r="W809" t="s">
        <v>1449</v>
      </c>
      <c r="X809" t="s">
        <v>470</v>
      </c>
      <c r="Y809" t="s">
        <v>1153</v>
      </c>
      <c r="Z809" t="s">
        <v>1445</v>
      </c>
      <c r="AA809" t="s">
        <v>1132</v>
      </c>
    </row>
    <row r="810" spans="1:27" x14ac:dyDescent="0.2">
      <c r="A810" s="225" t="s">
        <v>329</v>
      </c>
      <c r="B810" t="s">
        <v>303</v>
      </c>
      <c r="C810" t="s">
        <v>426</v>
      </c>
      <c r="D810" t="s">
        <v>424</v>
      </c>
      <c r="E810" t="s">
        <v>423</v>
      </c>
      <c r="F810" s="226" t="s">
        <v>425</v>
      </c>
      <c r="G810" t="str">
        <f>_xlfn.XLOOKUP(FMECA[[#This Row],[HazardRisk_name]],categories[HazardRisk_Name],categories[HazardRisk])</f>
        <v>Hazard</v>
      </c>
      <c r="H810" t="str">
        <f>_xlfn.XLOOKUP(FMECA[[#This Row],[HazardRisk_name]],categories[HazardRisk_Name],categories[Category])</f>
        <v>Navigational</v>
      </c>
      <c r="I810" t="s">
        <v>484</v>
      </c>
      <c r="J810" s="10">
        <v>4</v>
      </c>
      <c r="K810" t="s">
        <v>1446</v>
      </c>
      <c r="L810" s="10">
        <v>7</v>
      </c>
      <c r="M810" t="s">
        <v>1446</v>
      </c>
      <c r="N810" s="10">
        <f>FMECA[[#This Row],[probability_value]]*FMECA[[#This Row],[consequence_value]]</f>
        <v>28</v>
      </c>
      <c r="O810" s="10" t="str">
        <f>IF(AND(FMECA[[#This Row],[Score]]&gt;=0, 9&gt;=FMECA[[#This Row],[Score]]), "UNDETECTABLE", IF(AND(FMECA[[#This Row],[Score]]&gt;=10, 24&gt;=FMECA[[#This Row],[Score]]), "MODERATE", IF(AND(FMECA[[#This Row],[Score]]&gt;=25, 35&gt;=FMECA[[#This Row],[Score]]), "HIGH", IF(AND(FMECA[[#This Row],[Score]]&gt;=36, 50&gt;=FMECA[[#This Row],[Score]]), "VERY HIGH", "Check Formula"))))</f>
        <v>HIGH</v>
      </c>
      <c r="P810" s="10" t="s">
        <v>770</v>
      </c>
      <c r="Q810" t="s">
        <v>1132</v>
      </c>
      <c r="R810" t="s">
        <v>773</v>
      </c>
      <c r="S810" t="s">
        <v>775</v>
      </c>
      <c r="U810" t="s">
        <v>1306</v>
      </c>
      <c r="W810" t="s">
        <v>1447</v>
      </c>
      <c r="X810" t="s">
        <v>470</v>
      </c>
      <c r="AA810" t="s">
        <v>1162</v>
      </c>
    </row>
    <row r="811" spans="1:27" x14ac:dyDescent="0.2">
      <c r="A811" s="225" t="s">
        <v>329</v>
      </c>
      <c r="B811" t="s">
        <v>303</v>
      </c>
      <c r="C811" t="s">
        <v>426</v>
      </c>
      <c r="D811" t="s">
        <v>424</v>
      </c>
      <c r="E811" t="s">
        <v>423</v>
      </c>
      <c r="F811" s="226" t="s">
        <v>425</v>
      </c>
      <c r="G811" t="str">
        <f>_xlfn.XLOOKUP(FMECA[[#This Row],[HazardRisk_name]],categories[HazardRisk_Name],categories[HazardRisk])</f>
        <v>Risk</v>
      </c>
      <c r="H811" t="str">
        <f>_xlfn.XLOOKUP(FMECA[[#This Row],[HazardRisk_name]],categories[HazardRisk_Name],categories[Category])</f>
        <v>Social</v>
      </c>
      <c r="I811" t="s">
        <v>621</v>
      </c>
      <c r="J811" s="10">
        <v>4</v>
      </c>
      <c r="K811" t="s">
        <v>1455</v>
      </c>
      <c r="L811" s="10">
        <v>7</v>
      </c>
      <c r="M811" t="s">
        <v>1454</v>
      </c>
      <c r="N811" s="10">
        <f>FMECA[[#This Row],[probability_value]]*FMECA[[#This Row],[consequence_value]]</f>
        <v>28</v>
      </c>
      <c r="O811" s="10" t="str">
        <f>IF(AND(FMECA[[#This Row],[Score]]&gt;=0, 9&gt;=FMECA[[#This Row],[Score]]), "UNDETECTABLE", IF(AND(FMECA[[#This Row],[Score]]&gt;=10, 24&gt;=FMECA[[#This Row],[Score]]), "MODERATE", IF(AND(FMECA[[#This Row],[Score]]&gt;=25, 35&gt;=FMECA[[#This Row],[Score]]), "HIGH", IF(AND(FMECA[[#This Row],[Score]]&gt;=36, 50&gt;=FMECA[[#This Row],[Score]]), "VERY HIGH", "Check Formula"))))</f>
        <v>HIGH</v>
      </c>
      <c r="P811" s="10" t="s">
        <v>770</v>
      </c>
      <c r="Q811" t="s">
        <v>1132</v>
      </c>
      <c r="R811" t="s">
        <v>773</v>
      </c>
      <c r="S811" t="s">
        <v>775</v>
      </c>
      <c r="U811" t="s">
        <v>1456</v>
      </c>
      <c r="V811" t="s">
        <v>470</v>
      </c>
      <c r="W811" t="s">
        <v>1457</v>
      </c>
      <c r="X811" t="s">
        <v>470</v>
      </c>
      <c r="Y811" t="s">
        <v>1153</v>
      </c>
      <c r="Z811" t="s">
        <v>1445</v>
      </c>
      <c r="AA811" t="s">
        <v>1132</v>
      </c>
    </row>
    <row r="812" spans="1:27" x14ac:dyDescent="0.2">
      <c r="A812" s="225" t="s">
        <v>329</v>
      </c>
      <c r="B812" t="s">
        <v>303</v>
      </c>
      <c r="C812" t="s">
        <v>426</v>
      </c>
      <c r="D812" t="s">
        <v>424</v>
      </c>
      <c r="E812" t="s">
        <v>423</v>
      </c>
      <c r="F812" s="226" t="s">
        <v>425</v>
      </c>
      <c r="G812" t="str">
        <f>_xlfn.XLOOKUP(FMECA[[#This Row],[HazardRisk_name]],categories[HazardRisk_Name],categories[HazardRisk])</f>
        <v>Risk</v>
      </c>
      <c r="H812" t="str">
        <f>_xlfn.XLOOKUP(FMECA[[#This Row],[HazardRisk_name]],categories[HazardRisk_Name],categories[Category])</f>
        <v>Navigational</v>
      </c>
      <c r="I812" t="s">
        <v>474</v>
      </c>
      <c r="J812" s="10">
        <v>4</v>
      </c>
      <c r="K812" t="s">
        <v>1439</v>
      </c>
      <c r="L812" s="10">
        <v>7</v>
      </c>
      <c r="M812" t="s">
        <v>1439</v>
      </c>
      <c r="N812" s="10">
        <f>FMECA[[#This Row],[probability_value]]*FMECA[[#This Row],[consequence_value]]</f>
        <v>28</v>
      </c>
      <c r="O812" s="10" t="str">
        <f>IF(AND(FMECA[[#This Row],[Score]]&gt;=0, 9&gt;=FMECA[[#This Row],[Score]]), "UNDETECTABLE", IF(AND(FMECA[[#This Row],[Score]]&gt;=10, 24&gt;=FMECA[[#This Row],[Score]]), "MODERATE", IF(AND(FMECA[[#This Row],[Score]]&gt;=25, 35&gt;=FMECA[[#This Row],[Score]]), "HIGH", IF(AND(FMECA[[#This Row],[Score]]&gt;=36, 50&gt;=FMECA[[#This Row],[Score]]), "VERY HIGH", "Check Formula"))))</f>
        <v>HIGH</v>
      </c>
      <c r="P812" s="10" t="s">
        <v>770</v>
      </c>
      <c r="Q812" t="s">
        <v>1132</v>
      </c>
      <c r="R812" t="s">
        <v>773</v>
      </c>
      <c r="S812" t="s">
        <v>775</v>
      </c>
      <c r="U812" t="s">
        <v>1441</v>
      </c>
      <c r="V812" t="s">
        <v>466</v>
      </c>
      <c r="W812" t="s">
        <v>1440</v>
      </c>
      <c r="X812" t="s">
        <v>470</v>
      </c>
      <c r="AA812" t="s">
        <v>1162</v>
      </c>
    </row>
    <row r="813" spans="1:27" x14ac:dyDescent="0.2">
      <c r="A813" s="225" t="s">
        <v>329</v>
      </c>
      <c r="B813" t="s">
        <v>303</v>
      </c>
      <c r="C813" t="s">
        <v>426</v>
      </c>
      <c r="D813" t="s">
        <v>424</v>
      </c>
      <c r="E813" t="s">
        <v>423</v>
      </c>
      <c r="F813" s="226" t="s">
        <v>425</v>
      </c>
      <c r="G813" t="str">
        <f>_xlfn.XLOOKUP(FMECA[[#This Row],[HazardRisk_name]],categories[HazardRisk_Name],categories[HazardRisk])</f>
        <v>Risk</v>
      </c>
      <c r="H813" t="str">
        <f>_xlfn.XLOOKUP(FMECA[[#This Row],[HazardRisk_name]],categories[HazardRisk_Name],categories[Category])</f>
        <v>Community</v>
      </c>
      <c r="I813" t="s">
        <v>647</v>
      </c>
      <c r="J813" s="10">
        <v>2</v>
      </c>
      <c r="K813" t="s">
        <v>1436</v>
      </c>
      <c r="L813" s="10">
        <v>7</v>
      </c>
      <c r="M813" t="s">
        <v>1436</v>
      </c>
      <c r="N813" s="10">
        <f>FMECA[[#This Row],[probability_value]]*FMECA[[#This Row],[consequence_value]]</f>
        <v>14</v>
      </c>
      <c r="O81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13" s="10" t="s">
        <v>770</v>
      </c>
      <c r="Q813" t="s">
        <v>1132</v>
      </c>
      <c r="R813" t="s">
        <v>773</v>
      </c>
      <c r="S813" t="s">
        <v>775</v>
      </c>
      <c r="U813" t="s">
        <v>1437</v>
      </c>
      <c r="V813" t="s">
        <v>449</v>
      </c>
      <c r="W813" t="s">
        <v>1438</v>
      </c>
      <c r="X813" t="s">
        <v>470</v>
      </c>
      <c r="AA813" t="s">
        <v>1162</v>
      </c>
    </row>
    <row r="814" spans="1:27" x14ac:dyDescent="0.2">
      <c r="A814" s="225" t="s">
        <v>330</v>
      </c>
      <c r="B814" t="s">
        <v>303</v>
      </c>
      <c r="C814" t="s">
        <v>429</v>
      </c>
      <c r="D814" t="s">
        <v>430</v>
      </c>
      <c r="E814" t="s">
        <v>427</v>
      </c>
      <c r="F814" s="226" t="s">
        <v>428</v>
      </c>
      <c r="G814" t="str">
        <f>_xlfn.XLOOKUP(FMECA[[#This Row],[HazardRisk_name]],categories[HazardRisk_Name],categories[HazardRisk])</f>
        <v>Hazard</v>
      </c>
      <c r="H814" t="str">
        <f>_xlfn.XLOOKUP(FMECA[[#This Row],[HazardRisk_name]],categories[HazardRisk_Name],categories[Category])</f>
        <v>Operational</v>
      </c>
      <c r="I814" t="s">
        <v>633</v>
      </c>
      <c r="J814" s="10">
        <v>2</v>
      </c>
      <c r="K814" t="s">
        <v>1530</v>
      </c>
      <c r="L814" s="10">
        <v>10</v>
      </c>
      <c r="M814" t="s">
        <v>1530</v>
      </c>
      <c r="N814" s="10">
        <f>FMECA[[#This Row],[probability_value]]*FMECA[[#This Row],[consequence_value]]</f>
        <v>20</v>
      </c>
      <c r="O81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14" s="10" t="s">
        <v>770</v>
      </c>
      <c r="Q814" t="s">
        <v>1162</v>
      </c>
      <c r="R814" t="s">
        <v>768</v>
      </c>
      <c r="S814" t="s">
        <v>776</v>
      </c>
      <c r="U814" t="s">
        <v>1532</v>
      </c>
      <c r="V814" t="s">
        <v>470</v>
      </c>
      <c r="X814" t="s">
        <v>470</v>
      </c>
      <c r="AA814" t="s">
        <v>1162</v>
      </c>
    </row>
    <row r="815" spans="1:27" x14ac:dyDescent="0.2">
      <c r="A815" s="225" t="s">
        <v>330</v>
      </c>
      <c r="B815" t="s">
        <v>303</v>
      </c>
      <c r="C815" t="s">
        <v>429</v>
      </c>
      <c r="D815" t="s">
        <v>430</v>
      </c>
      <c r="E815" t="s">
        <v>427</v>
      </c>
      <c r="F815" s="226" t="s">
        <v>428</v>
      </c>
      <c r="G815" t="str">
        <f>_xlfn.XLOOKUP(FMECA[[#This Row],[HazardRisk_name]],categories[HazardRisk_Name],categories[HazardRisk])</f>
        <v>Hazard</v>
      </c>
      <c r="H815" t="str">
        <f>_xlfn.XLOOKUP(FMECA[[#This Row],[HazardRisk_name]],categories[HazardRisk_Name],categories[Category])</f>
        <v>Environmental</v>
      </c>
      <c r="I815" t="s">
        <v>600</v>
      </c>
      <c r="J815" s="10">
        <v>3</v>
      </c>
      <c r="K815" t="s">
        <v>1530</v>
      </c>
      <c r="L815" s="10">
        <v>10</v>
      </c>
      <c r="M815" t="s">
        <v>1530</v>
      </c>
      <c r="N815" s="10">
        <f>FMECA[[#This Row],[probability_value]]*FMECA[[#This Row],[consequence_value]]</f>
        <v>30</v>
      </c>
      <c r="O815" s="10" t="str">
        <f>IF(AND(FMECA[[#This Row],[Score]]&gt;=0, 9&gt;=FMECA[[#This Row],[Score]]), "UNDETECTABLE", IF(AND(FMECA[[#This Row],[Score]]&gt;=10, 24&gt;=FMECA[[#This Row],[Score]]), "MODERATE", IF(AND(FMECA[[#This Row],[Score]]&gt;=25, 35&gt;=FMECA[[#This Row],[Score]]), "HIGH", IF(AND(FMECA[[#This Row],[Score]]&gt;=36, 50&gt;=FMECA[[#This Row],[Score]]), "VERY HIGH", "Check Formula"))))</f>
        <v>HIGH</v>
      </c>
      <c r="P815" s="10" t="s">
        <v>770</v>
      </c>
      <c r="Q815" t="s">
        <v>1162</v>
      </c>
      <c r="R815" t="s">
        <v>768</v>
      </c>
      <c r="S815" t="s">
        <v>776</v>
      </c>
      <c r="AA815" t="s">
        <v>1162</v>
      </c>
    </row>
    <row r="816" spans="1:27" x14ac:dyDescent="0.2">
      <c r="A816" s="225" t="s">
        <v>330</v>
      </c>
      <c r="B816" t="s">
        <v>303</v>
      </c>
      <c r="C816" t="s">
        <v>429</v>
      </c>
      <c r="D816" t="s">
        <v>430</v>
      </c>
      <c r="E816" t="s">
        <v>427</v>
      </c>
      <c r="F816" s="226" t="s">
        <v>428</v>
      </c>
      <c r="G816" t="str">
        <f>_xlfn.XLOOKUP(FMECA[[#This Row],[HazardRisk_name]],categories[HazardRisk_Name],categories[HazardRisk])</f>
        <v>Risk</v>
      </c>
      <c r="H816" t="str">
        <f>_xlfn.XLOOKUP(FMECA[[#This Row],[HazardRisk_name]],categories[HazardRisk_Name],categories[Category])</f>
        <v>Navigational</v>
      </c>
      <c r="I816" t="s">
        <v>474</v>
      </c>
      <c r="J816" s="10">
        <v>3</v>
      </c>
      <c r="K816" t="s">
        <v>1530</v>
      </c>
      <c r="L816" s="10">
        <v>10</v>
      </c>
      <c r="M816" t="s">
        <v>1530</v>
      </c>
      <c r="N816" s="10">
        <f>FMECA[[#This Row],[probability_value]]*FMECA[[#This Row],[consequence_value]]</f>
        <v>30</v>
      </c>
      <c r="O816" s="10" t="str">
        <f>IF(AND(FMECA[[#This Row],[Score]]&gt;=0, 9&gt;=FMECA[[#This Row],[Score]]), "UNDETECTABLE", IF(AND(FMECA[[#This Row],[Score]]&gt;=10, 24&gt;=FMECA[[#This Row],[Score]]), "MODERATE", IF(AND(FMECA[[#This Row],[Score]]&gt;=25, 35&gt;=FMECA[[#This Row],[Score]]), "HIGH", IF(AND(FMECA[[#This Row],[Score]]&gt;=36, 50&gt;=FMECA[[#This Row],[Score]]), "VERY HIGH", "Check Formula"))))</f>
        <v>HIGH</v>
      </c>
      <c r="P816" s="10" t="s">
        <v>770</v>
      </c>
      <c r="Q816" t="s">
        <v>1162</v>
      </c>
      <c r="R816" t="s">
        <v>768</v>
      </c>
      <c r="S816" t="s">
        <v>776</v>
      </c>
      <c r="AA816" t="s">
        <v>1162</v>
      </c>
    </row>
    <row r="817" spans="1:28" x14ac:dyDescent="0.2">
      <c r="A817" s="225" t="s">
        <v>330</v>
      </c>
      <c r="B817" t="s">
        <v>303</v>
      </c>
      <c r="C817" t="s">
        <v>429</v>
      </c>
      <c r="D817" t="s">
        <v>430</v>
      </c>
      <c r="E817" t="s">
        <v>427</v>
      </c>
      <c r="F817" s="226" t="s">
        <v>428</v>
      </c>
      <c r="G817" t="str">
        <f>_xlfn.XLOOKUP(FMECA[[#This Row],[HazardRisk_name]],categories[HazardRisk_Name],categories[HazardRisk])</f>
        <v>Risk</v>
      </c>
      <c r="H817" t="str">
        <f>_xlfn.XLOOKUP(FMECA[[#This Row],[HazardRisk_name]],categories[HazardRisk_Name],categories[Category])</f>
        <v>Navigational</v>
      </c>
      <c r="I817" t="s">
        <v>703</v>
      </c>
      <c r="J817" s="10">
        <v>1</v>
      </c>
      <c r="K817" t="s">
        <v>1530</v>
      </c>
      <c r="L817" s="10">
        <v>10</v>
      </c>
      <c r="M817" t="s">
        <v>1530</v>
      </c>
      <c r="N817" s="10">
        <f>FMECA[[#This Row],[probability_value]]*FMECA[[#This Row],[consequence_value]]</f>
        <v>10</v>
      </c>
      <c r="O81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17" s="10" t="s">
        <v>770</v>
      </c>
      <c r="Q817" t="s">
        <v>1162</v>
      </c>
      <c r="R817" t="s">
        <v>768</v>
      </c>
      <c r="S817" t="s">
        <v>776</v>
      </c>
      <c r="AA817" t="s">
        <v>1162</v>
      </c>
    </row>
    <row r="818" spans="1:28" x14ac:dyDescent="0.2">
      <c r="A818" s="225" t="s">
        <v>330</v>
      </c>
      <c r="B818" t="s">
        <v>303</v>
      </c>
      <c r="C818" t="s">
        <v>429</v>
      </c>
      <c r="D818" t="s">
        <v>430</v>
      </c>
      <c r="E818" t="s">
        <v>427</v>
      </c>
      <c r="F818" s="226" t="s">
        <v>428</v>
      </c>
      <c r="G818" t="str">
        <f>_xlfn.XLOOKUP(FMECA[[#This Row],[HazardRisk_name]],categories[HazardRisk_Name],categories[HazardRisk])</f>
        <v>Hazard</v>
      </c>
      <c r="H818" t="str">
        <f>_xlfn.XLOOKUP(FMECA[[#This Row],[HazardRisk_name]],categories[HazardRisk_Name],categories[Category])</f>
        <v>Operational</v>
      </c>
      <c r="I818" t="s">
        <v>685</v>
      </c>
      <c r="J818" s="10">
        <v>1</v>
      </c>
      <c r="K818" t="s">
        <v>1530</v>
      </c>
      <c r="L818" s="10">
        <v>10</v>
      </c>
      <c r="M818" t="s">
        <v>1530</v>
      </c>
      <c r="N818" s="10">
        <f>FMECA[[#This Row],[probability_value]]*FMECA[[#This Row],[consequence_value]]</f>
        <v>10</v>
      </c>
      <c r="O81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18" s="10" t="s">
        <v>770</v>
      </c>
      <c r="Q818" t="s">
        <v>1162</v>
      </c>
      <c r="R818" t="s">
        <v>768</v>
      </c>
      <c r="S818" t="s">
        <v>776</v>
      </c>
      <c r="AA818" t="s">
        <v>1162</v>
      </c>
    </row>
    <row r="819" spans="1:28" x14ac:dyDescent="0.2">
      <c r="A819" s="225" t="s">
        <v>330</v>
      </c>
      <c r="B819" t="s">
        <v>303</v>
      </c>
      <c r="C819" t="s">
        <v>429</v>
      </c>
      <c r="D819" t="s">
        <v>430</v>
      </c>
      <c r="E819" t="s">
        <v>427</v>
      </c>
      <c r="F819" s="226" t="s">
        <v>428</v>
      </c>
      <c r="G819" t="str">
        <f>_xlfn.XLOOKUP(FMECA[[#This Row],[HazardRisk_name]],categories[HazardRisk_Name],categories[HazardRisk])</f>
        <v>Risk</v>
      </c>
      <c r="H819" t="str">
        <f>_xlfn.XLOOKUP(FMECA[[#This Row],[HazardRisk_name]],categories[HazardRisk_Name],categories[Category])</f>
        <v>Navigational</v>
      </c>
      <c r="I819" t="s">
        <v>705</v>
      </c>
      <c r="J819" s="10">
        <v>2</v>
      </c>
      <c r="K819" t="s">
        <v>1530</v>
      </c>
      <c r="L819" s="10">
        <v>10</v>
      </c>
      <c r="M819" t="s">
        <v>1530</v>
      </c>
      <c r="N819" s="10">
        <f>FMECA[[#This Row],[probability_value]]*FMECA[[#This Row],[consequence_value]]</f>
        <v>20</v>
      </c>
      <c r="O81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19" s="10" t="s">
        <v>770</v>
      </c>
      <c r="Q819" t="s">
        <v>1162</v>
      </c>
      <c r="R819" t="s">
        <v>768</v>
      </c>
      <c r="S819" t="s">
        <v>776</v>
      </c>
      <c r="AA819" t="s">
        <v>1162</v>
      </c>
    </row>
    <row r="820" spans="1:28" s="206" customFormat="1" x14ac:dyDescent="0.2">
      <c r="A820" s="225" t="s">
        <v>330</v>
      </c>
      <c r="B820" t="s">
        <v>303</v>
      </c>
      <c r="C820" t="s">
        <v>429</v>
      </c>
      <c r="D820" t="s">
        <v>430</v>
      </c>
      <c r="E820" t="s">
        <v>427</v>
      </c>
      <c r="F820" s="226" t="s">
        <v>428</v>
      </c>
      <c r="G820" t="str">
        <f>_xlfn.XLOOKUP(FMECA[[#This Row],[HazardRisk_name]],categories[HazardRisk_Name],categories[HazardRisk])</f>
        <v>Risk</v>
      </c>
      <c r="H820" t="str">
        <f>_xlfn.XLOOKUP(FMECA[[#This Row],[HazardRisk_name]],categories[HazardRisk_Name],categories[Category])</f>
        <v>Operational</v>
      </c>
      <c r="I820" t="s">
        <v>1531</v>
      </c>
      <c r="J820" s="10">
        <v>1</v>
      </c>
      <c r="K820" t="s">
        <v>1530</v>
      </c>
      <c r="L820" s="10">
        <v>10</v>
      </c>
      <c r="M820" t="s">
        <v>1530</v>
      </c>
      <c r="N820" s="10">
        <f>FMECA[[#This Row],[probability_value]]*FMECA[[#This Row],[consequence_value]]</f>
        <v>10</v>
      </c>
      <c r="O82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20" s="10" t="s">
        <v>770</v>
      </c>
      <c r="Q820" t="s">
        <v>1162</v>
      </c>
      <c r="R820" t="s">
        <v>768</v>
      </c>
      <c r="S820" t="s">
        <v>776</v>
      </c>
      <c r="T820"/>
      <c r="U820"/>
      <c r="V820"/>
      <c r="W820"/>
      <c r="X820"/>
      <c r="Y820"/>
      <c r="Z820"/>
      <c r="AA820" t="s">
        <v>1162</v>
      </c>
    </row>
    <row r="821" spans="1:28" x14ac:dyDescent="0.2">
      <c r="A821" s="225" t="s">
        <v>330</v>
      </c>
      <c r="B821" t="s">
        <v>303</v>
      </c>
      <c r="C821" t="s">
        <v>429</v>
      </c>
      <c r="D821" t="s">
        <v>430</v>
      </c>
      <c r="E821" t="s">
        <v>427</v>
      </c>
      <c r="F821" s="226" t="s">
        <v>428</v>
      </c>
      <c r="G821" t="str">
        <f>_xlfn.XLOOKUP(FMECA[[#This Row],[HazardRisk_name]],categories[HazardRisk_Name],categories[HazardRisk])</f>
        <v>Risk</v>
      </c>
      <c r="H821" t="str">
        <f>_xlfn.XLOOKUP(FMECA[[#This Row],[HazardRisk_name]],categories[HazardRisk_Name],categories[Category])</f>
        <v>Navigational</v>
      </c>
      <c r="I821" t="s">
        <v>727</v>
      </c>
      <c r="J821" s="10">
        <v>2</v>
      </c>
      <c r="K821" t="s">
        <v>1530</v>
      </c>
      <c r="L821" s="10">
        <v>10</v>
      </c>
      <c r="M821" t="s">
        <v>1530</v>
      </c>
      <c r="N821" s="10">
        <f>FMECA[[#This Row],[probability_value]]*FMECA[[#This Row],[consequence_value]]</f>
        <v>20</v>
      </c>
      <c r="O82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21" s="10" t="s">
        <v>770</v>
      </c>
      <c r="Q821" t="s">
        <v>1162</v>
      </c>
      <c r="R821" t="s">
        <v>768</v>
      </c>
      <c r="S821" t="s">
        <v>776</v>
      </c>
      <c r="U821" t="s">
        <v>1534</v>
      </c>
      <c r="V821" t="s">
        <v>470</v>
      </c>
      <c r="W821" t="s">
        <v>1535</v>
      </c>
      <c r="X821" t="s">
        <v>466</v>
      </c>
      <c r="Y821" t="s">
        <v>1414</v>
      </c>
      <c r="Z821" t="s">
        <v>1536</v>
      </c>
      <c r="AA821" t="s">
        <v>1132</v>
      </c>
    </row>
    <row r="822" spans="1:28" x14ac:dyDescent="0.2">
      <c r="A822" s="225" t="s">
        <v>330</v>
      </c>
      <c r="B822" t="s">
        <v>303</v>
      </c>
      <c r="C822" t="s">
        <v>429</v>
      </c>
      <c r="D822" t="s">
        <v>430</v>
      </c>
      <c r="E822" t="s">
        <v>427</v>
      </c>
      <c r="F822" s="226" t="s">
        <v>428</v>
      </c>
      <c r="G822" t="str">
        <f>_xlfn.XLOOKUP(FMECA[[#This Row],[HazardRisk_name]],categories[HazardRisk_Name],categories[HazardRisk])</f>
        <v>Risk</v>
      </c>
      <c r="H822" t="str">
        <f>_xlfn.XLOOKUP(FMECA[[#This Row],[HazardRisk_name]],categories[HazardRisk_Name],categories[Category])</f>
        <v>Navigational</v>
      </c>
      <c r="I822" t="s">
        <v>727</v>
      </c>
      <c r="J822" s="10">
        <v>2</v>
      </c>
      <c r="K822" t="s">
        <v>1530</v>
      </c>
      <c r="L822" s="10">
        <v>10</v>
      </c>
      <c r="M822" t="s">
        <v>1530</v>
      </c>
      <c r="N822" s="10">
        <f>FMECA[[#This Row],[probability_value]]*FMECA[[#This Row],[consequence_value]]</f>
        <v>20</v>
      </c>
      <c r="O82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22" s="10" t="s">
        <v>770</v>
      </c>
      <c r="Q822" t="s">
        <v>1162</v>
      </c>
      <c r="R822" t="s">
        <v>768</v>
      </c>
      <c r="S822" t="s">
        <v>776</v>
      </c>
      <c r="AA822" t="s">
        <v>1162</v>
      </c>
    </row>
    <row r="823" spans="1:28" x14ac:dyDescent="0.2">
      <c r="A823" s="227" t="s">
        <v>331</v>
      </c>
      <c r="B823" s="206" t="s">
        <v>303</v>
      </c>
      <c r="C823" s="206" t="s">
        <v>441</v>
      </c>
      <c r="D823" s="206" t="s">
        <v>442</v>
      </c>
      <c r="E823" s="206" t="s">
        <v>439</v>
      </c>
      <c r="F823" s="228" t="s">
        <v>440</v>
      </c>
      <c r="G823" s="206" t="e">
        <f>_xlfn.XLOOKUP(FMECA[[#This Row],[HazardRisk_name]],categories[HazardRisk_Name],categories[HazardRisk])</f>
        <v>#N/A</v>
      </c>
      <c r="H823" s="206" t="e">
        <f>_xlfn.XLOOKUP(FMECA[[#This Row],[HazardRisk_name]],categories[HazardRisk_Name],categories[Category])</f>
        <v>#N/A</v>
      </c>
      <c r="I823" s="206"/>
      <c r="J823" s="207"/>
      <c r="K823" s="206"/>
      <c r="L823" s="207"/>
      <c r="M823" s="206"/>
      <c r="N823" s="207">
        <f>FMECA[[#This Row],[probability_value]]*FMECA[[#This Row],[consequence_value]]</f>
        <v>0</v>
      </c>
      <c r="O823" s="207"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823" s="207" t="s">
        <v>777</v>
      </c>
      <c r="Q823" s="206" t="s">
        <v>793</v>
      </c>
      <c r="R823" s="206" t="s">
        <v>768</v>
      </c>
      <c r="S823" s="206" t="s">
        <v>778</v>
      </c>
      <c r="T823" s="206" t="s">
        <v>1132</v>
      </c>
      <c r="U823" s="206"/>
      <c r="V823" s="206"/>
      <c r="W823" s="206"/>
      <c r="X823" s="206"/>
      <c r="Y823" s="206"/>
      <c r="Z823" s="206"/>
      <c r="AA823" s="206"/>
    </row>
    <row r="824" spans="1:28" x14ac:dyDescent="0.2">
      <c r="A824" s="225" t="s">
        <v>332</v>
      </c>
      <c r="B824" t="s">
        <v>303</v>
      </c>
      <c r="C824" t="s">
        <v>437</v>
      </c>
      <c r="D824" t="s">
        <v>438</v>
      </c>
      <c r="E824" t="s">
        <v>435</v>
      </c>
      <c r="F824" s="226" t="s">
        <v>436</v>
      </c>
      <c r="G824" t="str">
        <f>_xlfn.XLOOKUP(FMECA[[#This Row],[HazardRisk_name]],categories[HazardRisk_Name],categories[HazardRisk])</f>
        <v>Risk</v>
      </c>
      <c r="H824" t="str">
        <f>_xlfn.XLOOKUP(FMECA[[#This Row],[HazardRisk_name]],categories[HazardRisk_Name],categories[Category])</f>
        <v>Community</v>
      </c>
      <c r="I824" t="s">
        <v>647</v>
      </c>
      <c r="J824" s="10">
        <v>3</v>
      </c>
      <c r="K824" t="s">
        <v>1515</v>
      </c>
      <c r="L824" s="10">
        <v>10</v>
      </c>
      <c r="M824" t="s">
        <v>1515</v>
      </c>
      <c r="N824" s="10">
        <f>FMECA[[#This Row],[probability_value]]*FMECA[[#This Row],[consequence_value]]</f>
        <v>30</v>
      </c>
      <c r="O824" s="10" t="str">
        <f>IF(AND(FMECA[[#This Row],[Score]]&gt;=0, 9&gt;=FMECA[[#This Row],[Score]]), "UNDETECTABLE", IF(AND(FMECA[[#This Row],[Score]]&gt;=10, 24&gt;=FMECA[[#This Row],[Score]]), "MODERATE", IF(AND(FMECA[[#This Row],[Score]]&gt;=25, 35&gt;=FMECA[[#This Row],[Score]]), "HIGH", IF(AND(FMECA[[#This Row],[Score]]&gt;=36, 50&gt;=FMECA[[#This Row],[Score]]), "VERY HIGH", "Check Formula"))))</f>
        <v>HIGH</v>
      </c>
      <c r="P824" s="10" t="s">
        <v>770</v>
      </c>
      <c r="Q824" t="s">
        <v>1132</v>
      </c>
      <c r="R824" t="s">
        <v>771</v>
      </c>
      <c r="S824" t="s">
        <v>779</v>
      </c>
      <c r="U824" t="s">
        <v>1516</v>
      </c>
      <c r="V824" t="s">
        <v>470</v>
      </c>
      <c r="W824" t="s">
        <v>1517</v>
      </c>
      <c r="X824" t="s">
        <v>470</v>
      </c>
      <c r="AA824" t="s">
        <v>1162</v>
      </c>
    </row>
    <row r="825" spans="1:28" x14ac:dyDescent="0.2">
      <c r="A825" s="225" t="s">
        <v>332</v>
      </c>
      <c r="B825" t="s">
        <v>303</v>
      </c>
      <c r="C825" t="s">
        <v>437</v>
      </c>
      <c r="D825" t="s">
        <v>438</v>
      </c>
      <c r="E825" t="s">
        <v>435</v>
      </c>
      <c r="F825" s="226" t="s">
        <v>436</v>
      </c>
      <c r="G825" t="str">
        <f>_xlfn.XLOOKUP(FMECA[[#This Row],[HazardRisk_name]],categories[HazardRisk_Name],categories[HazardRisk])</f>
        <v>Risk</v>
      </c>
      <c r="H825" t="str">
        <f>_xlfn.XLOOKUP(FMECA[[#This Row],[HazardRisk_name]],categories[HazardRisk_Name],categories[Category])</f>
        <v>Environmental</v>
      </c>
      <c r="I825" t="s">
        <v>625</v>
      </c>
      <c r="J825" s="10">
        <v>3</v>
      </c>
      <c r="K825" t="s">
        <v>1514</v>
      </c>
      <c r="L825" s="10">
        <v>10</v>
      </c>
      <c r="M825" t="s">
        <v>1514</v>
      </c>
      <c r="N825" s="10">
        <f>FMECA[[#This Row],[probability_value]]*FMECA[[#This Row],[consequence_value]]</f>
        <v>30</v>
      </c>
      <c r="O825" s="10" t="str">
        <f>IF(AND(FMECA[[#This Row],[Score]]&gt;=0, 9&gt;=FMECA[[#This Row],[Score]]), "UNDETECTABLE", IF(AND(FMECA[[#This Row],[Score]]&gt;=10, 24&gt;=FMECA[[#This Row],[Score]]), "MODERATE", IF(AND(FMECA[[#This Row],[Score]]&gt;=25, 35&gt;=FMECA[[#This Row],[Score]]), "HIGH", IF(AND(FMECA[[#This Row],[Score]]&gt;=36, 50&gt;=FMECA[[#This Row],[Score]]), "VERY HIGH", "Check Formula"))))</f>
        <v>HIGH</v>
      </c>
      <c r="P825" s="10" t="s">
        <v>770</v>
      </c>
      <c r="Q825" t="s">
        <v>1132</v>
      </c>
      <c r="R825" t="s">
        <v>771</v>
      </c>
      <c r="S825" t="s">
        <v>779</v>
      </c>
      <c r="U825" t="s">
        <v>1519</v>
      </c>
      <c r="V825" t="s">
        <v>470</v>
      </c>
      <c r="W825" t="s">
        <v>1518</v>
      </c>
      <c r="X825" t="s">
        <v>470</v>
      </c>
      <c r="Y825" t="s">
        <v>1520</v>
      </c>
      <c r="Z825" t="s">
        <v>1521</v>
      </c>
      <c r="AA825" t="s">
        <v>1162</v>
      </c>
    </row>
    <row r="826" spans="1:28" x14ac:dyDescent="0.2">
      <c r="A826" s="225" t="s">
        <v>332</v>
      </c>
      <c r="B826" t="s">
        <v>303</v>
      </c>
      <c r="C826" t="s">
        <v>437</v>
      </c>
      <c r="D826" t="s">
        <v>438</v>
      </c>
      <c r="E826" t="s">
        <v>435</v>
      </c>
      <c r="F826" s="226" t="s">
        <v>436</v>
      </c>
      <c r="G826" t="str">
        <f>_xlfn.XLOOKUP(FMECA[[#This Row],[HazardRisk_name]],categories[HazardRisk_Name],categories[HazardRisk])</f>
        <v>Risk</v>
      </c>
      <c r="H826" t="str">
        <f>_xlfn.XLOOKUP(FMECA[[#This Row],[HazardRisk_name]],categories[HazardRisk_Name],categories[Category])</f>
        <v>Political</v>
      </c>
      <c r="I826" t="s">
        <v>476</v>
      </c>
      <c r="J826" s="10">
        <v>5</v>
      </c>
      <c r="K826" t="s">
        <v>1525</v>
      </c>
      <c r="L826" s="10">
        <v>4</v>
      </c>
      <c r="M826" t="s">
        <v>1525</v>
      </c>
      <c r="N826" s="10">
        <f>FMECA[[#This Row],[probability_value]]*FMECA[[#This Row],[consequence_value]]</f>
        <v>20</v>
      </c>
      <c r="O82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26" s="10" t="s">
        <v>770</v>
      </c>
      <c r="Q826" t="s">
        <v>1132</v>
      </c>
      <c r="R826" t="s">
        <v>771</v>
      </c>
      <c r="S826" t="s">
        <v>779</v>
      </c>
      <c r="U826" t="s">
        <v>1507</v>
      </c>
      <c r="V826" t="s">
        <v>470</v>
      </c>
      <c r="W826" t="s">
        <v>1526</v>
      </c>
      <c r="X826" t="s">
        <v>470</v>
      </c>
      <c r="Y826" t="s">
        <v>1153</v>
      </c>
      <c r="Z826" t="s">
        <v>1508</v>
      </c>
      <c r="AA826" t="s">
        <v>793</v>
      </c>
    </row>
    <row r="827" spans="1:28" x14ac:dyDescent="0.2">
      <c r="A827" s="225" t="s">
        <v>332</v>
      </c>
      <c r="B827" t="s">
        <v>303</v>
      </c>
      <c r="C827" t="s">
        <v>437</v>
      </c>
      <c r="D827" t="s">
        <v>438</v>
      </c>
      <c r="E827" t="s">
        <v>435</v>
      </c>
      <c r="F827" s="226" t="s">
        <v>436</v>
      </c>
      <c r="G827" t="str">
        <f>_xlfn.XLOOKUP(FMECA[[#This Row],[HazardRisk_name]],categories[HazardRisk_Name],categories[HazardRisk])</f>
        <v>Risk</v>
      </c>
      <c r="H827" t="str">
        <f>_xlfn.XLOOKUP(FMECA[[#This Row],[HazardRisk_name]],categories[HazardRisk_Name],categories[Category])</f>
        <v>Political</v>
      </c>
      <c r="I827" t="s">
        <v>690</v>
      </c>
      <c r="J827" s="10">
        <v>2</v>
      </c>
      <c r="K827" t="s">
        <v>1522</v>
      </c>
      <c r="L827" s="10">
        <v>4</v>
      </c>
      <c r="M827" t="s">
        <v>1522</v>
      </c>
      <c r="N827" s="10">
        <f>FMECA[[#This Row],[probability_value]]*FMECA[[#This Row],[consequence_value]]</f>
        <v>8</v>
      </c>
      <c r="O827"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827" s="10" t="s">
        <v>770</v>
      </c>
      <c r="Q827" t="s">
        <v>1132</v>
      </c>
      <c r="R827" t="s">
        <v>771</v>
      </c>
      <c r="S827" t="s">
        <v>779</v>
      </c>
      <c r="U827" t="s">
        <v>1523</v>
      </c>
      <c r="V827" t="s">
        <v>466</v>
      </c>
      <c r="W827" t="s">
        <v>1524</v>
      </c>
      <c r="X827" t="s">
        <v>470</v>
      </c>
      <c r="AA827" t="s">
        <v>1162</v>
      </c>
    </row>
    <row r="828" spans="1:28" x14ac:dyDescent="0.2">
      <c r="A828" s="225" t="s">
        <v>332</v>
      </c>
      <c r="B828" t="s">
        <v>303</v>
      </c>
      <c r="C828" t="s">
        <v>437</v>
      </c>
      <c r="D828" t="s">
        <v>438</v>
      </c>
      <c r="E828" t="s">
        <v>435</v>
      </c>
      <c r="F828" s="226" t="s">
        <v>436</v>
      </c>
      <c r="G828" t="str">
        <f>_xlfn.XLOOKUP(FMECA[[#This Row],[HazardRisk_name]],categories[HazardRisk_Name],categories[HazardRisk])</f>
        <v>Risk</v>
      </c>
      <c r="H828" t="str">
        <f>_xlfn.XLOOKUP(FMECA[[#This Row],[HazardRisk_name]],categories[HazardRisk_Name],categories[Category])</f>
        <v>Assessment</v>
      </c>
      <c r="I828" t="s">
        <v>667</v>
      </c>
      <c r="J828" s="10">
        <v>5</v>
      </c>
      <c r="K828" t="s">
        <v>1505</v>
      </c>
      <c r="L828" s="10">
        <v>4</v>
      </c>
      <c r="M828" t="s">
        <v>1505</v>
      </c>
      <c r="N828" s="10">
        <f>FMECA[[#This Row],[probability_value]]*FMECA[[#This Row],[consequence_value]]</f>
        <v>20</v>
      </c>
      <c r="O828"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28" s="10" t="s">
        <v>770</v>
      </c>
      <c r="Q828" t="s">
        <v>1132</v>
      </c>
      <c r="R828" t="s">
        <v>771</v>
      </c>
      <c r="S828" t="s">
        <v>779</v>
      </c>
      <c r="U828" t="s">
        <v>1507</v>
      </c>
      <c r="V828" t="s">
        <v>470</v>
      </c>
      <c r="W828" t="s">
        <v>1506</v>
      </c>
      <c r="X828" t="s">
        <v>470</v>
      </c>
      <c r="Y828" t="s">
        <v>1153</v>
      </c>
      <c r="Z828" t="s">
        <v>1508</v>
      </c>
      <c r="AA828" t="s">
        <v>793</v>
      </c>
    </row>
    <row r="829" spans="1:28" x14ac:dyDescent="0.2">
      <c r="A829" s="225" t="s">
        <v>332</v>
      </c>
      <c r="B829" t="s">
        <v>303</v>
      </c>
      <c r="C829" t="s">
        <v>437</v>
      </c>
      <c r="D829" t="s">
        <v>438</v>
      </c>
      <c r="E829" t="s">
        <v>435</v>
      </c>
      <c r="F829" s="226" t="s">
        <v>436</v>
      </c>
      <c r="G829" t="str">
        <f>_xlfn.XLOOKUP(FMECA[[#This Row],[HazardRisk_name]],categories[HazardRisk_Name],categories[HazardRisk])</f>
        <v>Risk</v>
      </c>
      <c r="H829" t="str">
        <f>_xlfn.XLOOKUP(FMECA[[#This Row],[HazardRisk_name]],categories[HazardRisk_Name],categories[Category])</f>
        <v>Political</v>
      </c>
      <c r="I829" t="s">
        <v>564</v>
      </c>
      <c r="J829" s="10">
        <v>5</v>
      </c>
      <c r="K829" t="s">
        <v>1504</v>
      </c>
      <c r="L829" s="10">
        <v>7</v>
      </c>
      <c r="M829" t="s">
        <v>1504</v>
      </c>
      <c r="N829" s="10">
        <f>FMECA[[#This Row],[probability_value]]*FMECA[[#This Row],[consequence_value]]</f>
        <v>35</v>
      </c>
      <c r="O829" s="10" t="str">
        <f>IF(AND(FMECA[[#This Row],[Score]]&gt;=0, 9&gt;=FMECA[[#This Row],[Score]]), "UNDETECTABLE", IF(AND(FMECA[[#This Row],[Score]]&gt;=10, 24&gt;=FMECA[[#This Row],[Score]]), "MODERATE", IF(AND(FMECA[[#This Row],[Score]]&gt;=25, 35&gt;=FMECA[[#This Row],[Score]]), "HIGH", IF(AND(FMECA[[#This Row],[Score]]&gt;=36, 50&gt;=FMECA[[#This Row],[Score]]), "VERY HIGH", "Check Formula"))))</f>
        <v>HIGH</v>
      </c>
      <c r="P829" s="10" t="s">
        <v>770</v>
      </c>
      <c r="Q829" t="s">
        <v>1132</v>
      </c>
      <c r="R829" t="s">
        <v>771</v>
      </c>
      <c r="S829" t="s">
        <v>779</v>
      </c>
      <c r="U829" t="s">
        <v>1507</v>
      </c>
      <c r="V829" t="s">
        <v>470</v>
      </c>
      <c r="W829" t="s">
        <v>1509</v>
      </c>
      <c r="X829" t="s">
        <v>470</v>
      </c>
      <c r="Y829" t="s">
        <v>1153</v>
      </c>
      <c r="Z829" t="s">
        <v>1508</v>
      </c>
      <c r="AA829" t="s">
        <v>793</v>
      </c>
      <c r="AB829" t="s">
        <v>1503</v>
      </c>
    </row>
    <row r="830" spans="1:28" x14ac:dyDescent="0.2">
      <c r="A830" s="225" t="s">
        <v>332</v>
      </c>
      <c r="B830" t="s">
        <v>303</v>
      </c>
      <c r="C830" t="s">
        <v>437</v>
      </c>
      <c r="D830" t="s">
        <v>438</v>
      </c>
      <c r="E830" t="s">
        <v>435</v>
      </c>
      <c r="F830" s="226" t="s">
        <v>436</v>
      </c>
      <c r="G830" t="str">
        <f>_xlfn.XLOOKUP(FMECA[[#This Row],[HazardRisk_name]],categories[HazardRisk_Name],categories[HazardRisk])</f>
        <v>Risk</v>
      </c>
      <c r="H830" t="str">
        <f>_xlfn.XLOOKUP(FMECA[[#This Row],[HazardRisk_name]],categories[HazardRisk_Name],categories[Category])</f>
        <v>Community</v>
      </c>
      <c r="I830" t="s">
        <v>728</v>
      </c>
      <c r="J830" s="10">
        <v>5</v>
      </c>
      <c r="K830" t="s">
        <v>1510</v>
      </c>
      <c r="L830" s="10">
        <v>7</v>
      </c>
      <c r="M830" t="s">
        <v>1511</v>
      </c>
      <c r="N830" s="10">
        <f>FMECA[[#This Row],[probability_value]]*FMECA[[#This Row],[consequence_value]]</f>
        <v>35</v>
      </c>
      <c r="O830" s="10" t="str">
        <f>IF(AND(FMECA[[#This Row],[Score]]&gt;=0, 9&gt;=FMECA[[#This Row],[Score]]), "UNDETECTABLE", IF(AND(FMECA[[#This Row],[Score]]&gt;=10, 24&gt;=FMECA[[#This Row],[Score]]), "MODERATE", IF(AND(FMECA[[#This Row],[Score]]&gt;=25, 35&gt;=FMECA[[#This Row],[Score]]), "HIGH", IF(AND(FMECA[[#This Row],[Score]]&gt;=36, 50&gt;=FMECA[[#This Row],[Score]]), "VERY HIGH", "Check Formula"))))</f>
        <v>HIGH</v>
      </c>
      <c r="P830" s="10" t="s">
        <v>770</v>
      </c>
      <c r="Q830" t="s">
        <v>1132</v>
      </c>
      <c r="R830" t="s">
        <v>771</v>
      </c>
      <c r="S830" t="s">
        <v>779</v>
      </c>
      <c r="U830" t="s">
        <v>1512</v>
      </c>
      <c r="V830" t="s">
        <v>470</v>
      </c>
      <c r="W830" t="s">
        <v>1513</v>
      </c>
      <c r="X830" t="s">
        <v>470</v>
      </c>
      <c r="Y830" t="s">
        <v>1153</v>
      </c>
      <c r="Z830" t="s">
        <v>1508</v>
      </c>
      <c r="AA830" t="s">
        <v>793</v>
      </c>
    </row>
    <row r="831" spans="1:28" x14ac:dyDescent="0.2">
      <c r="A831" s="225" t="s">
        <v>332</v>
      </c>
      <c r="B831" t="s">
        <v>303</v>
      </c>
      <c r="C831" t="s">
        <v>437</v>
      </c>
      <c r="D831" t="s">
        <v>438</v>
      </c>
      <c r="E831" s="312" t="s">
        <v>435</v>
      </c>
      <c r="F831" s="226" t="s">
        <v>436</v>
      </c>
      <c r="G831" t="str">
        <f>_xlfn.XLOOKUP(FMECA[[#This Row],[HazardRisk_name]],categories[HazardRisk_Name],categories[HazardRisk])</f>
        <v>Risk</v>
      </c>
      <c r="H831" t="str">
        <f>_xlfn.XLOOKUP(FMECA[[#This Row],[HazardRisk_name]],categories[HazardRisk_Name],categories[Category])</f>
        <v>Community</v>
      </c>
      <c r="I831" t="s">
        <v>679</v>
      </c>
      <c r="J831" s="10">
        <v>5</v>
      </c>
      <c r="K831" t="s">
        <v>1527</v>
      </c>
      <c r="L831" s="10">
        <v>7</v>
      </c>
      <c r="M831" t="s">
        <v>1527</v>
      </c>
      <c r="N831" s="10">
        <f>FMECA[[#This Row],[probability_value]]*FMECA[[#This Row],[consequence_value]]</f>
        <v>35</v>
      </c>
      <c r="O831" s="10" t="str">
        <f>IF(AND(FMECA[[#This Row],[Score]]&gt;=0, 9&gt;=FMECA[[#This Row],[Score]]), "UNDETECTABLE", IF(AND(FMECA[[#This Row],[Score]]&gt;=10, 24&gt;=FMECA[[#This Row],[Score]]), "MODERATE", IF(AND(FMECA[[#This Row],[Score]]&gt;=25, 35&gt;=FMECA[[#This Row],[Score]]), "HIGH", IF(AND(FMECA[[#This Row],[Score]]&gt;=36, 50&gt;=FMECA[[#This Row],[Score]]), "VERY HIGH", "Check Formula"))))</f>
        <v>HIGH</v>
      </c>
      <c r="P831" s="10" t="s">
        <v>770</v>
      </c>
      <c r="Q831" t="s">
        <v>1132</v>
      </c>
      <c r="R831" t="s">
        <v>771</v>
      </c>
      <c r="S831" t="s">
        <v>779</v>
      </c>
      <c r="U831" t="s">
        <v>1528</v>
      </c>
      <c r="V831" t="s">
        <v>470</v>
      </c>
      <c r="W831" t="s">
        <v>1529</v>
      </c>
      <c r="X831" t="s">
        <v>470</v>
      </c>
      <c r="AA831" t="s">
        <v>1162</v>
      </c>
    </row>
    <row r="832" spans="1:28" x14ac:dyDescent="0.2">
      <c r="A832" s="225" t="s">
        <v>333</v>
      </c>
      <c r="B832" t="s">
        <v>303</v>
      </c>
      <c r="C832" t="s">
        <v>434</v>
      </c>
      <c r="D832" t="s">
        <v>433</v>
      </c>
      <c r="E832" t="s">
        <v>431</v>
      </c>
      <c r="F832" s="226" t="s">
        <v>432</v>
      </c>
      <c r="G832" t="str">
        <f>_xlfn.XLOOKUP(FMECA[[#This Row],[HazardRisk_name]],categories[HazardRisk_Name],categories[HazardRisk])</f>
        <v>Hazard</v>
      </c>
      <c r="H832" t="str">
        <f>_xlfn.XLOOKUP(FMECA[[#This Row],[HazardRisk_name]],categories[HazardRisk_Name],categories[Category])</f>
        <v>Navigational</v>
      </c>
      <c r="I832" t="s">
        <v>496</v>
      </c>
      <c r="J832" s="10">
        <v>5</v>
      </c>
      <c r="K832" t="s">
        <v>1497</v>
      </c>
      <c r="L832" s="10">
        <v>4</v>
      </c>
      <c r="M832" t="s">
        <v>1497</v>
      </c>
      <c r="N832" s="10">
        <f>FMECA[[#This Row],[probability_value]]*FMECA[[#This Row],[consequence_value]]</f>
        <v>20</v>
      </c>
      <c r="O83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32" s="10" t="s">
        <v>770</v>
      </c>
      <c r="Q832" t="s">
        <v>1162</v>
      </c>
      <c r="R832" t="s">
        <v>780</v>
      </c>
      <c r="S832" t="s">
        <v>781</v>
      </c>
      <c r="U832" t="s">
        <v>1500</v>
      </c>
      <c r="V832" t="s">
        <v>470</v>
      </c>
      <c r="X832" t="s">
        <v>1306</v>
      </c>
      <c r="AA832" t="s">
        <v>1162</v>
      </c>
    </row>
    <row r="833" spans="1:27" x14ac:dyDescent="0.2">
      <c r="A833" s="225" t="s">
        <v>333</v>
      </c>
      <c r="B833" t="s">
        <v>303</v>
      </c>
      <c r="C833" t="s">
        <v>434</v>
      </c>
      <c r="D833" t="s">
        <v>433</v>
      </c>
      <c r="E833" t="s">
        <v>431</v>
      </c>
      <c r="F833" s="226" t="s">
        <v>432</v>
      </c>
      <c r="G833" t="str">
        <f>_xlfn.XLOOKUP(FMECA[[#This Row],[HazardRisk_name]],categories[HazardRisk_Name],categories[HazardRisk])</f>
        <v>Risk</v>
      </c>
      <c r="H833" t="str">
        <f>_xlfn.XLOOKUP(FMECA[[#This Row],[HazardRisk_name]],categories[HazardRisk_Name],categories[Category])</f>
        <v>Sea Ice</v>
      </c>
      <c r="I833" t="s">
        <v>480</v>
      </c>
      <c r="J833" s="10">
        <v>3</v>
      </c>
      <c r="K833" t="s">
        <v>1497</v>
      </c>
      <c r="L833" s="10">
        <v>4</v>
      </c>
      <c r="M833" t="s">
        <v>1497</v>
      </c>
      <c r="N833" s="10">
        <f>FMECA[[#This Row],[probability_value]]*FMECA[[#This Row],[consequence_value]]</f>
        <v>12</v>
      </c>
      <c r="O83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33" s="10" t="s">
        <v>770</v>
      </c>
      <c r="Q833" t="s">
        <v>1162</v>
      </c>
      <c r="R833" t="s">
        <v>780</v>
      </c>
      <c r="S833" t="s">
        <v>781</v>
      </c>
      <c r="U833" t="s">
        <v>1499</v>
      </c>
      <c r="V833" t="s">
        <v>470</v>
      </c>
      <c r="W833" t="s">
        <v>1498</v>
      </c>
      <c r="X833" t="s">
        <v>470</v>
      </c>
      <c r="AA833" t="s">
        <v>1162</v>
      </c>
    </row>
    <row r="834" spans="1:27" x14ac:dyDescent="0.2">
      <c r="A834" s="225" t="s">
        <v>333</v>
      </c>
      <c r="B834" t="s">
        <v>303</v>
      </c>
      <c r="C834" t="s">
        <v>434</v>
      </c>
      <c r="D834" t="s">
        <v>433</v>
      </c>
      <c r="E834" t="s">
        <v>431</v>
      </c>
      <c r="F834" s="226" t="s">
        <v>432</v>
      </c>
      <c r="G834" t="str">
        <f>_xlfn.XLOOKUP(FMECA[[#This Row],[HazardRisk_name]],categories[HazardRisk_Name],categories[HazardRisk])</f>
        <v>Hazard</v>
      </c>
      <c r="H834" t="str">
        <f>_xlfn.XLOOKUP(FMECA[[#This Row],[HazardRisk_name]],categories[HazardRisk_Name],categories[Category])</f>
        <v>Environmental</v>
      </c>
      <c r="I834" t="s">
        <v>483</v>
      </c>
      <c r="J834" s="10">
        <v>3</v>
      </c>
      <c r="K834" t="s">
        <v>1497</v>
      </c>
      <c r="L834" s="10">
        <v>4</v>
      </c>
      <c r="M834" t="s">
        <v>1497</v>
      </c>
      <c r="N834" s="10">
        <f>FMECA[[#This Row],[probability_value]]*FMECA[[#This Row],[consequence_value]]</f>
        <v>12</v>
      </c>
      <c r="O83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34" s="10" t="s">
        <v>770</v>
      </c>
      <c r="Q834" t="s">
        <v>1162</v>
      </c>
      <c r="R834" t="s">
        <v>780</v>
      </c>
      <c r="S834" t="s">
        <v>781</v>
      </c>
      <c r="U834" t="s">
        <v>1501</v>
      </c>
      <c r="V834" t="s">
        <v>466</v>
      </c>
      <c r="X834" t="s">
        <v>1306</v>
      </c>
      <c r="AA834" t="s">
        <v>1162</v>
      </c>
    </row>
    <row r="835" spans="1:27" x14ac:dyDescent="0.2">
      <c r="A835" s="225" t="s">
        <v>333</v>
      </c>
      <c r="B835" t="s">
        <v>303</v>
      </c>
      <c r="C835" t="s">
        <v>434</v>
      </c>
      <c r="D835" t="s">
        <v>433</v>
      </c>
      <c r="E835" t="s">
        <v>431</v>
      </c>
      <c r="F835" s="226" t="s">
        <v>432</v>
      </c>
      <c r="G835" t="str">
        <f>_xlfn.XLOOKUP(FMECA[[#This Row],[HazardRisk_name]],categories[HazardRisk_Name],categories[HazardRisk])</f>
        <v>Hazard</v>
      </c>
      <c r="H835" t="str">
        <f>_xlfn.XLOOKUP(FMECA[[#This Row],[HazardRisk_name]],categories[HazardRisk_Name],categories[Category])</f>
        <v>Environmental</v>
      </c>
      <c r="I835" t="s">
        <v>600</v>
      </c>
      <c r="J835" s="10">
        <v>3</v>
      </c>
      <c r="K835" t="s">
        <v>1497</v>
      </c>
      <c r="L835" s="10">
        <v>4</v>
      </c>
      <c r="M835" t="s">
        <v>1497</v>
      </c>
      <c r="N835" s="10">
        <f>FMECA[[#This Row],[probability_value]]*FMECA[[#This Row],[consequence_value]]</f>
        <v>12</v>
      </c>
      <c r="O83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35" s="10" t="s">
        <v>770</v>
      </c>
      <c r="Q835" t="s">
        <v>1162</v>
      </c>
      <c r="R835" t="s">
        <v>780</v>
      </c>
      <c r="S835" t="s">
        <v>781</v>
      </c>
      <c r="U835" t="s">
        <v>1501</v>
      </c>
      <c r="V835" t="s">
        <v>466</v>
      </c>
      <c r="W835" t="s">
        <v>1498</v>
      </c>
      <c r="X835" t="s">
        <v>470</v>
      </c>
      <c r="AA835" t="s">
        <v>1162</v>
      </c>
    </row>
    <row r="836" spans="1:27" x14ac:dyDescent="0.2">
      <c r="A836" s="225" t="s">
        <v>333</v>
      </c>
      <c r="B836" t="s">
        <v>303</v>
      </c>
      <c r="C836" t="s">
        <v>434</v>
      </c>
      <c r="D836" t="s">
        <v>433</v>
      </c>
      <c r="E836" t="s">
        <v>431</v>
      </c>
      <c r="F836" s="226" t="s">
        <v>432</v>
      </c>
      <c r="G836" t="str">
        <f>_xlfn.XLOOKUP(FMECA[[#This Row],[HazardRisk_name]],categories[HazardRisk_Name],categories[HazardRisk])</f>
        <v>Hazard</v>
      </c>
      <c r="H836" t="str">
        <f>_xlfn.XLOOKUP(FMECA[[#This Row],[HazardRisk_name]],categories[HazardRisk_Name],categories[Category])</f>
        <v>Sea Ice</v>
      </c>
      <c r="I836" t="s">
        <v>673</v>
      </c>
      <c r="J836" s="10">
        <v>4</v>
      </c>
      <c r="K836" t="s">
        <v>1497</v>
      </c>
      <c r="L836" s="10">
        <v>7</v>
      </c>
      <c r="M836" t="s">
        <v>1497</v>
      </c>
      <c r="N836" s="10">
        <f>FMECA[[#This Row],[probability_value]]*FMECA[[#This Row],[consequence_value]]</f>
        <v>28</v>
      </c>
      <c r="O836" s="10" t="str">
        <f>IF(AND(FMECA[[#This Row],[Score]]&gt;=0, 9&gt;=FMECA[[#This Row],[Score]]), "UNDETECTABLE", IF(AND(FMECA[[#This Row],[Score]]&gt;=10, 24&gt;=FMECA[[#This Row],[Score]]), "MODERATE", IF(AND(FMECA[[#This Row],[Score]]&gt;=25, 35&gt;=FMECA[[#This Row],[Score]]), "HIGH", IF(AND(FMECA[[#This Row],[Score]]&gt;=36, 50&gt;=FMECA[[#This Row],[Score]]), "VERY HIGH", "Check Formula"))))</f>
        <v>HIGH</v>
      </c>
      <c r="P836" s="10" t="s">
        <v>770</v>
      </c>
      <c r="Q836" t="s">
        <v>1162</v>
      </c>
      <c r="R836" t="s">
        <v>780</v>
      </c>
      <c r="S836" t="s">
        <v>781</v>
      </c>
      <c r="U836" t="s">
        <v>1501</v>
      </c>
      <c r="V836" t="s">
        <v>466</v>
      </c>
      <c r="W836" t="s">
        <v>1498</v>
      </c>
      <c r="X836" t="s">
        <v>470</v>
      </c>
      <c r="AA836" t="s">
        <v>1162</v>
      </c>
    </row>
    <row r="837" spans="1:27" x14ac:dyDescent="0.2">
      <c r="A837" s="225" t="s">
        <v>333</v>
      </c>
      <c r="B837" t="s">
        <v>303</v>
      </c>
      <c r="C837" t="s">
        <v>434</v>
      </c>
      <c r="D837" t="s">
        <v>433</v>
      </c>
      <c r="E837" t="s">
        <v>431</v>
      </c>
      <c r="F837" s="226" t="s">
        <v>432</v>
      </c>
      <c r="G837" t="str">
        <f>_xlfn.XLOOKUP(FMECA[[#This Row],[HazardRisk_name]],categories[HazardRisk_Name],categories[HazardRisk])</f>
        <v>Risk</v>
      </c>
      <c r="H837" t="str">
        <f>_xlfn.XLOOKUP(FMECA[[#This Row],[HazardRisk_name]],categories[HazardRisk_Name],categories[Category])</f>
        <v>Navigational</v>
      </c>
      <c r="I837" t="s">
        <v>587</v>
      </c>
      <c r="J837" s="10">
        <v>2</v>
      </c>
      <c r="K837" t="s">
        <v>1497</v>
      </c>
      <c r="L837" s="10">
        <v>7</v>
      </c>
      <c r="M837" t="s">
        <v>1497</v>
      </c>
      <c r="N837" s="10">
        <f>FMECA[[#This Row],[probability_value]]*FMECA[[#This Row],[consequence_value]]</f>
        <v>14</v>
      </c>
      <c r="O83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37" s="10" t="s">
        <v>770</v>
      </c>
      <c r="Q837" t="s">
        <v>1162</v>
      </c>
      <c r="R837" t="s">
        <v>780</v>
      </c>
      <c r="S837" t="s">
        <v>781</v>
      </c>
      <c r="U837" t="s">
        <v>1499</v>
      </c>
      <c r="V837" t="s">
        <v>470</v>
      </c>
      <c r="W837" t="s">
        <v>1498</v>
      </c>
      <c r="X837" t="s">
        <v>470</v>
      </c>
      <c r="AA837" t="s">
        <v>1162</v>
      </c>
    </row>
    <row r="838" spans="1:27" x14ac:dyDescent="0.2">
      <c r="A838" s="225" t="s">
        <v>333</v>
      </c>
      <c r="B838" t="s">
        <v>303</v>
      </c>
      <c r="C838" t="s">
        <v>434</v>
      </c>
      <c r="D838" t="s">
        <v>433</v>
      </c>
      <c r="E838" t="s">
        <v>431</v>
      </c>
      <c r="F838" s="226" t="s">
        <v>432</v>
      </c>
      <c r="G838" t="str">
        <f>_xlfn.XLOOKUP(FMECA[[#This Row],[HazardRisk_name]],categories[HazardRisk_Name],categories[HazardRisk])</f>
        <v>Risk</v>
      </c>
      <c r="H838" t="str">
        <f>_xlfn.XLOOKUP(FMECA[[#This Row],[HazardRisk_name]],categories[HazardRisk_Name],categories[Category])</f>
        <v>Navigational</v>
      </c>
      <c r="I838" t="s">
        <v>703</v>
      </c>
      <c r="J838" s="10">
        <v>3</v>
      </c>
      <c r="K838" t="s">
        <v>1497</v>
      </c>
      <c r="L838" s="10">
        <v>10</v>
      </c>
      <c r="M838" t="s">
        <v>1497</v>
      </c>
      <c r="N838" s="10">
        <f>FMECA[[#This Row],[probability_value]]*FMECA[[#This Row],[consequence_value]]</f>
        <v>30</v>
      </c>
      <c r="O838" s="10" t="str">
        <f>IF(AND(FMECA[[#This Row],[Score]]&gt;=0, 9&gt;=FMECA[[#This Row],[Score]]), "UNDETECTABLE", IF(AND(FMECA[[#This Row],[Score]]&gt;=10, 24&gt;=FMECA[[#This Row],[Score]]), "MODERATE", IF(AND(FMECA[[#This Row],[Score]]&gt;=25, 35&gt;=FMECA[[#This Row],[Score]]), "HIGH", IF(AND(FMECA[[#This Row],[Score]]&gt;=36, 50&gt;=FMECA[[#This Row],[Score]]), "VERY HIGH", "Check Formula"))))</f>
        <v>HIGH</v>
      </c>
      <c r="P838" s="10" t="s">
        <v>770</v>
      </c>
      <c r="Q838" t="s">
        <v>1162</v>
      </c>
      <c r="R838" t="s">
        <v>780</v>
      </c>
      <c r="S838" t="s">
        <v>781</v>
      </c>
      <c r="U838" t="s">
        <v>1499</v>
      </c>
      <c r="V838" t="s">
        <v>470</v>
      </c>
      <c r="X838" t="s">
        <v>1306</v>
      </c>
      <c r="AA838" t="s">
        <v>1162</v>
      </c>
    </row>
    <row r="839" spans="1:27" x14ac:dyDescent="0.2">
      <c r="A839" s="225" t="s">
        <v>333</v>
      </c>
      <c r="B839" t="s">
        <v>303</v>
      </c>
      <c r="C839" t="s">
        <v>434</v>
      </c>
      <c r="D839" t="s">
        <v>433</v>
      </c>
      <c r="E839" t="s">
        <v>431</v>
      </c>
      <c r="F839" s="226" t="s">
        <v>432</v>
      </c>
      <c r="G839" t="str">
        <f>_xlfn.XLOOKUP(FMECA[[#This Row],[HazardRisk_name]],categories[HazardRisk_Name],categories[HazardRisk])</f>
        <v>Risk</v>
      </c>
      <c r="H839" t="str">
        <f>_xlfn.XLOOKUP(FMECA[[#This Row],[HazardRisk_name]],categories[HazardRisk_Name],categories[Category])</f>
        <v>Navigational</v>
      </c>
      <c r="I839" t="s">
        <v>582</v>
      </c>
      <c r="J839" s="10">
        <v>3</v>
      </c>
      <c r="K839" t="s">
        <v>1497</v>
      </c>
      <c r="L839" s="10">
        <v>7</v>
      </c>
      <c r="M839" t="s">
        <v>1497</v>
      </c>
      <c r="N839" s="10">
        <f>FMECA[[#This Row],[probability_value]]*FMECA[[#This Row],[consequence_value]]</f>
        <v>21</v>
      </c>
      <c r="O83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39" s="10" t="s">
        <v>770</v>
      </c>
      <c r="Q839" t="s">
        <v>1162</v>
      </c>
      <c r="R839" t="s">
        <v>780</v>
      </c>
      <c r="S839" t="s">
        <v>781</v>
      </c>
      <c r="U839" t="s">
        <v>1502</v>
      </c>
      <c r="V839" t="s">
        <v>470</v>
      </c>
      <c r="W839" t="s">
        <v>1498</v>
      </c>
      <c r="X839" t="s">
        <v>470</v>
      </c>
      <c r="AA839" t="s">
        <v>1162</v>
      </c>
    </row>
    <row r="840" spans="1:27" x14ac:dyDescent="0.2">
      <c r="A840" s="225" t="s">
        <v>334</v>
      </c>
      <c r="B840" t="s">
        <v>303</v>
      </c>
      <c r="C840" t="s">
        <v>403</v>
      </c>
      <c r="D840" t="s">
        <v>445</v>
      </c>
      <c r="E840" t="s">
        <v>444</v>
      </c>
      <c r="F840" s="226" t="s">
        <v>443</v>
      </c>
      <c r="G840" t="str">
        <f>_xlfn.XLOOKUP(FMECA[[#This Row],[HazardRisk_name]],categories[HazardRisk_Name],categories[HazardRisk])</f>
        <v>Hazard</v>
      </c>
      <c r="H840" t="str">
        <f>_xlfn.XLOOKUP(FMECA[[#This Row],[HazardRisk_name]],categories[HazardRisk_Name],categories[Category])</f>
        <v>Technological</v>
      </c>
      <c r="I840" t="s">
        <v>495</v>
      </c>
      <c r="J840" s="10">
        <v>4</v>
      </c>
      <c r="K840" t="s">
        <v>1485</v>
      </c>
      <c r="L840" s="10">
        <v>7</v>
      </c>
      <c r="M840" t="s">
        <v>1486</v>
      </c>
      <c r="N840" s="10">
        <f>FMECA[[#This Row],[probability_value]]*FMECA[[#This Row],[consequence_value]]</f>
        <v>28</v>
      </c>
      <c r="O840" s="10" t="str">
        <f>IF(AND(FMECA[[#This Row],[Score]]&gt;=0, 9&gt;=FMECA[[#This Row],[Score]]), "UNDETECTABLE", IF(AND(FMECA[[#This Row],[Score]]&gt;=10, 24&gt;=FMECA[[#This Row],[Score]]), "MODERATE", IF(AND(FMECA[[#This Row],[Score]]&gt;=25, 35&gt;=FMECA[[#This Row],[Score]]), "HIGH", IF(AND(FMECA[[#This Row],[Score]]&gt;=36, 50&gt;=FMECA[[#This Row],[Score]]), "VERY HIGH", "Check Formula"))))</f>
        <v>HIGH</v>
      </c>
      <c r="P840" s="10" t="s">
        <v>767</v>
      </c>
      <c r="Q840" t="s">
        <v>1162</v>
      </c>
      <c r="R840" t="s">
        <v>771</v>
      </c>
      <c r="S840" t="s">
        <v>782</v>
      </c>
      <c r="T840" t="s">
        <v>793</v>
      </c>
      <c r="U840" t="s">
        <v>1491</v>
      </c>
      <c r="V840" t="s">
        <v>470</v>
      </c>
      <c r="W840" t="s">
        <v>1492</v>
      </c>
      <c r="X840" t="s">
        <v>470</v>
      </c>
      <c r="AA840" t="s">
        <v>1162</v>
      </c>
    </row>
    <row r="841" spans="1:27" x14ac:dyDescent="0.2">
      <c r="A841" s="225" t="s">
        <v>334</v>
      </c>
      <c r="B841" t="s">
        <v>303</v>
      </c>
      <c r="C841" t="s">
        <v>403</v>
      </c>
      <c r="D841" t="s">
        <v>445</v>
      </c>
      <c r="E841" t="s">
        <v>444</v>
      </c>
      <c r="F841" s="226" t="s">
        <v>443</v>
      </c>
      <c r="G841" t="str">
        <f>_xlfn.XLOOKUP(FMECA[[#This Row],[HazardRisk_name]],categories[HazardRisk_Name],categories[HazardRisk])</f>
        <v>Hazard</v>
      </c>
      <c r="H841" t="str">
        <f>_xlfn.XLOOKUP(FMECA[[#This Row],[HazardRisk_name]],categories[HazardRisk_Name],categories[Category])</f>
        <v>Technological</v>
      </c>
      <c r="I841" t="s">
        <v>1311</v>
      </c>
      <c r="J841" s="10">
        <v>4</v>
      </c>
      <c r="K841" t="s">
        <v>1485</v>
      </c>
      <c r="L841" s="10">
        <v>7</v>
      </c>
      <c r="M841" t="s">
        <v>1486</v>
      </c>
      <c r="N841" s="10">
        <f>FMECA[[#This Row],[probability_value]]*FMECA[[#This Row],[consequence_value]]</f>
        <v>28</v>
      </c>
      <c r="O841" s="10" t="str">
        <f>IF(AND(FMECA[[#This Row],[Score]]&gt;=0, 9&gt;=FMECA[[#This Row],[Score]]), "UNDETECTABLE", IF(AND(FMECA[[#This Row],[Score]]&gt;=10, 24&gt;=FMECA[[#This Row],[Score]]), "MODERATE", IF(AND(FMECA[[#This Row],[Score]]&gt;=25, 35&gt;=FMECA[[#This Row],[Score]]), "HIGH", IF(AND(FMECA[[#This Row],[Score]]&gt;=36, 50&gt;=FMECA[[#This Row],[Score]]), "VERY HIGH", "Check Formula"))))</f>
        <v>HIGH</v>
      </c>
      <c r="P841" s="10" t="s">
        <v>767</v>
      </c>
      <c r="Q841" t="s">
        <v>1162</v>
      </c>
      <c r="R841" t="s">
        <v>771</v>
      </c>
      <c r="S841" t="s">
        <v>782</v>
      </c>
      <c r="T841" t="s">
        <v>793</v>
      </c>
      <c r="U841" t="s">
        <v>1493</v>
      </c>
      <c r="V841" t="s">
        <v>470</v>
      </c>
      <c r="W841" t="s">
        <v>1494</v>
      </c>
      <c r="X841" t="s">
        <v>470</v>
      </c>
      <c r="AA841" t="s">
        <v>1162</v>
      </c>
    </row>
    <row r="842" spans="1:27" x14ac:dyDescent="0.2">
      <c r="A842" s="225" t="s">
        <v>334</v>
      </c>
      <c r="B842" t="s">
        <v>303</v>
      </c>
      <c r="C842" t="s">
        <v>403</v>
      </c>
      <c r="D842" t="s">
        <v>445</v>
      </c>
      <c r="E842" t="s">
        <v>444</v>
      </c>
      <c r="F842" s="226" t="s">
        <v>443</v>
      </c>
      <c r="G842" t="str">
        <f>_xlfn.XLOOKUP(FMECA[[#This Row],[HazardRisk_name]],categories[HazardRisk_Name],categories[HazardRisk])</f>
        <v>Hazard</v>
      </c>
      <c r="H842" t="str">
        <f>_xlfn.XLOOKUP(FMECA[[#This Row],[HazardRisk_name]],categories[HazardRisk_Name],categories[Category])</f>
        <v>Operational</v>
      </c>
      <c r="I842" t="s">
        <v>685</v>
      </c>
      <c r="J842" s="10">
        <v>5</v>
      </c>
      <c r="K842" t="s">
        <v>1485</v>
      </c>
      <c r="L842" s="10">
        <v>7</v>
      </c>
      <c r="M842" t="s">
        <v>1486</v>
      </c>
      <c r="N842" s="10">
        <f>FMECA[[#This Row],[probability_value]]*FMECA[[#This Row],[consequence_value]]</f>
        <v>35</v>
      </c>
      <c r="O842" s="10" t="str">
        <f>IF(AND(FMECA[[#This Row],[Score]]&gt;=0, 9&gt;=FMECA[[#This Row],[Score]]), "UNDETECTABLE", IF(AND(FMECA[[#This Row],[Score]]&gt;=10, 24&gt;=FMECA[[#This Row],[Score]]), "MODERATE", IF(AND(FMECA[[#This Row],[Score]]&gt;=25, 35&gt;=FMECA[[#This Row],[Score]]), "HIGH", IF(AND(FMECA[[#This Row],[Score]]&gt;=36, 50&gt;=FMECA[[#This Row],[Score]]), "VERY HIGH", "Check Formula"))))</f>
        <v>HIGH</v>
      </c>
      <c r="P842" s="10" t="s">
        <v>767</v>
      </c>
      <c r="Q842" t="s">
        <v>1162</v>
      </c>
      <c r="R842" t="s">
        <v>771</v>
      </c>
      <c r="S842" t="s">
        <v>782</v>
      </c>
      <c r="T842" t="s">
        <v>793</v>
      </c>
      <c r="U842" t="s">
        <v>1490</v>
      </c>
      <c r="V842" t="s">
        <v>470</v>
      </c>
      <c r="W842" t="s">
        <v>1489</v>
      </c>
      <c r="X842" t="s">
        <v>466</v>
      </c>
      <c r="AA842" t="s">
        <v>1162</v>
      </c>
    </row>
    <row r="843" spans="1:27" x14ac:dyDescent="0.2">
      <c r="A843" s="225" t="s">
        <v>334</v>
      </c>
      <c r="B843" t="s">
        <v>303</v>
      </c>
      <c r="C843" t="s">
        <v>403</v>
      </c>
      <c r="D843" t="s">
        <v>445</v>
      </c>
      <c r="E843" t="s">
        <v>1484</v>
      </c>
      <c r="F843" s="226" t="s">
        <v>443</v>
      </c>
      <c r="G843" t="str">
        <f>_xlfn.XLOOKUP(FMECA[[#This Row],[HazardRisk_name]],categories[HazardRisk_Name],categories[HazardRisk])</f>
        <v>Hazard</v>
      </c>
      <c r="H843" t="str">
        <f>_xlfn.XLOOKUP(FMECA[[#This Row],[HazardRisk_name]],categories[HazardRisk_Name],categories[Category])</f>
        <v>Operational</v>
      </c>
      <c r="I843" t="s">
        <v>633</v>
      </c>
      <c r="J843" s="10">
        <v>3</v>
      </c>
      <c r="K843" t="s">
        <v>1485</v>
      </c>
      <c r="L843" s="10">
        <v>10</v>
      </c>
      <c r="M843" t="s">
        <v>1486</v>
      </c>
      <c r="N843" s="10">
        <f>FMECA[[#This Row],[probability_value]]*FMECA[[#This Row],[consequence_value]]</f>
        <v>30</v>
      </c>
      <c r="O843" s="10" t="str">
        <f>IF(AND(FMECA[[#This Row],[Score]]&gt;=0, 9&gt;=FMECA[[#This Row],[Score]]), "UNDETECTABLE", IF(AND(FMECA[[#This Row],[Score]]&gt;=10, 24&gt;=FMECA[[#This Row],[Score]]), "MODERATE", IF(AND(FMECA[[#This Row],[Score]]&gt;=25, 35&gt;=FMECA[[#This Row],[Score]]), "HIGH", IF(AND(FMECA[[#This Row],[Score]]&gt;=36, 50&gt;=FMECA[[#This Row],[Score]]), "VERY HIGH", "Check Formula"))))</f>
        <v>HIGH</v>
      </c>
      <c r="P843" s="10" t="s">
        <v>767</v>
      </c>
      <c r="Q843" t="s">
        <v>1162</v>
      </c>
      <c r="R843" t="s">
        <v>771</v>
      </c>
      <c r="S843" t="s">
        <v>782</v>
      </c>
      <c r="T843" t="s">
        <v>793</v>
      </c>
      <c r="U843" t="s">
        <v>1495</v>
      </c>
      <c r="V843" t="s">
        <v>470</v>
      </c>
      <c r="W843" t="s">
        <v>1496</v>
      </c>
      <c r="X843" t="s">
        <v>470</v>
      </c>
      <c r="Y843" t="s">
        <v>1488</v>
      </c>
      <c r="Z843" t="s">
        <v>1487</v>
      </c>
      <c r="AA843" t="s">
        <v>1132</v>
      </c>
    </row>
    <row r="844" spans="1:27" x14ac:dyDescent="0.2">
      <c r="A844" s="225" t="s">
        <v>1058</v>
      </c>
      <c r="B844" t="s">
        <v>303</v>
      </c>
      <c r="C844" t="s">
        <v>1328</v>
      </c>
      <c r="D844" t="s">
        <v>220</v>
      </c>
      <c r="E844" t="s">
        <v>1327</v>
      </c>
      <c r="F844" s="226" t="s">
        <v>1057</v>
      </c>
      <c r="G844" t="str">
        <f>_xlfn.XLOOKUP(FMECA[[#This Row],[HazardRisk_name]],categories[HazardRisk_Name],categories[HazardRisk])</f>
        <v>Risk</v>
      </c>
      <c r="H844" t="str">
        <f>_xlfn.XLOOKUP(FMECA[[#This Row],[HazardRisk_name]],categories[HazardRisk_Name],categories[Category])</f>
        <v>Navigational</v>
      </c>
      <c r="I844" t="s">
        <v>586</v>
      </c>
      <c r="J844" s="10">
        <v>2</v>
      </c>
      <c r="K844" t="s">
        <v>1329</v>
      </c>
      <c r="L844" s="10">
        <v>7</v>
      </c>
      <c r="M844" t="s">
        <v>1329</v>
      </c>
      <c r="N844" s="10">
        <f>FMECA[[#This Row],[probability_value]]*FMECA[[#This Row],[consequence_value]]</f>
        <v>14</v>
      </c>
      <c r="O844"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44" s="10" t="s">
        <v>770</v>
      </c>
      <c r="Q844" t="s">
        <v>1132</v>
      </c>
      <c r="R844" t="s">
        <v>780</v>
      </c>
      <c r="S844" t="s">
        <v>1330</v>
      </c>
      <c r="U844" t="s">
        <v>778</v>
      </c>
      <c r="V844" t="s">
        <v>1306</v>
      </c>
      <c r="W844" t="s">
        <v>778</v>
      </c>
      <c r="X844" t="s">
        <v>1306</v>
      </c>
      <c r="AA844" t="s">
        <v>1162</v>
      </c>
    </row>
    <row r="845" spans="1:27" x14ac:dyDescent="0.2">
      <c r="A845" s="225" t="s">
        <v>1058</v>
      </c>
      <c r="B845" t="s">
        <v>303</v>
      </c>
      <c r="C845" t="s">
        <v>1328</v>
      </c>
      <c r="D845" t="s">
        <v>220</v>
      </c>
      <c r="E845" t="s">
        <v>1327</v>
      </c>
      <c r="F845" s="226" t="s">
        <v>1057</v>
      </c>
      <c r="G845" t="str">
        <f>_xlfn.XLOOKUP(FMECA[[#This Row],[HazardRisk_name]],categories[HazardRisk_Name],categories[HazardRisk])</f>
        <v>Risk</v>
      </c>
      <c r="H845" t="str">
        <f>_xlfn.XLOOKUP(FMECA[[#This Row],[HazardRisk_name]],categories[HazardRisk_Name],categories[Category])</f>
        <v>Navigational</v>
      </c>
      <c r="I845" t="s">
        <v>705</v>
      </c>
      <c r="J845" s="10">
        <v>1</v>
      </c>
      <c r="K845" t="s">
        <v>1329</v>
      </c>
      <c r="L845" s="10">
        <v>10</v>
      </c>
      <c r="M845" t="s">
        <v>1329</v>
      </c>
      <c r="N845" s="10">
        <f>FMECA[[#This Row],[probability_value]]*FMECA[[#This Row],[consequence_value]]</f>
        <v>10</v>
      </c>
      <c r="O84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45" s="10" t="s">
        <v>770</v>
      </c>
      <c r="Q845" t="s">
        <v>1132</v>
      </c>
      <c r="R845" t="s">
        <v>780</v>
      </c>
      <c r="S845" t="s">
        <v>1330</v>
      </c>
      <c r="U845" t="s">
        <v>778</v>
      </c>
      <c r="V845" t="s">
        <v>1306</v>
      </c>
      <c r="W845" t="s">
        <v>778</v>
      </c>
      <c r="X845" t="s">
        <v>1306</v>
      </c>
      <c r="AA845" t="s">
        <v>1162</v>
      </c>
    </row>
    <row r="846" spans="1:27" x14ac:dyDescent="0.2">
      <c r="A846" s="225" t="s">
        <v>1058</v>
      </c>
      <c r="B846" t="s">
        <v>303</v>
      </c>
      <c r="C846" t="s">
        <v>1328</v>
      </c>
      <c r="D846" t="s">
        <v>220</v>
      </c>
      <c r="E846" t="s">
        <v>1327</v>
      </c>
      <c r="F846" s="226" t="s">
        <v>1057</v>
      </c>
      <c r="G846" t="str">
        <f>_xlfn.XLOOKUP(FMECA[[#This Row],[HazardRisk_name]],categories[HazardRisk_Name],categories[HazardRisk])</f>
        <v>Risk</v>
      </c>
      <c r="H846" t="str">
        <f>_xlfn.XLOOKUP(FMECA[[#This Row],[HazardRisk_name]],categories[HazardRisk_Name],categories[Category])</f>
        <v>Navigational</v>
      </c>
      <c r="I846" t="s">
        <v>587</v>
      </c>
      <c r="J846" s="10">
        <v>1</v>
      </c>
      <c r="K846" t="s">
        <v>1329</v>
      </c>
      <c r="L846" s="10">
        <v>10</v>
      </c>
      <c r="M846" t="s">
        <v>1329</v>
      </c>
      <c r="N846" s="10">
        <f>FMECA[[#This Row],[probability_value]]*FMECA[[#This Row],[consequence_value]]</f>
        <v>10</v>
      </c>
      <c r="O84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46" s="10" t="s">
        <v>770</v>
      </c>
      <c r="Q846" t="s">
        <v>1132</v>
      </c>
      <c r="R846" t="s">
        <v>780</v>
      </c>
      <c r="S846" t="s">
        <v>1330</v>
      </c>
      <c r="U846" t="s">
        <v>778</v>
      </c>
      <c r="V846" t="s">
        <v>1306</v>
      </c>
      <c r="W846" t="s">
        <v>778</v>
      </c>
      <c r="X846" t="s">
        <v>1306</v>
      </c>
      <c r="AA846" t="s">
        <v>1162</v>
      </c>
    </row>
    <row r="847" spans="1:27" x14ac:dyDescent="0.2">
      <c r="A847" s="225" t="s">
        <v>1058</v>
      </c>
      <c r="B847" t="s">
        <v>303</v>
      </c>
      <c r="C847" t="s">
        <v>1328</v>
      </c>
      <c r="D847" t="s">
        <v>220</v>
      </c>
      <c r="E847" t="s">
        <v>1327</v>
      </c>
      <c r="F847" s="226" t="s">
        <v>1057</v>
      </c>
      <c r="G847" t="str">
        <f>_xlfn.XLOOKUP(FMECA[[#This Row],[HazardRisk_name]],categories[HazardRisk_Name],categories[HazardRisk])</f>
        <v>Risk</v>
      </c>
      <c r="H847" t="str">
        <f>_xlfn.XLOOKUP(FMECA[[#This Row],[HazardRisk_name]],categories[HazardRisk_Name],categories[Category])</f>
        <v>Navigational</v>
      </c>
      <c r="I847" t="s">
        <v>582</v>
      </c>
      <c r="J847" s="10">
        <v>1</v>
      </c>
      <c r="K847" t="s">
        <v>1329</v>
      </c>
      <c r="L847" s="10">
        <v>10</v>
      </c>
      <c r="M847" t="s">
        <v>1329</v>
      </c>
      <c r="N847" s="10">
        <f>FMECA[[#This Row],[probability_value]]*FMECA[[#This Row],[consequence_value]]</f>
        <v>10</v>
      </c>
      <c r="O847"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47" s="10" t="s">
        <v>770</v>
      </c>
      <c r="Q847" t="s">
        <v>1132</v>
      </c>
      <c r="R847" t="s">
        <v>780</v>
      </c>
      <c r="S847" t="s">
        <v>1330</v>
      </c>
      <c r="U847" t="s">
        <v>778</v>
      </c>
      <c r="V847" t="s">
        <v>1306</v>
      </c>
      <c r="W847" t="s">
        <v>778</v>
      </c>
      <c r="X847" t="s">
        <v>1306</v>
      </c>
      <c r="AA847" t="s">
        <v>1162</v>
      </c>
    </row>
    <row r="848" spans="1:27" x14ac:dyDescent="0.2">
      <c r="A848" s="225" t="s">
        <v>1298</v>
      </c>
      <c r="B848" t="s">
        <v>303</v>
      </c>
      <c r="C848" t="s">
        <v>1299</v>
      </c>
      <c r="D848" t="s">
        <v>205</v>
      </c>
      <c r="E848" t="s">
        <v>1300</v>
      </c>
      <c r="F848" s="226" t="s">
        <v>1301</v>
      </c>
      <c r="G848" t="str">
        <f>_xlfn.XLOOKUP(FMECA[[#This Row],[HazardRisk_name]],categories[HazardRisk_Name],categories[HazardRisk])</f>
        <v>Risk</v>
      </c>
      <c r="H848" t="str">
        <f>_xlfn.XLOOKUP(FMECA[[#This Row],[HazardRisk_name]],categories[HazardRisk_Name],categories[Category])</f>
        <v>Political</v>
      </c>
      <c r="I848" t="s">
        <v>540</v>
      </c>
      <c r="J848" s="10">
        <v>5</v>
      </c>
      <c r="K848" t="s">
        <v>1308</v>
      </c>
      <c r="L848" s="10">
        <v>1</v>
      </c>
      <c r="M848" t="s">
        <v>1308</v>
      </c>
      <c r="N848" s="10">
        <f>FMECA[[#This Row],[probability_value]]*FMECA[[#This Row],[consequence_value]]</f>
        <v>5</v>
      </c>
      <c r="O848"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848" s="10" t="s">
        <v>770</v>
      </c>
      <c r="Q848" t="s">
        <v>1162</v>
      </c>
      <c r="R848" t="s">
        <v>780</v>
      </c>
      <c r="S848" t="s">
        <v>1302</v>
      </c>
      <c r="U848" t="s">
        <v>778</v>
      </c>
      <c r="V848" t="s">
        <v>1306</v>
      </c>
      <c r="W848" t="s">
        <v>778</v>
      </c>
      <c r="X848" t="s">
        <v>1306</v>
      </c>
      <c r="AA848" t="s">
        <v>1162</v>
      </c>
    </row>
    <row r="849" spans="1:27" x14ac:dyDescent="0.2">
      <c r="A849" s="225" t="s">
        <v>1298</v>
      </c>
      <c r="B849" t="s">
        <v>303</v>
      </c>
      <c r="C849" t="s">
        <v>1299</v>
      </c>
      <c r="D849" t="s">
        <v>205</v>
      </c>
      <c r="E849" t="s">
        <v>1300</v>
      </c>
      <c r="F849" s="226" t="s">
        <v>1301</v>
      </c>
      <c r="G849" t="str">
        <f>_xlfn.XLOOKUP(FMECA[[#This Row],[HazardRisk_name]],categories[HazardRisk_Name],categories[HazardRisk])</f>
        <v>Risk</v>
      </c>
      <c r="H849" t="str">
        <f>_xlfn.XLOOKUP(FMECA[[#This Row],[HazardRisk_name]],categories[HazardRisk_Name],categories[Category])</f>
        <v>Operational</v>
      </c>
      <c r="I849" t="s">
        <v>492</v>
      </c>
      <c r="J849" s="10">
        <v>3</v>
      </c>
      <c r="K849" t="s">
        <v>1309</v>
      </c>
      <c r="L849" s="10">
        <v>4</v>
      </c>
      <c r="M849" t="s">
        <v>1309</v>
      </c>
      <c r="N849" s="10">
        <f>FMECA[[#This Row],[probability_value]]*FMECA[[#This Row],[consequence_value]]</f>
        <v>12</v>
      </c>
      <c r="O84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49" s="10" t="s">
        <v>770</v>
      </c>
      <c r="Q849" t="s">
        <v>1162</v>
      </c>
      <c r="R849" t="s">
        <v>780</v>
      </c>
      <c r="S849" t="s">
        <v>1302</v>
      </c>
      <c r="U849" t="s">
        <v>778</v>
      </c>
      <c r="V849" t="s">
        <v>1306</v>
      </c>
      <c r="W849" t="s">
        <v>778</v>
      </c>
      <c r="X849" t="s">
        <v>1306</v>
      </c>
      <c r="AA849" t="s">
        <v>1162</v>
      </c>
    </row>
    <row r="850" spans="1:27" x14ac:dyDescent="0.2">
      <c r="A850" s="225" t="s">
        <v>1298</v>
      </c>
      <c r="B850" t="s">
        <v>303</v>
      </c>
      <c r="C850" t="s">
        <v>1299</v>
      </c>
      <c r="D850" t="s">
        <v>205</v>
      </c>
      <c r="E850" t="s">
        <v>1300</v>
      </c>
      <c r="F850" s="226" t="s">
        <v>1301</v>
      </c>
      <c r="G850" t="str">
        <f>_xlfn.XLOOKUP(FMECA[[#This Row],[HazardRisk_name]],categories[HazardRisk_Name],categories[HazardRisk])</f>
        <v>Hazard</v>
      </c>
      <c r="H850" t="str">
        <f>_xlfn.XLOOKUP(FMECA[[#This Row],[HazardRisk_name]],categories[HazardRisk_Name],categories[Category])</f>
        <v>Navigational</v>
      </c>
      <c r="I850" t="s">
        <v>496</v>
      </c>
      <c r="J850" s="10">
        <v>4</v>
      </c>
      <c r="K850" t="s">
        <v>1309</v>
      </c>
      <c r="L850" s="10">
        <v>4</v>
      </c>
      <c r="M850" t="s">
        <v>1309</v>
      </c>
      <c r="N850" s="10">
        <f>FMECA[[#This Row],[probability_value]]*FMECA[[#This Row],[consequence_value]]</f>
        <v>16</v>
      </c>
      <c r="O85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50" s="10" t="s">
        <v>770</v>
      </c>
      <c r="Q850" t="s">
        <v>1162</v>
      </c>
      <c r="R850" t="s">
        <v>780</v>
      </c>
      <c r="S850" t="s">
        <v>1302</v>
      </c>
      <c r="U850" t="s">
        <v>778</v>
      </c>
      <c r="V850" t="s">
        <v>1306</v>
      </c>
      <c r="W850" t="s">
        <v>778</v>
      </c>
      <c r="X850" t="s">
        <v>1306</v>
      </c>
      <c r="AA850" t="s">
        <v>1162</v>
      </c>
    </row>
    <row r="851" spans="1:27" x14ac:dyDescent="0.2">
      <c r="A851" s="225" t="s">
        <v>1298</v>
      </c>
      <c r="B851" t="s">
        <v>303</v>
      </c>
      <c r="C851" t="s">
        <v>1299</v>
      </c>
      <c r="D851" t="s">
        <v>205</v>
      </c>
      <c r="E851" t="s">
        <v>1300</v>
      </c>
      <c r="F851" s="226" t="s">
        <v>1301</v>
      </c>
      <c r="G851" t="str">
        <f>_xlfn.XLOOKUP(FMECA[[#This Row],[HazardRisk_name]],categories[HazardRisk_Name],categories[HazardRisk])</f>
        <v>Hazard</v>
      </c>
      <c r="H851" t="str">
        <f>_xlfn.XLOOKUP(FMECA[[#This Row],[HazardRisk_name]],categories[HazardRisk_Name],categories[Category])</f>
        <v>Technological</v>
      </c>
      <c r="I851" t="s">
        <v>495</v>
      </c>
      <c r="J851" s="10">
        <v>1</v>
      </c>
      <c r="K851" t="s">
        <v>1309</v>
      </c>
      <c r="L851" s="10">
        <v>4</v>
      </c>
      <c r="M851" t="s">
        <v>1309</v>
      </c>
      <c r="N851" s="10">
        <f>FMECA[[#This Row],[probability_value]]*FMECA[[#This Row],[consequence_value]]</f>
        <v>4</v>
      </c>
      <c r="O851"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851" s="10" t="s">
        <v>770</v>
      </c>
      <c r="Q851" t="s">
        <v>1162</v>
      </c>
      <c r="R851" t="s">
        <v>780</v>
      </c>
      <c r="S851" t="s">
        <v>1302</v>
      </c>
      <c r="U851" t="s">
        <v>778</v>
      </c>
      <c r="V851" t="s">
        <v>1306</v>
      </c>
      <c r="W851" t="s">
        <v>778</v>
      </c>
      <c r="X851" t="s">
        <v>1306</v>
      </c>
      <c r="AA851" t="s">
        <v>1162</v>
      </c>
    </row>
    <row r="852" spans="1:27" ht="34" x14ac:dyDescent="0.2">
      <c r="A852" s="225" t="s">
        <v>1298</v>
      </c>
      <c r="B852" t="s">
        <v>303</v>
      </c>
      <c r="C852" t="s">
        <v>1299</v>
      </c>
      <c r="D852" t="s">
        <v>205</v>
      </c>
      <c r="E852" t="s">
        <v>1300</v>
      </c>
      <c r="F852" s="226" t="s">
        <v>1301</v>
      </c>
      <c r="G852" t="str">
        <f>_xlfn.XLOOKUP(FMECA[[#This Row],[HazardRisk_name]],categories[HazardRisk_Name],categories[HazardRisk])</f>
        <v>Hazard</v>
      </c>
      <c r="H852" t="str">
        <f>_xlfn.XLOOKUP(FMECA[[#This Row],[HazardRisk_name]],categories[HazardRisk_Name],categories[Category])</f>
        <v>Navigational</v>
      </c>
      <c r="I852" s="15" t="s">
        <v>1307</v>
      </c>
      <c r="J852" s="10">
        <v>3</v>
      </c>
      <c r="K852" t="s">
        <v>1309</v>
      </c>
      <c r="L852" s="10">
        <v>7</v>
      </c>
      <c r="M852" t="s">
        <v>1309</v>
      </c>
      <c r="N852" s="10">
        <f>FMECA[[#This Row],[probability_value]]*FMECA[[#This Row],[consequence_value]]</f>
        <v>21</v>
      </c>
      <c r="O852"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52" s="10" t="s">
        <v>770</v>
      </c>
      <c r="Q852" t="s">
        <v>1162</v>
      </c>
      <c r="R852" t="s">
        <v>780</v>
      </c>
      <c r="S852" t="s">
        <v>1302</v>
      </c>
      <c r="U852" t="s">
        <v>778</v>
      </c>
      <c r="V852" t="s">
        <v>1306</v>
      </c>
      <c r="W852" t="s">
        <v>778</v>
      </c>
      <c r="X852" t="s">
        <v>1306</v>
      </c>
      <c r="AA852" t="s">
        <v>1162</v>
      </c>
    </row>
    <row r="853" spans="1:27" x14ac:dyDescent="0.2">
      <c r="A853" s="225" t="s">
        <v>1298</v>
      </c>
      <c r="B853" t="s">
        <v>303</v>
      </c>
      <c r="C853" t="s">
        <v>1299</v>
      </c>
      <c r="D853" t="s">
        <v>205</v>
      </c>
      <c r="E853" t="s">
        <v>1300</v>
      </c>
      <c r="F853" s="226" t="s">
        <v>1301</v>
      </c>
      <c r="G853" t="str">
        <f>_xlfn.XLOOKUP(FMECA[[#This Row],[HazardRisk_name]],categories[HazardRisk_Name],categories[HazardRisk])</f>
        <v>Hazard</v>
      </c>
      <c r="H853" t="str">
        <f>_xlfn.XLOOKUP(FMECA[[#This Row],[HazardRisk_name]],categories[HazardRisk_Name],categories[Category])</f>
        <v>Human</v>
      </c>
      <c r="I853" t="s">
        <v>491</v>
      </c>
      <c r="J853" s="10">
        <v>3</v>
      </c>
      <c r="K853" t="s">
        <v>1309</v>
      </c>
      <c r="L853" s="10">
        <v>4</v>
      </c>
      <c r="M853" t="s">
        <v>1309</v>
      </c>
      <c r="N853" s="10">
        <f>FMECA[[#This Row],[probability_value]]*FMECA[[#This Row],[consequence_value]]</f>
        <v>12</v>
      </c>
      <c r="O85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53" s="10" t="s">
        <v>770</v>
      </c>
      <c r="Q853" t="s">
        <v>1162</v>
      </c>
      <c r="R853" t="s">
        <v>780</v>
      </c>
      <c r="S853" t="s">
        <v>1302</v>
      </c>
      <c r="U853" t="s">
        <v>778</v>
      </c>
      <c r="V853" t="s">
        <v>1306</v>
      </c>
      <c r="W853" t="s">
        <v>778</v>
      </c>
      <c r="X853" t="s">
        <v>1306</v>
      </c>
      <c r="AA853" t="s">
        <v>1162</v>
      </c>
    </row>
    <row r="854" spans="1:27" x14ac:dyDescent="0.2">
      <c r="A854" s="225" t="s">
        <v>1298</v>
      </c>
      <c r="B854" t="s">
        <v>303</v>
      </c>
      <c r="C854" t="s">
        <v>1299</v>
      </c>
      <c r="D854" t="s">
        <v>205</v>
      </c>
      <c r="E854" t="s">
        <v>1300</v>
      </c>
      <c r="F854" s="226" t="s">
        <v>1301</v>
      </c>
      <c r="G854" t="str">
        <f>_xlfn.XLOOKUP(FMECA[[#This Row],[HazardRisk_name]],categories[HazardRisk_Name],categories[HazardRisk])</f>
        <v>Hazard</v>
      </c>
      <c r="H854" t="str">
        <f>_xlfn.XLOOKUP(FMECA[[#This Row],[HazardRisk_name]],categories[HazardRisk_Name],categories[Category])</f>
        <v>Human</v>
      </c>
      <c r="I854" t="s">
        <v>590</v>
      </c>
      <c r="J854" s="10">
        <v>2</v>
      </c>
      <c r="K854" t="s">
        <v>1309</v>
      </c>
      <c r="L854" s="10">
        <v>4</v>
      </c>
      <c r="M854" t="s">
        <v>1309</v>
      </c>
      <c r="N854" s="10">
        <f>FMECA[[#This Row],[probability_value]]*FMECA[[#This Row],[consequence_value]]</f>
        <v>8</v>
      </c>
      <c r="O854"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854" s="10" t="s">
        <v>770</v>
      </c>
      <c r="Q854" t="s">
        <v>1162</v>
      </c>
      <c r="R854" t="s">
        <v>780</v>
      </c>
      <c r="S854" t="s">
        <v>1302</v>
      </c>
      <c r="U854" t="s">
        <v>778</v>
      </c>
      <c r="V854" t="s">
        <v>1306</v>
      </c>
      <c r="W854" t="s">
        <v>778</v>
      </c>
      <c r="X854" t="s">
        <v>1306</v>
      </c>
      <c r="AA854" t="s">
        <v>1162</v>
      </c>
    </row>
    <row r="855" spans="1:27" x14ac:dyDescent="0.2">
      <c r="A855" s="225" t="s">
        <v>1298</v>
      </c>
      <c r="B855" t="s">
        <v>303</v>
      </c>
      <c r="C855" t="s">
        <v>1299</v>
      </c>
      <c r="D855" t="s">
        <v>205</v>
      </c>
      <c r="E855" t="s">
        <v>1300</v>
      </c>
      <c r="F855" s="226" t="s">
        <v>1301</v>
      </c>
      <c r="G855" t="str">
        <f>_xlfn.XLOOKUP(FMECA[[#This Row],[HazardRisk_name]],categories[HazardRisk_Name],categories[HazardRisk])</f>
        <v>Hazard</v>
      </c>
      <c r="H855" t="str">
        <f>_xlfn.XLOOKUP(FMECA[[#This Row],[HazardRisk_name]],categories[HazardRisk_Name],categories[Category])</f>
        <v>Sea Ice</v>
      </c>
      <c r="I855" t="s">
        <v>648</v>
      </c>
      <c r="J855" s="10">
        <v>3</v>
      </c>
      <c r="K855" t="s">
        <v>1309</v>
      </c>
      <c r="L855" s="10">
        <v>7</v>
      </c>
      <c r="M855" t="s">
        <v>1309</v>
      </c>
      <c r="N855" s="10">
        <f>FMECA[[#This Row],[probability_value]]*FMECA[[#This Row],[consequence_value]]</f>
        <v>21</v>
      </c>
      <c r="O855"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55" s="10" t="s">
        <v>770</v>
      </c>
      <c r="Q855" t="s">
        <v>1162</v>
      </c>
      <c r="R855" t="s">
        <v>780</v>
      </c>
      <c r="S855" t="s">
        <v>1302</v>
      </c>
      <c r="U855" t="s">
        <v>778</v>
      </c>
      <c r="V855" t="s">
        <v>1306</v>
      </c>
      <c r="W855" t="s">
        <v>778</v>
      </c>
      <c r="X855" t="s">
        <v>1306</v>
      </c>
      <c r="AA855" t="s">
        <v>1162</v>
      </c>
    </row>
    <row r="856" spans="1:27" x14ac:dyDescent="0.2">
      <c r="A856" s="225" t="s">
        <v>1298</v>
      </c>
      <c r="B856" t="s">
        <v>303</v>
      </c>
      <c r="C856" t="s">
        <v>1299</v>
      </c>
      <c r="D856" t="s">
        <v>205</v>
      </c>
      <c r="E856" t="s">
        <v>1300</v>
      </c>
      <c r="F856" s="226" t="s">
        <v>1301</v>
      </c>
      <c r="G856" t="str">
        <f>_xlfn.XLOOKUP(FMECA[[#This Row],[HazardRisk_name]],categories[HazardRisk_Name],categories[HazardRisk])</f>
        <v>Hazard</v>
      </c>
      <c r="H856" t="str">
        <f>_xlfn.XLOOKUP(FMECA[[#This Row],[HazardRisk_name]],categories[HazardRisk_Name],categories[Category])</f>
        <v>Environmental</v>
      </c>
      <c r="I856" t="s">
        <v>485</v>
      </c>
      <c r="J856" s="10">
        <v>3</v>
      </c>
      <c r="K856" t="s">
        <v>1309</v>
      </c>
      <c r="L856" s="10">
        <v>4</v>
      </c>
      <c r="M856" t="s">
        <v>1309</v>
      </c>
      <c r="N856" s="10">
        <f>FMECA[[#This Row],[probability_value]]*FMECA[[#This Row],[consequence_value]]</f>
        <v>12</v>
      </c>
      <c r="O856"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56" s="10" t="s">
        <v>770</v>
      </c>
      <c r="Q856" t="s">
        <v>1162</v>
      </c>
      <c r="R856" t="s">
        <v>780</v>
      </c>
      <c r="S856" t="s">
        <v>1302</v>
      </c>
      <c r="U856" t="s">
        <v>778</v>
      </c>
      <c r="V856" t="s">
        <v>1306</v>
      </c>
      <c r="W856" t="s">
        <v>778</v>
      </c>
      <c r="X856" t="s">
        <v>1306</v>
      </c>
      <c r="AA856" t="s">
        <v>1162</v>
      </c>
    </row>
    <row r="857" spans="1:27" x14ac:dyDescent="0.2">
      <c r="A857" s="225" t="s">
        <v>1298</v>
      </c>
      <c r="B857" t="s">
        <v>303</v>
      </c>
      <c r="C857" t="s">
        <v>1299</v>
      </c>
      <c r="D857" t="s">
        <v>205</v>
      </c>
      <c r="E857" t="s">
        <v>1300</v>
      </c>
      <c r="F857" s="226" t="s">
        <v>1301</v>
      </c>
      <c r="G857" t="str">
        <f>_xlfn.XLOOKUP(FMECA[[#This Row],[HazardRisk_name]],categories[HazardRisk_Name],categories[HazardRisk])</f>
        <v>Hazard</v>
      </c>
      <c r="H857" t="str">
        <f>_xlfn.XLOOKUP(FMECA[[#This Row],[HazardRisk_name]],categories[HazardRisk_Name],categories[Category])</f>
        <v>Environmental</v>
      </c>
      <c r="I857" t="s">
        <v>684</v>
      </c>
      <c r="J857" s="10">
        <v>2</v>
      </c>
      <c r="K857" t="s">
        <v>1309</v>
      </c>
      <c r="L857" s="10">
        <v>4</v>
      </c>
      <c r="M857" t="s">
        <v>1309</v>
      </c>
      <c r="N857" s="10">
        <f>FMECA[[#This Row],[probability_value]]*FMECA[[#This Row],[consequence_value]]</f>
        <v>8</v>
      </c>
      <c r="O857"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857" s="10" t="s">
        <v>770</v>
      </c>
      <c r="Q857" t="s">
        <v>1162</v>
      </c>
      <c r="R857" t="s">
        <v>780</v>
      </c>
      <c r="S857" t="s">
        <v>1302</v>
      </c>
      <c r="U857" t="s">
        <v>778</v>
      </c>
      <c r="V857" t="s">
        <v>1306</v>
      </c>
      <c r="W857" t="s">
        <v>778</v>
      </c>
      <c r="X857" t="s">
        <v>1306</v>
      </c>
      <c r="AA857" t="s">
        <v>1162</v>
      </c>
    </row>
    <row r="858" spans="1:27" ht="34" x14ac:dyDescent="0.2">
      <c r="A858" s="225" t="s">
        <v>1298</v>
      </c>
      <c r="B858" t="s">
        <v>303</v>
      </c>
      <c r="C858" t="s">
        <v>1299</v>
      </c>
      <c r="D858" t="s">
        <v>205</v>
      </c>
      <c r="E858" t="s">
        <v>1300</v>
      </c>
      <c r="F858" s="226" t="s">
        <v>1301</v>
      </c>
      <c r="G858" t="str">
        <f>_xlfn.XLOOKUP(FMECA[[#This Row],[HazardRisk_name]],categories[HazardRisk_Name],categories[HazardRisk])</f>
        <v>Hazard</v>
      </c>
      <c r="H858" t="str">
        <f>_xlfn.XLOOKUP(FMECA[[#This Row],[HazardRisk_name]],categories[HazardRisk_Name],categories[Category])</f>
        <v>Technological</v>
      </c>
      <c r="I858" s="15" t="s">
        <v>1311</v>
      </c>
      <c r="J858" s="10">
        <v>1</v>
      </c>
      <c r="K858" t="s">
        <v>1309</v>
      </c>
      <c r="L858" s="10">
        <v>4</v>
      </c>
      <c r="M858" t="s">
        <v>1309</v>
      </c>
      <c r="N858" s="10">
        <f>FMECA[[#This Row],[probability_value]]*FMECA[[#This Row],[consequence_value]]</f>
        <v>4</v>
      </c>
      <c r="O858"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858" s="10" t="s">
        <v>770</v>
      </c>
      <c r="Q858" t="s">
        <v>1162</v>
      </c>
      <c r="R858" t="s">
        <v>780</v>
      </c>
      <c r="S858" t="s">
        <v>1302</v>
      </c>
      <c r="U858" t="s">
        <v>778</v>
      </c>
      <c r="V858" t="s">
        <v>1306</v>
      </c>
      <c r="W858" t="s">
        <v>778</v>
      </c>
      <c r="X858" t="s">
        <v>1306</v>
      </c>
      <c r="AA858" t="s">
        <v>1162</v>
      </c>
    </row>
    <row r="859" spans="1:27" ht="34" x14ac:dyDescent="0.2">
      <c r="A859" s="225" t="s">
        <v>1298</v>
      </c>
      <c r="B859" t="s">
        <v>303</v>
      </c>
      <c r="C859" t="s">
        <v>1299</v>
      </c>
      <c r="D859" t="s">
        <v>205</v>
      </c>
      <c r="E859" t="s">
        <v>1300</v>
      </c>
      <c r="F859" s="226" t="s">
        <v>1301</v>
      </c>
      <c r="G859" t="str">
        <f>_xlfn.XLOOKUP(FMECA[[#This Row],[HazardRisk_name]],categories[HazardRisk_Name],categories[HazardRisk])</f>
        <v>Risk</v>
      </c>
      <c r="H859" t="str">
        <f>_xlfn.XLOOKUP(FMECA[[#This Row],[HazardRisk_name]],categories[HazardRisk_Name],categories[Category])</f>
        <v>Operational</v>
      </c>
      <c r="I859" s="15" t="s">
        <v>1320</v>
      </c>
      <c r="J859" s="10">
        <v>3</v>
      </c>
      <c r="K859" t="s">
        <v>1309</v>
      </c>
      <c r="L859" s="10">
        <v>7</v>
      </c>
      <c r="M859" t="s">
        <v>1309</v>
      </c>
      <c r="N859" s="10">
        <f>FMECA[[#This Row],[probability_value]]*FMECA[[#This Row],[consequence_value]]</f>
        <v>21</v>
      </c>
      <c r="O859"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59" s="10" t="s">
        <v>770</v>
      </c>
      <c r="Q859" t="s">
        <v>1162</v>
      </c>
      <c r="R859" t="s">
        <v>780</v>
      </c>
      <c r="S859" t="s">
        <v>1302</v>
      </c>
      <c r="U859" t="s">
        <v>778</v>
      </c>
      <c r="V859" t="s">
        <v>1306</v>
      </c>
      <c r="W859" t="s">
        <v>778</v>
      </c>
      <c r="X859" t="s">
        <v>1306</v>
      </c>
      <c r="AA859" t="s">
        <v>1162</v>
      </c>
    </row>
    <row r="860" spans="1:27" x14ac:dyDescent="0.2">
      <c r="A860" s="225" t="s">
        <v>1298</v>
      </c>
      <c r="B860" t="s">
        <v>303</v>
      </c>
      <c r="C860" t="s">
        <v>1299</v>
      </c>
      <c r="D860" t="s">
        <v>205</v>
      </c>
      <c r="E860" t="s">
        <v>1300</v>
      </c>
      <c r="F860" s="226" t="s">
        <v>1301</v>
      </c>
      <c r="G860" t="str">
        <f>_xlfn.XLOOKUP(FMECA[[#This Row],[HazardRisk_name]],categories[HazardRisk_Name],categories[HazardRisk])</f>
        <v>Risk</v>
      </c>
      <c r="H860" t="str">
        <f>_xlfn.XLOOKUP(FMECA[[#This Row],[HazardRisk_name]],categories[HazardRisk_Name],categories[Category])</f>
        <v>Navigational</v>
      </c>
      <c r="I860" t="s">
        <v>1312</v>
      </c>
      <c r="J860" s="10">
        <v>2</v>
      </c>
      <c r="K860" t="s">
        <v>1309</v>
      </c>
      <c r="L860" s="10">
        <v>7</v>
      </c>
      <c r="M860" t="s">
        <v>1309</v>
      </c>
      <c r="N860" s="10">
        <f>FMECA[[#This Row],[probability_value]]*FMECA[[#This Row],[consequence_value]]</f>
        <v>14</v>
      </c>
      <c r="O860"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60" s="10" t="s">
        <v>770</v>
      </c>
      <c r="Q860" t="s">
        <v>1162</v>
      </c>
      <c r="R860" t="s">
        <v>780</v>
      </c>
      <c r="S860" t="s">
        <v>1302</v>
      </c>
      <c r="U860" t="s">
        <v>778</v>
      </c>
      <c r="V860" t="s">
        <v>1306</v>
      </c>
      <c r="W860" t="s">
        <v>778</v>
      </c>
      <c r="X860" t="s">
        <v>1306</v>
      </c>
      <c r="AA860" t="s">
        <v>1162</v>
      </c>
    </row>
    <row r="861" spans="1:27" ht="34" x14ac:dyDescent="0.2">
      <c r="A861" s="225" t="s">
        <v>1298</v>
      </c>
      <c r="B861" t="s">
        <v>303</v>
      </c>
      <c r="C861" t="s">
        <v>1299</v>
      </c>
      <c r="D861" t="s">
        <v>205</v>
      </c>
      <c r="E861" t="s">
        <v>1300</v>
      </c>
      <c r="F861" s="226" t="s">
        <v>1301</v>
      </c>
      <c r="G861" t="str">
        <f>_xlfn.XLOOKUP(FMECA[[#This Row],[HazardRisk_name]],categories[HazardRisk_Name],categories[HazardRisk])</f>
        <v>Hazard</v>
      </c>
      <c r="H861" t="str">
        <f>_xlfn.XLOOKUP(FMECA[[#This Row],[HazardRisk_name]],categories[HazardRisk_Name],categories[Category])</f>
        <v>Navigational</v>
      </c>
      <c r="I861" s="15" t="s">
        <v>1316</v>
      </c>
      <c r="J861" s="10">
        <v>4</v>
      </c>
      <c r="K861" t="s">
        <v>1309</v>
      </c>
      <c r="L861" s="10">
        <v>4</v>
      </c>
      <c r="M861" t="s">
        <v>1309</v>
      </c>
      <c r="N861" s="10">
        <f>FMECA[[#This Row],[probability_value]]*FMECA[[#This Row],[consequence_value]]</f>
        <v>16</v>
      </c>
      <c r="O861"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61" s="10" t="s">
        <v>770</v>
      </c>
      <c r="Q861" t="s">
        <v>1162</v>
      </c>
      <c r="R861" t="s">
        <v>780</v>
      </c>
      <c r="S861" t="s">
        <v>1302</v>
      </c>
      <c r="U861" t="s">
        <v>778</v>
      </c>
      <c r="V861" t="s">
        <v>1306</v>
      </c>
      <c r="W861" t="s">
        <v>778</v>
      </c>
      <c r="X861" t="s">
        <v>1306</v>
      </c>
      <c r="AA861" t="s">
        <v>1162</v>
      </c>
    </row>
    <row r="862" spans="1:27" ht="34" x14ac:dyDescent="0.2">
      <c r="A862" s="225" t="s">
        <v>1298</v>
      </c>
      <c r="B862" t="s">
        <v>303</v>
      </c>
      <c r="C862" t="s">
        <v>1299</v>
      </c>
      <c r="D862" t="s">
        <v>205</v>
      </c>
      <c r="E862" t="s">
        <v>1300</v>
      </c>
      <c r="F862" s="226" t="s">
        <v>1301</v>
      </c>
      <c r="G862" t="str">
        <f>_xlfn.XLOOKUP(FMECA[[#This Row],[HazardRisk_name]],categories[HazardRisk_Name],categories[HazardRisk])</f>
        <v>Risk</v>
      </c>
      <c r="H862" t="str">
        <f>_xlfn.XLOOKUP(FMECA[[#This Row],[HazardRisk_name]],categories[HazardRisk_Name],categories[Category])</f>
        <v>Navigational</v>
      </c>
      <c r="I862" s="15" t="s">
        <v>1314</v>
      </c>
      <c r="J862" s="10">
        <v>2</v>
      </c>
      <c r="K862" t="s">
        <v>1309</v>
      </c>
      <c r="L862" s="10">
        <v>4</v>
      </c>
      <c r="M862" t="s">
        <v>1309</v>
      </c>
      <c r="N862" s="10">
        <f>FMECA[[#This Row],[probability_value]]*FMECA[[#This Row],[consequence_value]]</f>
        <v>8</v>
      </c>
      <c r="O862" s="10" t="str">
        <f>IF(AND(FMECA[[#This Row],[Score]]&gt;=0, 9&gt;=FMECA[[#This Row],[Score]]), "UNDETECTABLE", IF(AND(FMECA[[#This Row],[Score]]&gt;=10, 24&gt;=FMECA[[#This Row],[Score]]), "MODERATE", IF(AND(FMECA[[#This Row],[Score]]&gt;=25, 35&gt;=FMECA[[#This Row],[Score]]), "HIGH", IF(AND(FMECA[[#This Row],[Score]]&gt;=36, 50&gt;=FMECA[[#This Row],[Score]]), "VERY HIGH", "Check Formula"))))</f>
        <v>UNDETECTABLE</v>
      </c>
      <c r="P862" s="10" t="s">
        <v>770</v>
      </c>
      <c r="Q862" t="s">
        <v>1162</v>
      </c>
      <c r="R862" t="s">
        <v>780</v>
      </c>
      <c r="S862" t="s">
        <v>1302</v>
      </c>
      <c r="U862" t="s">
        <v>778</v>
      </c>
      <c r="V862" t="s">
        <v>1306</v>
      </c>
      <c r="W862" t="s">
        <v>778</v>
      </c>
      <c r="X862" t="s">
        <v>1306</v>
      </c>
      <c r="AA862" t="s">
        <v>1162</v>
      </c>
    </row>
    <row r="863" spans="1:27" ht="34" x14ac:dyDescent="0.2">
      <c r="A863" s="225" t="s">
        <v>1298</v>
      </c>
      <c r="B863" t="s">
        <v>303</v>
      </c>
      <c r="C863" t="s">
        <v>1299</v>
      </c>
      <c r="D863" t="s">
        <v>205</v>
      </c>
      <c r="E863" t="s">
        <v>1300</v>
      </c>
      <c r="F863" s="226" t="s">
        <v>1301</v>
      </c>
      <c r="G863" t="str">
        <f>_xlfn.XLOOKUP(FMECA[[#This Row],[HazardRisk_name]],categories[HazardRisk_Name],categories[HazardRisk])</f>
        <v>Risk</v>
      </c>
      <c r="H863" t="str">
        <f>_xlfn.XLOOKUP(FMECA[[#This Row],[HazardRisk_name]],categories[HazardRisk_Name],categories[Category])</f>
        <v>Operational</v>
      </c>
      <c r="I863" s="15" t="s">
        <v>1313</v>
      </c>
      <c r="J863" s="10">
        <v>3</v>
      </c>
      <c r="K863" t="s">
        <v>1309</v>
      </c>
      <c r="L863" s="10">
        <v>4</v>
      </c>
      <c r="M863" t="s">
        <v>1309</v>
      </c>
      <c r="N863" s="10">
        <f>FMECA[[#This Row],[probability_value]]*FMECA[[#This Row],[consequence_value]]</f>
        <v>12</v>
      </c>
      <c r="O863" s="10" t="str">
        <f>IF(AND(FMECA[[#This Row],[Score]]&gt;=0, 9&gt;=FMECA[[#This Row],[Score]]), "UNDETECTABLE", IF(AND(FMECA[[#This Row],[Score]]&gt;=10, 24&gt;=FMECA[[#This Row],[Score]]), "MODERATE", IF(AND(FMECA[[#This Row],[Score]]&gt;=25, 35&gt;=FMECA[[#This Row],[Score]]), "HIGH", IF(AND(FMECA[[#This Row],[Score]]&gt;=36, 50&gt;=FMECA[[#This Row],[Score]]), "VERY HIGH", "Check Formula"))))</f>
        <v>MODERATE</v>
      </c>
      <c r="P863" s="10" t="s">
        <v>770</v>
      </c>
      <c r="Q863" t="s">
        <v>1162</v>
      </c>
      <c r="R863" t="s">
        <v>780</v>
      </c>
      <c r="S863" t="s">
        <v>1302</v>
      </c>
      <c r="U863" t="s">
        <v>778</v>
      </c>
      <c r="V863" t="s">
        <v>1306</v>
      </c>
      <c r="W863" t="s">
        <v>778</v>
      </c>
      <c r="X863" t="s">
        <v>1306</v>
      </c>
      <c r="AA863" t="s">
        <v>1162</v>
      </c>
    </row>
    <row r="864" spans="1:27" ht="34" x14ac:dyDescent="0.2">
      <c r="A864" s="225" t="s">
        <v>1298</v>
      </c>
      <c r="B864" t="s">
        <v>303</v>
      </c>
      <c r="C864" t="s">
        <v>1299</v>
      </c>
      <c r="D864" t="s">
        <v>205</v>
      </c>
      <c r="E864" t="s">
        <v>1300</v>
      </c>
      <c r="F864" s="226" t="s">
        <v>1301</v>
      </c>
      <c r="G864" t="str">
        <f>_xlfn.XLOOKUP(FMECA[[#This Row],[HazardRisk_name]],categories[HazardRisk_Name],categories[HazardRisk])</f>
        <v>Hazard</v>
      </c>
      <c r="H864" t="str">
        <f>_xlfn.XLOOKUP(FMECA[[#This Row],[HazardRisk_name]],categories[HazardRisk_Name],categories[Category])</f>
        <v>Operational</v>
      </c>
      <c r="I864" s="15" t="s">
        <v>1315</v>
      </c>
      <c r="J864" s="10">
        <v>4</v>
      </c>
      <c r="K864" t="s">
        <v>1309</v>
      </c>
      <c r="L864" s="10">
        <v>7</v>
      </c>
      <c r="M864" t="s">
        <v>1309</v>
      </c>
      <c r="N864" s="10">
        <f>FMECA[[#This Row],[probability_value]]*FMECA[[#This Row],[consequence_value]]</f>
        <v>28</v>
      </c>
      <c r="O864" s="10" t="str">
        <f>IF(AND(FMECA[[#This Row],[Score]]&gt;=0, 9&gt;=FMECA[[#This Row],[Score]]), "UNDETECTABLE", IF(AND(FMECA[[#This Row],[Score]]&gt;=10, 24&gt;=FMECA[[#This Row],[Score]]), "MODERATE", IF(AND(FMECA[[#This Row],[Score]]&gt;=25, 35&gt;=FMECA[[#This Row],[Score]]), "HIGH", IF(AND(FMECA[[#This Row],[Score]]&gt;=36, 50&gt;=FMECA[[#This Row],[Score]]), "VERY HIGH", "Check Formula"))))</f>
        <v>HIGH</v>
      </c>
      <c r="P864" s="10" t="s">
        <v>770</v>
      </c>
      <c r="Q864" t="s">
        <v>1162</v>
      </c>
      <c r="R864" t="s">
        <v>780</v>
      </c>
      <c r="S864" t="s">
        <v>1302</v>
      </c>
      <c r="U864" t="s">
        <v>778</v>
      </c>
      <c r="V864" t="s">
        <v>1306</v>
      </c>
      <c r="W864" t="s">
        <v>778</v>
      </c>
      <c r="X864" t="s">
        <v>1306</v>
      </c>
      <c r="AA864" t="s">
        <v>1162</v>
      </c>
    </row>
  </sheetData>
  <phoneticPr fontId="9" type="noConversion"/>
  <conditionalFormatting sqref="E10:E13">
    <cfRule type="duplicateValues" dxfId="61" priority="4"/>
  </conditionalFormatting>
  <conditionalFormatting sqref="E19:F23">
    <cfRule type="duplicateValues" dxfId="60" priority="18"/>
  </conditionalFormatting>
  <conditionalFormatting sqref="E24:F28">
    <cfRule type="duplicateValues" dxfId="59" priority="22"/>
  </conditionalFormatting>
  <conditionalFormatting sqref="E29:F43">
    <cfRule type="duplicateValues" dxfId="58" priority="39"/>
  </conditionalFormatting>
  <conditionalFormatting sqref="E59:F81">
    <cfRule type="duplicateValues" dxfId="57" priority="494"/>
  </conditionalFormatting>
  <conditionalFormatting sqref="E82:F93">
    <cfRule type="duplicateValues" dxfId="56" priority="520"/>
  </conditionalFormatting>
  <conditionalFormatting sqref="E93:F113">
    <cfRule type="duplicateValues" dxfId="55" priority="522"/>
  </conditionalFormatting>
  <conditionalFormatting sqref="E114:F114">
    <cfRule type="duplicateValues" dxfId="54" priority="1"/>
  </conditionalFormatting>
  <conditionalFormatting sqref="E115:F120">
    <cfRule type="duplicateValues" dxfId="53" priority="69"/>
  </conditionalFormatting>
  <conditionalFormatting sqref="E121:F134">
    <cfRule type="duplicateValues" dxfId="52" priority="41"/>
  </conditionalFormatting>
  <conditionalFormatting sqref="E167:F169">
    <cfRule type="duplicateValues" dxfId="51" priority="559"/>
  </conditionalFormatting>
  <conditionalFormatting sqref="E170:F191 E387:F850">
    <cfRule type="duplicateValues" dxfId="50" priority="738"/>
  </conditionalFormatting>
  <conditionalFormatting sqref="E192:F281">
    <cfRule type="duplicateValues" dxfId="49" priority="679"/>
  </conditionalFormatting>
  <conditionalFormatting sqref="E282:F324">
    <cfRule type="duplicateValues" dxfId="48" priority="712"/>
  </conditionalFormatting>
  <conditionalFormatting sqref="E325:F350">
    <cfRule type="duplicateValues" dxfId="47" priority="6"/>
  </conditionalFormatting>
  <conditionalFormatting sqref="E351:F386">
    <cfRule type="duplicateValues" dxfId="46" priority="230"/>
  </conditionalFormatting>
  <conditionalFormatting sqref="E848:F1048576 E1:F1 E2:E9 F10:F18 A1:A1048576">
    <cfRule type="duplicateValues" dxfId="45" priority="20"/>
  </conditionalFormatting>
  <conditionalFormatting sqref="E851:F864">
    <cfRule type="duplicateValues" dxfId="44" priority="2"/>
  </conditionalFormatting>
  <conditionalFormatting sqref="F2:F9">
    <cfRule type="duplicateValues" dxfId="43" priority="19"/>
  </conditionalFormatting>
  <conditionalFormatting sqref="F2:F864">
    <cfRule type="duplicateValues" dxfId="42" priority="741"/>
  </conditionalFormatting>
  <dataValidations count="7">
    <dataValidation type="list" allowBlank="1" showInputMessage="1" showErrorMessage="1" sqref="X9:X12 V9:V12 V2:V7 X2:X7 X14:X864 V14:V864" xr:uid="{B72A9405-7BC5-644A-8A53-4BFB0D4D8ABD}">
      <formula1>"direct impact, indirect impact, both, unknown"</formula1>
    </dataValidation>
    <dataValidation type="list" allowBlank="1" showInputMessage="1" showErrorMessage="1" sqref="AA1:AA7 AA9:AA1048576" xr:uid="{D87770AB-1FD4-FB43-B1D5-B8708435FEFD}">
      <formula1>"Yes, No, Unknown"</formula1>
    </dataValidation>
    <dataValidation type="list" allowBlank="1" showInputMessage="1" showErrorMessage="1" sqref="J2:J16 J18:J183 J185:J1048576" xr:uid="{3B2B022E-DAA6-8E48-9E50-B290489FB05D}">
      <formula1>"unknown,0,1,2,3,4,5"</formula1>
    </dataValidation>
    <dataValidation type="list" allowBlank="1" showInputMessage="1" showErrorMessage="1" sqref="L2:L16 L18:L194 L196:L1048576" xr:uid="{5C44FFAA-6BDB-8F44-B583-C58C894AD3E1}">
      <formula1>"0,1,4,7,10"</formula1>
    </dataValidation>
    <dataValidation type="list" allowBlank="1" showInputMessage="1" showErrorMessage="1" sqref="T680:T1048576 T2:T661" xr:uid="{75C5FF4B-9F0B-BB44-A3A4-2F88FEBA6CD1}">
      <formula1>"Yes, No"</formula1>
    </dataValidation>
    <dataValidation type="list" allowBlank="1" showInputMessage="1" showErrorMessage="1" sqref="B2:B1048576" xr:uid="{CF3DE734-7D59-CE45-A11B-7B4A7A5317F3}">
      <formula1>"Part A: Natural Language Processing, Part B: Keywords Search"</formula1>
    </dataValidation>
    <dataValidation type="list" allowBlank="1" showInputMessage="1" showErrorMessage="1" sqref="P2:P1048576" xr:uid="{5F16CA2B-D36A-6945-97D7-BBC0E421D66E}">
      <formula1>"Theoretical, Modelling, Observational, Hybrid"</formula1>
    </dataValidation>
  </dataValidations>
  <hyperlinks>
    <hyperlink ref="E831" r:id="rId1" xr:uid="{5D7A0C61-22FD-4745-808F-6D358F5BFD68}"/>
  </hyperlinks>
  <pageMargins left="0.7" right="0.7" top="0.75" bottom="0.75" header="0.3" footer="0.3"/>
  <pageSetup orientation="portrait" horizontalDpi="0" verticalDpi="0"/>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showInputMessage="1" showErrorMessage="1" xr:uid="{6942B64F-CF3F-1347-8D6C-90B7BA13A47D}">
          <x14:formula1>
            <xm:f>definitions!$C$17:$C$159</xm:f>
          </x14:formula1>
          <xm:sqref>I1 I865:I1048576</xm:sqref>
        </x14:dataValidation>
        <x14:dataValidation type="list" showInputMessage="1" showErrorMessage="1" xr:uid="{9F6D8C11-CE99-9047-BEDD-3BE2D10426EB}">
          <x14:formula1>
            <xm:f>definitions!$C$17:$C$170</xm:f>
          </x14:formula1>
          <xm:sqref>I2:I864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8A415-EDD2-5D48-B38D-2C92CF6B60F9}">
  <sheetPr>
    <tabColor theme="4" tint="0.59999389629810485"/>
  </sheetPr>
  <dimension ref="A1:AJ155"/>
  <sheetViews>
    <sheetView workbookViewId="0">
      <selection activeCell="C4" sqref="C4"/>
    </sheetView>
  </sheetViews>
  <sheetFormatPr baseColWidth="10" defaultRowHeight="16" x14ac:dyDescent="0.2"/>
  <cols>
    <col min="1" max="1" width="10.83203125" style="13"/>
    <col min="2" max="2" width="19.33203125" style="13" bestFit="1" customWidth="1"/>
    <col min="3" max="3" width="34" style="14" customWidth="1"/>
    <col min="4" max="4" width="73" style="15" hidden="1" customWidth="1"/>
    <col min="5" max="5" width="13" style="15" bestFit="1" customWidth="1"/>
    <col min="6" max="6" width="14.33203125" style="15" customWidth="1"/>
    <col min="7" max="7" width="19.1640625" style="15" customWidth="1"/>
    <col min="8" max="8" width="14.33203125" style="15" customWidth="1"/>
    <col min="9" max="9" width="16.6640625" style="15" customWidth="1"/>
    <col min="10" max="11" width="16.6640625" style="23" customWidth="1"/>
    <col min="12" max="18" width="8.6640625" style="15" customWidth="1"/>
    <col min="19" max="19" width="11.83203125" style="23" customWidth="1"/>
    <col min="20" max="20" width="8" style="22" customWidth="1"/>
    <col min="21" max="21" width="12.1640625" style="23" customWidth="1"/>
    <col min="22" max="22" width="8" style="22" customWidth="1"/>
    <col min="23" max="23" width="11.83203125" style="23" customWidth="1"/>
    <col min="24" max="24" width="8" style="22" customWidth="1"/>
    <col min="25" max="25" width="11.83203125" style="23" customWidth="1"/>
    <col min="26" max="26" width="8" style="22" customWidth="1"/>
    <col min="27" max="27" width="16.83203125" style="16" customWidth="1"/>
    <col min="28" max="28" width="12.83203125" style="16" customWidth="1"/>
    <col min="29" max="29" width="14.83203125" style="16" customWidth="1"/>
    <col min="30" max="30" width="13.83203125" style="16" customWidth="1"/>
    <col min="31" max="31" width="17.33203125" style="16" customWidth="1"/>
    <col min="32" max="32" width="10.83203125" style="16"/>
    <col min="33" max="34" width="20" style="16" customWidth="1"/>
    <col min="35" max="16384" width="10.83203125" style="16"/>
  </cols>
  <sheetData>
    <row r="1" spans="1:36" ht="34" x14ac:dyDescent="0.2">
      <c r="A1" s="13" t="s">
        <v>28</v>
      </c>
      <c r="B1" s="13" t="s">
        <v>471</v>
      </c>
      <c r="C1" s="14" t="s">
        <v>27</v>
      </c>
      <c r="D1" s="15" t="s">
        <v>29</v>
      </c>
      <c r="E1" s="15" t="s">
        <v>450</v>
      </c>
      <c r="F1" s="15" t="s">
        <v>453</v>
      </c>
      <c r="G1" s="15" t="s">
        <v>456</v>
      </c>
      <c r="H1" s="15" t="s">
        <v>1458</v>
      </c>
      <c r="I1" s="15" t="s">
        <v>454</v>
      </c>
      <c r="J1" s="15" t="s">
        <v>455</v>
      </c>
      <c r="K1" s="15" t="s">
        <v>1459</v>
      </c>
      <c r="L1" s="23" t="s">
        <v>1204</v>
      </c>
      <c r="M1" s="23" t="s">
        <v>1460</v>
      </c>
      <c r="N1" s="16" t="s">
        <v>758</v>
      </c>
      <c r="O1" s="16" t="s">
        <v>759</v>
      </c>
      <c r="P1" s="16" t="s">
        <v>760</v>
      </c>
      <c r="Q1" s="16" t="s">
        <v>761</v>
      </c>
      <c r="R1" s="16" t="s">
        <v>1131</v>
      </c>
      <c r="S1" s="16" t="s">
        <v>1151</v>
      </c>
      <c r="T1" s="23" t="s">
        <v>742</v>
      </c>
      <c r="U1" s="22" t="s">
        <v>743</v>
      </c>
      <c r="V1" s="23" t="s">
        <v>744</v>
      </c>
      <c r="W1" s="22" t="s">
        <v>745</v>
      </c>
      <c r="X1" s="23" t="s">
        <v>746</v>
      </c>
      <c r="Y1" s="22" t="s">
        <v>747</v>
      </c>
      <c r="Z1" s="23" t="s">
        <v>1134</v>
      </c>
      <c r="AA1" s="22" t="s">
        <v>1135</v>
      </c>
      <c r="AB1" s="16" t="s">
        <v>1108</v>
      </c>
      <c r="AC1" s="16" t="s">
        <v>4</v>
      </c>
      <c r="AD1" s="16" t="s">
        <v>1109</v>
      </c>
      <c r="AE1" s="16" t="s">
        <v>1127</v>
      </c>
      <c r="AF1" s="16" t="s">
        <v>1111</v>
      </c>
      <c r="AG1" s="16" t="s">
        <v>6</v>
      </c>
      <c r="AH1" s="16" t="s">
        <v>1113</v>
      </c>
      <c r="AI1" s="16" t="s">
        <v>32</v>
      </c>
      <c r="AJ1" s="16" t="s">
        <v>1715</v>
      </c>
    </row>
    <row r="2" spans="1:36" ht="51" x14ac:dyDescent="0.2">
      <c r="A2" s="16" t="s">
        <v>8</v>
      </c>
      <c r="B2" s="13" t="str">
        <f>VLOOKUP(Table3[[#This Row],[HazardRisk_id]], categories[], 5, FALSE)</f>
        <v>Navigational</v>
      </c>
      <c r="C2" s="14" t="str">
        <f>VLOOKUP(Table3[[#This Row],[HazardRisk_id]], categories[], 2, FALSE)</f>
        <v>Absence of layover sites</v>
      </c>
      <c r="D2" s="15" t="str">
        <f>VLOOKUP(Table3[[#This Row],[HazardRisk_id]], categories[], 3, FALSE)</f>
        <v>There are limited fixed layover ports throughout the Canadian Northwest Passage (NWP), causing extreme levels of isolation in the event of an accident and/or emergency.</v>
      </c>
      <c r="E2" s="15">
        <f>COUNTIFS(FMECA[HazardRisk_name],Table3[[#This Row],[HazardRisk_name]])</f>
        <v>4</v>
      </c>
      <c r="F2" s="15">
        <f>SUMIFS(FMECA[probability_value], FMECA[HazardRisk_name], Table3[[#This Row],[HazardRisk_name]])</f>
        <v>16</v>
      </c>
      <c r="G2" s="15">
        <f>AVERAGEIFS(FMECA[probability_value],FMECA[HazardRisk_name],Table3[[#This Row],[HazardRisk_name]])</f>
        <v>4</v>
      </c>
      <c r="H2" s="15" cm="1">
        <f t="array" ref="H2">STDEVP(IF(FMECA[HazardRisk_name]=Table3[[#This Row],[HazardRisk_name]],FMECA[probability_value]))</f>
        <v>1</v>
      </c>
      <c r="I2" s="15">
        <f>SUMIFS(FMECA[consequence_value], FMECA[HazardRisk_name], Table3[[#This Row],[HazardRisk_name]])</f>
        <v>25</v>
      </c>
      <c r="J2" s="15">
        <f>AVERAGEIFS(FMECA[consequence_value],FMECA[HazardRisk_name],Table3[[#This Row],[HazardRisk_name]])</f>
        <v>6.25</v>
      </c>
      <c r="K2" s="15" cm="1">
        <f t="array" ref="K2">STDEVP(IF(FMECA[HazardRisk_name]=Table3[[#This Row],[HazardRisk_name]],FMECA[consequence_value]))</f>
        <v>1.299038105676658</v>
      </c>
      <c r="L2" s="23">
        <f>AVERAGEIFS(FMECA[Score],FMECA[HazardRisk_name],Table3[[#This Row],[HazardRisk_name]])</f>
        <v>25.75</v>
      </c>
      <c r="M2" s="15" cm="1">
        <f t="array" ref="M2">STDEVP(IF(FMECA[HazardRisk_name]=Table3[[#This Row],[HazardRisk_name]],FMECA[Score]))</f>
        <v>9.7819987732569249</v>
      </c>
      <c r="N2" s="15">
        <f>COUNTIFS(FMECA_data!P:P, "Theoretical", FMECA_data!I:I,Table3[[#This Row],[HazardRisk_name]])</f>
        <v>1</v>
      </c>
      <c r="O2" s="15">
        <f>COUNTIFS(FMECA_data!P:P, "Observational", FMECA_data!I:I,Table3[[#This Row],[HazardRisk_name]])</f>
        <v>1</v>
      </c>
      <c r="P2" s="15">
        <f>COUNTIFS(FMECA_data!P:P, "Hybrid", FMECA_data!I:I,Table3[[#This Row],[HazardRisk_name]])</f>
        <v>2</v>
      </c>
      <c r="Q2" s="15">
        <f>COUNTIFS(FMECA_data!P:P, "Modelling", FMECA_data!I:I,Table3[[#This Row],[HazardRisk_name]])</f>
        <v>0</v>
      </c>
      <c r="R2" s="23">
        <f>COUNTIFS(FMECA[data_deficient], "Yes",FMECA[HazardRisk_name],Table3[[#This Row],[HazardRisk_name]])</f>
        <v>0</v>
      </c>
      <c r="S2" s="23">
        <f>(COUNTIFS(FMECA[availability], "Yes",FMECA[HazardRisk_name],Table3[[#This Row],[HazardRisk_name]])) + (COUNTIFS(FMECA[availability], "Available",FMECA[HazardRisk_name],Table3[[#This Row],[HazardRisk_name]]))</f>
        <v>0</v>
      </c>
      <c r="T2" s="23">
        <f>COUNTIFS(FMECA[RR], "VERY HIGH",FMECA[HazardRisk_name],Table3[[#This Row],[HazardRisk_name]])</f>
        <v>0</v>
      </c>
      <c r="U2" s="22">
        <f>Table3[[#This Row],[vh_count]]/Table3[[#This Row],[risk_counts]]</f>
        <v>0</v>
      </c>
      <c r="V2" s="23">
        <f>COUNTIFS(FMECA[RR], "HIGH",FMECA[HazardRisk_name],Table3[[#This Row],[HazardRisk_name]])</f>
        <v>2</v>
      </c>
      <c r="W2" s="22">
        <f>Table3[[#This Row],[h_count]]/Table3[[#This Row],[risk_counts]]</f>
        <v>0.5</v>
      </c>
      <c r="X2" s="23">
        <f>COUNTIFS(FMECA[RR], "MODERATE",FMECA[HazardRisk_name],Table3[[#This Row],[HazardRisk_name]])</f>
        <v>2</v>
      </c>
      <c r="Y2" s="22">
        <f>Table3[[#This Row],[m_count]]/Table3[[#This Row],[risk_counts]]</f>
        <v>0.5</v>
      </c>
      <c r="Z2" s="23">
        <f>COUNTIFS(FMECA[RR], "UNDETECTABLE",FMECA[HazardRisk_name],Table3[[#This Row],[HazardRisk_name]])</f>
        <v>0</v>
      </c>
      <c r="AA2" s="22">
        <f>Table3[[#This Row],[l_count]]/Table3[[#This Row],[risk_counts]]</f>
        <v>0</v>
      </c>
      <c r="AI2" s="16" t="str">
        <f>VLOOKUP(Table3[[#This Row],[HazardRisk_id]], categories[], 4, FALSE)</f>
        <v>Risk</v>
      </c>
      <c r="AJ2" s="16">
        <f>(COUNTIFS(FMECA[availability], "Unknown",FMECA[HazardRisk_name],Table3[[#This Row],[HazardRisk_name]]))</f>
        <v>3</v>
      </c>
    </row>
    <row r="3" spans="1:36" ht="34" x14ac:dyDescent="0.2">
      <c r="A3" s="16" t="s">
        <v>34</v>
      </c>
      <c r="B3" s="13" t="str">
        <f>VLOOKUP(Table3[[#This Row],[HazardRisk_id]], categories[], 5, FALSE)</f>
        <v>Social</v>
      </c>
      <c r="C3" s="14" t="str">
        <f>VLOOKUP(Table3[[#This Row],[HazardRisk_id]], categories[], 2, FALSE)</f>
        <v>Accessibility to local communities</v>
      </c>
      <c r="D3" s="15" t="str">
        <f>VLOOKUP(Table3[[#This Row],[HazardRisk_id]], categories[], 3, FALSE)</f>
        <v>Administering services and other resources to local communities is difficult with limited ports and port infrastructure available.</v>
      </c>
      <c r="E3" s="15">
        <f>COUNTIFS(FMECA[HazardRisk_name],Table3[[#This Row],[HazardRisk_name]])</f>
        <v>2</v>
      </c>
      <c r="F3" s="15">
        <f>SUMIFS(FMECA[probability_value], FMECA[HazardRisk_name], Table3[[#This Row],[HazardRisk_name]])</f>
        <v>7</v>
      </c>
      <c r="G3" s="15">
        <f>AVERAGEIFS(FMECA[probability_value],FMECA[HazardRisk_name],Table3[[#This Row],[HazardRisk_name]])</f>
        <v>3.5</v>
      </c>
      <c r="H3" s="15" cm="1">
        <f t="array" ref="H3">STDEVP(IF(FMECA[HazardRisk_name]=Table3[[#This Row],[HazardRisk_name]],FMECA[probability_value]))</f>
        <v>0.5</v>
      </c>
      <c r="I3" s="15">
        <f>SUMIFS(FMECA[consequence_value], FMECA[HazardRisk_name], Table3[[#This Row],[HazardRisk_name]])</f>
        <v>15</v>
      </c>
      <c r="J3" s="15">
        <f>AVERAGEIFS(FMECA[consequence_value],FMECA[HazardRisk_name],Table3[[#This Row],[HazardRisk_name]])</f>
        <v>7.5</v>
      </c>
      <c r="K3" s="15" cm="1">
        <f t="array" ref="K3">STDEVP(IF(FMECA[HazardRisk_name]=Table3[[#This Row],[HazardRisk_name]],FMECA[consequence_value]))</f>
        <v>2.5</v>
      </c>
      <c r="L3" s="23">
        <f>AVERAGEIFS(FMECA[Score],FMECA[HazardRisk_name],Table3[[#This Row],[HazardRisk_name]])</f>
        <v>27.5</v>
      </c>
      <c r="M3" s="23" cm="1">
        <f t="array" ref="M3">STDEVP(IF(FMECA[HazardRisk_name]=Table3[[#This Row],[HazardRisk_name]],FMECA[Score]))</f>
        <v>12.5</v>
      </c>
      <c r="N3" s="15">
        <f>COUNTIFS(FMECA_data!P:P, "Theoretical", FMECA_data!I:I,Table3[[#This Row],[HazardRisk_name]])</f>
        <v>0</v>
      </c>
      <c r="O3" s="15">
        <f>COUNTIFS(FMECA_data!P:P, "Observational", FMECA_data!I:I,Table3[[#This Row],[HazardRisk_name]])</f>
        <v>1</v>
      </c>
      <c r="P3" s="15">
        <f>COUNTIFS(FMECA_data!P:P, "Hybrid", FMECA_data!I:I,Table3[[#This Row],[HazardRisk_name]])</f>
        <v>0</v>
      </c>
      <c r="Q3" s="15">
        <f>COUNTIFS(FMECA_data!P:P, "Modelling", FMECA_data!I:I,Table3[[#This Row],[HazardRisk_name]])</f>
        <v>1</v>
      </c>
      <c r="R3" s="23">
        <f>COUNTIFS(FMECA[data_deficient], "Yes",FMECA[HazardRisk_name],Table3[[#This Row],[HazardRisk_name]])</f>
        <v>1</v>
      </c>
      <c r="S3" s="23">
        <f>(COUNTIFS(FMECA[availability], "Yes",FMECA[HazardRisk_name],Table3[[#This Row],[HazardRisk_name]])) + (COUNTIFS(FMECA[availability], "Available",FMECA[HazardRisk_name],Table3[[#This Row],[HazardRisk_name]]))</f>
        <v>2</v>
      </c>
      <c r="T3" s="23">
        <f>COUNTIFS(FMECA[RR], "VERY HIGH",FMECA[HazardRisk_name],Table3[[#This Row],[HazardRisk_name]])</f>
        <v>1</v>
      </c>
      <c r="U3" s="22">
        <f>Table3[[#This Row],[vh_count]]/Table3[[#This Row],[risk_counts]]</f>
        <v>0.5</v>
      </c>
      <c r="V3" s="23">
        <f>COUNTIFS(FMECA[RR], "HIGH",FMECA[HazardRisk_name],Table3[[#This Row],[HazardRisk_name]])</f>
        <v>0</v>
      </c>
      <c r="W3" s="22">
        <f>Table3[[#This Row],[h_count]]/Table3[[#This Row],[risk_counts]]</f>
        <v>0</v>
      </c>
      <c r="X3" s="23">
        <f>COUNTIFS(FMECA[RR], "MODERATE",FMECA[HazardRisk_name],Table3[[#This Row],[HazardRisk_name]])</f>
        <v>1</v>
      </c>
      <c r="Y3" s="22">
        <f>Table3[[#This Row],[m_count]]/Table3[[#This Row],[risk_counts]]</f>
        <v>0.5</v>
      </c>
      <c r="Z3" s="23">
        <f>COUNTIFS(FMECA[RR], "UNDETECTABLE",FMECA[HazardRisk_name],Table3[[#This Row],[HazardRisk_name]])</f>
        <v>0</v>
      </c>
      <c r="AA3" s="22">
        <f>Table3[[#This Row],[l_count]]/Table3[[#This Row],[risk_counts]]</f>
        <v>0</v>
      </c>
      <c r="AI3" s="16" t="str">
        <f>VLOOKUP(Table3[[#This Row],[HazardRisk_id]], categories[], 4, FALSE)</f>
        <v>Risk</v>
      </c>
      <c r="AJ3" s="16">
        <f>(COUNTIFS(FMECA[availability], "Unknown",FMECA[HazardRisk_name],Table3[[#This Row],[HazardRisk_name]]))</f>
        <v>0</v>
      </c>
    </row>
    <row r="4" spans="1:36" ht="34" x14ac:dyDescent="0.2">
      <c r="A4" s="16" t="s">
        <v>35</v>
      </c>
      <c r="B4" s="13" t="str">
        <f>VLOOKUP(Table3[[#This Row],[HazardRisk_id]], categories[], 5, FALSE)</f>
        <v>Navigational</v>
      </c>
      <c r="C4" s="14" t="str">
        <f>VLOOKUP(Table3[[#This Row],[HazardRisk_id]], categories[], 2, FALSE)</f>
        <v>Accessibility to NWP</v>
      </c>
      <c r="D4" s="15" t="str">
        <f>VLOOKUP(Table3[[#This Row],[HazardRisk_id]], categories[], 3, FALSE)</f>
        <v>Open water vessels are unable to travel within the Northwest Passage (NWP) due to the increased presence of sea ice.</v>
      </c>
      <c r="E4" s="15">
        <f>COUNTIFS(FMECA[HazardRisk_name],Table3[[#This Row],[HazardRisk_name]])</f>
        <v>2</v>
      </c>
      <c r="F4" s="15">
        <f>SUMIFS(FMECA[probability_value], FMECA[HazardRisk_name], Table3[[#This Row],[HazardRisk_name]])</f>
        <v>8</v>
      </c>
      <c r="G4" s="15">
        <f>AVERAGEIFS(FMECA[probability_value],FMECA[HazardRisk_name],Table3[[#This Row],[HazardRisk_name]])</f>
        <v>4</v>
      </c>
      <c r="H4" s="15" cm="1">
        <f t="array" ref="H4">STDEVP(IF(FMECA[HazardRisk_name]=Table3[[#This Row],[HazardRisk_name]],FMECA[probability_value]))</f>
        <v>0</v>
      </c>
      <c r="I4" s="15">
        <f>SUMIFS(FMECA[consequence_value], FMECA[HazardRisk_name], Table3[[#This Row],[HazardRisk_name]])</f>
        <v>11</v>
      </c>
      <c r="J4" s="15">
        <f>AVERAGEIFS(FMECA[consequence_value],FMECA[HazardRisk_name],Table3[[#This Row],[HazardRisk_name]])</f>
        <v>5.5</v>
      </c>
      <c r="K4" s="15" cm="1">
        <f t="array" ref="K4">STDEVP(IF(FMECA[HazardRisk_name]=Table3[[#This Row],[HazardRisk_name]],FMECA[consequence_value]))</f>
        <v>1.5</v>
      </c>
      <c r="L4" s="23">
        <f>AVERAGEIFS(FMECA[Score],FMECA[HazardRisk_name],Table3[[#This Row],[HazardRisk_name]])</f>
        <v>22</v>
      </c>
      <c r="M4" s="23" cm="1">
        <f t="array" ref="M4">STDEVP(IF(FMECA[HazardRisk_name]=Table3[[#This Row],[HazardRisk_name]],FMECA[Score]))</f>
        <v>6</v>
      </c>
      <c r="N4" s="15">
        <f>COUNTIFS(FMECA_data!P:P, "Theoretical", FMECA_data!I:I,Table3[[#This Row],[HazardRisk_name]])</f>
        <v>0</v>
      </c>
      <c r="O4" s="15">
        <f>COUNTIFS(FMECA_data!P:P, "Observational", FMECA_data!I:I,Table3[[#This Row],[HazardRisk_name]])</f>
        <v>2</v>
      </c>
      <c r="P4" s="15">
        <f>COUNTIFS(FMECA_data!P:P, "Hybrid", FMECA_data!I:I,Table3[[#This Row],[HazardRisk_name]])</f>
        <v>0</v>
      </c>
      <c r="Q4" s="15">
        <f>COUNTIFS(FMECA_data!P:P, "Modelling", FMECA_data!I:I,Table3[[#This Row],[HazardRisk_name]])</f>
        <v>0</v>
      </c>
      <c r="R4" s="23">
        <f>COUNTIFS(FMECA[data_deficient], "Yes",FMECA[HazardRisk_name],Table3[[#This Row],[HazardRisk_name]])</f>
        <v>0</v>
      </c>
      <c r="S4" s="23">
        <f>(COUNTIFS(FMECA[availability], "Yes",FMECA[HazardRisk_name],Table3[[#This Row],[HazardRisk_name]])) + (COUNTIFS(FMECA[availability], "Available",FMECA[HazardRisk_name],Table3[[#This Row],[HazardRisk_name]]))</f>
        <v>1</v>
      </c>
      <c r="T4" s="23">
        <f>COUNTIFS(FMECA[RR], "VERY HIGH",FMECA[HazardRisk_name],Table3[[#This Row],[HazardRisk_name]])</f>
        <v>0</v>
      </c>
      <c r="U4" s="22">
        <f>Table3[[#This Row],[vh_count]]/Table3[[#This Row],[risk_counts]]</f>
        <v>0</v>
      </c>
      <c r="V4" s="23">
        <f>COUNTIFS(FMECA[RR], "HIGH",FMECA[HazardRisk_name],Table3[[#This Row],[HazardRisk_name]])</f>
        <v>1</v>
      </c>
      <c r="W4" s="22">
        <f>Table3[[#This Row],[h_count]]/Table3[[#This Row],[risk_counts]]</f>
        <v>0.5</v>
      </c>
      <c r="X4" s="23">
        <f>COUNTIFS(FMECA[RR], "MODERATE",FMECA[HazardRisk_name],Table3[[#This Row],[HazardRisk_name]])</f>
        <v>1</v>
      </c>
      <c r="Y4" s="22">
        <f>Table3[[#This Row],[m_count]]/Table3[[#This Row],[risk_counts]]</f>
        <v>0.5</v>
      </c>
      <c r="Z4" s="23">
        <f>COUNTIFS(FMECA[RR], "UNDETECTABLE",FMECA[HazardRisk_name],Table3[[#This Row],[HazardRisk_name]])</f>
        <v>0</v>
      </c>
      <c r="AA4" s="22">
        <f>Table3[[#This Row],[l_count]]/Table3[[#This Row],[risk_counts]]</f>
        <v>0</v>
      </c>
      <c r="AI4" s="16" t="str">
        <f>VLOOKUP(Table3[[#This Row],[HazardRisk_id]], categories[], 4, FALSE)</f>
        <v>Risk</v>
      </c>
      <c r="AJ4" s="16">
        <f>(COUNTIFS(FMECA[availability], "Unknown",FMECA[HazardRisk_name],Table3[[#This Row],[HazardRisk_name]]))</f>
        <v>1</v>
      </c>
    </row>
    <row r="5" spans="1:36" ht="51" x14ac:dyDescent="0.2">
      <c r="A5" s="16" t="s">
        <v>499</v>
      </c>
      <c r="B5" s="13" t="str">
        <f>VLOOKUP(Table3[[#This Row],[HazardRisk_id]], categories[], 5, FALSE)</f>
        <v>Economic</v>
      </c>
      <c r="C5" s="14" t="str">
        <f>VLOOKUP(Table3[[#This Row],[HazardRisk_id]], categories[], 2, FALSE)</f>
        <v>Cargo volume intensification</v>
      </c>
      <c r="D5" s="15" t="str">
        <f>VLOOKUP(Table3[[#This Row],[HazardRisk_id]], categories[], 3, FALSE)</f>
        <v>The quantity and/or density of cargo aboard a ship may cause difficulties regarding fuel consumption as well as navigational difficulties during extreme weather, as a result, causing cargo to spill into open water.</v>
      </c>
      <c r="E5" s="15">
        <f>COUNTIFS(FMECA[HazardRisk_name],Table3[[#This Row],[HazardRisk_name]])</f>
        <v>3</v>
      </c>
      <c r="F5" s="15">
        <f>SUMIFS(FMECA[probability_value], FMECA[HazardRisk_name], Table3[[#This Row],[HazardRisk_name]])</f>
        <v>12</v>
      </c>
      <c r="G5" s="15">
        <f>AVERAGEIFS(FMECA[probability_value],FMECA[HazardRisk_name],Table3[[#This Row],[HazardRisk_name]])</f>
        <v>4</v>
      </c>
      <c r="H5" s="15" cm="1">
        <f t="array" ref="H5">STDEVP(IF(FMECA[HazardRisk_name]=Table3[[#This Row],[HazardRisk_name]],FMECA[probability_value]))</f>
        <v>0.81649658092772603</v>
      </c>
      <c r="I5" s="15">
        <f>SUMIFS(FMECA[consequence_value], FMECA[HazardRisk_name], Table3[[#This Row],[HazardRisk_name]])</f>
        <v>18</v>
      </c>
      <c r="J5" s="15">
        <f>AVERAGEIFS(FMECA[consequence_value],FMECA[HazardRisk_name],Table3[[#This Row],[HazardRisk_name]])</f>
        <v>6</v>
      </c>
      <c r="K5" s="15" cm="1">
        <f t="array" ref="K5">STDEVP(IF(FMECA[HazardRisk_name]=Table3[[#This Row],[HazardRisk_name]],FMECA[consequence_value]))</f>
        <v>1.4142135623730951</v>
      </c>
      <c r="L5" s="23">
        <f>AVERAGEIFS(FMECA[Score],FMECA[HazardRisk_name],Table3[[#This Row],[HazardRisk_name]])</f>
        <v>23</v>
      </c>
      <c r="M5" s="23" cm="1">
        <f t="array" ref="M5">STDEVP(IF(FMECA[HazardRisk_name]=Table3[[#This Row],[HazardRisk_name]],FMECA[Score]))</f>
        <v>3.5590260840104371</v>
      </c>
      <c r="N5" s="15">
        <f>COUNTIFS(FMECA_data!P:P, "Theoretical", FMECA_data!I:I,Table3[[#This Row],[HazardRisk_name]])</f>
        <v>1</v>
      </c>
      <c r="O5" s="15">
        <f>COUNTIFS(FMECA_data!P:P, "Observational", FMECA_data!I:I,Table3[[#This Row],[HazardRisk_name]])</f>
        <v>1</v>
      </c>
      <c r="P5" s="15">
        <f>COUNTIFS(FMECA_data!P:P, "Hybrid", FMECA_data!I:I,Table3[[#This Row],[HazardRisk_name]])</f>
        <v>0</v>
      </c>
      <c r="Q5" s="15">
        <f>COUNTIFS(FMECA_data!P:P, "Modelling", FMECA_data!I:I,Table3[[#This Row],[HazardRisk_name]])</f>
        <v>1</v>
      </c>
      <c r="R5" s="23">
        <f>COUNTIFS(FMECA[data_deficient], "Yes",FMECA[HazardRisk_name],Table3[[#This Row],[HazardRisk_name]])</f>
        <v>0</v>
      </c>
      <c r="S5" s="23">
        <f>(COUNTIFS(FMECA[availability], "Yes",FMECA[HazardRisk_name],Table3[[#This Row],[HazardRisk_name]])) + (COUNTIFS(FMECA[availability], "Available",FMECA[HazardRisk_name],Table3[[#This Row],[HazardRisk_name]]))</f>
        <v>1</v>
      </c>
      <c r="T5" s="23">
        <f>COUNTIFS(FMECA[RR], "VERY HIGH",FMECA[HazardRisk_name],Table3[[#This Row],[HazardRisk_name]])</f>
        <v>0</v>
      </c>
      <c r="U5" s="22">
        <f>Table3[[#This Row],[vh_count]]/Table3[[#This Row],[risk_counts]]</f>
        <v>0</v>
      </c>
      <c r="V5" s="23">
        <f>COUNTIFS(FMECA[RR], "HIGH",FMECA[HazardRisk_name],Table3[[#This Row],[HazardRisk_name]])</f>
        <v>1</v>
      </c>
      <c r="W5" s="22">
        <f>Table3[[#This Row],[h_count]]/Table3[[#This Row],[risk_counts]]</f>
        <v>0.33333333333333331</v>
      </c>
      <c r="X5" s="23">
        <f>COUNTIFS(FMECA[RR], "MODERATE",FMECA[HazardRisk_name],Table3[[#This Row],[HazardRisk_name]])</f>
        <v>2</v>
      </c>
      <c r="Y5" s="22">
        <f>Table3[[#This Row],[m_count]]/Table3[[#This Row],[risk_counts]]</f>
        <v>0.66666666666666663</v>
      </c>
      <c r="Z5" s="23">
        <f>COUNTIFS(FMECA[RR], "UNDETECTABLE",FMECA[HazardRisk_name],Table3[[#This Row],[HazardRisk_name]])</f>
        <v>0</v>
      </c>
      <c r="AA5" s="22">
        <f>Table3[[#This Row],[l_count]]/Table3[[#This Row],[risk_counts]]</f>
        <v>0</v>
      </c>
      <c r="AI5" s="16" t="str">
        <f>VLOOKUP(Table3[[#This Row],[HazardRisk_id]], categories[], 4, FALSE)</f>
        <v>Risk</v>
      </c>
      <c r="AJ5" s="16">
        <f>(COUNTIFS(FMECA[availability], "Unknown",FMECA[HazardRisk_name],Table3[[#This Row],[HazardRisk_name]]))</f>
        <v>1</v>
      </c>
    </row>
    <row r="6" spans="1:36" ht="17" x14ac:dyDescent="0.2">
      <c r="A6" s="16" t="s">
        <v>500</v>
      </c>
      <c r="B6" s="13" t="str">
        <f>VLOOKUP(Table3[[#This Row],[HazardRisk_id]], categories[], 5, FALSE)</f>
        <v>Community</v>
      </c>
      <c r="C6" s="14" t="str">
        <f>VLOOKUP(Table3[[#This Row],[HazardRisk_id]], categories[], 2, FALSE)</f>
        <v>Community member displacement</v>
      </c>
      <c r="D6" s="15">
        <f>VLOOKUP(Table3[[#This Row],[HazardRisk_id]], categories[], 3, FALSE)</f>
        <v>0</v>
      </c>
      <c r="E6" s="15">
        <f>COUNTIFS(FMECA[HazardRisk_name],Table3[[#This Row],[HazardRisk_name]])</f>
        <v>1</v>
      </c>
      <c r="F6" s="15">
        <f>SUMIFS(FMECA[probability_value], FMECA[HazardRisk_name], Table3[[#This Row],[HazardRisk_name]])</f>
        <v>5</v>
      </c>
      <c r="G6" s="15">
        <f>AVERAGEIFS(FMECA[probability_value],FMECA[HazardRisk_name],Table3[[#This Row],[HazardRisk_name]])</f>
        <v>5</v>
      </c>
      <c r="H6" s="15" cm="1">
        <f t="array" ref="H6">STDEVP(IF(FMECA[HazardRisk_name]=Table3[[#This Row],[HazardRisk_name]],FMECA[probability_value]))</f>
        <v>0</v>
      </c>
      <c r="I6" s="15">
        <f>SUMIFS(FMECA[consequence_value], FMECA[HazardRisk_name], Table3[[#This Row],[HazardRisk_name]])</f>
        <v>10</v>
      </c>
      <c r="J6" s="15">
        <f>AVERAGEIFS(FMECA[consequence_value],FMECA[HazardRisk_name],Table3[[#This Row],[HazardRisk_name]])</f>
        <v>10</v>
      </c>
      <c r="K6" s="15" cm="1">
        <f t="array" ref="K6">STDEVP(IF(FMECA[HazardRisk_name]=Table3[[#This Row],[HazardRisk_name]],FMECA[consequence_value]))</f>
        <v>0</v>
      </c>
      <c r="L6" s="23">
        <f>AVERAGEIFS(FMECA[Score],FMECA[HazardRisk_name],Table3[[#This Row],[HazardRisk_name]])</f>
        <v>50</v>
      </c>
      <c r="M6" s="23" cm="1">
        <f t="array" ref="M6">STDEVP(IF(FMECA[HazardRisk_name]=Table3[[#This Row],[HazardRisk_name]],FMECA[Score]))</f>
        <v>0</v>
      </c>
      <c r="N6" s="15">
        <f>COUNTIFS(FMECA_data!P:P, "Theoretical", FMECA_data!I:I,Table3[[#This Row],[HazardRisk_name]])</f>
        <v>1</v>
      </c>
      <c r="O6" s="15">
        <f>COUNTIFS(FMECA_data!P:P, "Observational", FMECA_data!I:I,Table3[[#This Row],[HazardRisk_name]])</f>
        <v>0</v>
      </c>
      <c r="P6" s="15">
        <f>COUNTIFS(FMECA_data!P:P, "Hybrid", FMECA_data!I:I,Table3[[#This Row],[HazardRisk_name]])</f>
        <v>0</v>
      </c>
      <c r="Q6" s="15">
        <f>COUNTIFS(FMECA_data!P:P, "Modelling", FMECA_data!I:I,Table3[[#This Row],[HazardRisk_name]])</f>
        <v>0</v>
      </c>
      <c r="R6" s="23">
        <f>COUNTIFS(FMECA[data_deficient], "Yes",FMECA[HazardRisk_name],Table3[[#This Row],[HazardRisk_name]])</f>
        <v>1</v>
      </c>
      <c r="S6" s="23">
        <f>(COUNTIFS(FMECA[availability], "Yes",FMECA[HazardRisk_name],Table3[[#This Row],[HazardRisk_name]])) + (COUNTIFS(FMECA[availability], "Available",FMECA[HazardRisk_name],Table3[[#This Row],[HazardRisk_name]]))</f>
        <v>0</v>
      </c>
      <c r="T6" s="23">
        <f>COUNTIFS(FMECA[RR], "VERY HIGH",FMECA[HazardRisk_name],Table3[[#This Row],[HazardRisk_name]])</f>
        <v>1</v>
      </c>
      <c r="U6" s="22">
        <f>Table3[[#This Row],[vh_count]]/Table3[[#This Row],[risk_counts]]</f>
        <v>1</v>
      </c>
      <c r="V6" s="23">
        <f>COUNTIFS(FMECA[RR], "HIGH",FMECA[HazardRisk_name],Table3[[#This Row],[HazardRisk_name]])</f>
        <v>0</v>
      </c>
      <c r="W6" s="22">
        <f>Table3[[#This Row],[h_count]]/Table3[[#This Row],[risk_counts]]</f>
        <v>0</v>
      </c>
      <c r="X6" s="23">
        <f>COUNTIFS(FMECA[RR], "MODERATE",FMECA[HazardRisk_name],Table3[[#This Row],[HazardRisk_name]])</f>
        <v>0</v>
      </c>
      <c r="Y6" s="22">
        <f>Table3[[#This Row],[m_count]]/Table3[[#This Row],[risk_counts]]</f>
        <v>0</v>
      </c>
      <c r="Z6" s="23">
        <f>COUNTIFS(FMECA[RR], "UNDETECTABLE",FMECA[HazardRisk_name],Table3[[#This Row],[HazardRisk_name]])</f>
        <v>0</v>
      </c>
      <c r="AA6" s="22">
        <f>Table3[[#This Row],[l_count]]/Table3[[#This Row],[risk_counts]]</f>
        <v>0</v>
      </c>
      <c r="AI6" s="16" t="str">
        <f>VLOOKUP(Table3[[#This Row],[HazardRisk_id]], categories[], 4, FALSE)</f>
        <v>Risk</v>
      </c>
      <c r="AJ6" s="16">
        <f>(COUNTIFS(FMECA[availability], "Unknown",FMECA[HazardRisk_name],Table3[[#This Row],[HazardRisk_name]]))</f>
        <v>0</v>
      </c>
    </row>
    <row r="7" spans="1:36" ht="68" x14ac:dyDescent="0.2">
      <c r="A7" s="16" t="s">
        <v>501</v>
      </c>
      <c r="B7" s="13" t="str">
        <f>VLOOKUP(Table3[[#This Row],[HazardRisk_id]], categories[], 5, FALSE)</f>
        <v>Community</v>
      </c>
      <c r="C7" s="14" t="str">
        <f>VLOOKUP(Table3[[#This Row],[HazardRisk_id]], categories[], 2, FALSE)</f>
        <v>Community resident safety</v>
      </c>
      <c r="D7" s="15" t="str">
        <f>VLOOKUP(Table3[[#This Row],[HazardRisk_id]], categories[], 3, FALSE)</f>
        <v>Specific vessel types disturb community mobility by breaking sea ice when traveling to hunt from island to island. Increased vessel presence can present security risks to vulnerable individuals, such as smuggling operations or human trafficking to and from local communities.</v>
      </c>
      <c r="E7" s="15">
        <f>COUNTIFS(FMECA[HazardRisk_name],Table3[[#This Row],[HazardRisk_name]])</f>
        <v>2</v>
      </c>
      <c r="F7" s="15">
        <f>SUMIFS(FMECA[probability_value], FMECA[HazardRisk_name], Table3[[#This Row],[HazardRisk_name]])</f>
        <v>5</v>
      </c>
      <c r="G7" s="15">
        <f>AVERAGEIFS(FMECA[probability_value],FMECA[HazardRisk_name],Table3[[#This Row],[HazardRisk_name]])</f>
        <v>2.5</v>
      </c>
      <c r="H7" s="15" cm="1">
        <f t="array" ref="H7">STDEVP(IF(FMECA[HazardRisk_name]=Table3[[#This Row],[HazardRisk_name]],FMECA[probability_value]))</f>
        <v>0.5</v>
      </c>
      <c r="I7" s="15">
        <f>SUMIFS(FMECA[consequence_value], FMECA[HazardRisk_name], Table3[[#This Row],[HazardRisk_name]])</f>
        <v>17</v>
      </c>
      <c r="J7" s="15">
        <f>AVERAGEIFS(FMECA[consequence_value],FMECA[HazardRisk_name],Table3[[#This Row],[HazardRisk_name]])</f>
        <v>8.5</v>
      </c>
      <c r="K7" s="15" cm="1">
        <f t="array" ref="K7">STDEVP(IF(FMECA[HazardRisk_name]=Table3[[#This Row],[HazardRisk_name]],FMECA[consequence_value]))</f>
        <v>1.5</v>
      </c>
      <c r="L7" s="23">
        <f>AVERAGEIFS(FMECA[Score],FMECA[HazardRisk_name],Table3[[#This Row],[HazardRisk_name]])</f>
        <v>22</v>
      </c>
      <c r="M7" s="23" cm="1">
        <f t="array" ref="M7">STDEVP(IF(FMECA[HazardRisk_name]=Table3[[#This Row],[HazardRisk_name]],FMECA[Score]))</f>
        <v>8</v>
      </c>
      <c r="N7" s="15">
        <f>COUNTIFS(FMECA_data!P:P, "Theoretical", FMECA_data!I:I,Table3[[#This Row],[HazardRisk_name]])</f>
        <v>0</v>
      </c>
      <c r="O7" s="15">
        <f>COUNTIFS(FMECA_data!P:P, "Observational", FMECA_data!I:I,Table3[[#This Row],[HazardRisk_name]])</f>
        <v>2</v>
      </c>
      <c r="P7" s="15">
        <f>COUNTIFS(FMECA_data!P:P, "Hybrid", FMECA_data!I:I,Table3[[#This Row],[HazardRisk_name]])</f>
        <v>0</v>
      </c>
      <c r="Q7" s="15">
        <f>COUNTIFS(FMECA_data!P:P, "Modelling", FMECA_data!I:I,Table3[[#This Row],[HazardRisk_name]])</f>
        <v>0</v>
      </c>
      <c r="R7" s="23">
        <f>COUNTIFS(FMECA[data_deficient], "Yes",FMECA[HazardRisk_name],Table3[[#This Row],[HazardRisk_name]])</f>
        <v>0</v>
      </c>
      <c r="S7" s="23">
        <f>(COUNTIFS(FMECA[availability], "Yes",FMECA[HazardRisk_name],Table3[[#This Row],[HazardRisk_name]])) + (COUNTIFS(FMECA[availability], "Available",FMECA[HazardRisk_name],Table3[[#This Row],[HazardRisk_name]]))</f>
        <v>2</v>
      </c>
      <c r="T7" s="23">
        <f>COUNTIFS(FMECA[RR], "VERY HIGH",FMECA[HazardRisk_name],Table3[[#This Row],[HazardRisk_name]])</f>
        <v>0</v>
      </c>
      <c r="U7" s="22">
        <f>Table3[[#This Row],[vh_count]]/Table3[[#This Row],[risk_counts]]</f>
        <v>0</v>
      </c>
      <c r="V7" s="23">
        <f>COUNTIFS(FMECA[RR], "HIGH",FMECA[HazardRisk_name],Table3[[#This Row],[HazardRisk_name]])</f>
        <v>1</v>
      </c>
      <c r="W7" s="22">
        <f>Table3[[#This Row],[h_count]]/Table3[[#This Row],[risk_counts]]</f>
        <v>0.5</v>
      </c>
      <c r="X7" s="23">
        <f>COUNTIFS(FMECA[RR], "MODERATE",FMECA[HazardRisk_name],Table3[[#This Row],[HazardRisk_name]])</f>
        <v>1</v>
      </c>
      <c r="Y7" s="22">
        <f>Table3[[#This Row],[m_count]]/Table3[[#This Row],[risk_counts]]</f>
        <v>0.5</v>
      </c>
      <c r="Z7" s="23">
        <f>COUNTIFS(FMECA[RR], "UNDETECTABLE",FMECA[HazardRisk_name],Table3[[#This Row],[HazardRisk_name]])</f>
        <v>0</v>
      </c>
      <c r="AA7" s="22">
        <f>Table3[[#This Row],[l_count]]/Table3[[#This Row],[risk_counts]]</f>
        <v>0</v>
      </c>
      <c r="AI7" s="16" t="str">
        <f>VLOOKUP(Table3[[#This Row],[HazardRisk_id]], categories[], 4, FALSE)</f>
        <v>Risk</v>
      </c>
      <c r="AJ7" s="16">
        <f>(COUNTIFS(FMECA[availability], "Unknown",FMECA[HazardRisk_name],Table3[[#This Row],[HazardRisk_name]]))</f>
        <v>0</v>
      </c>
    </row>
    <row r="8" spans="1:36" ht="51" x14ac:dyDescent="0.2">
      <c r="A8" s="16" t="s">
        <v>502</v>
      </c>
      <c r="B8" s="13" t="str">
        <f>VLOOKUP(Table3[[#This Row],[HazardRisk_id]], categories[], 5, FALSE)</f>
        <v>Political</v>
      </c>
      <c r="C8" s="14" t="str">
        <f>VLOOKUP(Table3[[#This Row],[HazardRisk_id]], categories[], 2, FALSE)</f>
        <v>Competing global interests</v>
      </c>
      <c r="D8" s="15" t="str">
        <f>VLOOKUP(Table3[[#This Row],[HazardRisk_id]], categories[], 3, FALSE)</f>
        <v>Non-Arctic and Arctic countries are found in competition among the rights and control of Arctic waters. The differences of opinion among nations also perpetuate risks in society.</v>
      </c>
      <c r="E8" s="15">
        <f>COUNTIFS(FMECA[HazardRisk_name],Table3[[#This Row],[HazardRisk_name]])</f>
        <v>16</v>
      </c>
      <c r="F8" s="15">
        <f>SUMIFS(FMECA[probability_value], FMECA[HazardRisk_name], Table3[[#This Row],[HazardRisk_name]])</f>
        <v>66</v>
      </c>
      <c r="G8" s="15">
        <f>AVERAGEIFS(FMECA[probability_value],FMECA[HazardRisk_name],Table3[[#This Row],[HazardRisk_name]])</f>
        <v>4.125</v>
      </c>
      <c r="H8" s="15" cm="1">
        <f t="array" ref="H8">STDEVP(IF(FMECA[HazardRisk_name]=Table3[[#This Row],[HazardRisk_name]],FMECA[probability_value]))</f>
        <v>0.85695682505013049</v>
      </c>
      <c r="I8" s="15">
        <f>SUMIFS(FMECA[consequence_value], FMECA[HazardRisk_name], Table3[[#This Row],[HazardRisk_name]])</f>
        <v>82</v>
      </c>
      <c r="J8" s="15">
        <f>AVERAGEIFS(FMECA[consequence_value],FMECA[HazardRisk_name],Table3[[#This Row],[HazardRisk_name]])</f>
        <v>5.125</v>
      </c>
      <c r="K8" s="15" cm="1">
        <f t="array" ref="K8">STDEVP(IF(FMECA[HazardRisk_name]=Table3[[#This Row],[HazardRisk_name]],FMECA[consequence_value]))</f>
        <v>1.8328597873268975</v>
      </c>
      <c r="L8" s="23">
        <f>AVERAGEIFS(FMECA[Score],FMECA[HazardRisk_name],Table3[[#This Row],[HazardRisk_name]])</f>
        <v>21</v>
      </c>
      <c r="M8" s="23" cm="1">
        <f t="array" ref="M8">STDEVP(IF(FMECA[HazardRisk_name]=Table3[[#This Row],[HazardRisk_name]],FMECA[Score]))</f>
        <v>8.6240941553301695</v>
      </c>
      <c r="N8" s="15">
        <f>COUNTIFS(FMECA_data!P:P, "Theoretical", FMECA_data!I:I,Table3[[#This Row],[HazardRisk_name]])</f>
        <v>6</v>
      </c>
      <c r="O8" s="15">
        <f>COUNTIFS(FMECA_data!P:P, "Observational", FMECA_data!I:I,Table3[[#This Row],[HazardRisk_name]])</f>
        <v>7</v>
      </c>
      <c r="P8" s="15">
        <f>COUNTIFS(FMECA_data!P:P, "Hybrid", FMECA_data!I:I,Table3[[#This Row],[HazardRisk_name]])</f>
        <v>2</v>
      </c>
      <c r="Q8" s="15">
        <f>COUNTIFS(FMECA_data!P:P, "Modelling", FMECA_data!I:I,Table3[[#This Row],[HazardRisk_name]])</f>
        <v>1</v>
      </c>
      <c r="R8" s="23">
        <f>COUNTIFS(FMECA[data_deficient], "Yes",FMECA[HazardRisk_name],Table3[[#This Row],[HazardRisk_name]])</f>
        <v>2</v>
      </c>
      <c r="S8" s="23">
        <f>(COUNTIFS(FMECA[availability], "Yes",FMECA[HazardRisk_name],Table3[[#This Row],[HazardRisk_name]])) + (COUNTIFS(FMECA[availability], "Available",FMECA[HazardRisk_name],Table3[[#This Row],[HazardRisk_name]]))</f>
        <v>5</v>
      </c>
      <c r="T8" s="23">
        <f>COUNTIFS(FMECA[RR], "VERY HIGH",FMECA[HazardRisk_name],Table3[[#This Row],[HazardRisk_name]])</f>
        <v>0</v>
      </c>
      <c r="U8" s="22">
        <f>Table3[[#This Row],[vh_count]]/Table3[[#This Row],[risk_counts]]</f>
        <v>0</v>
      </c>
      <c r="V8" s="23">
        <f>COUNTIFS(FMECA[RR], "HIGH",FMECA[HazardRisk_name],Table3[[#This Row],[HazardRisk_name]])</f>
        <v>6</v>
      </c>
      <c r="W8" s="22">
        <f>Table3[[#This Row],[h_count]]/Table3[[#This Row],[risk_counts]]</f>
        <v>0.375</v>
      </c>
      <c r="X8" s="23">
        <f>COUNTIFS(FMECA[RR], "MODERATE",FMECA[HazardRisk_name],Table3[[#This Row],[HazardRisk_name]])</f>
        <v>8</v>
      </c>
      <c r="Y8" s="22">
        <f>Table3[[#This Row],[m_count]]/Table3[[#This Row],[risk_counts]]</f>
        <v>0.5</v>
      </c>
      <c r="Z8" s="23">
        <f>COUNTIFS(FMECA[RR], "UNDETECTABLE",FMECA[HazardRisk_name],Table3[[#This Row],[HazardRisk_name]])</f>
        <v>2</v>
      </c>
      <c r="AA8" s="22">
        <f>Table3[[#This Row],[l_count]]/Table3[[#This Row],[risk_counts]]</f>
        <v>0.125</v>
      </c>
      <c r="AI8" s="16" t="str">
        <f>VLOOKUP(Table3[[#This Row],[HazardRisk_id]], categories[], 4, FALSE)</f>
        <v>Risk</v>
      </c>
      <c r="AJ8" s="16">
        <f>(COUNTIFS(FMECA[availability], "Unknown",FMECA[HazardRisk_name],Table3[[#This Row],[HazardRisk_name]]))</f>
        <v>5</v>
      </c>
    </row>
    <row r="9" spans="1:36" ht="51" x14ac:dyDescent="0.2">
      <c r="A9" s="16" t="s">
        <v>503</v>
      </c>
      <c r="B9" s="13" t="str">
        <f>VLOOKUP(Table3[[#This Row],[HazardRisk_id]], categories[], 5, FALSE)</f>
        <v>Political</v>
      </c>
      <c r="C9" s="14" t="str">
        <f>VLOOKUP(Table3[[#This Row],[HazardRisk_id]], categories[], 2, FALSE)</f>
        <v>Complex regulations</v>
      </c>
      <c r="D9" s="15" t="str">
        <f>VLOOKUP(Table3[[#This Row],[HazardRisk_id]], categories[], 3, FALSE)</f>
        <v>There is a lacking streamlined approach regarding permitting and regulatory requirements when operating in Arctic waters. This process increases confusion among operators regarding when laws are of relevance and required.</v>
      </c>
      <c r="E9" s="15">
        <f>COUNTIFS(FMECA[HazardRisk_name],Table3[[#This Row],[HazardRisk_name]])</f>
        <v>14</v>
      </c>
      <c r="F9" s="15">
        <f>SUMIFS(FMECA[probability_value], FMECA[HazardRisk_name], Table3[[#This Row],[HazardRisk_name]])</f>
        <v>59</v>
      </c>
      <c r="G9" s="15">
        <f>AVERAGEIFS(FMECA[probability_value],FMECA[HazardRisk_name],Table3[[#This Row],[HazardRisk_name]])</f>
        <v>4.2142857142857144</v>
      </c>
      <c r="H9" s="15" cm="1">
        <f t="array" ref="H9">STDEVP(IF(FMECA[HazardRisk_name]=Table3[[#This Row],[HazardRisk_name]],FMECA[probability_value]))</f>
        <v>0.77261813045656913</v>
      </c>
      <c r="I9" s="15">
        <f>SUMIFS(FMECA[consequence_value], FMECA[HazardRisk_name], Table3[[#This Row],[HazardRisk_name]])</f>
        <v>65</v>
      </c>
      <c r="J9" s="15">
        <f>AVERAGEIFS(FMECA[consequence_value],FMECA[HazardRisk_name],Table3[[#This Row],[HazardRisk_name]])</f>
        <v>4.6428571428571432</v>
      </c>
      <c r="K9" s="15" cm="1">
        <f t="array" ref="K9">STDEVP(IF(FMECA[HazardRisk_name]=Table3[[#This Row],[HazardRisk_name]],FMECA[consequence_value]))</f>
        <v>1.2309777099724348</v>
      </c>
      <c r="L9" s="23">
        <f>AVERAGEIFS(FMECA[Score],FMECA[HazardRisk_name],Table3[[#This Row],[HazardRisk_name]])</f>
        <v>19.214285714285715</v>
      </c>
      <c r="M9" s="23" cm="1">
        <f t="array" ref="M9">STDEVP(IF(FMECA[HazardRisk_name]=Table3[[#This Row],[HazardRisk_name]],FMECA[Score]))</f>
        <v>4.6009094043394043</v>
      </c>
      <c r="N9" s="15">
        <f>COUNTIFS(FMECA_data!P:P, "Theoretical", FMECA_data!I:I,Table3[[#This Row],[HazardRisk_name]])</f>
        <v>4</v>
      </c>
      <c r="O9" s="15">
        <f>COUNTIFS(FMECA_data!P:P, "Observational", FMECA_data!I:I,Table3[[#This Row],[HazardRisk_name]])</f>
        <v>5</v>
      </c>
      <c r="P9" s="15">
        <f>COUNTIFS(FMECA_data!P:P, "Hybrid", FMECA_data!I:I,Table3[[#This Row],[HazardRisk_name]])</f>
        <v>4</v>
      </c>
      <c r="Q9" s="15">
        <f>COUNTIFS(FMECA_data!P:P, "Modelling", FMECA_data!I:I,Table3[[#This Row],[HazardRisk_name]])</f>
        <v>1</v>
      </c>
      <c r="R9" s="23">
        <f>COUNTIFS(FMECA[data_deficient], "Yes",FMECA[HazardRisk_name],Table3[[#This Row],[HazardRisk_name]])</f>
        <v>1</v>
      </c>
      <c r="S9" s="23">
        <f>(COUNTIFS(FMECA[availability], "Yes",FMECA[HazardRisk_name],Table3[[#This Row],[HazardRisk_name]])) + (COUNTIFS(FMECA[availability], "Available",FMECA[HazardRisk_name],Table3[[#This Row],[HazardRisk_name]]))</f>
        <v>5</v>
      </c>
      <c r="T9" s="23">
        <f>COUNTIFS(FMECA[RR], "VERY HIGH",FMECA[HazardRisk_name],Table3[[#This Row],[HazardRisk_name]])</f>
        <v>0</v>
      </c>
      <c r="U9" s="22">
        <f>Table3[[#This Row],[vh_count]]/Table3[[#This Row],[risk_counts]]</f>
        <v>0</v>
      </c>
      <c r="V9" s="23">
        <f>COUNTIFS(FMECA[RR], "HIGH",FMECA[HazardRisk_name],Table3[[#This Row],[HazardRisk_name]])</f>
        <v>2</v>
      </c>
      <c r="W9" s="22">
        <f>Table3[[#This Row],[h_count]]/Table3[[#This Row],[risk_counts]]</f>
        <v>0.14285714285714285</v>
      </c>
      <c r="X9" s="23">
        <f>COUNTIFS(FMECA[RR], "MODERATE",FMECA[HazardRisk_name],Table3[[#This Row],[HazardRisk_name]])</f>
        <v>12</v>
      </c>
      <c r="Y9" s="22">
        <f>Table3[[#This Row],[m_count]]/Table3[[#This Row],[risk_counts]]</f>
        <v>0.8571428571428571</v>
      </c>
      <c r="Z9" s="23">
        <f>COUNTIFS(FMECA[RR], "UNDETECTABLE",FMECA[HazardRisk_name],Table3[[#This Row],[HazardRisk_name]])</f>
        <v>0</v>
      </c>
      <c r="AA9" s="22">
        <f>Table3[[#This Row],[l_count]]/Table3[[#This Row],[risk_counts]]</f>
        <v>0</v>
      </c>
      <c r="AI9" s="16" t="str">
        <f>VLOOKUP(Table3[[#This Row],[HazardRisk_id]], categories[], 4, FALSE)</f>
        <v>Risk</v>
      </c>
      <c r="AJ9" s="16">
        <f>(COUNTIFS(FMECA[availability], "Unknown",FMECA[HazardRisk_name],Table3[[#This Row],[HazardRisk_name]]))</f>
        <v>4</v>
      </c>
    </row>
    <row r="10" spans="1:36" ht="51" x14ac:dyDescent="0.2">
      <c r="A10" s="16" t="s">
        <v>504</v>
      </c>
      <c r="B10" s="13" t="str">
        <f>VLOOKUP(Table3[[#This Row],[HazardRisk_id]], categories[], 5, FALSE)</f>
        <v>Community</v>
      </c>
      <c r="C10" s="14" t="str">
        <f>VLOOKUP(Table3[[#This Row],[HazardRisk_id]], categories[], 2, FALSE)</f>
        <v>Cultural and archeological threat</v>
      </c>
      <c r="D10" s="15" t="str">
        <f>VLOOKUP(Table3[[#This Row],[HazardRisk_id]], categories[], 3, FALSE)</f>
        <v>Thedevelopment of port infrastructure or an increase of services may change the landscape of cultural and archeological spaces that are spceifically used by indigenous peoples.</v>
      </c>
      <c r="E10" s="15">
        <f>COUNTIFS(FMECA[HazardRisk_name],Table3[[#This Row],[HazardRisk_name]])</f>
        <v>3</v>
      </c>
      <c r="F10" s="15">
        <f>SUMIFS(FMECA[probability_value], FMECA[HazardRisk_name], Table3[[#This Row],[HazardRisk_name]])</f>
        <v>13</v>
      </c>
      <c r="G10" s="15">
        <f>AVERAGEIFS(FMECA[probability_value],FMECA[HazardRisk_name],Table3[[#This Row],[HazardRisk_name]])</f>
        <v>4.333333333333333</v>
      </c>
      <c r="H10" s="15" cm="1">
        <f t="array" ref="H10">STDEVP(IF(FMECA[HazardRisk_name]=Table3[[#This Row],[HazardRisk_name]],FMECA[probability_value]))</f>
        <v>0.47140452079103168</v>
      </c>
      <c r="I10" s="15">
        <f>SUMIFS(FMECA[consequence_value], FMECA[HazardRisk_name], Table3[[#This Row],[HazardRisk_name]])</f>
        <v>24</v>
      </c>
      <c r="J10" s="15">
        <f>AVERAGEIFS(FMECA[consequence_value],FMECA[HazardRisk_name],Table3[[#This Row],[HazardRisk_name]])</f>
        <v>8</v>
      </c>
      <c r="K10" s="15" cm="1">
        <f t="array" ref="K10">STDEVP(IF(FMECA[HazardRisk_name]=Table3[[#This Row],[HazardRisk_name]],FMECA[consequence_value]))</f>
        <v>1.4142135623730951</v>
      </c>
      <c r="L10" s="23">
        <f>AVERAGEIFS(FMECA[Score],FMECA[HazardRisk_name],Table3[[#This Row],[HazardRisk_name]])</f>
        <v>34.333333333333336</v>
      </c>
      <c r="M10" s="23" cm="1">
        <f t="array" ref="M10">STDEVP(IF(FMECA[HazardRisk_name]=Table3[[#This Row],[HazardRisk_name]],FMECA[Score]))</f>
        <v>4.9216076867444665</v>
      </c>
      <c r="N10" s="15">
        <f>COUNTIFS(FMECA_data!P:P, "Theoretical", FMECA_data!I:I,Table3[[#This Row],[HazardRisk_name]])</f>
        <v>1</v>
      </c>
      <c r="O10" s="15">
        <f>COUNTIFS(FMECA_data!P:P, "Observational", FMECA_data!I:I,Table3[[#This Row],[HazardRisk_name]])</f>
        <v>1</v>
      </c>
      <c r="P10" s="15">
        <f>COUNTIFS(FMECA_data!P:P, "Hybrid", FMECA_data!I:I,Table3[[#This Row],[HazardRisk_name]])</f>
        <v>1</v>
      </c>
      <c r="Q10" s="15">
        <f>COUNTIFS(FMECA_data!P:P, "Modelling", FMECA_data!I:I,Table3[[#This Row],[HazardRisk_name]])</f>
        <v>0</v>
      </c>
      <c r="R10" s="23">
        <f>COUNTIFS(FMECA[data_deficient], "Yes",FMECA[HazardRisk_name],Table3[[#This Row],[HazardRisk_name]])</f>
        <v>1</v>
      </c>
      <c r="S10" s="23">
        <f>(COUNTIFS(FMECA[availability], "Yes",FMECA[HazardRisk_name],Table3[[#This Row],[HazardRisk_name]])) + (COUNTIFS(FMECA[availability], "Available",FMECA[HazardRisk_name],Table3[[#This Row],[HazardRisk_name]]))</f>
        <v>1</v>
      </c>
      <c r="T10" s="23">
        <f>COUNTIFS(FMECA[RR], "VERY HIGH",FMECA[HazardRisk_name],Table3[[#This Row],[HazardRisk_name]])</f>
        <v>1</v>
      </c>
      <c r="U10" s="22">
        <f>Table3[[#This Row],[vh_count]]/Table3[[#This Row],[risk_counts]]</f>
        <v>0.33333333333333331</v>
      </c>
      <c r="V10" s="23">
        <f>COUNTIFS(FMECA[RR], "HIGH",FMECA[HazardRisk_name],Table3[[#This Row],[HazardRisk_name]])</f>
        <v>2</v>
      </c>
      <c r="W10" s="22">
        <f>Table3[[#This Row],[h_count]]/Table3[[#This Row],[risk_counts]]</f>
        <v>0.66666666666666663</v>
      </c>
      <c r="X10" s="23">
        <f>COUNTIFS(FMECA[RR], "MODERATE",FMECA[HazardRisk_name],Table3[[#This Row],[HazardRisk_name]])</f>
        <v>0</v>
      </c>
      <c r="Y10" s="22">
        <f>Table3[[#This Row],[m_count]]/Table3[[#This Row],[risk_counts]]</f>
        <v>0</v>
      </c>
      <c r="Z10" s="23">
        <f>COUNTIFS(FMECA[RR], "UNDETECTABLE",FMECA[HazardRisk_name],Table3[[#This Row],[HazardRisk_name]])</f>
        <v>0</v>
      </c>
      <c r="AA10" s="22">
        <f>Table3[[#This Row],[l_count]]/Table3[[#This Row],[risk_counts]]</f>
        <v>0</v>
      </c>
      <c r="AI10" s="16" t="str">
        <f>VLOOKUP(Table3[[#This Row],[HazardRisk_id]], categories[], 4, FALSE)</f>
        <v>Risk</v>
      </c>
      <c r="AJ10" s="16">
        <f>(COUNTIFS(FMECA[availability], "Unknown",FMECA[HazardRisk_name],Table3[[#This Row],[HazardRisk_name]]))</f>
        <v>1</v>
      </c>
    </row>
    <row r="11" spans="1:36" ht="34" x14ac:dyDescent="0.2">
      <c r="A11" s="16" t="s">
        <v>505</v>
      </c>
      <c r="B11" s="13" t="str">
        <f>VLOOKUP(Table3[[#This Row],[HazardRisk_id]], categories[], 5, FALSE)</f>
        <v>Human</v>
      </c>
      <c r="C11" s="14" t="str">
        <f>VLOOKUP(Table3[[#This Row],[HazardRisk_id]], categories[], 2, FALSE)</f>
        <v>Decision failure</v>
      </c>
      <c r="D11" s="15" t="str">
        <f>VLOOKUP(Table3[[#This Row],[HazardRisk_id]], categories[], 3, FALSE)</f>
        <v>Imadequate decision making made by human operators can increase the probability of other risks happening during operations.</v>
      </c>
      <c r="E11" s="15">
        <f>COUNTIFS(FMECA[HazardRisk_name],Table3[[#This Row],[HazardRisk_name]])</f>
        <v>2</v>
      </c>
      <c r="F11" s="15">
        <f>SUMIFS(FMECA[probability_value], FMECA[HazardRisk_name], Table3[[#This Row],[HazardRisk_name]])</f>
        <v>6</v>
      </c>
      <c r="G11" s="15">
        <f>AVERAGEIFS(FMECA[probability_value],FMECA[HazardRisk_name],Table3[[#This Row],[HazardRisk_name]])</f>
        <v>3</v>
      </c>
      <c r="H11" s="15" cm="1">
        <f t="array" ref="H11">STDEVP(IF(FMECA[HazardRisk_name]=Table3[[#This Row],[HazardRisk_name]],FMECA[probability_value]))</f>
        <v>1</v>
      </c>
      <c r="I11" s="15">
        <f>SUMIFS(FMECA[consequence_value], FMECA[HazardRisk_name], Table3[[#This Row],[HazardRisk_name]])</f>
        <v>17</v>
      </c>
      <c r="J11" s="15">
        <f>AVERAGEIFS(FMECA[consequence_value],FMECA[HazardRisk_name],Table3[[#This Row],[HazardRisk_name]])</f>
        <v>8.5</v>
      </c>
      <c r="K11" s="15" cm="1">
        <f t="array" ref="K11">STDEVP(IF(FMECA[HazardRisk_name]=Table3[[#This Row],[HazardRisk_name]],FMECA[consequence_value]))</f>
        <v>1.5</v>
      </c>
      <c r="L11" s="23">
        <f>AVERAGEIFS(FMECA[Score],FMECA[HazardRisk_name],Table3[[#This Row],[HazardRisk_name]])</f>
        <v>24</v>
      </c>
      <c r="M11" s="23" cm="1">
        <f t="array" ref="M11">STDEVP(IF(FMECA[HazardRisk_name]=Table3[[#This Row],[HazardRisk_name]],FMECA[Score]))</f>
        <v>4</v>
      </c>
      <c r="N11" s="15">
        <f>COUNTIFS(FMECA_data!P:P, "Theoretical", FMECA_data!I:I,Table3[[#This Row],[HazardRisk_name]])</f>
        <v>0</v>
      </c>
      <c r="O11" s="15">
        <f>COUNTIFS(FMECA_data!P:P, "Observational", FMECA_data!I:I,Table3[[#This Row],[HazardRisk_name]])</f>
        <v>2</v>
      </c>
      <c r="P11" s="15">
        <f>COUNTIFS(FMECA_data!P:P, "Hybrid", FMECA_data!I:I,Table3[[#This Row],[HazardRisk_name]])</f>
        <v>0</v>
      </c>
      <c r="Q11" s="15">
        <f>COUNTIFS(FMECA_data!P:P, "Modelling", FMECA_data!I:I,Table3[[#This Row],[HazardRisk_name]])</f>
        <v>0</v>
      </c>
      <c r="R11" s="23">
        <f>COUNTIFS(FMECA[data_deficient], "Yes",FMECA[HazardRisk_name],Table3[[#This Row],[HazardRisk_name]])</f>
        <v>0</v>
      </c>
      <c r="S11" s="23">
        <f>(COUNTIFS(FMECA[availability], "Yes",FMECA[HazardRisk_name],Table3[[#This Row],[HazardRisk_name]])) + (COUNTIFS(FMECA[availability], "Available",FMECA[HazardRisk_name],Table3[[#This Row],[HazardRisk_name]]))</f>
        <v>1</v>
      </c>
      <c r="T11" s="23">
        <f>COUNTIFS(FMECA[RR], "VERY HIGH",FMECA[HazardRisk_name],Table3[[#This Row],[HazardRisk_name]])</f>
        <v>0</v>
      </c>
      <c r="U11" s="22">
        <f>Table3[[#This Row],[vh_count]]/Table3[[#This Row],[risk_counts]]</f>
        <v>0</v>
      </c>
      <c r="V11" s="23">
        <f>COUNTIFS(FMECA[RR], "HIGH",FMECA[HazardRisk_name],Table3[[#This Row],[HazardRisk_name]])</f>
        <v>1</v>
      </c>
      <c r="W11" s="22">
        <f>Table3[[#This Row],[h_count]]/Table3[[#This Row],[risk_counts]]</f>
        <v>0.5</v>
      </c>
      <c r="X11" s="23">
        <f>COUNTIFS(FMECA[RR], "MODERATE",FMECA[HazardRisk_name],Table3[[#This Row],[HazardRisk_name]])</f>
        <v>1</v>
      </c>
      <c r="Y11" s="22">
        <f>Table3[[#This Row],[m_count]]/Table3[[#This Row],[risk_counts]]</f>
        <v>0.5</v>
      </c>
      <c r="Z11" s="23">
        <f>COUNTIFS(FMECA[RR], "UNDETECTABLE",FMECA[HazardRisk_name],Table3[[#This Row],[HazardRisk_name]])</f>
        <v>0</v>
      </c>
      <c r="AA11" s="22">
        <f>Table3[[#This Row],[l_count]]/Table3[[#This Row],[risk_counts]]</f>
        <v>0</v>
      </c>
      <c r="AI11" s="16" t="str">
        <f>VLOOKUP(Table3[[#This Row],[HazardRisk_id]], categories[], 4, FALSE)</f>
        <v>Risk</v>
      </c>
      <c r="AJ11" s="16">
        <f>(COUNTIFS(FMECA[availability], "Unknown",FMECA[HazardRisk_name],Table3[[#This Row],[HazardRisk_name]]))</f>
        <v>1</v>
      </c>
    </row>
    <row r="12" spans="1:36" ht="68" x14ac:dyDescent="0.2">
      <c r="A12" s="16" t="s">
        <v>506</v>
      </c>
      <c r="B12" s="13" t="str">
        <f>VLOOKUP(Table3[[#This Row],[HazardRisk_id]], categories[], 5, FALSE)</f>
        <v>Community</v>
      </c>
      <c r="C12" s="14" t="str">
        <f>VLOOKUP(Table3[[#This Row],[HazardRisk_id]], categories[], 2, FALSE)</f>
        <v>Declining local air quality</v>
      </c>
      <c r="D12" s="15" t="str">
        <f>VLOOKUP(Table3[[#This Row],[HazardRisk_id]], categories[], 3, FALSE)</f>
        <v>Due to heavy fuel oil emitting toxic chemicals such as black carbon through standard operations, this exposes local communities to increased pollutant consentrations. Crews are alos exposed to additional consentrations of particulate matter throughout operations.</v>
      </c>
      <c r="E12" s="15">
        <f>COUNTIFS(FMECA[HazardRisk_name],Table3[[#This Row],[HazardRisk_name]])</f>
        <v>1</v>
      </c>
      <c r="F12" s="15">
        <f>SUMIFS(FMECA[probability_value], FMECA[HazardRisk_name], Table3[[#This Row],[HazardRisk_name]])</f>
        <v>4</v>
      </c>
      <c r="G12" s="15">
        <f>AVERAGEIFS(FMECA[probability_value],FMECA[HazardRisk_name],Table3[[#This Row],[HazardRisk_name]])</f>
        <v>4</v>
      </c>
      <c r="H12" s="15" cm="1">
        <f t="array" ref="H12">STDEVP(IF(FMECA[HazardRisk_name]=Table3[[#This Row],[HazardRisk_name]],FMECA[probability_value]))</f>
        <v>0</v>
      </c>
      <c r="I12" s="15">
        <f>SUMIFS(FMECA[consequence_value], FMECA[HazardRisk_name], Table3[[#This Row],[HazardRisk_name]])</f>
        <v>7</v>
      </c>
      <c r="J12" s="15">
        <f>AVERAGEIFS(FMECA[consequence_value],FMECA[HazardRisk_name],Table3[[#This Row],[HazardRisk_name]])</f>
        <v>7</v>
      </c>
      <c r="K12" s="15" cm="1">
        <f t="array" ref="K12">STDEVP(IF(FMECA[HazardRisk_name]=Table3[[#This Row],[HazardRisk_name]],FMECA[consequence_value]))</f>
        <v>0</v>
      </c>
      <c r="L12" s="23">
        <f>AVERAGEIFS(FMECA[Score],FMECA[HazardRisk_name],Table3[[#This Row],[HazardRisk_name]])</f>
        <v>28</v>
      </c>
      <c r="M12" s="23" cm="1">
        <f t="array" ref="M12">STDEVP(IF(FMECA[HazardRisk_name]=Table3[[#This Row],[HazardRisk_name]],FMECA[Score]))</f>
        <v>0</v>
      </c>
      <c r="N12" s="15">
        <f>COUNTIFS(FMECA_data!P:P, "Theoretical", FMECA_data!I:I,Table3[[#This Row],[HazardRisk_name]])</f>
        <v>1</v>
      </c>
      <c r="O12" s="15">
        <f>COUNTIFS(FMECA_data!P:P, "Observational", FMECA_data!I:I,Table3[[#This Row],[HazardRisk_name]])</f>
        <v>0</v>
      </c>
      <c r="P12" s="15">
        <f>COUNTIFS(FMECA_data!P:P, "Hybrid", FMECA_data!I:I,Table3[[#This Row],[HazardRisk_name]])</f>
        <v>0</v>
      </c>
      <c r="Q12" s="15">
        <f>COUNTIFS(FMECA_data!P:P, "Modelling", FMECA_data!I:I,Table3[[#This Row],[HazardRisk_name]])</f>
        <v>0</v>
      </c>
      <c r="R12" s="23">
        <f>COUNTIFS(FMECA[data_deficient], "Yes",FMECA[HazardRisk_name],Table3[[#This Row],[HazardRisk_name]])</f>
        <v>0</v>
      </c>
      <c r="S12" s="23">
        <f>(COUNTIFS(FMECA[availability], "Yes",FMECA[HazardRisk_name],Table3[[#This Row],[HazardRisk_name]])) + (COUNTIFS(FMECA[availability], "Available",FMECA[HazardRisk_name],Table3[[#This Row],[HazardRisk_name]]))</f>
        <v>0</v>
      </c>
      <c r="T12" s="23">
        <f>COUNTIFS(FMECA[RR], "VERY HIGH",FMECA[HazardRisk_name],Table3[[#This Row],[HazardRisk_name]])</f>
        <v>0</v>
      </c>
      <c r="U12" s="22">
        <f>Table3[[#This Row],[vh_count]]/Table3[[#This Row],[risk_counts]]</f>
        <v>0</v>
      </c>
      <c r="V12" s="23">
        <f>COUNTIFS(FMECA[RR], "HIGH",FMECA[HazardRisk_name],Table3[[#This Row],[HazardRisk_name]])</f>
        <v>1</v>
      </c>
      <c r="W12" s="22">
        <f>Table3[[#This Row],[h_count]]/Table3[[#This Row],[risk_counts]]</f>
        <v>1</v>
      </c>
      <c r="X12" s="23">
        <f>COUNTIFS(FMECA[RR], "MODERATE",FMECA[HazardRisk_name],Table3[[#This Row],[HazardRisk_name]])</f>
        <v>0</v>
      </c>
      <c r="Y12" s="22">
        <f>Table3[[#This Row],[m_count]]/Table3[[#This Row],[risk_counts]]</f>
        <v>0</v>
      </c>
      <c r="Z12" s="23">
        <f>COUNTIFS(FMECA[RR], "UNDETECTABLE",FMECA[HazardRisk_name],Table3[[#This Row],[HazardRisk_name]])</f>
        <v>0</v>
      </c>
      <c r="AA12" s="22">
        <f>Table3[[#This Row],[l_count]]/Table3[[#This Row],[risk_counts]]</f>
        <v>0</v>
      </c>
      <c r="AI12" s="16" t="str">
        <f>VLOOKUP(Table3[[#This Row],[HazardRisk_id]], categories[], 4, FALSE)</f>
        <v>Risk</v>
      </c>
      <c r="AJ12" s="16">
        <f>(COUNTIFS(FMECA[availability], "Unknown",FMECA[HazardRisk_name],Table3[[#This Row],[HazardRisk_name]]))</f>
        <v>0</v>
      </c>
    </row>
    <row r="13" spans="1:36" ht="51" x14ac:dyDescent="0.2">
      <c r="A13" s="16" t="s">
        <v>507</v>
      </c>
      <c r="B13" s="13" t="str">
        <f>VLOOKUP(Table3[[#This Row],[HazardRisk_id]], categories[], 5, FALSE)</f>
        <v>Community</v>
      </c>
      <c r="C13" s="14" t="str">
        <f>VLOOKUP(Table3[[#This Row],[HazardRisk_id]], categories[], 2, FALSE)</f>
        <v>Declining physical health of community</v>
      </c>
      <c r="D13" s="15" t="str">
        <f>VLOOKUP(Table3[[#This Row],[HazardRisk_id]], categories[], 3, FALSE)</f>
        <v>The absence of site-level guidelines regarding maritime operations causes significant damage to local communities through their sense of place and connectedness to the region.</v>
      </c>
      <c r="E13" s="15">
        <f>COUNTIFS(FMECA[HazardRisk_name],Table3[[#This Row],[HazardRisk_name]])</f>
        <v>2</v>
      </c>
      <c r="F13" s="15">
        <f>SUMIFS(FMECA[probability_value], FMECA[HazardRisk_name], Table3[[#This Row],[HazardRisk_name]])</f>
        <v>8</v>
      </c>
      <c r="G13" s="15">
        <f>AVERAGEIFS(FMECA[probability_value],FMECA[HazardRisk_name],Table3[[#This Row],[HazardRisk_name]])</f>
        <v>4</v>
      </c>
      <c r="H13" s="15" cm="1">
        <f t="array" ref="H13">STDEVP(IF(FMECA[HazardRisk_name]=Table3[[#This Row],[HazardRisk_name]],FMECA[probability_value]))</f>
        <v>0</v>
      </c>
      <c r="I13" s="15">
        <f>SUMIFS(FMECA[consequence_value], FMECA[HazardRisk_name], Table3[[#This Row],[HazardRisk_name]])</f>
        <v>14</v>
      </c>
      <c r="J13" s="15">
        <f>AVERAGEIFS(FMECA[consequence_value],FMECA[HazardRisk_name],Table3[[#This Row],[HazardRisk_name]])</f>
        <v>7</v>
      </c>
      <c r="K13" s="15" cm="1">
        <f t="array" ref="K13">STDEVP(IF(FMECA[HazardRisk_name]=Table3[[#This Row],[HazardRisk_name]],FMECA[consequence_value]))</f>
        <v>3</v>
      </c>
      <c r="L13" s="23">
        <f>AVERAGEIFS(FMECA[Score],FMECA[HazardRisk_name],Table3[[#This Row],[HazardRisk_name]])</f>
        <v>28</v>
      </c>
      <c r="M13" s="23" cm="1">
        <f t="array" ref="M13">STDEVP(IF(FMECA[HazardRisk_name]=Table3[[#This Row],[HazardRisk_name]],FMECA[Score]))</f>
        <v>12</v>
      </c>
      <c r="N13" s="15">
        <f>COUNTIFS(FMECA_data!P:P, "Theoretical", FMECA_data!I:I,Table3[[#This Row],[HazardRisk_name]])</f>
        <v>0</v>
      </c>
      <c r="O13" s="15">
        <f>COUNTIFS(FMECA_data!P:P, "Observational", FMECA_data!I:I,Table3[[#This Row],[HazardRisk_name]])</f>
        <v>1</v>
      </c>
      <c r="P13" s="15">
        <f>COUNTIFS(FMECA_data!P:P, "Hybrid", FMECA_data!I:I,Table3[[#This Row],[HazardRisk_name]])</f>
        <v>1</v>
      </c>
      <c r="Q13" s="15">
        <f>COUNTIFS(FMECA_data!P:P, "Modelling", FMECA_data!I:I,Table3[[#This Row],[HazardRisk_name]])</f>
        <v>0</v>
      </c>
      <c r="R13" s="23">
        <f>COUNTIFS(FMECA[data_deficient], "Yes",FMECA[HazardRisk_name],Table3[[#This Row],[HazardRisk_name]])</f>
        <v>0</v>
      </c>
      <c r="S13" s="23">
        <f>(COUNTIFS(FMECA[availability], "Yes",FMECA[HazardRisk_name],Table3[[#This Row],[HazardRisk_name]])) + (COUNTIFS(FMECA[availability], "Available",FMECA[HazardRisk_name],Table3[[#This Row],[HazardRisk_name]]))</f>
        <v>2</v>
      </c>
      <c r="T13" s="23">
        <f>COUNTIFS(FMECA[RR], "VERY HIGH",FMECA[HazardRisk_name],Table3[[#This Row],[HazardRisk_name]])</f>
        <v>1</v>
      </c>
      <c r="U13" s="22">
        <f>Table3[[#This Row],[vh_count]]/Table3[[#This Row],[risk_counts]]</f>
        <v>0.5</v>
      </c>
      <c r="V13" s="23">
        <f>COUNTIFS(FMECA[RR], "HIGH",FMECA[HazardRisk_name],Table3[[#This Row],[HazardRisk_name]])</f>
        <v>0</v>
      </c>
      <c r="W13" s="22">
        <f>Table3[[#This Row],[h_count]]/Table3[[#This Row],[risk_counts]]</f>
        <v>0</v>
      </c>
      <c r="X13" s="23">
        <f>COUNTIFS(FMECA[RR], "MODERATE",FMECA[HazardRisk_name],Table3[[#This Row],[HazardRisk_name]])</f>
        <v>1</v>
      </c>
      <c r="Y13" s="22">
        <f>Table3[[#This Row],[m_count]]/Table3[[#This Row],[risk_counts]]</f>
        <v>0.5</v>
      </c>
      <c r="Z13" s="23">
        <f>COUNTIFS(FMECA[RR], "UNDETECTABLE",FMECA[HazardRisk_name],Table3[[#This Row],[HazardRisk_name]])</f>
        <v>0</v>
      </c>
      <c r="AA13" s="22">
        <f>Table3[[#This Row],[l_count]]/Table3[[#This Row],[risk_counts]]</f>
        <v>0</v>
      </c>
      <c r="AI13" s="16" t="str">
        <f>VLOOKUP(Table3[[#This Row],[HazardRisk_id]], categories[], 4, FALSE)</f>
        <v>Risk</v>
      </c>
      <c r="AJ13" s="16">
        <f>(COUNTIFS(FMECA[availability], "Unknown",FMECA[HazardRisk_name],Table3[[#This Row],[HazardRisk_name]]))</f>
        <v>0</v>
      </c>
    </row>
    <row r="14" spans="1:36" ht="68" x14ac:dyDescent="0.2">
      <c r="A14" s="16" t="s">
        <v>508</v>
      </c>
      <c r="B14" s="13" t="str">
        <f>VLOOKUP(Table3[[#This Row],[HazardRisk_id]], categories[], 5, FALSE)</f>
        <v>Community</v>
      </c>
      <c r="C14" s="14" t="str">
        <f>VLOOKUP(Table3[[#This Row],[HazardRisk_id]], categories[], 2, FALSE)</f>
        <v>Degradation of indigenous cultural and natural resources</v>
      </c>
      <c r="D14" s="15" t="str">
        <f>VLOOKUP(Table3[[#This Row],[HazardRisk_id]], categories[], 3, FALSE)</f>
        <v>With a limited quantity of ecological resources such as power, vegetation, and water available for use, tourism and maritime shipping pose threats of stripping communities of these resources due to increased temporary demand if the industry continues to grow.</v>
      </c>
      <c r="E14" s="15">
        <f>COUNTIFS(FMECA[HazardRisk_name],Table3[[#This Row],[HazardRisk_name]])</f>
        <v>10</v>
      </c>
      <c r="F14" s="15">
        <f>SUMIFS(FMECA[probability_value], FMECA[HazardRisk_name], Table3[[#This Row],[HazardRisk_name]])</f>
        <v>40</v>
      </c>
      <c r="G14" s="15">
        <f>AVERAGEIFS(FMECA[probability_value],FMECA[HazardRisk_name],Table3[[#This Row],[HazardRisk_name]])</f>
        <v>4</v>
      </c>
      <c r="H14" s="15" cm="1">
        <f t="array" ref="H14">STDEVP(IF(FMECA[HazardRisk_name]=Table3[[#This Row],[HazardRisk_name]],FMECA[probability_value]))</f>
        <v>0.63245553203367588</v>
      </c>
      <c r="I14" s="15">
        <f>SUMIFS(FMECA[consequence_value], FMECA[HazardRisk_name], Table3[[#This Row],[HazardRisk_name]])</f>
        <v>82</v>
      </c>
      <c r="J14" s="15">
        <f>AVERAGEIFS(FMECA[consequence_value],FMECA[HazardRisk_name],Table3[[#This Row],[HazardRisk_name]])</f>
        <v>8.1999999999999993</v>
      </c>
      <c r="K14" s="15" cm="1">
        <f t="array" ref="K14">STDEVP(IF(FMECA[HazardRisk_name]=Table3[[#This Row],[HazardRisk_name]],FMECA[consequence_value]))</f>
        <v>1.4696938456699069</v>
      </c>
      <c r="L14" s="23">
        <f>AVERAGEIFS(FMECA[Score],FMECA[HazardRisk_name],Table3[[#This Row],[HazardRisk_name]])</f>
        <v>32.5</v>
      </c>
      <c r="M14" s="23" cm="1">
        <f t="array" ref="M14">STDEVP(IF(FMECA[HazardRisk_name]=Table3[[#This Row],[HazardRisk_name]],FMECA[Score]))</f>
        <v>6.1684682053164543</v>
      </c>
      <c r="N14" s="15">
        <f>COUNTIFS(FMECA_data!P:P, "Theoretical", FMECA_data!I:I,Table3[[#This Row],[HazardRisk_name]])</f>
        <v>5</v>
      </c>
      <c r="O14" s="15">
        <f>COUNTIFS(FMECA_data!P:P, "Observational", FMECA_data!I:I,Table3[[#This Row],[HazardRisk_name]])</f>
        <v>2</v>
      </c>
      <c r="P14" s="15">
        <f>COUNTIFS(FMECA_data!P:P, "Hybrid", FMECA_data!I:I,Table3[[#This Row],[HazardRisk_name]])</f>
        <v>2</v>
      </c>
      <c r="Q14" s="15">
        <f>COUNTIFS(FMECA_data!P:P, "Modelling", FMECA_data!I:I,Table3[[#This Row],[HazardRisk_name]])</f>
        <v>1</v>
      </c>
      <c r="R14" s="23">
        <f>COUNTIFS(FMECA[data_deficient], "Yes",FMECA[HazardRisk_name],Table3[[#This Row],[HazardRisk_name]])</f>
        <v>3</v>
      </c>
      <c r="S14" s="23">
        <f>(COUNTIFS(FMECA[availability], "Yes",FMECA[HazardRisk_name],Table3[[#This Row],[HazardRisk_name]])) + (COUNTIFS(FMECA[availability], "Available",FMECA[HazardRisk_name],Table3[[#This Row],[HazardRisk_name]]))</f>
        <v>3</v>
      </c>
      <c r="T14" s="23">
        <f>COUNTIFS(FMECA[RR], "VERY HIGH",FMECA[HazardRisk_name],Table3[[#This Row],[HazardRisk_name]])</f>
        <v>3</v>
      </c>
      <c r="U14" s="22">
        <f>Table3[[#This Row],[vh_count]]/Table3[[#This Row],[risk_counts]]</f>
        <v>0.3</v>
      </c>
      <c r="V14" s="23">
        <f>COUNTIFS(FMECA[RR], "HIGH",FMECA[HazardRisk_name],Table3[[#This Row],[HazardRisk_name]])</f>
        <v>6</v>
      </c>
      <c r="W14" s="22">
        <f>Table3[[#This Row],[h_count]]/Table3[[#This Row],[risk_counts]]</f>
        <v>0.6</v>
      </c>
      <c r="X14" s="23">
        <f>COUNTIFS(FMECA[RR], "MODERATE",FMECA[HazardRisk_name],Table3[[#This Row],[HazardRisk_name]])</f>
        <v>1</v>
      </c>
      <c r="Y14" s="22">
        <f>Table3[[#This Row],[m_count]]/Table3[[#This Row],[risk_counts]]</f>
        <v>0.1</v>
      </c>
      <c r="Z14" s="23">
        <f>COUNTIFS(FMECA[RR], "UNDETECTABLE",FMECA[HazardRisk_name],Table3[[#This Row],[HazardRisk_name]])</f>
        <v>0</v>
      </c>
      <c r="AA14" s="22">
        <f>Table3[[#This Row],[l_count]]/Table3[[#This Row],[risk_counts]]</f>
        <v>0</v>
      </c>
      <c r="AI14" s="16" t="str">
        <f>VLOOKUP(Table3[[#This Row],[HazardRisk_id]], categories[], 4, FALSE)</f>
        <v>Risk</v>
      </c>
      <c r="AJ14" s="16">
        <f>(COUNTIFS(FMECA[availability], "Unknown",FMECA[HazardRisk_name],Table3[[#This Row],[HazardRisk_name]]))</f>
        <v>1</v>
      </c>
    </row>
    <row r="15" spans="1:36" ht="34" x14ac:dyDescent="0.2">
      <c r="A15" s="16" t="s">
        <v>509</v>
      </c>
      <c r="B15" s="13" t="str">
        <f>VLOOKUP(Table3[[#This Row],[HazardRisk_id]], categories[], 5, FALSE)</f>
        <v>Assessment</v>
      </c>
      <c r="C15" s="14" t="str">
        <f>VLOOKUP(Table3[[#This Row],[HazardRisk_id]], categories[], 2, FALSE)</f>
        <v>Dependance on climate modelling</v>
      </c>
      <c r="D15" s="15" t="str">
        <f>VLOOKUP(Table3[[#This Row],[HazardRisk_id]], categories[], 3, FALSE)</f>
        <v>Due to the rapid climate changing in the Arctic, this creates an increased reliance on using climate modelling to inform navigations.</v>
      </c>
      <c r="E15" s="15">
        <f>COUNTIFS(FMECA[HazardRisk_name],Table3[[#This Row],[HazardRisk_name]])</f>
        <v>2</v>
      </c>
      <c r="F15" s="15">
        <f>SUMIFS(FMECA[probability_value], FMECA[HazardRisk_name], Table3[[#This Row],[HazardRisk_name]])</f>
        <v>9</v>
      </c>
      <c r="G15" s="15">
        <f>AVERAGEIFS(FMECA[probability_value],FMECA[HazardRisk_name],Table3[[#This Row],[HazardRisk_name]])</f>
        <v>4.5</v>
      </c>
      <c r="H15" s="15" cm="1">
        <f t="array" ref="H15">STDEVP(IF(FMECA[HazardRisk_name]=Table3[[#This Row],[HazardRisk_name]],FMECA[probability_value]))</f>
        <v>0.5</v>
      </c>
      <c r="I15" s="15">
        <f>SUMIFS(FMECA[consequence_value], FMECA[HazardRisk_name], Table3[[#This Row],[HazardRisk_name]])</f>
        <v>11</v>
      </c>
      <c r="J15" s="15">
        <f>AVERAGEIFS(FMECA[consequence_value],FMECA[HazardRisk_name],Table3[[#This Row],[HazardRisk_name]])</f>
        <v>5.5</v>
      </c>
      <c r="K15" s="15" cm="1">
        <f t="array" ref="K15">STDEVP(IF(FMECA[HazardRisk_name]=Table3[[#This Row],[HazardRisk_name]],FMECA[consequence_value]))</f>
        <v>1.5</v>
      </c>
      <c r="L15" s="23">
        <f>AVERAGEIFS(FMECA[Score],FMECA[HazardRisk_name],Table3[[#This Row],[HazardRisk_name]])</f>
        <v>24</v>
      </c>
      <c r="M15" s="23" cm="1">
        <f t="array" ref="M15">STDEVP(IF(FMECA[HazardRisk_name]=Table3[[#This Row],[HazardRisk_name]],FMECA[Score]))</f>
        <v>4</v>
      </c>
      <c r="N15" s="15">
        <f>COUNTIFS(FMECA_data!P:P, "Theoretical", FMECA_data!I:I,Table3[[#This Row],[HazardRisk_name]])</f>
        <v>0</v>
      </c>
      <c r="O15" s="15">
        <f>COUNTIFS(FMECA_data!P:P, "Observational", FMECA_data!I:I,Table3[[#This Row],[HazardRisk_name]])</f>
        <v>1</v>
      </c>
      <c r="P15" s="15">
        <f>COUNTIFS(FMECA_data!P:P, "Hybrid", FMECA_data!I:I,Table3[[#This Row],[HazardRisk_name]])</f>
        <v>1</v>
      </c>
      <c r="Q15" s="15">
        <f>COUNTIFS(FMECA_data!P:P, "Modelling", FMECA_data!I:I,Table3[[#This Row],[HazardRisk_name]])</f>
        <v>0</v>
      </c>
      <c r="R15" s="23">
        <f>COUNTIFS(FMECA[data_deficient], "Yes",FMECA[HazardRisk_name],Table3[[#This Row],[HazardRisk_name]])</f>
        <v>0</v>
      </c>
      <c r="S15" s="23">
        <f>(COUNTIFS(FMECA[availability], "Yes",FMECA[HazardRisk_name],Table3[[#This Row],[HazardRisk_name]])) + (COUNTIFS(FMECA[availability], "Available",FMECA[HazardRisk_name],Table3[[#This Row],[HazardRisk_name]]))</f>
        <v>0</v>
      </c>
      <c r="T15" s="23">
        <f>COUNTIFS(FMECA[RR], "VERY HIGH",FMECA[HazardRisk_name],Table3[[#This Row],[HazardRisk_name]])</f>
        <v>0</v>
      </c>
      <c r="U15" s="22">
        <f>Table3[[#This Row],[vh_count]]/Table3[[#This Row],[risk_counts]]</f>
        <v>0</v>
      </c>
      <c r="V15" s="23">
        <f>COUNTIFS(FMECA[RR], "HIGH",FMECA[HazardRisk_name],Table3[[#This Row],[HazardRisk_name]])</f>
        <v>1</v>
      </c>
      <c r="W15" s="22">
        <f>Table3[[#This Row],[h_count]]/Table3[[#This Row],[risk_counts]]</f>
        <v>0.5</v>
      </c>
      <c r="X15" s="23">
        <f>COUNTIFS(FMECA[RR], "MODERATE",FMECA[HazardRisk_name],Table3[[#This Row],[HazardRisk_name]])</f>
        <v>1</v>
      </c>
      <c r="Y15" s="22">
        <f>Table3[[#This Row],[m_count]]/Table3[[#This Row],[risk_counts]]</f>
        <v>0.5</v>
      </c>
      <c r="Z15" s="23">
        <f>COUNTIFS(FMECA[RR], "UNDETECTABLE",FMECA[HazardRisk_name],Table3[[#This Row],[HazardRisk_name]])</f>
        <v>0</v>
      </c>
      <c r="AA15" s="22">
        <f>Table3[[#This Row],[l_count]]/Table3[[#This Row],[risk_counts]]</f>
        <v>0</v>
      </c>
      <c r="AI15" s="16" t="str">
        <f>VLOOKUP(Table3[[#This Row],[HazardRisk_id]], categories[], 4, FALSE)</f>
        <v>Risk</v>
      </c>
      <c r="AJ15" s="16">
        <f>(COUNTIFS(FMECA[availability], "Unknown",FMECA[HazardRisk_name],Table3[[#This Row],[HazardRisk_name]]))</f>
        <v>2</v>
      </c>
    </row>
    <row r="16" spans="1:36" ht="34" x14ac:dyDescent="0.2">
      <c r="A16" s="16" t="s">
        <v>510</v>
      </c>
      <c r="B16" s="13" t="str">
        <f>VLOOKUP(Table3[[#This Row],[HazardRisk_id]], categories[], 5, FALSE)</f>
        <v>Navigational</v>
      </c>
      <c r="C16" s="14" t="str">
        <f>VLOOKUP(Table3[[#This Row],[HazardRisk_id]], categories[], 2, FALSE)</f>
        <v>Deviation from suggested route</v>
      </c>
      <c r="D16" s="15" t="str">
        <f>VLOOKUP(Table3[[#This Row],[HazardRisk_id]], categories[], 3, FALSE)</f>
        <v>Not being in the planned route or being located in a waterway that has a significant consentration of sea ice creates unsafe vessel conditions.</v>
      </c>
      <c r="E16" s="15">
        <f>COUNTIFS(FMECA[HazardRisk_name],Table3[[#This Row],[HazardRisk_name]])</f>
        <v>2</v>
      </c>
      <c r="F16" s="15">
        <f>SUMIFS(FMECA[probability_value], FMECA[HazardRisk_name], Table3[[#This Row],[HazardRisk_name]])</f>
        <v>3</v>
      </c>
      <c r="G16" s="15">
        <f>AVERAGEIFS(FMECA[probability_value],FMECA[HazardRisk_name],Table3[[#This Row],[HazardRisk_name]])</f>
        <v>1.5</v>
      </c>
      <c r="H16" s="15" cm="1">
        <f t="array" ref="H16">STDEVP(IF(FMECA[HazardRisk_name]=Table3[[#This Row],[HazardRisk_name]],FMECA[probability_value]))</f>
        <v>0.5</v>
      </c>
      <c r="I16" s="15">
        <f>SUMIFS(FMECA[consequence_value], FMECA[HazardRisk_name], Table3[[#This Row],[HazardRisk_name]])</f>
        <v>14</v>
      </c>
      <c r="J16" s="15">
        <f>AVERAGEIFS(FMECA[consequence_value],FMECA[HazardRisk_name],Table3[[#This Row],[HazardRisk_name]])</f>
        <v>7</v>
      </c>
      <c r="K16" s="15" cm="1">
        <f t="array" ref="K16">STDEVP(IF(FMECA[HazardRisk_name]=Table3[[#This Row],[HazardRisk_name]],FMECA[consequence_value]))</f>
        <v>3</v>
      </c>
      <c r="L16" s="23">
        <f>AVERAGEIFS(FMECA[Score],FMECA[HazardRisk_name],Table3[[#This Row],[HazardRisk_name]])</f>
        <v>9</v>
      </c>
      <c r="M16" s="23" cm="1">
        <f t="array" ref="M16">STDEVP(IF(FMECA[HazardRisk_name]=Table3[[#This Row],[HazardRisk_name]],FMECA[Score]))</f>
        <v>1</v>
      </c>
      <c r="N16" s="15">
        <f>COUNTIFS(FMECA_data!P:P, "Theoretical", FMECA_data!I:I,Table3[[#This Row],[HazardRisk_name]])</f>
        <v>0</v>
      </c>
      <c r="O16" s="15">
        <f>COUNTIFS(FMECA_data!P:P, "Observational", FMECA_data!I:I,Table3[[#This Row],[HazardRisk_name]])</f>
        <v>2</v>
      </c>
      <c r="P16" s="15">
        <f>COUNTIFS(FMECA_data!P:P, "Hybrid", FMECA_data!I:I,Table3[[#This Row],[HazardRisk_name]])</f>
        <v>0</v>
      </c>
      <c r="Q16" s="15">
        <f>COUNTIFS(FMECA_data!P:P, "Modelling", FMECA_data!I:I,Table3[[#This Row],[HazardRisk_name]])</f>
        <v>0</v>
      </c>
      <c r="R16" s="23">
        <f>COUNTIFS(FMECA[data_deficient], "Yes",FMECA[HazardRisk_name],Table3[[#This Row],[HazardRisk_name]])</f>
        <v>0</v>
      </c>
      <c r="S16" s="23">
        <f>(COUNTIFS(FMECA[availability], "Yes",FMECA[HazardRisk_name],Table3[[#This Row],[HazardRisk_name]])) + (COUNTIFS(FMECA[availability], "Available",FMECA[HazardRisk_name],Table3[[#This Row],[HazardRisk_name]]))</f>
        <v>0</v>
      </c>
      <c r="T16" s="23">
        <f>COUNTIFS(FMECA[RR], "VERY HIGH",FMECA[HazardRisk_name],Table3[[#This Row],[HazardRisk_name]])</f>
        <v>0</v>
      </c>
      <c r="U16" s="22">
        <f>Table3[[#This Row],[vh_count]]/Table3[[#This Row],[risk_counts]]</f>
        <v>0</v>
      </c>
      <c r="V16" s="23">
        <f>COUNTIFS(FMECA[RR], "HIGH",FMECA[HazardRisk_name],Table3[[#This Row],[HazardRisk_name]])</f>
        <v>0</v>
      </c>
      <c r="W16" s="22">
        <f>Table3[[#This Row],[h_count]]/Table3[[#This Row],[risk_counts]]</f>
        <v>0</v>
      </c>
      <c r="X16" s="23">
        <f>COUNTIFS(FMECA[RR], "MODERATE",FMECA[HazardRisk_name],Table3[[#This Row],[HazardRisk_name]])</f>
        <v>1</v>
      </c>
      <c r="Y16" s="22">
        <f>Table3[[#This Row],[m_count]]/Table3[[#This Row],[risk_counts]]</f>
        <v>0.5</v>
      </c>
      <c r="Z16" s="23">
        <f>COUNTIFS(FMECA[RR], "UNDETECTABLE",FMECA[HazardRisk_name],Table3[[#This Row],[HazardRisk_name]])</f>
        <v>1</v>
      </c>
      <c r="AA16" s="22">
        <f>Table3[[#This Row],[l_count]]/Table3[[#This Row],[risk_counts]]</f>
        <v>0.5</v>
      </c>
      <c r="AI16" s="16" t="str">
        <f>VLOOKUP(Table3[[#This Row],[HazardRisk_id]], categories[], 4, FALSE)</f>
        <v>Risk</v>
      </c>
      <c r="AJ16" s="16">
        <f>(COUNTIFS(FMECA[availability], "Unknown",FMECA[HazardRisk_name],Table3[[#This Row],[HazardRisk_name]]))</f>
        <v>2</v>
      </c>
    </row>
    <row r="17" spans="1:36" ht="34" x14ac:dyDescent="0.2">
      <c r="A17" s="16" t="s">
        <v>511</v>
      </c>
      <c r="B17" s="13" t="str">
        <f>VLOOKUP(Table3[[#This Row],[HazardRisk_id]], categories[], 5, FALSE)</f>
        <v>Political</v>
      </c>
      <c r="C17" s="14" t="str">
        <f>VLOOKUP(Table3[[#This Row],[HazardRisk_id]], categories[], 2, FALSE)</f>
        <v>Enforceability and accountability limitations regarding laws/regulations</v>
      </c>
      <c r="D17" s="15" t="str">
        <f>VLOOKUP(Table3[[#This Row],[HazardRisk_id]], categories[], 3, FALSE)</f>
        <v>Compliance and enforcement capabilities with laws and regulations according to international, national, and territorial regulations and standards in place.</v>
      </c>
      <c r="E17" s="15">
        <f>COUNTIFS(FMECA[HazardRisk_name],Table3[[#This Row],[HazardRisk_name]])</f>
        <v>9</v>
      </c>
      <c r="F17" s="15">
        <f>SUMIFS(FMECA[probability_value], FMECA[HazardRisk_name], Table3[[#This Row],[HazardRisk_name]])</f>
        <v>38</v>
      </c>
      <c r="G17" s="15">
        <f>AVERAGEIFS(FMECA[probability_value],FMECA[HazardRisk_name],Table3[[#This Row],[HazardRisk_name]])</f>
        <v>4.2222222222222223</v>
      </c>
      <c r="H17" s="15" cm="1">
        <f t="array" ref="H17">STDEVP(IF(FMECA[HazardRisk_name]=Table3[[#This Row],[HazardRisk_name]],FMECA[probability_value]))</f>
        <v>0.78567420131838617</v>
      </c>
      <c r="I17" s="15">
        <f>SUMIFS(FMECA[consequence_value], FMECA[HazardRisk_name], Table3[[#This Row],[HazardRisk_name]])</f>
        <v>54</v>
      </c>
      <c r="J17" s="15">
        <f>AVERAGEIFS(FMECA[consequence_value],FMECA[HazardRisk_name],Table3[[#This Row],[HazardRisk_name]])</f>
        <v>6</v>
      </c>
      <c r="K17" s="15" cm="1">
        <f t="array" ref="K17">STDEVP(IF(FMECA[HazardRisk_name]=Table3[[#This Row],[HazardRisk_name]],FMECA[consequence_value]))</f>
        <v>1.4142135623730951</v>
      </c>
      <c r="L17" s="23">
        <f>AVERAGEIFS(FMECA[Score],FMECA[HazardRisk_name],Table3[[#This Row],[HazardRisk_name]])</f>
        <v>24.888888888888889</v>
      </c>
      <c r="M17" s="23" cm="1">
        <f t="array" ref="M17">STDEVP(IF(FMECA[HazardRisk_name]=Table3[[#This Row],[HazardRisk_name]],FMECA[Score]))</f>
        <v>6.505458297024199</v>
      </c>
      <c r="N17" s="15">
        <f>COUNTIFS(FMECA_data!P:P, "Theoretical", FMECA_data!I:I,Table3[[#This Row],[HazardRisk_name]])</f>
        <v>4</v>
      </c>
      <c r="O17" s="15">
        <f>COUNTIFS(FMECA_data!P:P, "Observational", FMECA_data!I:I,Table3[[#This Row],[HazardRisk_name]])</f>
        <v>3</v>
      </c>
      <c r="P17" s="15">
        <f>COUNTIFS(FMECA_data!P:P, "Hybrid", FMECA_data!I:I,Table3[[#This Row],[HazardRisk_name]])</f>
        <v>2</v>
      </c>
      <c r="Q17" s="15">
        <f>COUNTIFS(FMECA_data!P:P, "Modelling", FMECA_data!I:I,Table3[[#This Row],[HazardRisk_name]])</f>
        <v>0</v>
      </c>
      <c r="R17" s="23">
        <f>COUNTIFS(FMECA[data_deficient], "Yes",FMECA[HazardRisk_name],Table3[[#This Row],[HazardRisk_name]])</f>
        <v>2</v>
      </c>
      <c r="S17" s="23">
        <f>(COUNTIFS(FMECA[availability], "Yes",FMECA[HazardRisk_name],Table3[[#This Row],[HazardRisk_name]])) + (COUNTIFS(FMECA[availability], "Available",FMECA[HazardRisk_name],Table3[[#This Row],[HazardRisk_name]]))</f>
        <v>4</v>
      </c>
      <c r="T17" s="23">
        <f>COUNTIFS(FMECA[RR], "VERY HIGH",FMECA[HazardRisk_name],Table3[[#This Row],[HazardRisk_name]])</f>
        <v>0</v>
      </c>
      <c r="U17" s="22">
        <f>Table3[[#This Row],[vh_count]]/Table3[[#This Row],[risk_counts]]</f>
        <v>0</v>
      </c>
      <c r="V17" s="23">
        <f>COUNTIFS(FMECA[RR], "HIGH",FMECA[HazardRisk_name],Table3[[#This Row],[HazardRisk_name]])</f>
        <v>4</v>
      </c>
      <c r="W17" s="22">
        <f>Table3[[#This Row],[h_count]]/Table3[[#This Row],[risk_counts]]</f>
        <v>0.44444444444444442</v>
      </c>
      <c r="X17" s="23">
        <f>COUNTIFS(FMECA[RR], "MODERATE",FMECA[HazardRisk_name],Table3[[#This Row],[HazardRisk_name]])</f>
        <v>5</v>
      </c>
      <c r="Y17" s="22">
        <f>Table3[[#This Row],[m_count]]/Table3[[#This Row],[risk_counts]]</f>
        <v>0.55555555555555558</v>
      </c>
      <c r="Z17" s="23">
        <f>COUNTIFS(FMECA[RR], "UNDETECTABLE",FMECA[HazardRisk_name],Table3[[#This Row],[HazardRisk_name]])</f>
        <v>0</v>
      </c>
      <c r="AA17" s="22">
        <f>Table3[[#This Row],[l_count]]/Table3[[#This Row],[risk_counts]]</f>
        <v>0</v>
      </c>
      <c r="AI17" s="16" t="str">
        <f>VLOOKUP(Table3[[#This Row],[HazardRisk_id]], categories[], 4, FALSE)</f>
        <v>Risk</v>
      </c>
      <c r="AJ17" s="16">
        <f>(COUNTIFS(FMECA[availability], "Unknown",FMECA[HazardRisk_name],Table3[[#This Row],[HazardRisk_name]]))</f>
        <v>1</v>
      </c>
    </row>
    <row r="18" spans="1:36" ht="34" x14ac:dyDescent="0.2">
      <c r="A18" s="16" t="s">
        <v>512</v>
      </c>
      <c r="B18" s="13" t="str">
        <f>VLOOKUP(Table3[[#This Row],[HazardRisk_id]], categories[], 5, FALSE)</f>
        <v>Assessment</v>
      </c>
      <c r="C18" s="14" t="str">
        <f>VLOOKUP(Table3[[#This Row],[HazardRisk_id]], categories[], 2, FALSE)</f>
        <v>Field-model descrepencies</v>
      </c>
      <c r="D18" s="15" t="str">
        <f>VLOOKUP(Table3[[#This Row],[HazardRisk_id]], categories[], 3, FALSE)</f>
        <v>Descrepencies between theoretical probablitiies of shipping risk versus field observations cause tensions in decision making and risk perioritisation.</v>
      </c>
      <c r="E18" s="15">
        <f>COUNTIFS(FMECA[HazardRisk_name],Table3[[#This Row],[HazardRisk_name]])</f>
        <v>2</v>
      </c>
      <c r="F18" s="15">
        <f>SUMIFS(FMECA[probability_value], FMECA[HazardRisk_name], Table3[[#This Row],[HazardRisk_name]])</f>
        <v>9</v>
      </c>
      <c r="G18" s="15">
        <f>AVERAGEIFS(FMECA[probability_value],FMECA[HazardRisk_name],Table3[[#This Row],[HazardRisk_name]])</f>
        <v>4.5</v>
      </c>
      <c r="H18" s="15" cm="1">
        <f t="array" ref="H18">STDEVP(IF(FMECA[HazardRisk_name]=Table3[[#This Row],[HazardRisk_name]],FMECA[probability_value]))</f>
        <v>0.5</v>
      </c>
      <c r="I18" s="15">
        <f>SUMIFS(FMECA[consequence_value], FMECA[HazardRisk_name], Table3[[#This Row],[HazardRisk_name]])</f>
        <v>11</v>
      </c>
      <c r="J18" s="15">
        <f>AVERAGEIFS(FMECA[consequence_value],FMECA[HazardRisk_name],Table3[[#This Row],[HazardRisk_name]])</f>
        <v>5.5</v>
      </c>
      <c r="K18" s="15" cm="1">
        <f t="array" ref="K18">STDEVP(IF(FMECA[HazardRisk_name]=Table3[[#This Row],[HazardRisk_name]],FMECA[consequence_value]))</f>
        <v>1.5</v>
      </c>
      <c r="L18" s="23">
        <f>AVERAGEIFS(FMECA[Score],FMECA[HazardRisk_name],Table3[[#This Row],[HazardRisk_name]])</f>
        <v>24</v>
      </c>
      <c r="M18" s="23" cm="1">
        <f t="array" ref="M18">STDEVP(IF(FMECA[HazardRisk_name]=Table3[[#This Row],[HazardRisk_name]],FMECA[Score]))</f>
        <v>4</v>
      </c>
      <c r="N18" s="15">
        <f>COUNTIFS(FMECA_data!P:P, "Theoretical", FMECA_data!I:I,Table3[[#This Row],[HazardRisk_name]])</f>
        <v>0</v>
      </c>
      <c r="O18" s="15">
        <f>COUNTIFS(FMECA_data!P:P, "Observational", FMECA_data!I:I,Table3[[#This Row],[HazardRisk_name]])</f>
        <v>1</v>
      </c>
      <c r="P18" s="15">
        <f>COUNTIFS(FMECA_data!P:P, "Hybrid", FMECA_data!I:I,Table3[[#This Row],[HazardRisk_name]])</f>
        <v>0</v>
      </c>
      <c r="Q18" s="15">
        <f>COUNTIFS(FMECA_data!P:P, "Modelling", FMECA_data!I:I,Table3[[#This Row],[HazardRisk_name]])</f>
        <v>1</v>
      </c>
      <c r="R18" s="23">
        <f>COUNTIFS(FMECA[data_deficient], "Yes",FMECA[HazardRisk_name],Table3[[#This Row],[HazardRisk_name]])</f>
        <v>0</v>
      </c>
      <c r="S18" s="23">
        <f>(COUNTIFS(FMECA[availability], "Yes",FMECA[HazardRisk_name],Table3[[#This Row],[HazardRisk_name]])) + (COUNTIFS(FMECA[availability], "Available",FMECA[HazardRisk_name],Table3[[#This Row],[HazardRisk_name]]))</f>
        <v>2</v>
      </c>
      <c r="T18" s="23">
        <f>COUNTIFS(FMECA[RR], "VERY HIGH",FMECA[HazardRisk_name],Table3[[#This Row],[HazardRisk_name]])</f>
        <v>0</v>
      </c>
      <c r="U18" s="22">
        <f>Table3[[#This Row],[vh_count]]/Table3[[#This Row],[risk_counts]]</f>
        <v>0</v>
      </c>
      <c r="V18" s="23">
        <f>COUNTIFS(FMECA[RR], "HIGH",FMECA[HazardRisk_name],Table3[[#This Row],[HazardRisk_name]])</f>
        <v>1</v>
      </c>
      <c r="W18" s="22">
        <f>Table3[[#This Row],[h_count]]/Table3[[#This Row],[risk_counts]]</f>
        <v>0.5</v>
      </c>
      <c r="X18" s="23">
        <f>COUNTIFS(FMECA[RR], "MODERATE",FMECA[HazardRisk_name],Table3[[#This Row],[HazardRisk_name]])</f>
        <v>1</v>
      </c>
      <c r="Y18" s="22">
        <f>Table3[[#This Row],[m_count]]/Table3[[#This Row],[risk_counts]]</f>
        <v>0.5</v>
      </c>
      <c r="Z18" s="23">
        <f>COUNTIFS(FMECA[RR], "UNDETECTABLE",FMECA[HazardRisk_name],Table3[[#This Row],[HazardRisk_name]])</f>
        <v>0</v>
      </c>
      <c r="AA18" s="22">
        <f>Table3[[#This Row],[l_count]]/Table3[[#This Row],[risk_counts]]</f>
        <v>0</v>
      </c>
      <c r="AI18" s="16" t="str">
        <f>VLOOKUP(Table3[[#This Row],[HazardRisk_id]], categories[], 4, FALSE)</f>
        <v>Risk</v>
      </c>
      <c r="AJ18" s="16">
        <f>(COUNTIFS(FMECA[availability], "Unknown",FMECA[HazardRisk_name],Table3[[#This Row],[HazardRisk_name]]))</f>
        <v>0</v>
      </c>
    </row>
    <row r="19" spans="1:36" ht="51" x14ac:dyDescent="0.2">
      <c r="A19" s="16" t="s">
        <v>513</v>
      </c>
      <c r="B19" s="13" t="str">
        <f>VLOOKUP(Table3[[#This Row],[HazardRisk_id]], categories[], 5, FALSE)</f>
        <v>Economic</v>
      </c>
      <c r="C19" s="14" t="str">
        <f>VLOOKUP(Table3[[#This Row],[HazardRisk_id]], categories[], 2, FALSE)</f>
        <v>Financial burden to small-scale operators/communities</v>
      </c>
      <c r="D19" s="15" t="str">
        <f>VLOOKUP(Table3[[#This Row],[HazardRisk_id]], categories[], 3, FALSE)</f>
        <v>Local communities are dependant on small pool of resources (renewable and non-renewabkle) and strict regulations impose exponential increase ion the cost of vessels to operate in Arctic waters.</v>
      </c>
      <c r="E19" s="15">
        <f>COUNTIFS(FMECA[HazardRisk_name],Table3[[#This Row],[HazardRisk_name]])</f>
        <v>3</v>
      </c>
      <c r="F19" s="15">
        <f>SUMIFS(FMECA[probability_value], FMECA[HazardRisk_name], Table3[[#This Row],[HazardRisk_name]])</f>
        <v>10</v>
      </c>
      <c r="G19" s="15">
        <f>AVERAGEIFS(FMECA[probability_value],FMECA[HazardRisk_name],Table3[[#This Row],[HazardRisk_name]])</f>
        <v>3.3333333333333335</v>
      </c>
      <c r="H19" s="15" cm="1">
        <f t="array" ref="H19">STDEVP(IF(FMECA[HazardRisk_name]=Table3[[#This Row],[HazardRisk_name]],FMECA[probability_value]))</f>
        <v>0.47140452079103168</v>
      </c>
      <c r="I19" s="15">
        <f>SUMIFS(FMECA[consequence_value], FMECA[HazardRisk_name], Table3[[#This Row],[HazardRisk_name]])</f>
        <v>18</v>
      </c>
      <c r="J19" s="15">
        <f>AVERAGEIFS(FMECA[consequence_value],FMECA[HazardRisk_name],Table3[[#This Row],[HazardRisk_name]])</f>
        <v>6</v>
      </c>
      <c r="K19" s="15" cm="1">
        <f t="array" ref="K19">STDEVP(IF(FMECA[HazardRisk_name]=Table3[[#This Row],[HazardRisk_name]],FMECA[consequence_value]))</f>
        <v>1.4142135623730951</v>
      </c>
      <c r="L19" s="23">
        <f>AVERAGEIFS(FMECA[Score],FMECA[HazardRisk_name],Table3[[#This Row],[HazardRisk_name]])</f>
        <v>20.333333333333332</v>
      </c>
      <c r="M19" s="23" cm="1">
        <f t="array" ref="M19">STDEVP(IF(FMECA[HazardRisk_name]=Table3[[#This Row],[HazardRisk_name]],FMECA[Score]))</f>
        <v>6.5489609014628334</v>
      </c>
      <c r="N19" s="15">
        <f>COUNTIFS(FMECA_data!P:P, "Theoretical", FMECA_data!I:I,Table3[[#This Row],[HazardRisk_name]])</f>
        <v>2</v>
      </c>
      <c r="O19" s="15">
        <f>COUNTIFS(FMECA_data!P:P, "Observational", FMECA_data!I:I,Table3[[#This Row],[HazardRisk_name]])</f>
        <v>0</v>
      </c>
      <c r="P19" s="15">
        <f>COUNTIFS(FMECA_data!P:P, "Hybrid", FMECA_data!I:I,Table3[[#This Row],[HazardRisk_name]])</f>
        <v>1</v>
      </c>
      <c r="Q19" s="15">
        <f>COUNTIFS(FMECA_data!P:P, "Modelling", FMECA_data!I:I,Table3[[#This Row],[HazardRisk_name]])</f>
        <v>0</v>
      </c>
      <c r="R19" s="23">
        <f>COUNTIFS(FMECA[data_deficient], "Yes",FMECA[HazardRisk_name],Table3[[#This Row],[HazardRisk_name]])</f>
        <v>2</v>
      </c>
      <c r="S19" s="23">
        <f>(COUNTIFS(FMECA[availability], "Yes",FMECA[HazardRisk_name],Table3[[#This Row],[HazardRisk_name]])) + (COUNTIFS(FMECA[availability], "Available",FMECA[HazardRisk_name],Table3[[#This Row],[HazardRisk_name]]))</f>
        <v>0</v>
      </c>
      <c r="T19" s="23">
        <f>COUNTIFS(FMECA[RR], "VERY HIGH",FMECA[HazardRisk_name],Table3[[#This Row],[HazardRisk_name]])</f>
        <v>0</v>
      </c>
      <c r="U19" s="22">
        <f>Table3[[#This Row],[vh_count]]/Table3[[#This Row],[risk_counts]]</f>
        <v>0</v>
      </c>
      <c r="V19" s="23">
        <f>COUNTIFS(FMECA[RR], "HIGH",FMECA[HazardRisk_name],Table3[[#This Row],[HazardRisk_name]])</f>
        <v>1</v>
      </c>
      <c r="W19" s="22">
        <f>Table3[[#This Row],[h_count]]/Table3[[#This Row],[risk_counts]]</f>
        <v>0.33333333333333331</v>
      </c>
      <c r="X19" s="23">
        <f>COUNTIFS(FMECA[RR], "MODERATE",FMECA[HazardRisk_name],Table3[[#This Row],[HazardRisk_name]])</f>
        <v>2</v>
      </c>
      <c r="Y19" s="22">
        <f>Table3[[#This Row],[m_count]]/Table3[[#This Row],[risk_counts]]</f>
        <v>0.66666666666666663</v>
      </c>
      <c r="Z19" s="23">
        <f>COUNTIFS(FMECA[RR], "UNDETECTABLE",FMECA[HazardRisk_name],Table3[[#This Row],[HazardRisk_name]])</f>
        <v>0</v>
      </c>
      <c r="AA19" s="22">
        <f>Table3[[#This Row],[l_count]]/Table3[[#This Row],[risk_counts]]</f>
        <v>0</v>
      </c>
      <c r="AI19" s="16" t="str">
        <f>VLOOKUP(Table3[[#This Row],[HazardRisk_id]], categories[], 4, FALSE)</f>
        <v>Risk</v>
      </c>
      <c r="AJ19" s="16">
        <f>(COUNTIFS(FMECA[availability], "Unknown",FMECA[HazardRisk_name],Table3[[#This Row],[HazardRisk_name]]))</f>
        <v>1</v>
      </c>
    </row>
    <row r="20" spans="1:36" ht="34" x14ac:dyDescent="0.2">
      <c r="A20" s="16" t="s">
        <v>514</v>
      </c>
      <c r="B20" s="13" t="str">
        <f>VLOOKUP(Table3[[#This Row],[HazardRisk_id]], categories[], 5, FALSE)</f>
        <v>Economic</v>
      </c>
      <c r="C20" s="14" t="str">
        <f>VLOOKUP(Table3[[#This Row],[HazardRisk_id]], categories[], 2, FALSE)</f>
        <v>Fluctuating fuel prices</v>
      </c>
      <c r="D20" s="15" t="str">
        <f>VLOOKUP(Table3[[#This Row],[HazardRisk_id]], categories[], 3, FALSE)</f>
        <v>The costs of purchasing heavy feul oil (HFO) for vessel operations is a critical factor in determining the cost-benefit of shipping in th Arctic.</v>
      </c>
      <c r="E20" s="15">
        <f>COUNTIFS(FMECA[HazardRisk_name],Table3[[#This Row],[HazardRisk_name]])</f>
        <v>3</v>
      </c>
      <c r="F20" s="15">
        <f>SUMIFS(FMECA[probability_value], FMECA[HazardRisk_name], Table3[[#This Row],[HazardRisk_name]])</f>
        <v>15</v>
      </c>
      <c r="G20" s="15">
        <f>AVERAGEIFS(FMECA[probability_value],FMECA[HazardRisk_name],Table3[[#This Row],[HazardRisk_name]])</f>
        <v>5</v>
      </c>
      <c r="H20" s="15" cm="1">
        <f t="array" ref="H20">STDEVP(IF(FMECA[HazardRisk_name]=Table3[[#This Row],[HazardRisk_name]],FMECA[probability_value]))</f>
        <v>0</v>
      </c>
      <c r="I20" s="15">
        <f>SUMIFS(FMECA[consequence_value], FMECA[HazardRisk_name], Table3[[#This Row],[HazardRisk_name]])</f>
        <v>18</v>
      </c>
      <c r="J20" s="15">
        <f>AVERAGEIFS(FMECA[consequence_value],FMECA[HazardRisk_name],Table3[[#This Row],[HazardRisk_name]])</f>
        <v>6</v>
      </c>
      <c r="K20" s="15" cm="1">
        <f t="array" ref="K20">STDEVP(IF(FMECA[HazardRisk_name]=Table3[[#This Row],[HazardRisk_name]],FMECA[consequence_value]))</f>
        <v>1.4142135623730951</v>
      </c>
      <c r="L20" s="23">
        <f>AVERAGEIFS(FMECA[Score],FMECA[HazardRisk_name],Table3[[#This Row],[HazardRisk_name]])</f>
        <v>30</v>
      </c>
      <c r="M20" s="23" cm="1">
        <f t="array" ref="M20">STDEVP(IF(FMECA[HazardRisk_name]=Table3[[#This Row],[HazardRisk_name]],FMECA[Score]))</f>
        <v>7.0710678118654755</v>
      </c>
      <c r="N20" s="15">
        <f>COUNTIFS(FMECA_data!P:P, "Theoretical", FMECA_data!I:I,Table3[[#This Row],[HazardRisk_name]])</f>
        <v>1</v>
      </c>
      <c r="O20" s="15">
        <f>COUNTIFS(FMECA_data!P:P, "Observational", FMECA_data!I:I,Table3[[#This Row],[HazardRisk_name]])</f>
        <v>2</v>
      </c>
      <c r="P20" s="15">
        <f>COUNTIFS(FMECA_data!P:P, "Hybrid", FMECA_data!I:I,Table3[[#This Row],[HazardRisk_name]])</f>
        <v>0</v>
      </c>
      <c r="Q20" s="15">
        <f>COUNTIFS(FMECA_data!P:P, "Modelling", FMECA_data!I:I,Table3[[#This Row],[HazardRisk_name]])</f>
        <v>0</v>
      </c>
      <c r="R20" s="23">
        <f>COUNTIFS(FMECA[data_deficient], "Yes",FMECA[HazardRisk_name],Table3[[#This Row],[HazardRisk_name]])</f>
        <v>0</v>
      </c>
      <c r="S20" s="23">
        <f>(COUNTIFS(FMECA[availability], "Yes",FMECA[HazardRisk_name],Table3[[#This Row],[HazardRisk_name]])) + (COUNTIFS(FMECA[availability], "Available",FMECA[HazardRisk_name],Table3[[#This Row],[HazardRisk_name]]))</f>
        <v>2</v>
      </c>
      <c r="T20" s="23">
        <f>COUNTIFS(FMECA[RR], "VERY HIGH",FMECA[HazardRisk_name],Table3[[#This Row],[HazardRisk_name]])</f>
        <v>0</v>
      </c>
      <c r="U20" s="22">
        <f>Table3[[#This Row],[vh_count]]/Table3[[#This Row],[risk_counts]]</f>
        <v>0</v>
      </c>
      <c r="V20" s="23">
        <f>COUNTIFS(FMECA[RR], "HIGH",FMECA[HazardRisk_name],Table3[[#This Row],[HazardRisk_name]])</f>
        <v>2</v>
      </c>
      <c r="W20" s="22">
        <f>Table3[[#This Row],[h_count]]/Table3[[#This Row],[risk_counts]]</f>
        <v>0.66666666666666663</v>
      </c>
      <c r="X20" s="23">
        <f>COUNTIFS(FMECA[RR], "MODERATE",FMECA[HazardRisk_name],Table3[[#This Row],[HazardRisk_name]])</f>
        <v>1</v>
      </c>
      <c r="Y20" s="22">
        <f>Table3[[#This Row],[m_count]]/Table3[[#This Row],[risk_counts]]</f>
        <v>0.33333333333333331</v>
      </c>
      <c r="Z20" s="23">
        <f>COUNTIFS(FMECA[RR], "UNDETECTABLE",FMECA[HazardRisk_name],Table3[[#This Row],[HazardRisk_name]])</f>
        <v>0</v>
      </c>
      <c r="AA20" s="22">
        <f>Table3[[#This Row],[l_count]]/Table3[[#This Row],[risk_counts]]</f>
        <v>0</v>
      </c>
      <c r="AI20" s="16" t="str">
        <f>VLOOKUP(Table3[[#This Row],[HazardRisk_id]], categories[], 4, FALSE)</f>
        <v>Risk</v>
      </c>
      <c r="AJ20" s="16">
        <f>(COUNTIFS(FMECA[availability], "Unknown",FMECA[HazardRisk_name],Table3[[#This Row],[HazardRisk_name]]))</f>
        <v>0</v>
      </c>
    </row>
    <row r="21" spans="1:36" ht="51" x14ac:dyDescent="0.2">
      <c r="A21" s="16" t="s">
        <v>515</v>
      </c>
      <c r="B21" s="13" t="str">
        <f>VLOOKUP(Table3[[#This Row],[HazardRisk_id]], categories[], 5, FALSE)</f>
        <v>Economic</v>
      </c>
      <c r="C21" s="14" t="str">
        <f>VLOOKUP(Table3[[#This Row],[HazardRisk_id]], categories[], 2, FALSE)</f>
        <v>Fluctuation in shipping cost</v>
      </c>
      <c r="D21" s="15" t="str">
        <f>VLOOKUP(Table3[[#This Row],[HazardRisk_id]], categories[], 3, FALSE)</f>
        <v>Vessels traveeling through the Northwest Passage (NWP) encournter significant fluctuations in overall shipping costs due to variable oil prices, power demand, engine efficency, and sea ice presence.</v>
      </c>
      <c r="E21" s="15">
        <f>COUNTIFS(FMECA[HazardRisk_name],Table3[[#This Row],[HazardRisk_name]])</f>
        <v>7</v>
      </c>
      <c r="F21" s="15">
        <f>SUMIFS(FMECA[probability_value], FMECA[HazardRisk_name], Table3[[#This Row],[HazardRisk_name]])</f>
        <v>26</v>
      </c>
      <c r="G21" s="15">
        <f>AVERAGEIFS(FMECA[probability_value],FMECA[HazardRisk_name],Table3[[#This Row],[HazardRisk_name]])</f>
        <v>3.7142857142857144</v>
      </c>
      <c r="H21" s="15" cm="1">
        <f t="array" ref="H21">STDEVP(IF(FMECA[HazardRisk_name]=Table3[[#This Row],[HazardRisk_name]],FMECA[probability_value]))</f>
        <v>0.88063057185271088</v>
      </c>
      <c r="I21" s="15">
        <f>SUMIFS(FMECA[consequence_value], FMECA[HazardRisk_name], Table3[[#This Row],[HazardRisk_name]])</f>
        <v>37</v>
      </c>
      <c r="J21" s="15">
        <f>AVERAGEIFS(FMECA[consequence_value],FMECA[HazardRisk_name],Table3[[#This Row],[HazardRisk_name]])</f>
        <v>5.2857142857142856</v>
      </c>
      <c r="K21" s="15" cm="1">
        <f t="array" ref="K21">STDEVP(IF(FMECA[HazardRisk_name]=Table3[[#This Row],[HazardRisk_name]],FMECA[consequence_value]))</f>
        <v>1.4846149779161804</v>
      </c>
      <c r="L21" s="23">
        <f>AVERAGEIFS(FMECA[Score],FMECA[HazardRisk_name],Table3[[#This Row],[HazardRisk_name]])</f>
        <v>19.142857142857142</v>
      </c>
      <c r="M21" s="23" cm="1">
        <f t="array" ref="M21">STDEVP(IF(FMECA[HazardRisk_name]=Table3[[#This Row],[HazardRisk_name]],FMECA[Score]))</f>
        <v>5.1941882750565265</v>
      </c>
      <c r="N21" s="15">
        <f>COUNTIFS(FMECA_data!P:P, "Theoretical", FMECA_data!I:I,Table3[[#This Row],[HazardRisk_name]])</f>
        <v>2</v>
      </c>
      <c r="O21" s="15">
        <f>COUNTIFS(FMECA_data!P:P, "Observational", FMECA_data!I:I,Table3[[#This Row],[HazardRisk_name]])</f>
        <v>2</v>
      </c>
      <c r="P21" s="15">
        <f>COUNTIFS(FMECA_data!P:P, "Hybrid", FMECA_data!I:I,Table3[[#This Row],[HazardRisk_name]])</f>
        <v>2</v>
      </c>
      <c r="Q21" s="15">
        <f>COUNTIFS(FMECA_data!P:P, "Modelling", FMECA_data!I:I,Table3[[#This Row],[HazardRisk_name]])</f>
        <v>1</v>
      </c>
      <c r="R21" s="23">
        <f>COUNTIFS(FMECA[data_deficient], "Yes",FMECA[HazardRisk_name],Table3[[#This Row],[HazardRisk_name]])</f>
        <v>3</v>
      </c>
      <c r="S21" s="23">
        <f>(COUNTIFS(FMECA[availability], "Yes",FMECA[HazardRisk_name],Table3[[#This Row],[HazardRisk_name]])) + (COUNTIFS(FMECA[availability], "Available",FMECA[HazardRisk_name],Table3[[#This Row],[HazardRisk_name]]))</f>
        <v>3</v>
      </c>
      <c r="T21" s="23">
        <f>COUNTIFS(FMECA[RR], "VERY HIGH",FMECA[HazardRisk_name],Table3[[#This Row],[HazardRisk_name]])</f>
        <v>0</v>
      </c>
      <c r="U21" s="22">
        <f>Table3[[#This Row],[vh_count]]/Table3[[#This Row],[risk_counts]]</f>
        <v>0</v>
      </c>
      <c r="V21" s="23">
        <f>COUNTIFS(FMECA[RR], "HIGH",FMECA[HazardRisk_name],Table3[[#This Row],[HazardRisk_name]])</f>
        <v>1</v>
      </c>
      <c r="W21" s="22">
        <f>Table3[[#This Row],[h_count]]/Table3[[#This Row],[risk_counts]]</f>
        <v>0.14285714285714285</v>
      </c>
      <c r="X21" s="23">
        <f>COUNTIFS(FMECA[RR], "MODERATE",FMECA[HazardRisk_name],Table3[[#This Row],[HazardRisk_name]])</f>
        <v>6</v>
      </c>
      <c r="Y21" s="22">
        <f>Table3[[#This Row],[m_count]]/Table3[[#This Row],[risk_counts]]</f>
        <v>0.8571428571428571</v>
      </c>
      <c r="Z21" s="23">
        <f>COUNTIFS(FMECA[RR], "UNDETECTABLE",FMECA[HazardRisk_name],Table3[[#This Row],[HazardRisk_name]])</f>
        <v>0</v>
      </c>
      <c r="AA21" s="22">
        <f>Table3[[#This Row],[l_count]]/Table3[[#This Row],[risk_counts]]</f>
        <v>0</v>
      </c>
      <c r="AI21" s="16" t="str">
        <f>VLOOKUP(Table3[[#This Row],[HazardRisk_id]], categories[], 4, FALSE)</f>
        <v>Risk</v>
      </c>
      <c r="AJ21" s="16">
        <f>(COUNTIFS(FMECA[availability], "Unknown",FMECA[HazardRisk_name],Table3[[#This Row],[HazardRisk_name]]))</f>
        <v>2</v>
      </c>
    </row>
    <row r="22" spans="1:36" ht="51" x14ac:dyDescent="0.2">
      <c r="A22" s="16" t="s">
        <v>516</v>
      </c>
      <c r="B22" s="13" t="str">
        <f>VLOOKUP(Table3[[#This Row],[HazardRisk_id]], categories[], 5, FALSE)</f>
        <v>Assessment</v>
      </c>
      <c r="C22" s="14" t="str">
        <f>VLOOKUP(Table3[[#This Row],[HazardRisk_id]], categories[], 2, FALSE)</f>
        <v>Frequent callibration of model parameters</v>
      </c>
      <c r="D22" s="15" t="str">
        <f>VLOOKUP(Table3[[#This Row],[HazardRisk_id]], categories[], 3, FALSE)</f>
        <v>As there are many unknowns regarding maritime shipping in Arctic envornments, frequent calibration of model parameters may be required to increase prediction accuracy.</v>
      </c>
      <c r="E22" s="15">
        <f>COUNTIFS(FMECA[HazardRisk_name],Table3[[#This Row],[HazardRisk_name]])</f>
        <v>1</v>
      </c>
      <c r="F22" s="15">
        <f>SUMIFS(FMECA[probability_value], FMECA[HazardRisk_name], Table3[[#This Row],[HazardRisk_name]])</f>
        <v>3</v>
      </c>
      <c r="G22" s="15">
        <f>AVERAGEIFS(FMECA[probability_value],FMECA[HazardRisk_name],Table3[[#This Row],[HazardRisk_name]])</f>
        <v>3</v>
      </c>
      <c r="H22" s="15" cm="1">
        <f t="array" ref="H22">STDEVP(IF(FMECA[HazardRisk_name]=Table3[[#This Row],[HazardRisk_name]],FMECA[probability_value]))</f>
        <v>0</v>
      </c>
      <c r="I22" s="15">
        <f>SUMIFS(FMECA[consequence_value], FMECA[HazardRisk_name], Table3[[#This Row],[HazardRisk_name]])</f>
        <v>4</v>
      </c>
      <c r="J22" s="15">
        <f>AVERAGEIFS(FMECA[consequence_value],FMECA[HazardRisk_name],Table3[[#This Row],[HazardRisk_name]])</f>
        <v>4</v>
      </c>
      <c r="K22" s="15" cm="1">
        <f t="array" ref="K22">STDEVP(IF(FMECA[HazardRisk_name]=Table3[[#This Row],[HazardRisk_name]],FMECA[consequence_value]))</f>
        <v>0</v>
      </c>
      <c r="L22" s="23">
        <f>AVERAGEIFS(FMECA[Score],FMECA[HazardRisk_name],Table3[[#This Row],[HazardRisk_name]])</f>
        <v>12</v>
      </c>
      <c r="M22" s="23" cm="1">
        <f t="array" ref="M22">STDEVP(IF(FMECA[HazardRisk_name]=Table3[[#This Row],[HazardRisk_name]],FMECA[Score]))</f>
        <v>0</v>
      </c>
      <c r="N22" s="15">
        <f>COUNTIFS(FMECA_data!P:P, "Theoretical", FMECA_data!I:I,Table3[[#This Row],[HazardRisk_name]])</f>
        <v>0</v>
      </c>
      <c r="O22" s="15">
        <f>COUNTIFS(FMECA_data!P:P, "Observational", FMECA_data!I:I,Table3[[#This Row],[HazardRisk_name]])</f>
        <v>1</v>
      </c>
      <c r="P22" s="15">
        <f>COUNTIFS(FMECA_data!P:P, "Hybrid", FMECA_data!I:I,Table3[[#This Row],[HazardRisk_name]])</f>
        <v>0</v>
      </c>
      <c r="Q22" s="15">
        <f>COUNTIFS(FMECA_data!P:P, "Modelling", FMECA_data!I:I,Table3[[#This Row],[HazardRisk_name]])</f>
        <v>0</v>
      </c>
      <c r="R22" s="23">
        <f>COUNTIFS(FMECA[data_deficient], "Yes",FMECA[HazardRisk_name],Table3[[#This Row],[HazardRisk_name]])</f>
        <v>0</v>
      </c>
      <c r="S22" s="23">
        <f>(COUNTIFS(FMECA[availability], "Yes",FMECA[HazardRisk_name],Table3[[#This Row],[HazardRisk_name]])) + (COUNTIFS(FMECA[availability], "Available",FMECA[HazardRisk_name],Table3[[#This Row],[HazardRisk_name]]))</f>
        <v>1</v>
      </c>
      <c r="T22" s="23">
        <f>COUNTIFS(FMECA[RR], "VERY HIGH",FMECA[HazardRisk_name],Table3[[#This Row],[HazardRisk_name]])</f>
        <v>0</v>
      </c>
      <c r="U22" s="22">
        <f>Table3[[#This Row],[vh_count]]/Table3[[#This Row],[risk_counts]]</f>
        <v>0</v>
      </c>
      <c r="V22" s="23">
        <f>COUNTIFS(FMECA[RR], "HIGH",FMECA[HazardRisk_name],Table3[[#This Row],[HazardRisk_name]])</f>
        <v>0</v>
      </c>
      <c r="W22" s="22">
        <f>Table3[[#This Row],[h_count]]/Table3[[#This Row],[risk_counts]]</f>
        <v>0</v>
      </c>
      <c r="X22" s="23">
        <f>COUNTIFS(FMECA[RR], "MODERATE",FMECA[HazardRisk_name],Table3[[#This Row],[HazardRisk_name]])</f>
        <v>1</v>
      </c>
      <c r="Y22" s="22">
        <f>Table3[[#This Row],[m_count]]/Table3[[#This Row],[risk_counts]]</f>
        <v>1</v>
      </c>
      <c r="Z22" s="23">
        <f>COUNTIFS(FMECA[RR], "UNDETECTABLE",FMECA[HazardRisk_name],Table3[[#This Row],[HazardRisk_name]])</f>
        <v>0</v>
      </c>
      <c r="AA22" s="22">
        <f>Table3[[#This Row],[l_count]]/Table3[[#This Row],[risk_counts]]</f>
        <v>0</v>
      </c>
      <c r="AI22" s="16" t="str">
        <f>VLOOKUP(Table3[[#This Row],[HazardRisk_id]], categories[], 4, FALSE)</f>
        <v>Risk</v>
      </c>
      <c r="AJ22" s="16">
        <f>(COUNTIFS(FMECA[availability], "Unknown",FMECA[HazardRisk_name],Table3[[#This Row],[HazardRisk_name]]))</f>
        <v>0</v>
      </c>
    </row>
    <row r="23" spans="1:36" ht="68" x14ac:dyDescent="0.2">
      <c r="A23" s="16" t="s">
        <v>517</v>
      </c>
      <c r="B23" s="13" t="str">
        <f>VLOOKUP(Table3[[#This Row],[HazardRisk_id]], categories[], 5, FALSE)</f>
        <v>Operational</v>
      </c>
      <c r="C23" s="14" t="str">
        <f>VLOOKUP(Table3[[#This Row],[HazardRisk_id]], categories[], 2, FALSE)</f>
        <v>Fuel consumption</v>
      </c>
      <c r="D23" s="15" t="str">
        <f>VLOOKUP(Table3[[#This Row],[HazardRisk_id]], categories[], 3, FALSE)</f>
        <v>The uncertainty in the amount of fuel required to power the vessel through the entire voyage is heavily dependant on the presence of sea ice and other environmental conditions. Harsher conditions will require more fuel to be consumed, thus higher cost in trip price.</v>
      </c>
      <c r="E23" s="15">
        <f>COUNTIFS(FMECA[HazardRisk_name],Table3[[#This Row],[HazardRisk_name]])</f>
        <v>3</v>
      </c>
      <c r="F23" s="15">
        <f>SUMIFS(FMECA[probability_value], FMECA[HazardRisk_name], Table3[[#This Row],[HazardRisk_name]])</f>
        <v>13</v>
      </c>
      <c r="G23" s="15">
        <f>AVERAGEIFS(FMECA[probability_value],FMECA[HazardRisk_name],Table3[[#This Row],[HazardRisk_name]])</f>
        <v>4.333333333333333</v>
      </c>
      <c r="H23" s="15" cm="1">
        <f t="array" ref="H23">STDEVP(IF(FMECA[HazardRisk_name]=Table3[[#This Row],[HazardRisk_name]],FMECA[probability_value]))</f>
        <v>0.94280904158206336</v>
      </c>
      <c r="I23" s="15">
        <f>SUMIFS(FMECA[consequence_value], FMECA[HazardRisk_name], Table3[[#This Row],[HazardRisk_name]])</f>
        <v>16</v>
      </c>
      <c r="J23" s="15">
        <f>AVERAGEIFS(FMECA[consequence_value],FMECA[HazardRisk_name],Table3[[#This Row],[HazardRisk_name]])</f>
        <v>5.333333333333333</v>
      </c>
      <c r="K23" s="15" cm="1">
        <f t="array" ref="K23">STDEVP(IF(FMECA[HazardRisk_name]=Table3[[#This Row],[HazardRisk_name]],FMECA[consequence_value]))</f>
        <v>1.247219128924647</v>
      </c>
      <c r="L23" s="23">
        <f>AVERAGEIFS(FMECA[Score],FMECA[HazardRisk_name],Table3[[#This Row],[HazardRisk_name]])</f>
        <v>23.333333333333332</v>
      </c>
      <c r="M23" s="23" cm="1">
        <f t="array" ref="M23">STDEVP(IF(FMECA[HazardRisk_name]=Table3[[#This Row],[HazardRisk_name]],FMECA[Score]))</f>
        <v>8.4983658559879753</v>
      </c>
      <c r="N23" s="15">
        <f>COUNTIFS(FMECA_data!P:P, "Theoretical", FMECA_data!I:I,Table3[[#This Row],[HazardRisk_name]])</f>
        <v>0</v>
      </c>
      <c r="O23" s="15">
        <f>COUNTIFS(FMECA_data!P:P, "Observational", FMECA_data!I:I,Table3[[#This Row],[HazardRisk_name]])</f>
        <v>0</v>
      </c>
      <c r="P23" s="15">
        <f>COUNTIFS(FMECA_data!P:P, "Hybrid", FMECA_data!I:I,Table3[[#This Row],[HazardRisk_name]])</f>
        <v>1</v>
      </c>
      <c r="Q23" s="15">
        <f>COUNTIFS(FMECA_data!P:P, "Modelling", FMECA_data!I:I,Table3[[#This Row],[HazardRisk_name]])</f>
        <v>2</v>
      </c>
      <c r="R23" s="23">
        <f>COUNTIFS(FMECA[data_deficient], "Yes",FMECA[HazardRisk_name],Table3[[#This Row],[HazardRisk_name]])</f>
        <v>2</v>
      </c>
      <c r="S23" s="23">
        <f>(COUNTIFS(FMECA[availability], "Yes",FMECA[HazardRisk_name],Table3[[#This Row],[HazardRisk_name]])) + (COUNTIFS(FMECA[availability], "Available",FMECA[HazardRisk_name],Table3[[#This Row],[HazardRisk_name]]))</f>
        <v>1</v>
      </c>
      <c r="T23" s="23">
        <f>COUNTIFS(FMECA[RR], "VERY HIGH",FMECA[HazardRisk_name],Table3[[#This Row],[HazardRisk_name]])</f>
        <v>0</v>
      </c>
      <c r="U23" s="22">
        <f>Table3[[#This Row],[vh_count]]/Table3[[#This Row],[risk_counts]]</f>
        <v>0</v>
      </c>
      <c r="V23" s="23">
        <f>COUNTIFS(FMECA[RR], "HIGH",FMECA[HazardRisk_name],Table3[[#This Row],[HazardRisk_name]])</f>
        <v>1</v>
      </c>
      <c r="W23" s="22">
        <f>Table3[[#This Row],[h_count]]/Table3[[#This Row],[risk_counts]]</f>
        <v>0.33333333333333331</v>
      </c>
      <c r="X23" s="23">
        <f>COUNTIFS(FMECA[RR], "MODERATE",FMECA[HazardRisk_name],Table3[[#This Row],[HazardRisk_name]])</f>
        <v>2</v>
      </c>
      <c r="Y23" s="22">
        <f>Table3[[#This Row],[m_count]]/Table3[[#This Row],[risk_counts]]</f>
        <v>0.66666666666666663</v>
      </c>
      <c r="Z23" s="23">
        <f>COUNTIFS(FMECA[RR], "UNDETECTABLE",FMECA[HazardRisk_name],Table3[[#This Row],[HazardRisk_name]])</f>
        <v>0</v>
      </c>
      <c r="AA23" s="22">
        <f>Table3[[#This Row],[l_count]]/Table3[[#This Row],[risk_counts]]</f>
        <v>0</v>
      </c>
      <c r="AI23" s="16" t="str">
        <f>VLOOKUP(Table3[[#This Row],[HazardRisk_id]], categories[], 4, FALSE)</f>
        <v>Risk</v>
      </c>
      <c r="AJ23" s="16">
        <f>(COUNTIFS(FMECA[availability], "Unknown",FMECA[HazardRisk_name],Table3[[#This Row],[HazardRisk_name]]))</f>
        <v>1</v>
      </c>
    </row>
    <row r="24" spans="1:36" ht="51" x14ac:dyDescent="0.2">
      <c r="A24" s="16" t="s">
        <v>518</v>
      </c>
      <c r="B24" s="13" t="str">
        <f>VLOOKUP(Table3[[#This Row],[HazardRisk_id]], categories[], 5, FALSE)</f>
        <v>Political</v>
      </c>
      <c r="C24" s="14" t="str">
        <f>VLOOKUP(Table3[[#This Row],[HazardRisk_id]], categories[], 2, FALSE)</f>
        <v>Geo-cultural differences</v>
      </c>
      <c r="D24" s="15" t="str">
        <f>VLOOKUP(Table3[[#This Row],[HazardRisk_id]], categories[], 3, FALSE)</f>
        <v>The difference in cultural opinions on issues regarding maritime shipping operations within the Arctic can differ from territorial a, national, and international views. This has the potential in causing an influence in the geo-politics.</v>
      </c>
      <c r="E24" s="15">
        <f>COUNTIFS(FMECA[HazardRisk_name],Table3[[#This Row],[HazardRisk_name]])</f>
        <v>2</v>
      </c>
      <c r="F24" s="15">
        <f>SUMIFS(FMECA[probability_value], FMECA[HazardRisk_name], Table3[[#This Row],[HazardRisk_name]])</f>
        <v>9</v>
      </c>
      <c r="G24" s="15">
        <f>AVERAGEIFS(FMECA[probability_value],FMECA[HazardRisk_name],Table3[[#This Row],[HazardRisk_name]])</f>
        <v>4.5</v>
      </c>
      <c r="H24" s="15" cm="1">
        <f t="array" ref="H24">STDEVP(IF(FMECA[HazardRisk_name]=Table3[[#This Row],[HazardRisk_name]],FMECA[probability_value]))</f>
        <v>0.5</v>
      </c>
      <c r="I24" s="15">
        <f>SUMIFS(FMECA[consequence_value], FMECA[HazardRisk_name], Table3[[#This Row],[HazardRisk_name]])</f>
        <v>11</v>
      </c>
      <c r="J24" s="15">
        <f>AVERAGEIFS(FMECA[consequence_value],FMECA[HazardRisk_name],Table3[[#This Row],[HazardRisk_name]])</f>
        <v>5.5</v>
      </c>
      <c r="K24" s="15" cm="1">
        <f t="array" ref="K24">STDEVP(IF(FMECA[HazardRisk_name]=Table3[[#This Row],[HazardRisk_name]],FMECA[consequence_value]))</f>
        <v>1.5</v>
      </c>
      <c r="L24" s="23">
        <f>AVERAGEIFS(FMECA[Score],FMECA[HazardRisk_name],Table3[[#This Row],[HazardRisk_name]])</f>
        <v>24</v>
      </c>
      <c r="M24" s="23" cm="1">
        <f t="array" ref="M24">STDEVP(IF(FMECA[HazardRisk_name]=Table3[[#This Row],[HazardRisk_name]],FMECA[Score]))</f>
        <v>4</v>
      </c>
      <c r="N24" s="15">
        <f>COUNTIFS(FMECA_data!P:P, "Theoretical", FMECA_data!I:I,Table3[[#This Row],[HazardRisk_name]])</f>
        <v>1</v>
      </c>
      <c r="O24" s="15">
        <f>COUNTIFS(FMECA_data!P:P, "Observational", FMECA_data!I:I,Table3[[#This Row],[HazardRisk_name]])</f>
        <v>1</v>
      </c>
      <c r="P24" s="15">
        <f>COUNTIFS(FMECA_data!P:P, "Hybrid", FMECA_data!I:I,Table3[[#This Row],[HazardRisk_name]])</f>
        <v>0</v>
      </c>
      <c r="Q24" s="15">
        <f>COUNTIFS(FMECA_data!P:P, "Modelling", FMECA_data!I:I,Table3[[#This Row],[HazardRisk_name]])</f>
        <v>0</v>
      </c>
      <c r="R24" s="23">
        <f>COUNTIFS(FMECA[data_deficient], "Yes",FMECA[HazardRisk_name],Table3[[#This Row],[HazardRisk_name]])</f>
        <v>0</v>
      </c>
      <c r="S24" s="23">
        <f>(COUNTIFS(FMECA[availability], "Yes",FMECA[HazardRisk_name],Table3[[#This Row],[HazardRisk_name]])) + (COUNTIFS(FMECA[availability], "Available",FMECA[HazardRisk_name],Table3[[#This Row],[HazardRisk_name]]))</f>
        <v>1</v>
      </c>
      <c r="T24" s="23">
        <f>COUNTIFS(FMECA[RR], "VERY HIGH",FMECA[HazardRisk_name],Table3[[#This Row],[HazardRisk_name]])</f>
        <v>0</v>
      </c>
      <c r="U24" s="22">
        <f>Table3[[#This Row],[vh_count]]/Table3[[#This Row],[risk_counts]]</f>
        <v>0</v>
      </c>
      <c r="V24" s="23">
        <f>COUNTIFS(FMECA[RR], "HIGH",FMECA[HazardRisk_name],Table3[[#This Row],[HazardRisk_name]])</f>
        <v>1</v>
      </c>
      <c r="W24" s="22">
        <f>Table3[[#This Row],[h_count]]/Table3[[#This Row],[risk_counts]]</f>
        <v>0.5</v>
      </c>
      <c r="X24" s="23">
        <f>COUNTIFS(FMECA[RR], "MODERATE",FMECA[HazardRisk_name],Table3[[#This Row],[HazardRisk_name]])</f>
        <v>1</v>
      </c>
      <c r="Y24" s="22">
        <f>Table3[[#This Row],[m_count]]/Table3[[#This Row],[risk_counts]]</f>
        <v>0.5</v>
      </c>
      <c r="Z24" s="23">
        <f>COUNTIFS(FMECA[RR], "UNDETECTABLE",FMECA[HazardRisk_name],Table3[[#This Row],[HazardRisk_name]])</f>
        <v>0</v>
      </c>
      <c r="AA24" s="22">
        <f>Table3[[#This Row],[l_count]]/Table3[[#This Row],[risk_counts]]</f>
        <v>0</v>
      </c>
      <c r="AI24" s="16" t="str">
        <f>VLOOKUP(Table3[[#This Row],[HazardRisk_id]], categories[], 4, FALSE)</f>
        <v>Risk</v>
      </c>
      <c r="AJ24" s="16">
        <f>(COUNTIFS(FMECA[availability], "Unknown",FMECA[HazardRisk_name],Table3[[#This Row],[HazardRisk_name]]))</f>
        <v>0</v>
      </c>
    </row>
    <row r="25" spans="1:36" ht="34" x14ac:dyDescent="0.2">
      <c r="A25" s="16" t="s">
        <v>519</v>
      </c>
      <c r="B25" s="13" t="str">
        <f>VLOOKUP(Table3[[#This Row],[HazardRisk_id]], categories[], 5, FALSE)</f>
        <v>Political</v>
      </c>
      <c r="C25" s="14" t="str">
        <f>VLOOKUP(Table3[[#This Row],[HazardRisk_id]], categories[], 2, FALSE)</f>
        <v>Geo-millitary factors</v>
      </c>
      <c r="D25" s="15" t="str">
        <f>VLOOKUP(Table3[[#This Row],[HazardRisk_id]], categories[], 3, FALSE)</f>
        <v xml:space="preserve">Military operations influence the strategic defense and operations within the arctic, creating areas of vulnerability and others with too much millitary presence. </v>
      </c>
      <c r="E25" s="15">
        <f>COUNTIFS(FMECA[HazardRisk_name],Table3[[#This Row],[HazardRisk_name]])</f>
        <v>3</v>
      </c>
      <c r="F25" s="15">
        <f>SUMIFS(FMECA[probability_value], FMECA[HazardRisk_name], Table3[[#This Row],[HazardRisk_name]])</f>
        <v>10</v>
      </c>
      <c r="G25" s="15">
        <f>AVERAGEIFS(FMECA[probability_value],FMECA[HazardRisk_name],Table3[[#This Row],[HazardRisk_name]])</f>
        <v>3.3333333333333335</v>
      </c>
      <c r="H25" s="15" cm="1">
        <f t="array" ref="H25">STDEVP(IF(FMECA[HazardRisk_name]=Table3[[#This Row],[HazardRisk_name]],FMECA[probability_value]))</f>
        <v>1.247219128924647</v>
      </c>
      <c r="I25" s="15">
        <f>SUMIFS(FMECA[consequence_value], FMECA[HazardRisk_name], Table3[[#This Row],[HazardRisk_name]])</f>
        <v>18</v>
      </c>
      <c r="J25" s="15">
        <f>AVERAGEIFS(FMECA[consequence_value],FMECA[HazardRisk_name],Table3[[#This Row],[HazardRisk_name]])</f>
        <v>6</v>
      </c>
      <c r="K25" s="15" cm="1">
        <f t="array" ref="K25">STDEVP(IF(FMECA[HazardRisk_name]=Table3[[#This Row],[HazardRisk_name]],FMECA[consequence_value]))</f>
        <v>1.4142135623730951</v>
      </c>
      <c r="L25" s="23">
        <f>AVERAGEIFS(FMECA[Score],FMECA[HazardRisk_name],Table3[[#This Row],[HazardRisk_name]])</f>
        <v>21.333333333333332</v>
      </c>
      <c r="M25" s="23" cm="1">
        <f t="array" ref="M25">STDEVP(IF(FMECA[HazardRisk_name]=Table3[[#This Row],[HazardRisk_name]],FMECA[Score]))</f>
        <v>11.025223605694151</v>
      </c>
      <c r="N25" s="15">
        <f>COUNTIFS(FMECA_data!P:P, "Theoretical", FMECA_data!I:I,Table3[[#This Row],[HazardRisk_name]])</f>
        <v>1</v>
      </c>
      <c r="O25" s="15">
        <f>COUNTIFS(FMECA_data!P:P, "Observational", FMECA_data!I:I,Table3[[#This Row],[HazardRisk_name]])</f>
        <v>2</v>
      </c>
      <c r="P25" s="15">
        <f>COUNTIFS(FMECA_data!P:P, "Hybrid", FMECA_data!I:I,Table3[[#This Row],[HazardRisk_name]])</f>
        <v>0</v>
      </c>
      <c r="Q25" s="15">
        <f>COUNTIFS(FMECA_data!P:P, "Modelling", FMECA_data!I:I,Table3[[#This Row],[HazardRisk_name]])</f>
        <v>0</v>
      </c>
      <c r="R25" s="23">
        <f>COUNTIFS(FMECA[data_deficient], "Yes",FMECA[HazardRisk_name],Table3[[#This Row],[HazardRisk_name]])</f>
        <v>1</v>
      </c>
      <c r="S25" s="23">
        <f>(COUNTIFS(FMECA[availability], "Yes",FMECA[HazardRisk_name],Table3[[#This Row],[HazardRisk_name]])) + (COUNTIFS(FMECA[availability], "Available",FMECA[HazardRisk_name],Table3[[#This Row],[HazardRisk_name]]))</f>
        <v>2</v>
      </c>
      <c r="T25" s="23">
        <f>COUNTIFS(FMECA[RR], "VERY HIGH",FMECA[HazardRisk_name],Table3[[#This Row],[HazardRisk_name]])</f>
        <v>0</v>
      </c>
      <c r="U25" s="22">
        <f>Table3[[#This Row],[vh_count]]/Table3[[#This Row],[risk_counts]]</f>
        <v>0</v>
      </c>
      <c r="V25" s="23">
        <f>COUNTIFS(FMECA[RR], "HIGH",FMECA[HazardRisk_name],Table3[[#This Row],[HazardRisk_name]])</f>
        <v>1</v>
      </c>
      <c r="W25" s="22">
        <f>Table3[[#This Row],[h_count]]/Table3[[#This Row],[risk_counts]]</f>
        <v>0.33333333333333331</v>
      </c>
      <c r="X25" s="23">
        <f>COUNTIFS(FMECA[RR], "MODERATE",FMECA[HazardRisk_name],Table3[[#This Row],[HazardRisk_name]])</f>
        <v>1</v>
      </c>
      <c r="Y25" s="22">
        <f>Table3[[#This Row],[m_count]]/Table3[[#This Row],[risk_counts]]</f>
        <v>0.33333333333333331</v>
      </c>
      <c r="Z25" s="23">
        <f>COUNTIFS(FMECA[RR], "UNDETECTABLE",FMECA[HazardRisk_name],Table3[[#This Row],[HazardRisk_name]])</f>
        <v>1</v>
      </c>
      <c r="AA25" s="22">
        <f>Table3[[#This Row],[l_count]]/Table3[[#This Row],[risk_counts]]</f>
        <v>0.33333333333333331</v>
      </c>
      <c r="AI25" s="16" t="str">
        <f>VLOOKUP(Table3[[#This Row],[HazardRisk_id]], categories[], 4, FALSE)</f>
        <v>Risk</v>
      </c>
      <c r="AJ25" s="16">
        <f>(COUNTIFS(FMECA[availability], "Unknown",FMECA[HazardRisk_name],Table3[[#This Row],[HazardRisk_name]]))</f>
        <v>0</v>
      </c>
    </row>
    <row r="26" spans="1:36" ht="17" x14ac:dyDescent="0.2">
      <c r="A26" s="16" t="s">
        <v>520</v>
      </c>
      <c r="B26" s="13" t="str">
        <f>VLOOKUP(Table3[[#This Row],[HazardRisk_id]], categories[], 5, FALSE)</f>
        <v>Operational</v>
      </c>
      <c r="C26" s="14" t="str">
        <f>VLOOKUP(Table3[[#This Row],[HazardRisk_id]], categories[], 2, FALSE)</f>
        <v>Hull failure</v>
      </c>
      <c r="D26" s="15">
        <f>VLOOKUP(Table3[[#This Row],[HazardRisk_id]], categories[], 3, FALSE)</f>
        <v>0</v>
      </c>
      <c r="E26" s="15">
        <f>COUNTIFS(FMECA[HazardRisk_name],Table3[[#This Row],[HazardRisk_name]])</f>
        <v>1</v>
      </c>
      <c r="F26" s="15">
        <f>SUMIFS(FMECA[probability_value], FMECA[HazardRisk_name], Table3[[#This Row],[HazardRisk_name]])</f>
        <v>1</v>
      </c>
      <c r="G26" s="15">
        <f>AVERAGEIFS(FMECA[probability_value],FMECA[HazardRisk_name],Table3[[#This Row],[HazardRisk_name]])</f>
        <v>1</v>
      </c>
      <c r="H26" s="15" cm="1">
        <f t="array" ref="H26">STDEVP(IF(FMECA[HazardRisk_name]=Table3[[#This Row],[HazardRisk_name]],FMECA[probability_value]))</f>
        <v>0</v>
      </c>
      <c r="I26" s="15">
        <f>SUMIFS(FMECA[consequence_value], FMECA[HazardRisk_name], Table3[[#This Row],[HazardRisk_name]])</f>
        <v>10</v>
      </c>
      <c r="J26" s="15">
        <f>AVERAGEIFS(FMECA[consequence_value],FMECA[HazardRisk_name],Table3[[#This Row],[HazardRisk_name]])</f>
        <v>10</v>
      </c>
      <c r="K26" s="15" cm="1">
        <f t="array" ref="K26">STDEVP(IF(FMECA[HazardRisk_name]=Table3[[#This Row],[HazardRisk_name]],FMECA[consequence_value]))</f>
        <v>0</v>
      </c>
      <c r="L26" s="23">
        <f>AVERAGEIFS(FMECA[Score],FMECA[HazardRisk_name],Table3[[#This Row],[HazardRisk_name]])</f>
        <v>10</v>
      </c>
      <c r="M26" s="23" cm="1">
        <f t="array" ref="M26">STDEVP(IF(FMECA[HazardRisk_name]=Table3[[#This Row],[HazardRisk_name]],FMECA[Score]))</f>
        <v>0</v>
      </c>
      <c r="N26" s="15">
        <f>COUNTIFS(FMECA_data!P:P, "Theoretical", FMECA_data!I:I,Table3[[#This Row],[HazardRisk_name]])</f>
        <v>0</v>
      </c>
      <c r="O26" s="15">
        <f>COUNTIFS(FMECA_data!P:P, "Observational", FMECA_data!I:I,Table3[[#This Row],[HazardRisk_name]])</f>
        <v>1</v>
      </c>
      <c r="P26" s="15">
        <f>COUNTIFS(FMECA_data!P:P, "Hybrid", FMECA_data!I:I,Table3[[#This Row],[HazardRisk_name]])</f>
        <v>0</v>
      </c>
      <c r="Q26" s="15">
        <f>COUNTIFS(FMECA_data!P:P, "Modelling", FMECA_data!I:I,Table3[[#This Row],[HazardRisk_name]])</f>
        <v>0</v>
      </c>
      <c r="R26" s="23">
        <f>COUNTIFS(FMECA[data_deficient], "Yes",FMECA[HazardRisk_name],Table3[[#This Row],[HazardRisk_name]])</f>
        <v>0</v>
      </c>
      <c r="S26" s="23">
        <f>(COUNTIFS(FMECA[availability], "Yes",FMECA[HazardRisk_name],Table3[[#This Row],[HazardRisk_name]])) + (COUNTIFS(FMECA[availability], "Available",FMECA[HazardRisk_name],Table3[[#This Row],[HazardRisk_name]]))</f>
        <v>0</v>
      </c>
      <c r="T26" s="23">
        <f>COUNTIFS(FMECA[RR], "VERY HIGH",FMECA[HazardRisk_name],Table3[[#This Row],[HazardRisk_name]])</f>
        <v>0</v>
      </c>
      <c r="U26" s="22">
        <f>Table3[[#This Row],[vh_count]]/Table3[[#This Row],[risk_counts]]</f>
        <v>0</v>
      </c>
      <c r="V26" s="23">
        <f>COUNTIFS(FMECA[RR], "HIGH",FMECA[HazardRisk_name],Table3[[#This Row],[HazardRisk_name]])</f>
        <v>0</v>
      </c>
      <c r="W26" s="22">
        <f>Table3[[#This Row],[h_count]]/Table3[[#This Row],[risk_counts]]</f>
        <v>0</v>
      </c>
      <c r="X26" s="23">
        <f>COUNTIFS(FMECA[RR], "MODERATE",FMECA[HazardRisk_name],Table3[[#This Row],[HazardRisk_name]])</f>
        <v>1</v>
      </c>
      <c r="Y26" s="22">
        <f>Table3[[#This Row],[m_count]]/Table3[[#This Row],[risk_counts]]</f>
        <v>1</v>
      </c>
      <c r="Z26" s="23">
        <f>COUNTIFS(FMECA[RR], "UNDETECTABLE",FMECA[HazardRisk_name],Table3[[#This Row],[HazardRisk_name]])</f>
        <v>0</v>
      </c>
      <c r="AA26" s="22">
        <f>Table3[[#This Row],[l_count]]/Table3[[#This Row],[risk_counts]]</f>
        <v>0</v>
      </c>
      <c r="AI26" s="16" t="str">
        <f>VLOOKUP(Table3[[#This Row],[HazardRisk_id]], categories[], 4, FALSE)</f>
        <v>Risk</v>
      </c>
      <c r="AJ26" s="16">
        <f>(COUNTIFS(FMECA[availability], "Unknown",FMECA[HazardRisk_name],Table3[[#This Row],[HazardRisk_name]]))</f>
        <v>1</v>
      </c>
    </row>
    <row r="27" spans="1:36" ht="34" x14ac:dyDescent="0.2">
      <c r="A27" s="16" t="s">
        <v>521</v>
      </c>
      <c r="B27" s="13" t="str">
        <f>VLOOKUP(Table3[[#This Row],[HazardRisk_id]], categories[], 5, FALSE)</f>
        <v>Operational</v>
      </c>
      <c r="C27" s="14" t="str">
        <f>VLOOKUP(Table3[[#This Row],[HazardRisk_id]], categories[], 2, FALSE)</f>
        <v>Improper buker line-up</v>
      </c>
      <c r="D27" s="15" t="str">
        <f>VLOOKUP(Table3[[#This Row],[HazardRisk_id]], categories[], 3, FALSE)</f>
        <v xml:space="preserve">Errors when improperly lining up fuel can lead to fuel contamination, spills, uncontrolled release into the natural environment, and engine damage. </v>
      </c>
      <c r="E27" s="15">
        <f>COUNTIFS(FMECA[HazardRisk_name],Table3[[#This Row],[HazardRisk_name]])</f>
        <v>1</v>
      </c>
      <c r="F27" s="15">
        <f>SUMIFS(FMECA[probability_value], FMECA[HazardRisk_name], Table3[[#This Row],[HazardRisk_name]])</f>
        <v>2</v>
      </c>
      <c r="G27" s="15">
        <f>AVERAGEIFS(FMECA[probability_value],FMECA[HazardRisk_name],Table3[[#This Row],[HazardRisk_name]])</f>
        <v>2</v>
      </c>
      <c r="H27" s="15" cm="1">
        <f t="array" ref="H27">STDEVP(IF(FMECA[HazardRisk_name]=Table3[[#This Row],[HazardRisk_name]],FMECA[probability_value]))</f>
        <v>0</v>
      </c>
      <c r="I27" s="15">
        <f>SUMIFS(FMECA[consequence_value], FMECA[HazardRisk_name], Table3[[#This Row],[HazardRisk_name]])</f>
        <v>4</v>
      </c>
      <c r="J27" s="15">
        <f>AVERAGEIFS(FMECA[consequence_value],FMECA[HazardRisk_name],Table3[[#This Row],[HazardRisk_name]])</f>
        <v>4</v>
      </c>
      <c r="K27" s="15" cm="1">
        <f t="array" ref="K27">STDEVP(IF(FMECA[HazardRisk_name]=Table3[[#This Row],[HazardRisk_name]],FMECA[consequence_value]))</f>
        <v>0</v>
      </c>
      <c r="L27" s="23">
        <f>AVERAGEIFS(FMECA[Score],FMECA[HazardRisk_name],Table3[[#This Row],[HazardRisk_name]])</f>
        <v>8</v>
      </c>
      <c r="M27" s="23" cm="1">
        <f t="array" ref="M27">STDEVP(IF(FMECA[HazardRisk_name]=Table3[[#This Row],[HazardRisk_name]],FMECA[Score]))</f>
        <v>0</v>
      </c>
      <c r="N27" s="15">
        <f>COUNTIFS(FMECA_data!P:P, "Theoretical", FMECA_data!I:I,Table3[[#This Row],[HazardRisk_name]])</f>
        <v>0</v>
      </c>
      <c r="O27" s="15">
        <f>COUNTIFS(FMECA_data!P:P, "Observational", FMECA_data!I:I,Table3[[#This Row],[HazardRisk_name]])</f>
        <v>0</v>
      </c>
      <c r="P27" s="15">
        <f>COUNTIFS(FMECA_data!P:P, "Hybrid", FMECA_data!I:I,Table3[[#This Row],[HazardRisk_name]])</f>
        <v>1</v>
      </c>
      <c r="Q27" s="15">
        <f>COUNTIFS(FMECA_data!P:P, "Modelling", FMECA_data!I:I,Table3[[#This Row],[HazardRisk_name]])</f>
        <v>0</v>
      </c>
      <c r="R27" s="23">
        <f>COUNTIFS(FMECA[data_deficient], "Yes",FMECA[HazardRisk_name],Table3[[#This Row],[HazardRisk_name]])</f>
        <v>0</v>
      </c>
      <c r="S27" s="23">
        <f>(COUNTIFS(FMECA[availability], "Yes",FMECA[HazardRisk_name],Table3[[#This Row],[HazardRisk_name]])) + (COUNTIFS(FMECA[availability], "Available",FMECA[HazardRisk_name],Table3[[#This Row],[HazardRisk_name]]))</f>
        <v>0</v>
      </c>
      <c r="T27" s="23">
        <f>COUNTIFS(FMECA[RR], "VERY HIGH",FMECA[HazardRisk_name],Table3[[#This Row],[HazardRisk_name]])</f>
        <v>0</v>
      </c>
      <c r="U27" s="22">
        <f>Table3[[#This Row],[vh_count]]/Table3[[#This Row],[risk_counts]]</f>
        <v>0</v>
      </c>
      <c r="V27" s="23">
        <f>COUNTIFS(FMECA[RR], "HIGH",FMECA[HazardRisk_name],Table3[[#This Row],[HazardRisk_name]])</f>
        <v>0</v>
      </c>
      <c r="W27" s="22">
        <f>Table3[[#This Row],[h_count]]/Table3[[#This Row],[risk_counts]]</f>
        <v>0</v>
      </c>
      <c r="X27" s="23">
        <f>COUNTIFS(FMECA[RR], "MODERATE",FMECA[HazardRisk_name],Table3[[#This Row],[HazardRisk_name]])</f>
        <v>0</v>
      </c>
      <c r="Y27" s="22">
        <f>Table3[[#This Row],[m_count]]/Table3[[#This Row],[risk_counts]]</f>
        <v>0</v>
      </c>
      <c r="Z27" s="23">
        <f>COUNTIFS(FMECA[RR], "UNDETECTABLE",FMECA[HazardRisk_name],Table3[[#This Row],[HazardRisk_name]])</f>
        <v>1</v>
      </c>
      <c r="AA27" s="22">
        <f>Table3[[#This Row],[l_count]]/Table3[[#This Row],[risk_counts]]</f>
        <v>1</v>
      </c>
      <c r="AI27" s="16" t="str">
        <f>VLOOKUP(Table3[[#This Row],[HazardRisk_id]], categories[], 4, FALSE)</f>
        <v>Risk</v>
      </c>
      <c r="AJ27" s="16">
        <f>(COUNTIFS(FMECA[availability], "Unknown",FMECA[HazardRisk_name],Table3[[#This Row],[HazardRisk_name]]))</f>
        <v>1</v>
      </c>
    </row>
    <row r="28" spans="1:36" ht="51" x14ac:dyDescent="0.2">
      <c r="A28" s="16" t="s">
        <v>534</v>
      </c>
      <c r="B28" s="13" t="str">
        <f>VLOOKUP(Table3[[#This Row],[HazardRisk_id]], categories[], 5, FALSE)</f>
        <v>Navigational</v>
      </c>
      <c r="C28" s="14" t="str">
        <f>VLOOKUP(Table3[[#This Row],[HazardRisk_id]], categories[], 2, FALSE)</f>
        <v>Improper route selection</v>
      </c>
      <c r="D28" s="15" t="str">
        <f>VLOOKUP(Table3[[#This Row],[HazardRisk_id]], categories[], 3, FALSE)</f>
        <v>Presently, there are limited options for traveling through the Northwest Passage (NWP), which reduces the efficiency and safety of vessels. This limits vessel access to communities throughout the Arctic Archipelago.</v>
      </c>
      <c r="E28" s="15">
        <f>COUNTIFS(FMECA[HazardRisk_name],Table3[[#This Row],[HazardRisk_name]])</f>
        <v>4</v>
      </c>
      <c r="F28" s="15">
        <f>SUMIFS(FMECA[probability_value], FMECA[HazardRisk_name], Table3[[#This Row],[HazardRisk_name]])</f>
        <v>9</v>
      </c>
      <c r="G28" s="15">
        <f>AVERAGEIFS(FMECA[probability_value],FMECA[HazardRisk_name],Table3[[#This Row],[HazardRisk_name]])</f>
        <v>2.25</v>
      </c>
      <c r="H28" s="15" cm="1">
        <f t="array" ref="H28">STDEVP(IF(FMECA[HazardRisk_name]=Table3[[#This Row],[HazardRisk_name]],FMECA[probability_value]))</f>
        <v>1.0897247358851685</v>
      </c>
      <c r="I28" s="15">
        <f>SUMIFS(FMECA[consequence_value], FMECA[HazardRisk_name], Table3[[#This Row],[HazardRisk_name]])</f>
        <v>31</v>
      </c>
      <c r="J28" s="15">
        <f>AVERAGEIFS(FMECA[consequence_value],FMECA[HazardRisk_name],Table3[[#This Row],[HazardRisk_name]])</f>
        <v>7.75</v>
      </c>
      <c r="K28" s="15" cm="1">
        <f t="array" ref="K28">STDEVP(IF(FMECA[HazardRisk_name]=Table3[[#This Row],[HazardRisk_name]],FMECA[consequence_value]))</f>
        <v>1.299038105676658</v>
      </c>
      <c r="L28" s="23">
        <f>AVERAGEIFS(FMECA[Score],FMECA[HazardRisk_name],Table3[[#This Row],[HazardRisk_name]])</f>
        <v>16.5</v>
      </c>
      <c r="M28" s="23" cm="1">
        <f t="array" ref="M28">STDEVP(IF(FMECA[HazardRisk_name]=Table3[[#This Row],[HazardRisk_name]],FMECA[Score]))</f>
        <v>6.8373971655886718</v>
      </c>
      <c r="N28" s="15">
        <f>COUNTIFS(FMECA_data!P:P, "Theoretical", FMECA_data!I:I,Table3[[#This Row],[HazardRisk_name]])</f>
        <v>0</v>
      </c>
      <c r="O28" s="15">
        <f>COUNTIFS(FMECA_data!P:P, "Observational", FMECA_data!I:I,Table3[[#This Row],[HazardRisk_name]])</f>
        <v>3</v>
      </c>
      <c r="P28" s="15">
        <f>COUNTIFS(FMECA_data!P:P, "Hybrid", FMECA_data!I:I,Table3[[#This Row],[HazardRisk_name]])</f>
        <v>1</v>
      </c>
      <c r="Q28" s="15">
        <f>COUNTIFS(FMECA_data!P:P, "Modelling", FMECA_data!I:I,Table3[[#This Row],[HazardRisk_name]])</f>
        <v>0</v>
      </c>
      <c r="R28" s="23">
        <f>COUNTIFS(FMECA[data_deficient], "Yes",FMECA[HazardRisk_name],Table3[[#This Row],[HazardRisk_name]])</f>
        <v>0</v>
      </c>
      <c r="S28" s="23">
        <f>(COUNTIFS(FMECA[availability], "Yes",FMECA[HazardRisk_name],Table3[[#This Row],[HazardRisk_name]])) + (COUNTIFS(FMECA[availability], "Available",FMECA[HazardRisk_name],Table3[[#This Row],[HazardRisk_name]]))</f>
        <v>1</v>
      </c>
      <c r="T28" s="23">
        <f>COUNTIFS(FMECA[RR], "VERY HIGH",FMECA[HazardRisk_name],Table3[[#This Row],[HazardRisk_name]])</f>
        <v>0</v>
      </c>
      <c r="U28" s="22">
        <f>Table3[[#This Row],[vh_count]]/Table3[[#This Row],[risk_counts]]</f>
        <v>0</v>
      </c>
      <c r="V28" s="23">
        <f>COUNTIFS(FMECA[RR], "HIGH",FMECA[HazardRisk_name],Table3[[#This Row],[HazardRisk_name]])</f>
        <v>1</v>
      </c>
      <c r="W28" s="22">
        <f>Table3[[#This Row],[h_count]]/Table3[[#This Row],[risk_counts]]</f>
        <v>0.25</v>
      </c>
      <c r="X28" s="23">
        <f>COUNTIFS(FMECA[RR], "MODERATE",FMECA[HazardRisk_name],Table3[[#This Row],[HazardRisk_name]])</f>
        <v>3</v>
      </c>
      <c r="Y28" s="22">
        <f>Table3[[#This Row],[m_count]]/Table3[[#This Row],[risk_counts]]</f>
        <v>0.75</v>
      </c>
      <c r="Z28" s="23">
        <f>COUNTIFS(FMECA[RR], "UNDETECTABLE",FMECA[HazardRisk_name],Table3[[#This Row],[HazardRisk_name]])</f>
        <v>0</v>
      </c>
      <c r="AA28" s="22">
        <f>Table3[[#This Row],[l_count]]/Table3[[#This Row],[risk_counts]]</f>
        <v>0</v>
      </c>
      <c r="AI28" s="16" t="str">
        <f>VLOOKUP(Table3[[#This Row],[HazardRisk_id]], categories[], 4, FALSE)</f>
        <v>Risk</v>
      </c>
      <c r="AJ28" s="16">
        <f>(COUNTIFS(FMECA[availability], "Unknown",FMECA[HazardRisk_name],Table3[[#This Row],[HazardRisk_name]]))</f>
        <v>3</v>
      </c>
    </row>
    <row r="29" spans="1:36" ht="51" x14ac:dyDescent="0.2">
      <c r="A29" s="16" t="s">
        <v>538</v>
      </c>
      <c r="B29" s="13" t="str">
        <f>VLOOKUP(Table3[[#This Row],[HazardRisk_id]], categories[], 5, FALSE)</f>
        <v>Assessment</v>
      </c>
      <c r="C29" s="14" t="str">
        <f>VLOOKUP(Table3[[#This Row],[HazardRisk_id]], categories[], 2, FALSE)</f>
        <v>Inadeqaute tools for socioeconomic imapct assessment</v>
      </c>
      <c r="D29" s="15" t="str">
        <f>VLOOKUP(Table3[[#This Row],[HazardRisk_id]], categories[], 3, FALSE)</f>
        <v>The inability to accurately depict the most accurate tools for assessing socio-economic impact can create conditions that lead to mis-guided decision making and negative impacts on the community level.</v>
      </c>
      <c r="E29" s="15">
        <f>COUNTIFS(FMECA[HazardRisk_name],Table3[[#This Row],[HazardRisk_name]])</f>
        <v>1</v>
      </c>
      <c r="F29" s="15">
        <f>SUMIFS(FMECA[probability_value], FMECA[HazardRisk_name], Table3[[#This Row],[HazardRisk_name]])</f>
        <v>5</v>
      </c>
      <c r="G29" s="15">
        <f>AVERAGEIFS(FMECA[probability_value],FMECA[HazardRisk_name],Table3[[#This Row],[HazardRisk_name]])</f>
        <v>5</v>
      </c>
      <c r="H29" s="15" cm="1">
        <f t="array" ref="H29">STDEVP(IF(FMECA[HazardRisk_name]=Table3[[#This Row],[HazardRisk_name]],FMECA[probability_value]))</f>
        <v>0</v>
      </c>
      <c r="I29" s="15">
        <f>SUMIFS(FMECA[consequence_value], FMECA[HazardRisk_name], Table3[[#This Row],[HazardRisk_name]])</f>
        <v>4</v>
      </c>
      <c r="J29" s="15">
        <f>AVERAGEIFS(FMECA[consequence_value],FMECA[HazardRisk_name],Table3[[#This Row],[HazardRisk_name]])</f>
        <v>4</v>
      </c>
      <c r="K29" s="15" cm="1">
        <f t="array" ref="K29">STDEVP(IF(FMECA[HazardRisk_name]=Table3[[#This Row],[HazardRisk_name]],FMECA[consequence_value]))</f>
        <v>0</v>
      </c>
      <c r="L29" s="23">
        <f>AVERAGEIFS(FMECA[Score],FMECA[HazardRisk_name],Table3[[#This Row],[HazardRisk_name]])</f>
        <v>20</v>
      </c>
      <c r="M29" s="23" cm="1">
        <f t="array" ref="M29">STDEVP(IF(FMECA[HazardRisk_name]=Table3[[#This Row],[HazardRisk_name]],FMECA[Score]))</f>
        <v>0</v>
      </c>
      <c r="N29" s="15">
        <f>COUNTIFS(FMECA_data!P:P, "Theoretical", FMECA_data!I:I,Table3[[#This Row],[HazardRisk_name]])</f>
        <v>1</v>
      </c>
      <c r="O29" s="15">
        <f>COUNTIFS(FMECA_data!P:P, "Observational", FMECA_data!I:I,Table3[[#This Row],[HazardRisk_name]])</f>
        <v>0</v>
      </c>
      <c r="P29" s="15">
        <f>COUNTIFS(FMECA_data!P:P, "Hybrid", FMECA_data!I:I,Table3[[#This Row],[HazardRisk_name]])</f>
        <v>0</v>
      </c>
      <c r="Q29" s="15">
        <f>COUNTIFS(FMECA_data!P:P, "Modelling", FMECA_data!I:I,Table3[[#This Row],[HazardRisk_name]])</f>
        <v>0</v>
      </c>
      <c r="R29" s="23">
        <f>COUNTIFS(FMECA[data_deficient], "Yes",FMECA[HazardRisk_name],Table3[[#This Row],[HazardRisk_name]])</f>
        <v>0</v>
      </c>
      <c r="S29" s="23">
        <f>(COUNTIFS(FMECA[availability], "Yes",FMECA[HazardRisk_name],Table3[[#This Row],[HazardRisk_name]])) + (COUNTIFS(FMECA[availability], "Available",FMECA[HazardRisk_name],Table3[[#This Row],[HazardRisk_name]]))</f>
        <v>0</v>
      </c>
      <c r="T29" s="23">
        <f>COUNTIFS(FMECA[RR], "VERY HIGH",FMECA[HazardRisk_name],Table3[[#This Row],[HazardRisk_name]])</f>
        <v>0</v>
      </c>
      <c r="U29" s="22">
        <f>Table3[[#This Row],[vh_count]]/Table3[[#This Row],[risk_counts]]</f>
        <v>0</v>
      </c>
      <c r="V29" s="23">
        <f>COUNTIFS(FMECA[RR], "HIGH",FMECA[HazardRisk_name],Table3[[#This Row],[HazardRisk_name]])</f>
        <v>0</v>
      </c>
      <c r="W29" s="22">
        <f>Table3[[#This Row],[h_count]]/Table3[[#This Row],[risk_counts]]</f>
        <v>0</v>
      </c>
      <c r="X29" s="23">
        <f>COUNTIFS(FMECA[RR], "MODERATE",FMECA[HazardRisk_name],Table3[[#This Row],[HazardRisk_name]])</f>
        <v>1</v>
      </c>
      <c r="Y29" s="22">
        <f>Table3[[#This Row],[m_count]]/Table3[[#This Row],[risk_counts]]</f>
        <v>1</v>
      </c>
      <c r="Z29" s="23">
        <f>COUNTIFS(FMECA[RR], "UNDETECTABLE",FMECA[HazardRisk_name],Table3[[#This Row],[HazardRisk_name]])</f>
        <v>0</v>
      </c>
      <c r="AA29" s="22">
        <f>Table3[[#This Row],[l_count]]/Table3[[#This Row],[risk_counts]]</f>
        <v>0</v>
      </c>
      <c r="AI29" s="16" t="str">
        <f>VLOOKUP(Table3[[#This Row],[HazardRisk_id]], categories[], 4, FALSE)</f>
        <v>Risk</v>
      </c>
      <c r="AJ29" s="16">
        <f>(COUNTIFS(FMECA[availability], "Unknown",FMECA[HazardRisk_name],Table3[[#This Row],[HazardRisk_name]]))</f>
        <v>1</v>
      </c>
    </row>
    <row r="30" spans="1:36" ht="68" x14ac:dyDescent="0.2">
      <c r="A30" s="16" t="s">
        <v>542</v>
      </c>
      <c r="B30" s="13" t="str">
        <f>VLOOKUP(Table3[[#This Row],[HazardRisk_id]], categories[], 5, FALSE)</f>
        <v>Operational</v>
      </c>
      <c r="C30" s="14" t="str">
        <f>VLOOKUP(Table3[[#This Row],[HazardRisk_id]], categories[], 2, FALSE)</f>
        <v>Inadequate bunkering planning</v>
      </c>
      <c r="D30" s="15" t="str">
        <f>VLOOKUP(Table3[[#This Row],[HazardRisk_id]], categories[], 3, FALSE)</f>
        <v>Poorly planning of bunkering operations often result in physical damages to occur such as uncontrolled substance release, spillsm, and other cascading accidents. This can pose risk of also becoming a violation of regulations and impacting the reputation of the vessels company.</v>
      </c>
      <c r="E30" s="15">
        <f>COUNTIFS(FMECA[HazardRisk_name],Table3[[#This Row],[HazardRisk_name]])</f>
        <v>1</v>
      </c>
      <c r="F30" s="15">
        <f>SUMIFS(FMECA[probability_value], FMECA[HazardRisk_name], Table3[[#This Row],[HazardRisk_name]])</f>
        <v>3</v>
      </c>
      <c r="G30" s="15">
        <f>AVERAGEIFS(FMECA[probability_value],FMECA[HazardRisk_name],Table3[[#This Row],[HazardRisk_name]])</f>
        <v>3</v>
      </c>
      <c r="H30" s="15" cm="1">
        <f t="array" ref="H30">STDEVP(IF(FMECA[HazardRisk_name]=Table3[[#This Row],[HazardRisk_name]],FMECA[probability_value]))</f>
        <v>0</v>
      </c>
      <c r="I30" s="15">
        <f>SUMIFS(FMECA[consequence_value], FMECA[HazardRisk_name], Table3[[#This Row],[HazardRisk_name]])</f>
        <v>4</v>
      </c>
      <c r="J30" s="15">
        <f>AVERAGEIFS(FMECA[consequence_value],FMECA[HazardRisk_name],Table3[[#This Row],[HazardRisk_name]])</f>
        <v>4</v>
      </c>
      <c r="K30" s="15" cm="1">
        <f t="array" ref="K30">STDEVP(IF(FMECA[HazardRisk_name]=Table3[[#This Row],[HazardRisk_name]],FMECA[consequence_value]))</f>
        <v>0</v>
      </c>
      <c r="L30" s="23">
        <f>AVERAGEIFS(FMECA[Score],FMECA[HazardRisk_name],Table3[[#This Row],[HazardRisk_name]])</f>
        <v>12</v>
      </c>
      <c r="M30" s="23" cm="1">
        <f t="array" ref="M30">STDEVP(IF(FMECA[HazardRisk_name]=Table3[[#This Row],[HazardRisk_name]],FMECA[Score]))</f>
        <v>0</v>
      </c>
      <c r="N30" s="15">
        <f>COUNTIFS(FMECA_data!P:P, "Theoretical", FMECA_data!I:I,Table3[[#This Row],[HazardRisk_name]])</f>
        <v>0</v>
      </c>
      <c r="O30" s="15">
        <f>COUNTIFS(FMECA_data!P:P, "Observational", FMECA_data!I:I,Table3[[#This Row],[HazardRisk_name]])</f>
        <v>0</v>
      </c>
      <c r="P30" s="15">
        <f>COUNTIFS(FMECA_data!P:P, "Hybrid", FMECA_data!I:I,Table3[[#This Row],[HazardRisk_name]])</f>
        <v>1</v>
      </c>
      <c r="Q30" s="15">
        <f>COUNTIFS(FMECA_data!P:P, "Modelling", FMECA_data!I:I,Table3[[#This Row],[HazardRisk_name]])</f>
        <v>0</v>
      </c>
      <c r="R30" s="23">
        <f>COUNTIFS(FMECA[data_deficient], "Yes",FMECA[HazardRisk_name],Table3[[#This Row],[HazardRisk_name]])</f>
        <v>0</v>
      </c>
      <c r="S30" s="23">
        <f>(COUNTIFS(FMECA[availability], "Yes",FMECA[HazardRisk_name],Table3[[#This Row],[HazardRisk_name]])) + (COUNTIFS(FMECA[availability], "Available",FMECA[HazardRisk_name],Table3[[#This Row],[HazardRisk_name]]))</f>
        <v>0</v>
      </c>
      <c r="T30" s="23">
        <f>COUNTIFS(FMECA[RR], "VERY HIGH",FMECA[HazardRisk_name],Table3[[#This Row],[HazardRisk_name]])</f>
        <v>0</v>
      </c>
      <c r="U30" s="22">
        <f>Table3[[#This Row],[vh_count]]/Table3[[#This Row],[risk_counts]]</f>
        <v>0</v>
      </c>
      <c r="V30" s="23">
        <f>COUNTIFS(FMECA[RR], "HIGH",FMECA[HazardRisk_name],Table3[[#This Row],[HazardRisk_name]])</f>
        <v>0</v>
      </c>
      <c r="W30" s="22">
        <f>Table3[[#This Row],[h_count]]/Table3[[#This Row],[risk_counts]]</f>
        <v>0</v>
      </c>
      <c r="X30" s="23">
        <f>COUNTIFS(FMECA[RR], "MODERATE",FMECA[HazardRisk_name],Table3[[#This Row],[HazardRisk_name]])</f>
        <v>1</v>
      </c>
      <c r="Y30" s="22">
        <f>Table3[[#This Row],[m_count]]/Table3[[#This Row],[risk_counts]]</f>
        <v>1</v>
      </c>
      <c r="Z30" s="23">
        <f>COUNTIFS(FMECA[RR], "UNDETECTABLE",FMECA[HazardRisk_name],Table3[[#This Row],[HazardRisk_name]])</f>
        <v>0</v>
      </c>
      <c r="AA30" s="22">
        <f>Table3[[#This Row],[l_count]]/Table3[[#This Row],[risk_counts]]</f>
        <v>0</v>
      </c>
      <c r="AI30" s="16" t="str">
        <f>VLOOKUP(Table3[[#This Row],[HazardRisk_id]], categories[], 4, FALSE)</f>
        <v>Risk</v>
      </c>
      <c r="AJ30" s="16">
        <f>(COUNTIFS(FMECA[availability], "Unknown",FMECA[HazardRisk_name],Table3[[#This Row],[HazardRisk_name]]))</f>
        <v>1</v>
      </c>
    </row>
    <row r="31" spans="1:36" ht="34" x14ac:dyDescent="0.2">
      <c r="A31" s="16" t="s">
        <v>543</v>
      </c>
      <c r="B31" s="13" t="str">
        <f>VLOOKUP(Table3[[#This Row],[HazardRisk_id]], categories[], 5, FALSE)</f>
        <v>Political</v>
      </c>
      <c r="C31" s="14" t="str">
        <f>VLOOKUP(Table3[[#This Row],[HazardRisk_id]], categories[], 2, FALSE)</f>
        <v>Insufficient Arctic shipping jurisdiction</v>
      </c>
      <c r="D31" s="15" t="str">
        <f>VLOOKUP(Table3[[#This Row],[HazardRisk_id]], categories[], 3, FALSE)</f>
        <v>The lacking clear jurisdiction requirements among all Arctic countries and territories lead to an increase in permissability and unregulation of Arctic shipping activities.</v>
      </c>
      <c r="E31" s="15">
        <f>COUNTIFS(FMECA[HazardRisk_name],Table3[[#This Row],[HazardRisk_name]])</f>
        <v>9</v>
      </c>
      <c r="F31" s="15">
        <f>SUMIFS(FMECA[probability_value], FMECA[HazardRisk_name], Table3[[#This Row],[HazardRisk_name]])</f>
        <v>36</v>
      </c>
      <c r="G31" s="15">
        <f>AVERAGEIFS(FMECA[probability_value],FMECA[HazardRisk_name],Table3[[#This Row],[HazardRisk_name]])</f>
        <v>4</v>
      </c>
      <c r="H31" s="15" cm="1">
        <f t="array" ref="H31">STDEVP(IF(FMECA[HazardRisk_name]=Table3[[#This Row],[HazardRisk_name]],FMECA[probability_value]))</f>
        <v>0.81649658092772603</v>
      </c>
      <c r="I31" s="15">
        <f>SUMIFS(FMECA[consequence_value], FMECA[HazardRisk_name], Table3[[#This Row],[HazardRisk_name]])</f>
        <v>39</v>
      </c>
      <c r="J31" s="15">
        <f>AVERAGEIFS(FMECA[consequence_value],FMECA[HazardRisk_name],Table3[[#This Row],[HazardRisk_name]])</f>
        <v>4.333333333333333</v>
      </c>
      <c r="K31" s="15" cm="1">
        <f t="array" ref="K31">STDEVP(IF(FMECA[HazardRisk_name]=Table3[[#This Row],[HazardRisk_name]],FMECA[consequence_value]))</f>
        <v>1.699673171197595</v>
      </c>
      <c r="L31" s="23">
        <f>AVERAGEIFS(FMECA[Score],FMECA[HazardRisk_name],Table3[[#This Row],[HazardRisk_name]])</f>
        <v>17</v>
      </c>
      <c r="M31" s="23" cm="1">
        <f t="array" ref="M31">STDEVP(IF(FMECA[HazardRisk_name]=Table3[[#This Row],[HazardRisk_name]],FMECA[Score]))</f>
        <v>7.7888809636986149</v>
      </c>
      <c r="N31" s="15">
        <f>COUNTIFS(FMECA_data!P:P, "Theoretical", FMECA_data!I:I,Table3[[#This Row],[HazardRisk_name]])</f>
        <v>5</v>
      </c>
      <c r="O31" s="15">
        <f>COUNTIFS(FMECA_data!P:P, "Observational", FMECA_data!I:I,Table3[[#This Row],[HazardRisk_name]])</f>
        <v>3</v>
      </c>
      <c r="P31" s="15">
        <f>COUNTIFS(FMECA_data!P:P, "Hybrid", FMECA_data!I:I,Table3[[#This Row],[HazardRisk_name]])</f>
        <v>1</v>
      </c>
      <c r="Q31" s="15">
        <f>COUNTIFS(FMECA_data!P:P, "Modelling", FMECA_data!I:I,Table3[[#This Row],[HazardRisk_name]])</f>
        <v>0</v>
      </c>
      <c r="R31" s="23">
        <f>COUNTIFS(FMECA[data_deficient], "Yes",FMECA[HazardRisk_name],Table3[[#This Row],[HazardRisk_name]])</f>
        <v>1</v>
      </c>
      <c r="S31" s="23">
        <f>(COUNTIFS(FMECA[availability], "Yes",FMECA[HazardRisk_name],Table3[[#This Row],[HazardRisk_name]])) + (COUNTIFS(FMECA[availability], "Available",FMECA[HazardRisk_name],Table3[[#This Row],[HazardRisk_name]]))</f>
        <v>2</v>
      </c>
      <c r="T31" s="23">
        <f>COUNTIFS(FMECA[RR], "VERY HIGH",FMECA[HazardRisk_name],Table3[[#This Row],[HazardRisk_name]])</f>
        <v>0</v>
      </c>
      <c r="U31" s="22">
        <f>Table3[[#This Row],[vh_count]]/Table3[[#This Row],[risk_counts]]</f>
        <v>0</v>
      </c>
      <c r="V31" s="23">
        <f>COUNTIFS(FMECA[RR], "HIGH",FMECA[HazardRisk_name],Table3[[#This Row],[HazardRisk_name]])</f>
        <v>1</v>
      </c>
      <c r="W31" s="22">
        <f>Table3[[#This Row],[h_count]]/Table3[[#This Row],[risk_counts]]</f>
        <v>0.1111111111111111</v>
      </c>
      <c r="X31" s="23">
        <f>COUNTIFS(FMECA[RR], "MODERATE",FMECA[HazardRisk_name],Table3[[#This Row],[HazardRisk_name]])</f>
        <v>7</v>
      </c>
      <c r="Y31" s="22">
        <f>Table3[[#This Row],[m_count]]/Table3[[#This Row],[risk_counts]]</f>
        <v>0.77777777777777779</v>
      </c>
      <c r="Z31" s="23">
        <f>COUNTIFS(FMECA[RR], "UNDETECTABLE",FMECA[HazardRisk_name],Table3[[#This Row],[HazardRisk_name]])</f>
        <v>1</v>
      </c>
      <c r="AA31" s="22">
        <f>Table3[[#This Row],[l_count]]/Table3[[#This Row],[risk_counts]]</f>
        <v>0.1111111111111111</v>
      </c>
      <c r="AI31" s="16" t="str">
        <f>VLOOKUP(Table3[[#This Row],[HazardRisk_id]], categories[], 4, FALSE)</f>
        <v>Risk</v>
      </c>
      <c r="AJ31" s="16">
        <f>(COUNTIFS(FMECA[availability], "Unknown",FMECA[HazardRisk_name],Table3[[#This Row],[HazardRisk_name]]))</f>
        <v>2</v>
      </c>
    </row>
    <row r="32" spans="1:36" ht="34" x14ac:dyDescent="0.2">
      <c r="A32" s="16" t="s">
        <v>544</v>
      </c>
      <c r="B32" s="13" t="str">
        <f>VLOOKUP(Table3[[#This Row],[HazardRisk_id]], categories[], 5, FALSE)</f>
        <v>Operational</v>
      </c>
      <c r="C32" s="14" t="str">
        <f>VLOOKUP(Table3[[#This Row],[HazardRisk_id]], categories[], 2, FALSE)</f>
        <v>Insufficient training and/or expertise</v>
      </c>
      <c r="D32" s="15" t="str">
        <f>VLOOKUP(Table3[[#This Row],[HazardRisk_id]], categories[], 3, FALSE)</f>
        <v>Insufficient tranining and expertise when navigating in Arctic waters may create navigational issues and decrease emergency resoponse service times.</v>
      </c>
      <c r="E32" s="15">
        <f>COUNTIFS(FMECA[HazardRisk_name],Table3[[#This Row],[HazardRisk_name]])</f>
        <v>4</v>
      </c>
      <c r="F32" s="15">
        <f>SUMIFS(FMECA[probability_value], FMECA[HazardRisk_name], Table3[[#This Row],[HazardRisk_name]])</f>
        <v>17</v>
      </c>
      <c r="G32" s="15">
        <f>AVERAGEIFS(FMECA[probability_value],FMECA[HazardRisk_name],Table3[[#This Row],[HazardRisk_name]])</f>
        <v>4.25</v>
      </c>
      <c r="H32" s="15" cm="1">
        <f t="array" ref="H32">STDEVP(IF(FMECA[HazardRisk_name]=Table3[[#This Row],[HazardRisk_name]],FMECA[probability_value]))</f>
        <v>1.299038105676658</v>
      </c>
      <c r="I32" s="15">
        <f>SUMIFS(FMECA[consequence_value], FMECA[HazardRisk_name], Table3[[#This Row],[HazardRisk_name]])</f>
        <v>25</v>
      </c>
      <c r="J32" s="15">
        <f>AVERAGEIFS(FMECA[consequence_value],FMECA[HazardRisk_name],Table3[[#This Row],[HazardRisk_name]])</f>
        <v>6.25</v>
      </c>
      <c r="K32" s="15" cm="1">
        <f t="array" ref="K32">STDEVP(IF(FMECA[HazardRisk_name]=Table3[[#This Row],[HazardRisk_name]],FMECA[consequence_value]))</f>
        <v>1.299038105676658</v>
      </c>
      <c r="L32" s="23">
        <f>AVERAGEIFS(FMECA[Score],FMECA[HazardRisk_name],Table3[[#This Row],[HazardRisk_name]])</f>
        <v>26</v>
      </c>
      <c r="M32" s="23" cm="1">
        <f t="array" ref="M32">STDEVP(IF(FMECA[HazardRisk_name]=Table3[[#This Row],[HazardRisk_name]],FMECA[Score]))</f>
        <v>9.2466210044534645</v>
      </c>
      <c r="N32" s="15">
        <f>COUNTIFS(FMECA_data!P:P, "Theoretical", FMECA_data!I:I,Table3[[#This Row],[HazardRisk_name]])</f>
        <v>2</v>
      </c>
      <c r="O32" s="15">
        <f>COUNTIFS(FMECA_data!P:P, "Observational", FMECA_data!I:I,Table3[[#This Row],[HazardRisk_name]])</f>
        <v>1</v>
      </c>
      <c r="P32" s="15">
        <f>COUNTIFS(FMECA_data!P:P, "Hybrid", FMECA_data!I:I,Table3[[#This Row],[HazardRisk_name]])</f>
        <v>1</v>
      </c>
      <c r="Q32" s="15">
        <f>COUNTIFS(FMECA_data!P:P, "Modelling", FMECA_data!I:I,Table3[[#This Row],[HazardRisk_name]])</f>
        <v>0</v>
      </c>
      <c r="R32" s="23">
        <f>COUNTIFS(FMECA[data_deficient], "Yes",FMECA[HazardRisk_name],Table3[[#This Row],[HazardRisk_name]])</f>
        <v>0</v>
      </c>
      <c r="S32" s="23">
        <f>(COUNTIFS(FMECA[availability], "Yes",FMECA[HazardRisk_name],Table3[[#This Row],[HazardRisk_name]])) + (COUNTIFS(FMECA[availability], "Available",FMECA[HazardRisk_name],Table3[[#This Row],[HazardRisk_name]]))</f>
        <v>1</v>
      </c>
      <c r="T32" s="23">
        <f>COUNTIFS(FMECA[RR], "VERY HIGH",FMECA[HazardRisk_name],Table3[[#This Row],[HazardRisk_name]])</f>
        <v>0</v>
      </c>
      <c r="U32" s="22">
        <f>Table3[[#This Row],[vh_count]]/Table3[[#This Row],[risk_counts]]</f>
        <v>0</v>
      </c>
      <c r="V32" s="23">
        <f>COUNTIFS(FMECA[RR], "HIGH",FMECA[HazardRisk_name],Table3[[#This Row],[HazardRisk_name]])</f>
        <v>2</v>
      </c>
      <c r="W32" s="22">
        <f>Table3[[#This Row],[h_count]]/Table3[[#This Row],[risk_counts]]</f>
        <v>0.5</v>
      </c>
      <c r="X32" s="23">
        <f>COUNTIFS(FMECA[RR], "MODERATE",FMECA[HazardRisk_name],Table3[[#This Row],[HazardRisk_name]])</f>
        <v>2</v>
      </c>
      <c r="Y32" s="22">
        <f>Table3[[#This Row],[m_count]]/Table3[[#This Row],[risk_counts]]</f>
        <v>0.5</v>
      </c>
      <c r="Z32" s="23">
        <f>COUNTIFS(FMECA[RR], "UNDETECTABLE",FMECA[HazardRisk_name],Table3[[#This Row],[HazardRisk_name]])</f>
        <v>0</v>
      </c>
      <c r="AA32" s="22">
        <f>Table3[[#This Row],[l_count]]/Table3[[#This Row],[risk_counts]]</f>
        <v>0</v>
      </c>
      <c r="AI32" s="16" t="str">
        <f>VLOOKUP(Table3[[#This Row],[HazardRisk_id]], categories[], 4, FALSE)</f>
        <v>Risk</v>
      </c>
      <c r="AJ32" s="16">
        <f>(COUNTIFS(FMECA[availability], "Unknown",FMECA[HazardRisk_name],Table3[[#This Row],[HazardRisk_name]]))</f>
        <v>1</v>
      </c>
    </row>
    <row r="33" spans="1:36" ht="17" x14ac:dyDescent="0.2">
      <c r="A33" s="16" t="s">
        <v>548</v>
      </c>
      <c r="B33" s="13" t="str">
        <f>VLOOKUP(Table3[[#This Row],[HazardRisk_id]], categories[], 5, FALSE)</f>
        <v>Operational</v>
      </c>
      <c r="C33" s="14" t="str">
        <f>VLOOKUP(Table3[[#This Row],[HazardRisk_id]], categories[], 2, FALSE)</f>
        <v>Insufficient tug assistance</v>
      </c>
      <c r="D33" s="15">
        <f>VLOOKUP(Table3[[#This Row],[HazardRisk_id]], categories[], 3, FALSE)</f>
        <v>0</v>
      </c>
      <c r="E33" s="15">
        <f>COUNTIFS(FMECA[HazardRisk_name],Table3[[#This Row],[HazardRisk_name]])</f>
        <v>2</v>
      </c>
      <c r="F33" s="15">
        <f>SUMIFS(FMECA[probability_value], FMECA[HazardRisk_name], Table3[[#This Row],[HazardRisk_name]])</f>
        <v>5</v>
      </c>
      <c r="G33" s="15">
        <f>AVERAGEIFS(FMECA[probability_value],FMECA[HazardRisk_name],Table3[[#This Row],[HazardRisk_name]])</f>
        <v>2.5</v>
      </c>
      <c r="H33" s="15" cm="1">
        <f t="array" ref="H33">STDEVP(IF(FMECA[HazardRisk_name]=Table3[[#This Row],[HazardRisk_name]],FMECA[probability_value]))</f>
        <v>1.5</v>
      </c>
      <c r="I33" s="15">
        <f>SUMIFS(FMECA[consequence_value], FMECA[HazardRisk_name], Table3[[#This Row],[HazardRisk_name]])</f>
        <v>17</v>
      </c>
      <c r="J33" s="15">
        <f>AVERAGEIFS(FMECA[consequence_value],FMECA[HazardRisk_name],Table3[[#This Row],[HazardRisk_name]])</f>
        <v>8.5</v>
      </c>
      <c r="K33" s="15" cm="1">
        <f t="array" ref="K33">STDEVP(IF(FMECA[HazardRisk_name]=Table3[[#This Row],[HazardRisk_name]],FMECA[consequence_value]))</f>
        <v>1.5</v>
      </c>
      <c r="L33" s="23">
        <f>AVERAGEIFS(FMECA[Score],FMECA[HazardRisk_name],Table3[[#This Row],[HazardRisk_name]])</f>
        <v>19</v>
      </c>
      <c r="M33" s="23" cm="1">
        <f t="array" ref="M33">STDEVP(IF(FMECA[HazardRisk_name]=Table3[[#This Row],[HazardRisk_name]],FMECA[Score]))</f>
        <v>9</v>
      </c>
      <c r="N33" s="15">
        <f>COUNTIFS(FMECA_data!P:P, "Theoretical", FMECA_data!I:I,Table3[[#This Row],[HazardRisk_name]])</f>
        <v>0</v>
      </c>
      <c r="O33" s="15">
        <f>COUNTIFS(FMECA_data!P:P, "Observational", FMECA_data!I:I,Table3[[#This Row],[HazardRisk_name]])</f>
        <v>2</v>
      </c>
      <c r="P33" s="15">
        <f>COUNTIFS(FMECA_data!P:P, "Hybrid", FMECA_data!I:I,Table3[[#This Row],[HazardRisk_name]])</f>
        <v>0</v>
      </c>
      <c r="Q33" s="15">
        <f>COUNTIFS(FMECA_data!P:P, "Modelling", FMECA_data!I:I,Table3[[#This Row],[HazardRisk_name]])</f>
        <v>0</v>
      </c>
      <c r="R33" s="23">
        <f>COUNTIFS(FMECA[data_deficient], "Yes",FMECA[HazardRisk_name],Table3[[#This Row],[HazardRisk_name]])</f>
        <v>0</v>
      </c>
      <c r="S33" s="23">
        <f>(COUNTIFS(FMECA[availability], "Yes",FMECA[HazardRisk_name],Table3[[#This Row],[HazardRisk_name]])) + (COUNTIFS(FMECA[availability], "Available",FMECA[HazardRisk_name],Table3[[#This Row],[HazardRisk_name]]))</f>
        <v>1</v>
      </c>
      <c r="T33" s="23">
        <f>COUNTIFS(FMECA[RR], "VERY HIGH",FMECA[HazardRisk_name],Table3[[#This Row],[HazardRisk_name]])</f>
        <v>0</v>
      </c>
      <c r="U33" s="22">
        <f>Table3[[#This Row],[vh_count]]/Table3[[#This Row],[risk_counts]]</f>
        <v>0</v>
      </c>
      <c r="V33" s="23">
        <f>COUNTIFS(FMECA[RR], "HIGH",FMECA[HazardRisk_name],Table3[[#This Row],[HazardRisk_name]])</f>
        <v>1</v>
      </c>
      <c r="W33" s="22">
        <f>Table3[[#This Row],[h_count]]/Table3[[#This Row],[risk_counts]]</f>
        <v>0.5</v>
      </c>
      <c r="X33" s="23">
        <f>COUNTIFS(FMECA[RR], "MODERATE",FMECA[HazardRisk_name],Table3[[#This Row],[HazardRisk_name]])</f>
        <v>1</v>
      </c>
      <c r="Y33" s="22">
        <f>Table3[[#This Row],[m_count]]/Table3[[#This Row],[risk_counts]]</f>
        <v>0.5</v>
      </c>
      <c r="Z33" s="23">
        <f>COUNTIFS(FMECA[RR], "UNDETECTABLE",FMECA[HazardRisk_name],Table3[[#This Row],[HazardRisk_name]])</f>
        <v>0</v>
      </c>
      <c r="AA33" s="22">
        <f>Table3[[#This Row],[l_count]]/Table3[[#This Row],[risk_counts]]</f>
        <v>0</v>
      </c>
      <c r="AI33" s="16" t="str">
        <f>VLOOKUP(Table3[[#This Row],[HazardRisk_id]], categories[], 4, FALSE)</f>
        <v>Risk</v>
      </c>
      <c r="AJ33" s="16">
        <f>(COUNTIFS(FMECA[availability], "Unknown",FMECA[HazardRisk_name],Table3[[#This Row],[HazardRisk_name]]))</f>
        <v>1</v>
      </c>
    </row>
    <row r="34" spans="1:36" ht="51" x14ac:dyDescent="0.2">
      <c r="A34" s="16" t="s">
        <v>549</v>
      </c>
      <c r="B34" s="13" t="str">
        <f>VLOOKUP(Table3[[#This Row],[HazardRisk_id]], categories[], 5, FALSE)</f>
        <v>Environmental</v>
      </c>
      <c r="C34" s="14" t="str">
        <f>VLOOKUP(Table3[[#This Row],[HazardRisk_id]], categories[], 2, FALSE)</f>
        <v>Introduction of invasive species</v>
      </c>
      <c r="D34" s="15" t="str">
        <f>VLOOKUP(Table3[[#This Row],[HazardRisk_id]], categories[], 3, FALSE)</f>
        <v>A disruption of local ecosystems can occur with the introduction of invaisive species when excotic species attach or climb about vessel from different aquatic environments, where water discharge and hull fouling exerbates this process.</v>
      </c>
      <c r="E34" s="15">
        <f>COUNTIFS(FMECA[HazardRisk_name],Table3[[#This Row],[HazardRisk_name]])</f>
        <v>9</v>
      </c>
      <c r="F34" s="15">
        <f>SUMIFS(FMECA[probability_value], FMECA[HazardRisk_name], Table3[[#This Row],[HazardRisk_name]])</f>
        <v>36</v>
      </c>
      <c r="G34" s="15">
        <f>AVERAGEIFS(FMECA[probability_value],FMECA[HazardRisk_name],Table3[[#This Row],[HazardRisk_name]])</f>
        <v>4</v>
      </c>
      <c r="H34" s="15" cm="1">
        <f t="array" ref="H34">STDEVP(IF(FMECA[HazardRisk_name]=Table3[[#This Row],[HazardRisk_name]],FMECA[probability_value]))</f>
        <v>0.94280904158206336</v>
      </c>
      <c r="I34" s="15">
        <f>SUMIFS(FMECA[consequence_value], FMECA[HazardRisk_name], Table3[[#This Row],[HazardRisk_name]])</f>
        <v>57</v>
      </c>
      <c r="J34" s="15">
        <f>AVERAGEIFS(FMECA[consequence_value],FMECA[HazardRisk_name],Table3[[#This Row],[HazardRisk_name]])</f>
        <v>6.333333333333333</v>
      </c>
      <c r="K34" s="15" cm="1">
        <f t="array" ref="K34">STDEVP(IF(FMECA[HazardRisk_name]=Table3[[#This Row],[HazardRisk_name]],FMECA[consequence_value]))</f>
        <v>1.247219128924647</v>
      </c>
      <c r="L34" s="23">
        <f>AVERAGEIFS(FMECA[Score],FMECA[HazardRisk_name],Table3[[#This Row],[HazardRisk_name]])</f>
        <v>25.666666666666668</v>
      </c>
      <c r="M34" s="23" cm="1">
        <f t="array" ref="M34">STDEVP(IF(FMECA[HazardRisk_name]=Table3[[#This Row],[HazardRisk_name]],FMECA[Score]))</f>
        <v>8.7812932482129948</v>
      </c>
      <c r="N34" s="15">
        <f>COUNTIFS(FMECA_data!P:P, "Theoretical", FMECA_data!I:I,Table3[[#This Row],[HazardRisk_name]])</f>
        <v>2</v>
      </c>
      <c r="O34" s="15">
        <f>COUNTIFS(FMECA_data!P:P, "Observational", FMECA_data!I:I,Table3[[#This Row],[HazardRisk_name]])</f>
        <v>5</v>
      </c>
      <c r="P34" s="15">
        <f>COUNTIFS(FMECA_data!P:P, "Hybrid", FMECA_data!I:I,Table3[[#This Row],[HazardRisk_name]])</f>
        <v>1</v>
      </c>
      <c r="Q34" s="15">
        <f>COUNTIFS(FMECA_data!P:P, "Modelling", FMECA_data!I:I,Table3[[#This Row],[HazardRisk_name]])</f>
        <v>1</v>
      </c>
      <c r="R34" s="23">
        <f>COUNTIFS(FMECA[data_deficient], "Yes",FMECA[HazardRisk_name],Table3[[#This Row],[HazardRisk_name]])</f>
        <v>2</v>
      </c>
      <c r="S34" s="23">
        <f>(COUNTIFS(FMECA[availability], "Yes",FMECA[HazardRisk_name],Table3[[#This Row],[HazardRisk_name]])) + (COUNTIFS(FMECA[availability], "Available",FMECA[HazardRisk_name],Table3[[#This Row],[HazardRisk_name]]))</f>
        <v>3</v>
      </c>
      <c r="T34" s="23">
        <f>COUNTIFS(FMECA[RR], "VERY HIGH",FMECA[HazardRisk_name],Table3[[#This Row],[HazardRisk_name]])</f>
        <v>0</v>
      </c>
      <c r="U34" s="22">
        <f>Table3[[#This Row],[vh_count]]/Table3[[#This Row],[risk_counts]]</f>
        <v>0</v>
      </c>
      <c r="V34" s="23">
        <f>COUNTIFS(FMECA[RR], "HIGH",FMECA[HazardRisk_name],Table3[[#This Row],[HazardRisk_name]])</f>
        <v>4</v>
      </c>
      <c r="W34" s="22">
        <f>Table3[[#This Row],[h_count]]/Table3[[#This Row],[risk_counts]]</f>
        <v>0.44444444444444442</v>
      </c>
      <c r="X34" s="23">
        <f>COUNTIFS(FMECA[RR], "MODERATE",FMECA[HazardRisk_name],Table3[[#This Row],[HazardRisk_name]])</f>
        <v>5</v>
      </c>
      <c r="Y34" s="22">
        <f>Table3[[#This Row],[m_count]]/Table3[[#This Row],[risk_counts]]</f>
        <v>0.55555555555555558</v>
      </c>
      <c r="Z34" s="23">
        <f>COUNTIFS(FMECA[RR], "UNDETECTABLE",FMECA[HazardRisk_name],Table3[[#This Row],[HazardRisk_name]])</f>
        <v>0</v>
      </c>
      <c r="AA34" s="22">
        <f>Table3[[#This Row],[l_count]]/Table3[[#This Row],[risk_counts]]</f>
        <v>0</v>
      </c>
      <c r="AI34" s="16" t="str">
        <f>VLOOKUP(Table3[[#This Row],[HazardRisk_id]], categories[], 4, FALSE)</f>
        <v>Risk</v>
      </c>
      <c r="AJ34" s="16">
        <f>(COUNTIFS(FMECA[availability], "Unknown",FMECA[HazardRisk_name],Table3[[#This Row],[HazardRisk_name]]))</f>
        <v>3</v>
      </c>
    </row>
    <row r="35" spans="1:36" ht="68" x14ac:dyDescent="0.2">
      <c r="A35" s="16" t="s">
        <v>550</v>
      </c>
      <c r="B35" s="13" t="str">
        <f>VLOOKUP(Table3[[#This Row],[HazardRisk_id]], categories[], 5, FALSE)</f>
        <v>Social</v>
      </c>
      <c r="C35" s="14" t="str">
        <f>VLOOKUP(Table3[[#This Row],[HazardRisk_id]], categories[], 2, FALSE)</f>
        <v>Lack of clean up infrastructure response</v>
      </c>
      <c r="D35" s="15" t="str">
        <f>VLOOKUP(Table3[[#This Row],[HazardRisk_id]], categories[], 3, FALSE)</f>
        <v>There are currently inadequate facilities that house sufficient resources for environmental cleanup and spill responses. Lacking infrastructure creates weak containment and mitigation measures if an uncontrolled release of a toxic substance occurs.</v>
      </c>
      <c r="E35" s="15">
        <f>COUNTIFS(FMECA[HazardRisk_name],Table3[[#This Row],[HazardRisk_name]])</f>
        <v>4</v>
      </c>
      <c r="F35" s="15">
        <f>SUMIFS(FMECA[probability_value], FMECA[HazardRisk_name], Table3[[#This Row],[HazardRisk_name]])</f>
        <v>16</v>
      </c>
      <c r="G35" s="15">
        <f>AVERAGEIFS(FMECA[probability_value],FMECA[HazardRisk_name],Table3[[#This Row],[HazardRisk_name]])</f>
        <v>4</v>
      </c>
      <c r="H35" s="15" cm="1">
        <f t="array" ref="H35">STDEVP(IF(FMECA[HazardRisk_name]=Table3[[#This Row],[HazardRisk_name]],FMECA[probability_value]))</f>
        <v>0.70710678118654757</v>
      </c>
      <c r="I35" s="15">
        <f>SUMIFS(FMECA[consequence_value], FMECA[HazardRisk_name], Table3[[#This Row],[HazardRisk_name]])</f>
        <v>34</v>
      </c>
      <c r="J35" s="15">
        <f>AVERAGEIFS(FMECA[consequence_value],FMECA[HazardRisk_name],Table3[[#This Row],[HazardRisk_name]])</f>
        <v>8.5</v>
      </c>
      <c r="K35" s="15" cm="1">
        <f t="array" ref="K35">STDEVP(IF(FMECA[HazardRisk_name]=Table3[[#This Row],[HazardRisk_name]],FMECA[consequence_value]))</f>
        <v>1.5</v>
      </c>
      <c r="L35" s="23">
        <f>AVERAGEIFS(FMECA[Score],FMECA[HazardRisk_name],Table3[[#This Row],[HazardRisk_name]])</f>
        <v>33.25</v>
      </c>
      <c r="M35" s="23" cm="1">
        <f t="array" ref="M35">STDEVP(IF(FMECA[HazardRisk_name]=Table3[[#This Row],[HazardRisk_name]],FMECA[Score]))</f>
        <v>4.6569840025492892</v>
      </c>
      <c r="N35" s="15">
        <f>COUNTIFS(FMECA_data!P:P, "Theoretical", FMECA_data!I:I,Table3[[#This Row],[HazardRisk_name]])</f>
        <v>1</v>
      </c>
      <c r="O35" s="15">
        <f>COUNTIFS(FMECA_data!P:P, "Observational", FMECA_data!I:I,Table3[[#This Row],[HazardRisk_name]])</f>
        <v>3</v>
      </c>
      <c r="P35" s="15">
        <f>COUNTIFS(FMECA_data!P:P, "Hybrid", FMECA_data!I:I,Table3[[#This Row],[HazardRisk_name]])</f>
        <v>0</v>
      </c>
      <c r="Q35" s="15">
        <f>COUNTIFS(FMECA_data!P:P, "Modelling", FMECA_data!I:I,Table3[[#This Row],[HazardRisk_name]])</f>
        <v>0</v>
      </c>
      <c r="R35" s="23">
        <f>COUNTIFS(FMECA[data_deficient], "Yes",FMECA[HazardRisk_name],Table3[[#This Row],[HazardRisk_name]])</f>
        <v>1</v>
      </c>
      <c r="S35" s="23">
        <f>(COUNTIFS(FMECA[availability], "Yes",FMECA[HazardRisk_name],Table3[[#This Row],[HazardRisk_name]])) + (COUNTIFS(FMECA[availability], "Available",FMECA[HazardRisk_name],Table3[[#This Row],[HazardRisk_name]]))</f>
        <v>1</v>
      </c>
      <c r="T35" s="23">
        <f>COUNTIFS(FMECA[RR], "VERY HIGH",FMECA[HazardRisk_name],Table3[[#This Row],[HazardRisk_name]])</f>
        <v>1</v>
      </c>
      <c r="U35" s="22">
        <f>Table3[[#This Row],[vh_count]]/Table3[[#This Row],[risk_counts]]</f>
        <v>0.25</v>
      </c>
      <c r="V35" s="23">
        <f>COUNTIFS(FMECA[RR], "HIGH",FMECA[HazardRisk_name],Table3[[#This Row],[HazardRisk_name]])</f>
        <v>3</v>
      </c>
      <c r="W35" s="22">
        <f>Table3[[#This Row],[h_count]]/Table3[[#This Row],[risk_counts]]</f>
        <v>0.75</v>
      </c>
      <c r="X35" s="23">
        <f>COUNTIFS(FMECA[RR], "MODERATE",FMECA[HazardRisk_name],Table3[[#This Row],[HazardRisk_name]])</f>
        <v>0</v>
      </c>
      <c r="Y35" s="22">
        <f>Table3[[#This Row],[m_count]]/Table3[[#This Row],[risk_counts]]</f>
        <v>0</v>
      </c>
      <c r="Z35" s="23">
        <f>COUNTIFS(FMECA[RR], "UNDETECTABLE",FMECA[HazardRisk_name],Table3[[#This Row],[HazardRisk_name]])</f>
        <v>0</v>
      </c>
      <c r="AA35" s="22">
        <f>Table3[[#This Row],[l_count]]/Table3[[#This Row],[risk_counts]]</f>
        <v>0</v>
      </c>
      <c r="AI35" s="16" t="str">
        <f>VLOOKUP(Table3[[#This Row],[HazardRisk_id]], categories[], 4, FALSE)</f>
        <v>Risk</v>
      </c>
      <c r="AJ35" s="16">
        <f>(COUNTIFS(FMECA[availability], "Unknown",FMECA[HazardRisk_name],Table3[[#This Row],[HazardRisk_name]]))</f>
        <v>2</v>
      </c>
    </row>
    <row r="36" spans="1:36" ht="51" x14ac:dyDescent="0.2">
      <c r="A36" s="16" t="s">
        <v>551</v>
      </c>
      <c r="B36" s="13" t="str">
        <f>VLOOKUP(Table3[[#This Row],[HazardRisk_id]], categories[], 5, FALSE)</f>
        <v>Political</v>
      </c>
      <c r="C36" s="14" t="str">
        <f>VLOOKUP(Table3[[#This Row],[HazardRisk_id]], categories[], 2, FALSE)</f>
        <v>Lack of clear policy and/or regulations</v>
      </c>
      <c r="D36" s="15" t="str">
        <f>VLOOKUP(Table3[[#This Row],[HazardRisk_id]], categories[], 3, FALSE)</f>
        <v>The absence of international, national, and local-level regulatory requirements for maritime ship operations creates a grey window for best preactices and behaviours when shipping in Arctic waters.</v>
      </c>
      <c r="E36" s="15">
        <f>COUNTIFS(FMECA[HazardRisk_name],Table3[[#This Row],[HazardRisk_name]])</f>
        <v>13</v>
      </c>
      <c r="F36" s="15">
        <f>SUMIFS(FMECA[probability_value], FMECA[HazardRisk_name], Table3[[#This Row],[HazardRisk_name]])</f>
        <v>50</v>
      </c>
      <c r="G36" s="15">
        <f>AVERAGEIFS(FMECA[probability_value],FMECA[HazardRisk_name],Table3[[#This Row],[HazardRisk_name]])</f>
        <v>3.8461538461538463</v>
      </c>
      <c r="H36" s="15" cm="1">
        <f t="array" ref="H36">STDEVP(IF(FMECA[HazardRisk_name]=Table3[[#This Row],[HazardRisk_name]],FMECA[probability_value]))</f>
        <v>0.76923076923076927</v>
      </c>
      <c r="I36" s="15">
        <f>SUMIFS(FMECA[consequence_value], FMECA[HazardRisk_name], Table3[[#This Row],[HazardRisk_name]])</f>
        <v>78</v>
      </c>
      <c r="J36" s="15">
        <f>AVERAGEIFS(FMECA[consequence_value],FMECA[HazardRisk_name],Table3[[#This Row],[HazardRisk_name]])</f>
        <v>6</v>
      </c>
      <c r="K36" s="15" cm="1">
        <f t="array" ref="K36">STDEVP(IF(FMECA[HazardRisk_name]=Table3[[#This Row],[HazardRisk_name]],FMECA[consequence_value]))</f>
        <v>1.9215378456610457</v>
      </c>
      <c r="L36" s="23">
        <f>AVERAGEIFS(FMECA[Score],FMECA[HazardRisk_name],Table3[[#This Row],[HazardRisk_name]])</f>
        <v>23.384615384615383</v>
      </c>
      <c r="M36" s="23" cm="1">
        <f t="array" ref="M36">STDEVP(IF(FMECA[HazardRisk_name]=Table3[[#This Row],[HazardRisk_name]],FMECA[Score]))</f>
        <v>10.299652432809875</v>
      </c>
      <c r="N36" s="15">
        <f>COUNTIFS(FMECA_data!P:P, "Theoretical", FMECA_data!I:I,Table3[[#This Row],[HazardRisk_name]])</f>
        <v>4</v>
      </c>
      <c r="O36" s="15">
        <f>COUNTIFS(FMECA_data!P:P, "Observational", FMECA_data!I:I,Table3[[#This Row],[HazardRisk_name]])</f>
        <v>4</v>
      </c>
      <c r="P36" s="15">
        <f>COUNTIFS(FMECA_data!P:P, "Hybrid", FMECA_data!I:I,Table3[[#This Row],[HazardRisk_name]])</f>
        <v>5</v>
      </c>
      <c r="Q36" s="15">
        <f>COUNTIFS(FMECA_data!P:P, "Modelling", FMECA_data!I:I,Table3[[#This Row],[HazardRisk_name]])</f>
        <v>0</v>
      </c>
      <c r="R36" s="23">
        <f>COUNTIFS(FMECA[data_deficient], "Yes",FMECA[HazardRisk_name],Table3[[#This Row],[HazardRisk_name]])</f>
        <v>0</v>
      </c>
      <c r="S36" s="23">
        <f>(COUNTIFS(FMECA[availability], "Yes",FMECA[HazardRisk_name],Table3[[#This Row],[HazardRisk_name]])) + (COUNTIFS(FMECA[availability], "Available",FMECA[HazardRisk_name],Table3[[#This Row],[HazardRisk_name]]))</f>
        <v>4</v>
      </c>
      <c r="T36" s="23">
        <f>COUNTIFS(FMECA[RR], "VERY HIGH",FMECA[HazardRisk_name],Table3[[#This Row],[HazardRisk_name]])</f>
        <v>1</v>
      </c>
      <c r="U36" s="22">
        <f>Table3[[#This Row],[vh_count]]/Table3[[#This Row],[risk_counts]]</f>
        <v>7.6923076923076927E-2</v>
      </c>
      <c r="V36" s="23">
        <f>COUNTIFS(FMECA[RR], "HIGH",FMECA[HazardRisk_name],Table3[[#This Row],[HazardRisk_name]])</f>
        <v>4</v>
      </c>
      <c r="W36" s="22">
        <f>Table3[[#This Row],[h_count]]/Table3[[#This Row],[risk_counts]]</f>
        <v>0.30769230769230771</v>
      </c>
      <c r="X36" s="23">
        <f>COUNTIFS(FMECA[RR], "MODERATE",FMECA[HazardRisk_name],Table3[[#This Row],[HazardRisk_name]])</f>
        <v>8</v>
      </c>
      <c r="Y36" s="22">
        <f>Table3[[#This Row],[m_count]]/Table3[[#This Row],[risk_counts]]</f>
        <v>0.61538461538461542</v>
      </c>
      <c r="Z36" s="23">
        <f>COUNTIFS(FMECA[RR], "UNDETECTABLE",FMECA[HazardRisk_name],Table3[[#This Row],[HazardRisk_name]])</f>
        <v>0</v>
      </c>
      <c r="AA36" s="22">
        <f>Table3[[#This Row],[l_count]]/Table3[[#This Row],[risk_counts]]</f>
        <v>0</v>
      </c>
      <c r="AI36" s="16" t="str">
        <f>VLOOKUP(Table3[[#This Row],[HazardRisk_id]], categories[], 4, FALSE)</f>
        <v>Risk</v>
      </c>
      <c r="AJ36" s="16">
        <f>(COUNTIFS(FMECA[availability], "Unknown",FMECA[HazardRisk_name],Table3[[#This Row],[HazardRisk_name]]))</f>
        <v>4</v>
      </c>
    </row>
    <row r="37" spans="1:36" ht="34" x14ac:dyDescent="0.2">
      <c r="A37" s="16" t="s">
        <v>557</v>
      </c>
      <c r="B37" s="13" t="str">
        <f>VLOOKUP(Table3[[#This Row],[HazardRisk_id]], categories[], 5, FALSE)</f>
        <v>Assessment</v>
      </c>
      <c r="C37" s="14" t="str">
        <f>VLOOKUP(Table3[[#This Row],[HazardRisk_id]], categories[], 2, FALSE)</f>
        <v>Lack of data</v>
      </c>
      <c r="D37" s="15" t="str">
        <f>VLOOKUP(Table3[[#This Row],[HazardRisk_id]], categories[], 3, FALSE)</f>
        <v>Due to limited case precedent and studies available, there are many indicators that are lacking reliant, consistent, or insufficient data available for assessment.</v>
      </c>
      <c r="E37" s="15">
        <f>COUNTIFS(FMECA[HazardRisk_name],Table3[[#This Row],[HazardRisk_name]])</f>
        <v>16</v>
      </c>
      <c r="F37" s="15">
        <f>SUMIFS(FMECA[probability_value], FMECA[HazardRisk_name], Table3[[#This Row],[HazardRisk_name]])</f>
        <v>72</v>
      </c>
      <c r="G37" s="15">
        <f>AVERAGEIFS(FMECA[probability_value],FMECA[HazardRisk_name],Table3[[#This Row],[HazardRisk_name]])</f>
        <v>4.5</v>
      </c>
      <c r="H37" s="15" cm="1">
        <f t="array" ref="H37">STDEVP(IF(FMECA[HazardRisk_name]=Table3[[#This Row],[HazardRisk_name]],FMECA[probability_value]))</f>
        <v>0.8660254037844386</v>
      </c>
      <c r="I37" s="15">
        <f>SUMIFS(FMECA[consequence_value], FMECA[HazardRisk_name], Table3[[#This Row],[HazardRisk_name]])</f>
        <v>80</v>
      </c>
      <c r="J37" s="15">
        <f>AVERAGEIFS(FMECA[consequence_value],FMECA[HazardRisk_name],Table3[[#This Row],[HazardRisk_name]])</f>
        <v>5</v>
      </c>
      <c r="K37" s="15" cm="1">
        <f t="array" ref="K37">STDEVP(IF(FMECA[HazardRisk_name]=Table3[[#This Row],[HazardRisk_name]],FMECA[consequence_value]))</f>
        <v>1.3693063937629153</v>
      </c>
      <c r="L37" s="23">
        <f>AVERAGEIFS(FMECA[Score],FMECA[HazardRisk_name],Table3[[#This Row],[HazardRisk_name]])</f>
        <v>22.25</v>
      </c>
      <c r="M37" s="23" cm="1">
        <f t="array" ref="M37">STDEVP(IF(FMECA[HazardRisk_name]=Table3[[#This Row],[HazardRisk_name]],FMECA[Score]))</f>
        <v>7.1370512118100988</v>
      </c>
      <c r="N37" s="15">
        <f>COUNTIFS(FMECA_data!P:P, "Theoretical", FMECA_data!I:I,Table3[[#This Row],[HazardRisk_name]])</f>
        <v>1</v>
      </c>
      <c r="O37" s="15">
        <f>COUNTIFS(FMECA_data!P:P, "Observational", FMECA_data!I:I,Table3[[#This Row],[HazardRisk_name]])</f>
        <v>11</v>
      </c>
      <c r="P37" s="15">
        <f>COUNTIFS(FMECA_data!P:P, "Hybrid", FMECA_data!I:I,Table3[[#This Row],[HazardRisk_name]])</f>
        <v>3</v>
      </c>
      <c r="Q37" s="15">
        <f>COUNTIFS(FMECA_data!P:P, "Modelling", FMECA_data!I:I,Table3[[#This Row],[HazardRisk_name]])</f>
        <v>1</v>
      </c>
      <c r="R37" s="23">
        <f>COUNTIFS(FMECA[data_deficient], "Yes",FMECA[HazardRisk_name],Table3[[#This Row],[HazardRisk_name]])</f>
        <v>3</v>
      </c>
      <c r="S37" s="23">
        <f>(COUNTIFS(FMECA[availability], "Yes",FMECA[HazardRisk_name],Table3[[#This Row],[HazardRisk_name]])) + (COUNTIFS(FMECA[availability], "Available",FMECA[HazardRisk_name],Table3[[#This Row],[HazardRisk_name]]))</f>
        <v>7</v>
      </c>
      <c r="T37" s="23">
        <f>COUNTIFS(FMECA[RR], "VERY HIGH",FMECA[HazardRisk_name],Table3[[#This Row],[HazardRisk_name]])</f>
        <v>0</v>
      </c>
      <c r="U37" s="22">
        <f>Table3[[#This Row],[vh_count]]/Table3[[#This Row],[risk_counts]]</f>
        <v>0</v>
      </c>
      <c r="V37" s="23">
        <f>COUNTIFS(FMECA[RR], "HIGH",FMECA[HazardRisk_name],Table3[[#This Row],[HazardRisk_name]])</f>
        <v>5</v>
      </c>
      <c r="W37" s="22">
        <f>Table3[[#This Row],[h_count]]/Table3[[#This Row],[risk_counts]]</f>
        <v>0.3125</v>
      </c>
      <c r="X37" s="23">
        <f>COUNTIFS(FMECA[RR], "MODERATE",FMECA[HazardRisk_name],Table3[[#This Row],[HazardRisk_name]])</f>
        <v>11</v>
      </c>
      <c r="Y37" s="22">
        <f>Table3[[#This Row],[m_count]]/Table3[[#This Row],[risk_counts]]</f>
        <v>0.6875</v>
      </c>
      <c r="Z37" s="23">
        <f>COUNTIFS(FMECA[RR], "UNDETECTABLE",FMECA[HazardRisk_name],Table3[[#This Row],[HazardRisk_name]])</f>
        <v>0</v>
      </c>
      <c r="AA37" s="22">
        <f>Table3[[#This Row],[l_count]]/Table3[[#This Row],[risk_counts]]</f>
        <v>0</v>
      </c>
      <c r="AI37" s="16" t="str">
        <f>VLOOKUP(Table3[[#This Row],[HazardRisk_id]], categories[], 4, FALSE)</f>
        <v>Risk</v>
      </c>
      <c r="AJ37" s="16">
        <f>(COUNTIFS(FMECA[availability], "Unknown",FMECA[HazardRisk_name],Table3[[#This Row],[HazardRisk_name]]))</f>
        <v>8</v>
      </c>
    </row>
    <row r="38" spans="1:36" ht="34" x14ac:dyDescent="0.2">
      <c r="A38" s="16" t="s">
        <v>558</v>
      </c>
      <c r="B38" s="13" t="str">
        <f>VLOOKUP(Table3[[#This Row],[HazardRisk_id]], categories[], 5, FALSE)</f>
        <v>Operational</v>
      </c>
      <c r="C38" s="14" t="str">
        <f>VLOOKUP(Table3[[#This Row],[HazardRisk_id]], categories[], 2, FALSE)</f>
        <v>Lack of emergency planning</v>
      </c>
      <c r="D38" s="15" t="str">
        <f>VLOOKUP(Table3[[#This Row],[HazardRisk_id]], categories[], 3, FALSE)</f>
        <v>Lack of training regarding emergency situations between ship operators in the event of an emergency occurring.</v>
      </c>
      <c r="E38" s="15">
        <f>COUNTIFS(FMECA[HazardRisk_name],Table3[[#This Row],[HazardRisk_name]])</f>
        <v>7</v>
      </c>
      <c r="F38" s="15">
        <f>SUMIFS(FMECA[probability_value], FMECA[HazardRisk_name], Table3[[#This Row],[HazardRisk_name]])</f>
        <v>26</v>
      </c>
      <c r="G38" s="15">
        <f>AVERAGEIFS(FMECA[probability_value],FMECA[HazardRisk_name],Table3[[#This Row],[HazardRisk_name]])</f>
        <v>3.7142857142857144</v>
      </c>
      <c r="H38" s="15" cm="1">
        <f t="array" ref="H38">STDEVP(IF(FMECA[HazardRisk_name]=Table3[[#This Row],[HazardRisk_name]],FMECA[probability_value]))</f>
        <v>1.0301575072754257</v>
      </c>
      <c r="I38" s="15">
        <f>SUMIFS(FMECA[consequence_value], FMECA[HazardRisk_name], Table3[[#This Row],[HazardRisk_name]])</f>
        <v>40</v>
      </c>
      <c r="J38" s="15">
        <f>AVERAGEIFS(FMECA[consequence_value],FMECA[HazardRisk_name],Table3[[#This Row],[HazardRisk_name]])</f>
        <v>5.7142857142857144</v>
      </c>
      <c r="K38" s="15" cm="1">
        <f t="array" ref="K38">STDEVP(IF(FMECA[HazardRisk_name]=Table3[[#This Row],[HazardRisk_name]],FMECA[consequence_value]))</f>
        <v>1.4846149779161804</v>
      </c>
      <c r="L38" s="23">
        <f>AVERAGEIFS(FMECA[Score],FMECA[HazardRisk_name],Table3[[#This Row],[HazardRisk_name]])</f>
        <v>21.714285714285715</v>
      </c>
      <c r="M38" s="23" cm="1">
        <f t="array" ref="M38">STDEVP(IF(FMECA[HazardRisk_name]=Table3[[#This Row],[HazardRisk_name]],FMECA[Score]))</f>
        <v>9.808367939298213</v>
      </c>
      <c r="N38" s="15">
        <f>COUNTIFS(FMECA_data!P:P, "Theoretical", FMECA_data!I:I,Table3[[#This Row],[HazardRisk_name]])</f>
        <v>2</v>
      </c>
      <c r="O38" s="15">
        <f>COUNTIFS(FMECA_data!P:P, "Observational", FMECA_data!I:I,Table3[[#This Row],[HazardRisk_name]])</f>
        <v>3</v>
      </c>
      <c r="P38" s="15">
        <f>COUNTIFS(FMECA_data!P:P, "Hybrid", FMECA_data!I:I,Table3[[#This Row],[HazardRisk_name]])</f>
        <v>2</v>
      </c>
      <c r="Q38" s="15">
        <f>COUNTIFS(FMECA_data!P:P, "Modelling", FMECA_data!I:I,Table3[[#This Row],[HazardRisk_name]])</f>
        <v>0</v>
      </c>
      <c r="R38" s="23">
        <f>COUNTIFS(FMECA[data_deficient], "Yes",FMECA[HazardRisk_name],Table3[[#This Row],[HazardRisk_name]])</f>
        <v>1</v>
      </c>
      <c r="S38" s="23">
        <f>(COUNTIFS(FMECA[availability], "Yes",FMECA[HazardRisk_name],Table3[[#This Row],[HazardRisk_name]])) + (COUNTIFS(FMECA[availability], "Available",FMECA[HazardRisk_name],Table3[[#This Row],[HazardRisk_name]]))</f>
        <v>2</v>
      </c>
      <c r="T38" s="23">
        <f>COUNTIFS(FMECA[RR], "VERY HIGH",FMECA[HazardRisk_name],Table3[[#This Row],[HazardRisk_name]])</f>
        <v>0</v>
      </c>
      <c r="U38" s="22">
        <f>Table3[[#This Row],[vh_count]]/Table3[[#This Row],[risk_counts]]</f>
        <v>0</v>
      </c>
      <c r="V38" s="23">
        <f>COUNTIFS(FMECA[RR], "HIGH",FMECA[HazardRisk_name],Table3[[#This Row],[HazardRisk_name]])</f>
        <v>3</v>
      </c>
      <c r="W38" s="22">
        <f>Table3[[#This Row],[h_count]]/Table3[[#This Row],[risk_counts]]</f>
        <v>0.42857142857142855</v>
      </c>
      <c r="X38" s="23">
        <f>COUNTIFS(FMECA[RR], "MODERATE",FMECA[HazardRisk_name],Table3[[#This Row],[HazardRisk_name]])</f>
        <v>4</v>
      </c>
      <c r="Y38" s="22">
        <f>Table3[[#This Row],[m_count]]/Table3[[#This Row],[risk_counts]]</f>
        <v>0.5714285714285714</v>
      </c>
      <c r="Z38" s="23">
        <f>COUNTIFS(FMECA[RR], "UNDETECTABLE",FMECA[HazardRisk_name],Table3[[#This Row],[HazardRisk_name]])</f>
        <v>0</v>
      </c>
      <c r="AA38" s="22">
        <f>Table3[[#This Row],[l_count]]/Table3[[#This Row],[risk_counts]]</f>
        <v>0</v>
      </c>
      <c r="AI38" s="16" t="str">
        <f>VLOOKUP(Table3[[#This Row],[HazardRisk_id]], categories[], 4, FALSE)</f>
        <v>Risk</v>
      </c>
      <c r="AJ38" s="16">
        <f>(COUNTIFS(FMECA[availability], "Unknown",FMECA[HazardRisk_name],Table3[[#This Row],[HazardRisk_name]]))</f>
        <v>2</v>
      </c>
    </row>
    <row r="39" spans="1:36" ht="68" x14ac:dyDescent="0.2">
      <c r="A39" s="16" t="s">
        <v>559</v>
      </c>
      <c r="B39" s="13" t="str">
        <f>VLOOKUP(Table3[[#This Row],[HazardRisk_id]], categories[], 5, FALSE)</f>
        <v>Economic</v>
      </c>
      <c r="C39" s="14" t="str">
        <f>VLOOKUP(Table3[[#This Row],[HazardRisk_id]], categories[], 2, FALSE)</f>
        <v>Lack of insurance information disclosure</v>
      </c>
      <c r="D39" s="15" t="str">
        <f>VLOOKUP(Table3[[#This Row],[HazardRisk_id]], categories[], 3, FALSE)</f>
        <v>Limited inscurance disclosre creates weak policies that place ship operators at risk of not being covered due to inadequate coverage of possible Arctic-specific accident scenarios. This increase liabilities on finances and legal requirements due to inconsistent and unclear regulations.</v>
      </c>
      <c r="E39" s="15">
        <f>COUNTIFS(FMECA[HazardRisk_name],Table3[[#This Row],[HazardRisk_name]])</f>
        <v>2</v>
      </c>
      <c r="F39" s="15">
        <f>SUMIFS(FMECA[probability_value], FMECA[HazardRisk_name], Table3[[#This Row],[HazardRisk_name]])</f>
        <v>7</v>
      </c>
      <c r="G39" s="15">
        <f>AVERAGEIFS(FMECA[probability_value],FMECA[HazardRisk_name],Table3[[#This Row],[HazardRisk_name]])</f>
        <v>3.5</v>
      </c>
      <c r="H39" s="15" cm="1">
        <f t="array" ref="H39">STDEVP(IF(FMECA[HazardRisk_name]=Table3[[#This Row],[HazardRisk_name]],FMECA[probability_value]))</f>
        <v>0.5</v>
      </c>
      <c r="I39" s="15">
        <f>SUMIFS(FMECA[consequence_value], FMECA[HazardRisk_name], Table3[[#This Row],[HazardRisk_name]])</f>
        <v>11</v>
      </c>
      <c r="J39" s="15">
        <f>AVERAGEIFS(FMECA[consequence_value],FMECA[HazardRisk_name],Table3[[#This Row],[HazardRisk_name]])</f>
        <v>5.5</v>
      </c>
      <c r="K39" s="15" cm="1">
        <f t="array" ref="K39">STDEVP(IF(FMECA[HazardRisk_name]=Table3[[#This Row],[HazardRisk_name]],FMECA[consequence_value]))</f>
        <v>1.5</v>
      </c>
      <c r="L39" s="23">
        <f>AVERAGEIFS(FMECA[Score],FMECA[HazardRisk_name],Table3[[#This Row],[HazardRisk_name]])</f>
        <v>18.5</v>
      </c>
      <c r="M39" s="23" cm="1">
        <f t="array" ref="M39">STDEVP(IF(FMECA[HazardRisk_name]=Table3[[#This Row],[HazardRisk_name]],FMECA[Score]))</f>
        <v>2.5</v>
      </c>
      <c r="N39" s="15">
        <f>COUNTIFS(FMECA_data!P:P, "Theoretical", FMECA_data!I:I,Table3[[#This Row],[HazardRisk_name]])</f>
        <v>0</v>
      </c>
      <c r="O39" s="15">
        <f>COUNTIFS(FMECA_data!P:P, "Observational", FMECA_data!I:I,Table3[[#This Row],[HazardRisk_name]])</f>
        <v>1</v>
      </c>
      <c r="P39" s="15">
        <f>COUNTIFS(FMECA_data!P:P, "Hybrid", FMECA_data!I:I,Table3[[#This Row],[HazardRisk_name]])</f>
        <v>1</v>
      </c>
      <c r="Q39" s="15">
        <f>COUNTIFS(FMECA_data!P:P, "Modelling", FMECA_data!I:I,Table3[[#This Row],[HazardRisk_name]])</f>
        <v>0</v>
      </c>
      <c r="R39" s="23">
        <f>COUNTIFS(FMECA[data_deficient], "Yes",FMECA[HazardRisk_name],Table3[[#This Row],[HazardRisk_name]])</f>
        <v>1</v>
      </c>
      <c r="S39" s="23">
        <f>(COUNTIFS(FMECA[availability], "Yes",FMECA[HazardRisk_name],Table3[[#This Row],[HazardRisk_name]])) + (COUNTIFS(FMECA[availability], "Available",FMECA[HazardRisk_name],Table3[[#This Row],[HazardRisk_name]]))</f>
        <v>0</v>
      </c>
      <c r="T39" s="23">
        <f>COUNTIFS(FMECA[RR], "VERY HIGH",FMECA[HazardRisk_name],Table3[[#This Row],[HazardRisk_name]])</f>
        <v>0</v>
      </c>
      <c r="U39" s="22">
        <f>Table3[[#This Row],[vh_count]]/Table3[[#This Row],[risk_counts]]</f>
        <v>0</v>
      </c>
      <c r="V39" s="23">
        <f>COUNTIFS(FMECA[RR], "HIGH",FMECA[HazardRisk_name],Table3[[#This Row],[HazardRisk_name]])</f>
        <v>0</v>
      </c>
      <c r="W39" s="22">
        <f>Table3[[#This Row],[h_count]]/Table3[[#This Row],[risk_counts]]</f>
        <v>0</v>
      </c>
      <c r="X39" s="23">
        <f>COUNTIFS(FMECA[RR], "MODERATE",FMECA[HazardRisk_name],Table3[[#This Row],[HazardRisk_name]])</f>
        <v>2</v>
      </c>
      <c r="Y39" s="22">
        <f>Table3[[#This Row],[m_count]]/Table3[[#This Row],[risk_counts]]</f>
        <v>1</v>
      </c>
      <c r="Z39" s="23">
        <f>COUNTIFS(FMECA[RR], "UNDETECTABLE",FMECA[HazardRisk_name],Table3[[#This Row],[HazardRisk_name]])</f>
        <v>0</v>
      </c>
      <c r="AA39" s="22">
        <f>Table3[[#This Row],[l_count]]/Table3[[#This Row],[risk_counts]]</f>
        <v>0</v>
      </c>
      <c r="AI39" s="16" t="str">
        <f>VLOOKUP(Table3[[#This Row],[HazardRisk_id]], categories[], 4, FALSE)</f>
        <v>Risk</v>
      </c>
      <c r="AJ39" s="16">
        <f>(COUNTIFS(FMECA[availability], "Unknown",FMECA[HazardRisk_name],Table3[[#This Row],[HazardRisk_name]]))</f>
        <v>1</v>
      </c>
    </row>
    <row r="40" spans="1:36" ht="51" x14ac:dyDescent="0.2">
      <c r="A40" s="16" t="s">
        <v>561</v>
      </c>
      <c r="B40" s="13" t="str">
        <f>VLOOKUP(Table3[[#This Row],[HazardRisk_id]], categories[], 5, FALSE)</f>
        <v>Community</v>
      </c>
      <c r="C40" s="14" t="str">
        <f>VLOOKUP(Table3[[#This Row],[HazardRisk_id]], categories[], 2, FALSE)</f>
        <v>Lack of Inuit agency</v>
      </c>
      <c r="D40" s="15" t="str">
        <f>VLOOKUP(Table3[[#This Row],[HazardRisk_id]], categories[], 3, FALSE)</f>
        <v>Reduced invlovement of indienous peoples withi the decision making process will create sources of conflicts frequenty occur regarding cultural imapct and resource extraction.</v>
      </c>
      <c r="E40" s="15">
        <f>COUNTIFS(FMECA[HazardRisk_name],Table3[[#This Row],[HazardRisk_name]])</f>
        <v>7</v>
      </c>
      <c r="F40" s="15">
        <f>SUMIFS(FMECA[probability_value], FMECA[HazardRisk_name], Table3[[#This Row],[HazardRisk_name]])</f>
        <v>33</v>
      </c>
      <c r="G40" s="15">
        <f>AVERAGEIFS(FMECA[probability_value],FMECA[HazardRisk_name],Table3[[#This Row],[HazardRisk_name]])</f>
        <v>4.7142857142857144</v>
      </c>
      <c r="H40" s="15" cm="1">
        <f t="array" ref="H40">STDEVP(IF(FMECA[HazardRisk_name]=Table3[[#This Row],[HazardRisk_name]],FMECA[probability_value]))</f>
        <v>0.45175395145262559</v>
      </c>
      <c r="I40" s="15">
        <f>SUMIFS(FMECA[consequence_value], FMECA[HazardRisk_name], Table3[[#This Row],[HazardRisk_name]])</f>
        <v>49</v>
      </c>
      <c r="J40" s="15">
        <f>AVERAGEIFS(FMECA[consequence_value],FMECA[HazardRisk_name],Table3[[#This Row],[HazardRisk_name]])</f>
        <v>7</v>
      </c>
      <c r="K40" s="15" cm="1">
        <f t="array" ref="K40">STDEVP(IF(FMECA[HazardRisk_name]=Table3[[#This Row],[HazardRisk_name]],FMECA[consequence_value]))</f>
        <v>2.2677868380553634</v>
      </c>
      <c r="L40" s="23">
        <f>AVERAGEIFS(FMECA[Score],FMECA[HazardRisk_name],Table3[[#This Row],[HazardRisk_name]])</f>
        <v>32.142857142857146</v>
      </c>
      <c r="M40" s="23" cm="1">
        <f t="array" ref="M40">STDEVP(IF(FMECA[HazardRisk_name]=Table3[[#This Row],[HazardRisk_name]],FMECA[Score]))</f>
        <v>7.9539490897571739</v>
      </c>
      <c r="N40" s="15">
        <f>COUNTIFS(FMECA_data!P:P, "Theoretical", FMECA_data!I:I,Table3[[#This Row],[HazardRisk_name]])</f>
        <v>4</v>
      </c>
      <c r="O40" s="15">
        <f>COUNTIFS(FMECA_data!P:P, "Observational", FMECA_data!I:I,Table3[[#This Row],[HazardRisk_name]])</f>
        <v>3</v>
      </c>
      <c r="P40" s="15">
        <f>COUNTIFS(FMECA_data!P:P, "Hybrid", FMECA_data!I:I,Table3[[#This Row],[HazardRisk_name]])</f>
        <v>0</v>
      </c>
      <c r="Q40" s="15">
        <f>COUNTIFS(FMECA_data!P:P, "Modelling", FMECA_data!I:I,Table3[[#This Row],[HazardRisk_name]])</f>
        <v>0</v>
      </c>
      <c r="R40" s="23">
        <f>COUNTIFS(FMECA[data_deficient], "Yes",FMECA[HazardRisk_name],Table3[[#This Row],[HazardRisk_name]])</f>
        <v>2</v>
      </c>
      <c r="S40" s="23">
        <f>(COUNTIFS(FMECA[availability], "Yes",FMECA[HazardRisk_name],Table3[[#This Row],[HazardRisk_name]])) + (COUNTIFS(FMECA[availability], "Available",FMECA[HazardRisk_name],Table3[[#This Row],[HazardRisk_name]]))</f>
        <v>2</v>
      </c>
      <c r="T40" s="23">
        <f>COUNTIFS(FMECA[RR], "VERY HIGH",FMECA[HazardRisk_name],Table3[[#This Row],[HazardRisk_name]])</f>
        <v>2</v>
      </c>
      <c r="U40" s="22">
        <f>Table3[[#This Row],[vh_count]]/Table3[[#This Row],[risk_counts]]</f>
        <v>0.2857142857142857</v>
      </c>
      <c r="V40" s="23">
        <f>COUNTIFS(FMECA[RR], "HIGH",FMECA[HazardRisk_name],Table3[[#This Row],[HazardRisk_name]])</f>
        <v>3</v>
      </c>
      <c r="W40" s="22">
        <f>Table3[[#This Row],[h_count]]/Table3[[#This Row],[risk_counts]]</f>
        <v>0.42857142857142855</v>
      </c>
      <c r="X40" s="23">
        <f>COUNTIFS(FMECA[RR], "MODERATE",FMECA[HazardRisk_name],Table3[[#This Row],[HazardRisk_name]])</f>
        <v>2</v>
      </c>
      <c r="Y40" s="22">
        <f>Table3[[#This Row],[m_count]]/Table3[[#This Row],[risk_counts]]</f>
        <v>0.2857142857142857</v>
      </c>
      <c r="Z40" s="23">
        <f>COUNTIFS(FMECA[RR], "UNDETECTABLE",FMECA[HazardRisk_name],Table3[[#This Row],[HazardRisk_name]])</f>
        <v>0</v>
      </c>
      <c r="AA40" s="22">
        <f>Table3[[#This Row],[l_count]]/Table3[[#This Row],[risk_counts]]</f>
        <v>0</v>
      </c>
      <c r="AI40" s="16" t="str">
        <f>VLOOKUP(Table3[[#This Row],[HazardRisk_id]], categories[], 4, FALSE)</f>
        <v>Risk</v>
      </c>
      <c r="AJ40" s="16">
        <f>(COUNTIFS(FMECA[availability], "Unknown",FMECA[HazardRisk_name],Table3[[#This Row],[HazardRisk_name]]))</f>
        <v>2</v>
      </c>
    </row>
    <row r="41" spans="1:36" ht="51" x14ac:dyDescent="0.2">
      <c r="A41" s="16" t="s">
        <v>565</v>
      </c>
      <c r="B41" s="13" t="str">
        <f>VLOOKUP(Table3[[#This Row],[HazardRisk_id]], categories[], 5, FALSE)</f>
        <v>Operational</v>
      </c>
      <c r="C41" s="14" t="str">
        <f>VLOOKUP(Table3[[#This Row],[HazardRisk_id]], categories[], 2, FALSE)</f>
        <v>Lack of monitoring capabilities</v>
      </c>
      <c r="D41" s="15" t="str">
        <f>VLOOKUP(Table3[[#This Row],[HazardRisk_id]], categories[], 3, FALSE)</f>
        <v>There is limited monitoring capabilities to detect real-time statistics of environmental conditions, impacting the navagability of travelling within Arctic waters, causing operators to be on increased alert of real-time risks and hazards.</v>
      </c>
      <c r="E41" s="15">
        <f>COUNTIFS(FMECA[HazardRisk_name],Table3[[#This Row],[HazardRisk_name]])</f>
        <v>6</v>
      </c>
      <c r="F41" s="15">
        <f>SUMIFS(FMECA[probability_value], FMECA[HazardRisk_name], Table3[[#This Row],[HazardRisk_name]])</f>
        <v>23</v>
      </c>
      <c r="G41" s="15">
        <f>AVERAGEIFS(FMECA[probability_value],FMECA[HazardRisk_name],Table3[[#This Row],[HazardRisk_name]])</f>
        <v>3.8333333333333335</v>
      </c>
      <c r="H41" s="15" cm="1">
        <f t="array" ref="H41">STDEVP(IF(FMECA[HazardRisk_name]=Table3[[#This Row],[HazardRisk_name]],FMECA[probability_value]))</f>
        <v>0.68718427093627676</v>
      </c>
      <c r="I41" s="15">
        <f>SUMIFS(FMECA[consequence_value], FMECA[HazardRisk_name], Table3[[#This Row],[HazardRisk_name]])</f>
        <v>33</v>
      </c>
      <c r="J41" s="15">
        <f>AVERAGEIFS(FMECA[consequence_value],FMECA[HazardRisk_name],Table3[[#This Row],[HazardRisk_name]])</f>
        <v>5.5</v>
      </c>
      <c r="K41" s="15" cm="1">
        <f t="array" ref="K41">STDEVP(IF(FMECA[HazardRisk_name]=Table3[[#This Row],[HazardRisk_name]],FMECA[consequence_value]))</f>
        <v>1.5</v>
      </c>
      <c r="L41" s="23">
        <f>AVERAGEIFS(FMECA[Score],FMECA[HazardRisk_name],Table3[[#This Row],[HazardRisk_name]])</f>
        <v>21.333333333333332</v>
      </c>
      <c r="M41" s="23" cm="1">
        <f t="array" ref="M41">STDEVP(IF(FMECA[HazardRisk_name]=Table3[[#This Row],[HazardRisk_name]],FMECA[Score]))</f>
        <v>7.9092070118031153</v>
      </c>
      <c r="N41" s="15">
        <f>COUNTIFS(FMECA_data!P:P, "Theoretical", FMECA_data!I:I,Table3[[#This Row],[HazardRisk_name]])</f>
        <v>2</v>
      </c>
      <c r="O41" s="15">
        <f>COUNTIFS(FMECA_data!P:P, "Observational", FMECA_data!I:I,Table3[[#This Row],[HazardRisk_name]])</f>
        <v>3</v>
      </c>
      <c r="P41" s="15">
        <f>COUNTIFS(FMECA_data!P:P, "Hybrid", FMECA_data!I:I,Table3[[#This Row],[HazardRisk_name]])</f>
        <v>1</v>
      </c>
      <c r="Q41" s="15">
        <f>COUNTIFS(FMECA_data!P:P, "Modelling", FMECA_data!I:I,Table3[[#This Row],[HazardRisk_name]])</f>
        <v>0</v>
      </c>
      <c r="R41" s="23">
        <f>COUNTIFS(FMECA[data_deficient], "Yes",FMECA[HazardRisk_name],Table3[[#This Row],[HazardRisk_name]])</f>
        <v>1</v>
      </c>
      <c r="S41" s="23">
        <f>(COUNTIFS(FMECA[availability], "Yes",FMECA[HazardRisk_name],Table3[[#This Row],[HazardRisk_name]])) + (COUNTIFS(FMECA[availability], "Available",FMECA[HazardRisk_name],Table3[[#This Row],[HazardRisk_name]]))</f>
        <v>1</v>
      </c>
      <c r="T41" s="23">
        <f>COUNTIFS(FMECA[RR], "VERY HIGH",FMECA[HazardRisk_name],Table3[[#This Row],[HazardRisk_name]])</f>
        <v>0</v>
      </c>
      <c r="U41" s="22">
        <f>Table3[[#This Row],[vh_count]]/Table3[[#This Row],[risk_counts]]</f>
        <v>0</v>
      </c>
      <c r="V41" s="23">
        <f>COUNTIFS(FMECA[RR], "HIGH",FMECA[HazardRisk_name],Table3[[#This Row],[HazardRisk_name]])</f>
        <v>2</v>
      </c>
      <c r="W41" s="22">
        <f>Table3[[#This Row],[h_count]]/Table3[[#This Row],[risk_counts]]</f>
        <v>0.33333333333333331</v>
      </c>
      <c r="X41" s="23">
        <f>COUNTIFS(FMECA[RR], "MODERATE",FMECA[HazardRisk_name],Table3[[#This Row],[HazardRisk_name]])</f>
        <v>4</v>
      </c>
      <c r="Y41" s="22">
        <f>Table3[[#This Row],[m_count]]/Table3[[#This Row],[risk_counts]]</f>
        <v>0.66666666666666663</v>
      </c>
      <c r="Z41" s="23">
        <f>COUNTIFS(FMECA[RR], "UNDETECTABLE",FMECA[HazardRisk_name],Table3[[#This Row],[HazardRisk_name]])</f>
        <v>0</v>
      </c>
      <c r="AA41" s="22">
        <f>Table3[[#This Row],[l_count]]/Table3[[#This Row],[risk_counts]]</f>
        <v>0</v>
      </c>
      <c r="AI41" s="16" t="str">
        <f>VLOOKUP(Table3[[#This Row],[HazardRisk_id]], categories[], 4, FALSE)</f>
        <v>Risk</v>
      </c>
      <c r="AJ41" s="16">
        <f>(COUNTIFS(FMECA[availability], "Unknown",FMECA[HazardRisk_name],Table3[[#This Row],[HazardRisk_name]]))</f>
        <v>3</v>
      </c>
    </row>
    <row r="42" spans="1:36" ht="51" x14ac:dyDescent="0.2">
      <c r="A42" s="16" t="s">
        <v>566</v>
      </c>
      <c r="B42" s="13" t="str">
        <f>VLOOKUP(Table3[[#This Row],[HazardRisk_id]], categories[], 5, FALSE)</f>
        <v>Operational</v>
      </c>
      <c r="C42" s="14" t="str">
        <f>VLOOKUP(Table3[[#This Row],[HazardRisk_id]], categories[], 2, FALSE)</f>
        <v>Lack of operator situational awareness</v>
      </c>
      <c r="D42" s="15" t="str">
        <f>VLOOKUP(Table3[[#This Row],[HazardRisk_id]], categories[], 3, FALSE)</f>
        <v>Officers of the operating company executes an action due to a lack of understanding or misjudgement. This increases chances for vessel insecurity by causing accidents such as groundings and collisions to occur, harming anyone or anything involved.</v>
      </c>
      <c r="E42" s="15">
        <f>COUNTIFS(FMECA[HazardRisk_name],Table3[[#This Row],[HazardRisk_name]])</f>
        <v>3</v>
      </c>
      <c r="F42" s="15">
        <f>SUMIFS(FMECA[probability_value], FMECA[HazardRisk_name], Table3[[#This Row],[HazardRisk_name]])</f>
        <v>8</v>
      </c>
      <c r="G42" s="15">
        <f>AVERAGEIFS(FMECA[probability_value],FMECA[HazardRisk_name],Table3[[#This Row],[HazardRisk_name]])</f>
        <v>2.6666666666666665</v>
      </c>
      <c r="H42" s="15" cm="1">
        <f t="array" ref="H42">STDEVP(IF(FMECA[HazardRisk_name]=Table3[[#This Row],[HazardRisk_name]],FMECA[probability_value]))</f>
        <v>1.247219128924647</v>
      </c>
      <c r="I42" s="15">
        <f>SUMIFS(FMECA[consequence_value], FMECA[HazardRisk_name], Table3[[#This Row],[HazardRisk_name]])</f>
        <v>21</v>
      </c>
      <c r="J42" s="15">
        <f>AVERAGEIFS(FMECA[consequence_value],FMECA[HazardRisk_name],Table3[[#This Row],[HazardRisk_name]])</f>
        <v>7</v>
      </c>
      <c r="K42" s="15" cm="1">
        <f t="array" ref="K42">STDEVP(IF(FMECA[HazardRisk_name]=Table3[[#This Row],[HazardRisk_name]],FMECA[consequence_value]))</f>
        <v>2.4494897427831779</v>
      </c>
      <c r="L42" s="23">
        <f>AVERAGEIFS(FMECA[Score],FMECA[HazardRisk_name],Table3[[#This Row],[HazardRisk_name]])</f>
        <v>16.666666666666668</v>
      </c>
      <c r="M42" s="23" cm="1">
        <f t="array" ref="M42">STDEVP(IF(FMECA[HazardRisk_name]=Table3[[#This Row],[HazardRisk_name]],FMECA[Score]))</f>
        <v>8.055363982396381</v>
      </c>
      <c r="N42" s="15">
        <f>COUNTIFS(FMECA_data!P:P, "Theoretical", FMECA_data!I:I,Table3[[#This Row],[HazardRisk_name]])</f>
        <v>0</v>
      </c>
      <c r="O42" s="15">
        <f>COUNTIFS(FMECA_data!P:P, "Observational", FMECA_data!I:I,Table3[[#This Row],[HazardRisk_name]])</f>
        <v>3</v>
      </c>
      <c r="P42" s="15">
        <f>COUNTIFS(FMECA_data!P:P, "Hybrid", FMECA_data!I:I,Table3[[#This Row],[HazardRisk_name]])</f>
        <v>0</v>
      </c>
      <c r="Q42" s="15">
        <f>COUNTIFS(FMECA_data!P:P, "Modelling", FMECA_data!I:I,Table3[[#This Row],[HazardRisk_name]])</f>
        <v>0</v>
      </c>
      <c r="R42" s="23">
        <f>COUNTIFS(FMECA[data_deficient], "Yes",FMECA[HazardRisk_name],Table3[[#This Row],[HazardRisk_name]])</f>
        <v>0</v>
      </c>
      <c r="S42" s="23">
        <f>(COUNTIFS(FMECA[availability], "Yes",FMECA[HazardRisk_name],Table3[[#This Row],[HazardRisk_name]])) + (COUNTIFS(FMECA[availability], "Available",FMECA[HazardRisk_name],Table3[[#This Row],[HazardRisk_name]]))</f>
        <v>1</v>
      </c>
      <c r="T42" s="23">
        <f>COUNTIFS(FMECA[RR], "VERY HIGH",FMECA[HazardRisk_name],Table3[[#This Row],[HazardRisk_name]])</f>
        <v>0</v>
      </c>
      <c r="U42" s="22">
        <f>Table3[[#This Row],[vh_count]]/Table3[[#This Row],[risk_counts]]</f>
        <v>0</v>
      </c>
      <c r="V42" s="23">
        <f>COUNTIFS(FMECA[RR], "HIGH",FMECA[HazardRisk_name],Table3[[#This Row],[HazardRisk_name]])</f>
        <v>1</v>
      </c>
      <c r="W42" s="22">
        <f>Table3[[#This Row],[h_count]]/Table3[[#This Row],[risk_counts]]</f>
        <v>0.33333333333333331</v>
      </c>
      <c r="X42" s="23">
        <f>COUNTIFS(FMECA[RR], "MODERATE",FMECA[HazardRisk_name],Table3[[#This Row],[HazardRisk_name]])</f>
        <v>2</v>
      </c>
      <c r="Y42" s="22">
        <f>Table3[[#This Row],[m_count]]/Table3[[#This Row],[risk_counts]]</f>
        <v>0.66666666666666663</v>
      </c>
      <c r="Z42" s="23">
        <f>COUNTIFS(FMECA[RR], "UNDETECTABLE",FMECA[HazardRisk_name],Table3[[#This Row],[HazardRisk_name]])</f>
        <v>0</v>
      </c>
      <c r="AA42" s="22">
        <f>Table3[[#This Row],[l_count]]/Table3[[#This Row],[risk_counts]]</f>
        <v>0</v>
      </c>
      <c r="AI42" s="16" t="str">
        <f>VLOOKUP(Table3[[#This Row],[HazardRisk_id]], categories[], 4, FALSE)</f>
        <v>Risk</v>
      </c>
      <c r="AJ42" s="16">
        <f>(COUNTIFS(FMECA[availability], "Unknown",FMECA[HazardRisk_name],Table3[[#This Row],[HazardRisk_name]]))</f>
        <v>2</v>
      </c>
    </row>
    <row r="43" spans="1:36" ht="51" x14ac:dyDescent="0.2">
      <c r="A43" s="16" t="s">
        <v>570</v>
      </c>
      <c r="B43" s="13" t="str">
        <f>VLOOKUP(Table3[[#This Row],[HazardRisk_id]], categories[], 5, FALSE)</f>
        <v>Assessment</v>
      </c>
      <c r="C43" s="14" t="str">
        <f>VLOOKUP(Table3[[#This Row],[HazardRisk_id]], categories[], 2, FALSE)</f>
        <v>Lack of risk analysis</v>
      </c>
      <c r="D43" s="15" t="str">
        <f>VLOOKUP(Table3[[#This Row],[HazardRisk_id]], categories[], 3, FALSE)</f>
        <v>Limited risk assessments and analyses have been completed within the Northwest passage due to previous environmental conditions, therefore, lacking historical risk assessments being completed.</v>
      </c>
      <c r="E43" s="15">
        <f>COUNTIFS(FMECA[HazardRisk_name],Table3[[#This Row],[HazardRisk_name]])</f>
        <v>5</v>
      </c>
      <c r="F43" s="15">
        <f>SUMIFS(FMECA[probability_value], FMECA[HazardRisk_name], Table3[[#This Row],[HazardRisk_name]])</f>
        <v>23</v>
      </c>
      <c r="G43" s="15">
        <f>AVERAGEIFS(FMECA[probability_value],FMECA[HazardRisk_name],Table3[[#This Row],[HazardRisk_name]])</f>
        <v>4.5999999999999996</v>
      </c>
      <c r="H43" s="15" cm="1">
        <f t="array" ref="H43">STDEVP(IF(FMECA[HazardRisk_name]=Table3[[#This Row],[HazardRisk_name]],FMECA[probability_value]))</f>
        <v>0.8</v>
      </c>
      <c r="I43" s="15">
        <f>SUMIFS(FMECA[consequence_value], FMECA[HazardRisk_name], Table3[[#This Row],[HazardRisk_name]])</f>
        <v>27</v>
      </c>
      <c r="J43" s="15">
        <f>AVERAGEIFS(FMECA[consequence_value],FMECA[HazardRisk_name],Table3[[#This Row],[HazardRisk_name]])</f>
        <v>5.4</v>
      </c>
      <c r="K43" s="15" cm="1">
        <f t="array" ref="K43">STDEVP(IF(FMECA[HazardRisk_name]=Table3[[#This Row],[HazardRisk_name]],FMECA[consequence_value]))</f>
        <v>1.3564659966250536</v>
      </c>
      <c r="L43" s="23">
        <f>AVERAGEIFS(FMECA[Score],FMECA[HazardRisk_name],Table3[[#This Row],[HazardRisk_name]])</f>
        <v>25</v>
      </c>
      <c r="M43" s="23" cm="1">
        <f t="array" ref="M43">STDEVP(IF(FMECA[HazardRisk_name]=Table3[[#This Row],[HazardRisk_name]],FMECA[Score]))</f>
        <v>8.3666002653407556</v>
      </c>
      <c r="N43" s="15">
        <f>COUNTIFS(FMECA_data!P:P, "Theoretical", FMECA_data!I:I,Table3[[#This Row],[HazardRisk_name]])</f>
        <v>2</v>
      </c>
      <c r="O43" s="15">
        <f>COUNTIFS(FMECA_data!P:P, "Observational", FMECA_data!I:I,Table3[[#This Row],[HazardRisk_name]])</f>
        <v>1</v>
      </c>
      <c r="P43" s="15">
        <f>COUNTIFS(FMECA_data!P:P, "Hybrid", FMECA_data!I:I,Table3[[#This Row],[HazardRisk_name]])</f>
        <v>1</v>
      </c>
      <c r="Q43" s="15">
        <f>COUNTIFS(FMECA_data!P:P, "Modelling", FMECA_data!I:I,Table3[[#This Row],[HazardRisk_name]])</f>
        <v>1</v>
      </c>
      <c r="R43" s="23">
        <f>COUNTIFS(FMECA[data_deficient], "Yes",FMECA[HazardRisk_name],Table3[[#This Row],[HazardRisk_name]])</f>
        <v>1</v>
      </c>
      <c r="S43" s="23">
        <f>(COUNTIFS(FMECA[availability], "Yes",FMECA[HazardRisk_name],Table3[[#This Row],[HazardRisk_name]])) + (COUNTIFS(FMECA[availability], "Available",FMECA[HazardRisk_name],Table3[[#This Row],[HazardRisk_name]]))</f>
        <v>1</v>
      </c>
      <c r="T43" s="23">
        <f>COUNTIFS(FMECA[RR], "VERY HIGH",FMECA[HazardRisk_name],Table3[[#This Row],[HazardRisk_name]])</f>
        <v>0</v>
      </c>
      <c r="U43" s="22">
        <f>Table3[[#This Row],[vh_count]]/Table3[[#This Row],[risk_counts]]</f>
        <v>0</v>
      </c>
      <c r="V43" s="23">
        <f>COUNTIFS(FMECA[RR], "HIGH",FMECA[HazardRisk_name],Table3[[#This Row],[HazardRisk_name]])</f>
        <v>2</v>
      </c>
      <c r="W43" s="22">
        <f>Table3[[#This Row],[h_count]]/Table3[[#This Row],[risk_counts]]</f>
        <v>0.4</v>
      </c>
      <c r="X43" s="23">
        <f>COUNTIFS(FMECA[RR], "MODERATE",FMECA[HazardRisk_name],Table3[[#This Row],[HazardRisk_name]])</f>
        <v>3</v>
      </c>
      <c r="Y43" s="22">
        <f>Table3[[#This Row],[m_count]]/Table3[[#This Row],[risk_counts]]</f>
        <v>0.6</v>
      </c>
      <c r="Z43" s="23">
        <f>COUNTIFS(FMECA[RR], "UNDETECTABLE",FMECA[HazardRisk_name],Table3[[#This Row],[HazardRisk_name]])</f>
        <v>0</v>
      </c>
      <c r="AA43" s="22">
        <f>Table3[[#This Row],[l_count]]/Table3[[#This Row],[risk_counts]]</f>
        <v>0</v>
      </c>
      <c r="AI43" s="16" t="str">
        <f>VLOOKUP(Table3[[#This Row],[HazardRisk_id]], categories[], 4, FALSE)</f>
        <v>Risk</v>
      </c>
      <c r="AJ43" s="16">
        <f>(COUNTIFS(FMECA[availability], "Unknown",FMECA[HazardRisk_name],Table3[[#This Row],[HazardRisk_name]]))</f>
        <v>2</v>
      </c>
    </row>
    <row r="44" spans="1:36" ht="51" x14ac:dyDescent="0.2">
      <c r="A44" s="16" t="s">
        <v>571</v>
      </c>
      <c r="B44" s="13" t="str">
        <f>VLOOKUP(Table3[[#This Row],[HazardRisk_id]], categories[], 5, FALSE)</f>
        <v>Community</v>
      </c>
      <c r="C44" s="14" t="str">
        <f>VLOOKUP(Table3[[#This Row],[HazardRisk_id]], categories[], 2, FALSE)</f>
        <v>Lack of support for indigenous communities</v>
      </c>
      <c r="D44" s="15" t="str">
        <f>VLOOKUP(Table3[[#This Row],[HazardRisk_id]], categories[], 3, FALSE)</f>
        <v>Due to ongoing conflicts and legal disputes, indigenous communities have strained relationships causing negative socio-cultrual impacts to be created regarding decision-making.</v>
      </c>
      <c r="E44" s="15">
        <f>COUNTIFS(FMECA[HazardRisk_name],Table3[[#This Row],[HazardRisk_name]])</f>
        <v>4</v>
      </c>
      <c r="F44" s="15">
        <f>SUMIFS(FMECA[probability_value], FMECA[HazardRisk_name], Table3[[#This Row],[HazardRisk_name]])</f>
        <v>18</v>
      </c>
      <c r="G44" s="15">
        <f>AVERAGEIFS(FMECA[probability_value],FMECA[HazardRisk_name],Table3[[#This Row],[HazardRisk_name]])</f>
        <v>4.5</v>
      </c>
      <c r="H44" s="15" cm="1">
        <f t="array" ref="H44">STDEVP(IF(FMECA[HazardRisk_name]=Table3[[#This Row],[HazardRisk_name]],FMECA[probability_value]))</f>
        <v>0.8660254037844386</v>
      </c>
      <c r="I44" s="15">
        <f>SUMIFS(FMECA[consequence_value], FMECA[HazardRisk_name], Table3[[#This Row],[HazardRisk_name]])</f>
        <v>28</v>
      </c>
      <c r="J44" s="15">
        <f>AVERAGEIFS(FMECA[consequence_value],FMECA[HazardRisk_name],Table3[[#This Row],[HazardRisk_name]])</f>
        <v>7</v>
      </c>
      <c r="K44" s="15" cm="1">
        <f t="array" ref="K44">STDEVP(IF(FMECA[HazardRisk_name]=Table3[[#This Row],[HazardRisk_name]],FMECA[consequence_value]))</f>
        <v>0</v>
      </c>
      <c r="L44" s="23">
        <f>AVERAGEIFS(FMECA[Score],FMECA[HazardRisk_name],Table3[[#This Row],[HazardRisk_name]])</f>
        <v>31.5</v>
      </c>
      <c r="M44" s="23" cm="1">
        <f t="array" ref="M44">STDEVP(IF(FMECA[HazardRisk_name]=Table3[[#This Row],[HazardRisk_name]],FMECA[Score]))</f>
        <v>6.0621778264910704</v>
      </c>
      <c r="N44" s="15">
        <f>COUNTIFS(FMECA_data!P:P, "Theoretical", FMECA_data!I:I,Table3[[#This Row],[HazardRisk_name]])</f>
        <v>1</v>
      </c>
      <c r="O44" s="15">
        <f>COUNTIFS(FMECA_data!P:P, "Observational", FMECA_data!I:I,Table3[[#This Row],[HazardRisk_name]])</f>
        <v>2</v>
      </c>
      <c r="P44" s="15">
        <f>COUNTIFS(FMECA_data!P:P, "Hybrid", FMECA_data!I:I,Table3[[#This Row],[HazardRisk_name]])</f>
        <v>1</v>
      </c>
      <c r="Q44" s="15">
        <f>COUNTIFS(FMECA_data!P:P, "Modelling", FMECA_data!I:I,Table3[[#This Row],[HazardRisk_name]])</f>
        <v>0</v>
      </c>
      <c r="R44" s="23">
        <f>COUNTIFS(FMECA[data_deficient], "Yes",FMECA[HazardRisk_name],Table3[[#This Row],[HazardRisk_name]])</f>
        <v>1</v>
      </c>
      <c r="S44" s="23">
        <f>(COUNTIFS(FMECA[availability], "Yes",FMECA[HazardRisk_name],Table3[[#This Row],[HazardRisk_name]])) + (COUNTIFS(FMECA[availability], "Available",FMECA[HazardRisk_name],Table3[[#This Row],[HazardRisk_name]]))</f>
        <v>1</v>
      </c>
      <c r="T44" s="23">
        <f>COUNTIFS(FMECA[RR], "VERY HIGH",FMECA[HazardRisk_name],Table3[[#This Row],[HazardRisk_name]])</f>
        <v>0</v>
      </c>
      <c r="U44" s="22">
        <f>Table3[[#This Row],[vh_count]]/Table3[[#This Row],[risk_counts]]</f>
        <v>0</v>
      </c>
      <c r="V44" s="23">
        <f>COUNTIFS(FMECA[RR], "HIGH",FMECA[HazardRisk_name],Table3[[#This Row],[HazardRisk_name]])</f>
        <v>3</v>
      </c>
      <c r="W44" s="22">
        <f>Table3[[#This Row],[h_count]]/Table3[[#This Row],[risk_counts]]</f>
        <v>0.75</v>
      </c>
      <c r="X44" s="23">
        <f>COUNTIFS(FMECA[RR], "MODERATE",FMECA[HazardRisk_name],Table3[[#This Row],[HazardRisk_name]])</f>
        <v>1</v>
      </c>
      <c r="Y44" s="22">
        <f>Table3[[#This Row],[m_count]]/Table3[[#This Row],[risk_counts]]</f>
        <v>0.25</v>
      </c>
      <c r="Z44" s="23">
        <f>COUNTIFS(FMECA[RR], "UNDETECTABLE",FMECA[HazardRisk_name],Table3[[#This Row],[HazardRisk_name]])</f>
        <v>0</v>
      </c>
      <c r="AA44" s="22">
        <f>Table3[[#This Row],[l_count]]/Table3[[#This Row],[risk_counts]]</f>
        <v>0</v>
      </c>
      <c r="AI44" s="16" t="str">
        <f>VLOOKUP(Table3[[#This Row],[HazardRisk_id]], categories[], 4, FALSE)</f>
        <v>Risk</v>
      </c>
      <c r="AJ44" s="16">
        <f>(COUNTIFS(FMECA[availability], "Unknown",FMECA[HazardRisk_name],Table3[[#This Row],[HazardRisk_name]]))</f>
        <v>2</v>
      </c>
    </row>
    <row r="45" spans="1:36" ht="51" x14ac:dyDescent="0.2">
      <c r="A45" s="16" t="s">
        <v>574</v>
      </c>
      <c r="B45" s="13" t="str">
        <f>VLOOKUP(Table3[[#This Row],[HazardRisk_id]], categories[], 5, FALSE)</f>
        <v>Assessment</v>
      </c>
      <c r="C45" s="14" t="str">
        <f>VLOOKUP(Table3[[#This Row],[HazardRisk_id]], categories[], 2, FALSE)</f>
        <v>Lacking modelling</v>
      </c>
      <c r="D45" s="15" t="str">
        <f>VLOOKUP(Table3[[#This Row],[HazardRisk_id]], categories[], 3, FALSE)</f>
        <v>With the remoteness and inpredictability of the Arctic, this creates difficulty in modelling safe and the most efficient routes due to ongoing evnironmental changes and hazards being present.</v>
      </c>
      <c r="E45" s="15">
        <f>COUNTIFS(FMECA[HazardRisk_name],Table3[[#This Row],[HazardRisk_name]])</f>
        <v>6</v>
      </c>
      <c r="F45" s="15">
        <f>SUMIFS(FMECA[probability_value], FMECA[HazardRisk_name], Table3[[#This Row],[HazardRisk_name]])</f>
        <v>26</v>
      </c>
      <c r="G45" s="15">
        <f>AVERAGEIFS(FMECA[probability_value],FMECA[HazardRisk_name],Table3[[#This Row],[HazardRisk_name]])</f>
        <v>4.333333333333333</v>
      </c>
      <c r="H45" s="15" cm="1">
        <f t="array" ref="H45">STDEVP(IF(FMECA[HazardRisk_name]=Table3[[#This Row],[HazardRisk_name]],FMECA[probability_value]))</f>
        <v>0.47140452079103168</v>
      </c>
      <c r="I45" s="15">
        <f>SUMIFS(FMECA[consequence_value], FMECA[HazardRisk_name], Table3[[#This Row],[HazardRisk_name]])</f>
        <v>33</v>
      </c>
      <c r="J45" s="15">
        <f>AVERAGEIFS(FMECA[consequence_value],FMECA[HazardRisk_name],Table3[[#This Row],[HazardRisk_name]])</f>
        <v>5.5</v>
      </c>
      <c r="K45" s="15" cm="1">
        <f t="array" ref="K45">STDEVP(IF(FMECA[HazardRisk_name]=Table3[[#This Row],[HazardRisk_name]],FMECA[consequence_value]))</f>
        <v>1.5</v>
      </c>
      <c r="L45" s="23">
        <f>AVERAGEIFS(FMECA[Score],FMECA[HazardRisk_name],Table3[[#This Row],[HazardRisk_name]])</f>
        <v>23.833333333333332</v>
      </c>
      <c r="M45" s="23" cm="1">
        <f t="array" ref="M45">STDEVP(IF(FMECA[HazardRisk_name]=Table3[[#This Row],[HazardRisk_name]],FMECA[Score]))</f>
        <v>7.0336492820030641</v>
      </c>
      <c r="N45" s="15">
        <f>COUNTIFS(FMECA_data!P:P, "Theoretical", FMECA_data!I:I,Table3[[#This Row],[HazardRisk_name]])</f>
        <v>1</v>
      </c>
      <c r="O45" s="15">
        <f>COUNTIFS(FMECA_data!P:P, "Observational", FMECA_data!I:I,Table3[[#This Row],[HazardRisk_name]])</f>
        <v>4</v>
      </c>
      <c r="P45" s="15">
        <f>COUNTIFS(FMECA_data!P:P, "Hybrid", FMECA_data!I:I,Table3[[#This Row],[HazardRisk_name]])</f>
        <v>1</v>
      </c>
      <c r="Q45" s="15">
        <f>COUNTIFS(FMECA_data!P:P, "Modelling", FMECA_data!I:I,Table3[[#This Row],[HazardRisk_name]])</f>
        <v>0</v>
      </c>
      <c r="R45" s="23">
        <f>COUNTIFS(FMECA[data_deficient], "Yes",FMECA[HazardRisk_name],Table3[[#This Row],[HazardRisk_name]])</f>
        <v>0</v>
      </c>
      <c r="S45" s="23">
        <f>(COUNTIFS(FMECA[availability], "Yes",FMECA[HazardRisk_name],Table3[[#This Row],[HazardRisk_name]])) + (COUNTIFS(FMECA[availability], "Available",FMECA[HazardRisk_name],Table3[[#This Row],[HazardRisk_name]]))</f>
        <v>2</v>
      </c>
      <c r="T45" s="23">
        <f>COUNTIFS(FMECA[RR], "VERY HIGH",FMECA[HazardRisk_name],Table3[[#This Row],[HazardRisk_name]])</f>
        <v>0</v>
      </c>
      <c r="U45" s="22">
        <f>Table3[[#This Row],[vh_count]]/Table3[[#This Row],[risk_counts]]</f>
        <v>0</v>
      </c>
      <c r="V45" s="23">
        <f>COUNTIFS(FMECA[RR], "HIGH",FMECA[HazardRisk_name],Table3[[#This Row],[HazardRisk_name]])</f>
        <v>3</v>
      </c>
      <c r="W45" s="22">
        <f>Table3[[#This Row],[h_count]]/Table3[[#This Row],[risk_counts]]</f>
        <v>0.5</v>
      </c>
      <c r="X45" s="23">
        <f>COUNTIFS(FMECA[RR], "MODERATE",FMECA[HazardRisk_name],Table3[[#This Row],[HazardRisk_name]])</f>
        <v>3</v>
      </c>
      <c r="Y45" s="22">
        <f>Table3[[#This Row],[m_count]]/Table3[[#This Row],[risk_counts]]</f>
        <v>0.5</v>
      </c>
      <c r="Z45" s="23">
        <f>COUNTIFS(FMECA[RR], "UNDETECTABLE",FMECA[HazardRisk_name],Table3[[#This Row],[HazardRisk_name]])</f>
        <v>0</v>
      </c>
      <c r="AA45" s="22">
        <f>Table3[[#This Row],[l_count]]/Table3[[#This Row],[risk_counts]]</f>
        <v>0</v>
      </c>
      <c r="AI45" s="16" t="str">
        <f>VLOOKUP(Table3[[#This Row],[HazardRisk_id]], categories[], 4, FALSE)</f>
        <v>Risk</v>
      </c>
      <c r="AJ45" s="16">
        <f>(COUNTIFS(FMECA[availability], "Unknown",FMECA[HazardRisk_name],Table3[[#This Row],[HazardRisk_name]]))</f>
        <v>3</v>
      </c>
    </row>
    <row r="46" spans="1:36" ht="51" x14ac:dyDescent="0.2">
      <c r="A46" s="16" t="s">
        <v>575</v>
      </c>
      <c r="B46" s="13" t="str">
        <f>VLOOKUP(Table3[[#This Row],[HazardRisk_id]], categories[], 5, FALSE)</f>
        <v>Navigational</v>
      </c>
      <c r="C46" s="14" t="str">
        <f>VLOOKUP(Table3[[#This Row],[HazardRisk_id]], categories[], 2, FALSE)</f>
        <v>Lacking navigation tools</v>
      </c>
      <c r="D46" s="15" t="str">
        <f>VLOOKUP(Table3[[#This Row],[HazardRisk_id]], categories[], 3, FALSE)</f>
        <v>Outdated charts and navigational tools allow vessel operators to travel trough waters where they are unknown of the present-day conditions. This descrepancy may cause accidents, grounding, and evironmental damage to occur.</v>
      </c>
      <c r="E46" s="15">
        <f>COUNTIFS(FMECA[HazardRisk_name],Table3[[#This Row],[HazardRisk_name]])</f>
        <v>16</v>
      </c>
      <c r="F46" s="15">
        <f>SUMIFS(FMECA[probability_value], FMECA[HazardRisk_name], Table3[[#This Row],[HazardRisk_name]])</f>
        <v>56</v>
      </c>
      <c r="G46" s="15">
        <f>AVERAGEIFS(FMECA[probability_value],FMECA[HazardRisk_name],Table3[[#This Row],[HazardRisk_name]])</f>
        <v>3.5</v>
      </c>
      <c r="H46" s="15" cm="1">
        <f t="array" ref="H46">STDEVP(IF(FMECA[HazardRisk_name]=Table3[[#This Row],[HazardRisk_name]],FMECA[probability_value]))</f>
        <v>0.70710678118654757</v>
      </c>
      <c r="I46" s="15">
        <f>SUMIFS(FMECA[consequence_value], FMECA[HazardRisk_name], Table3[[#This Row],[HazardRisk_name]])</f>
        <v>108</v>
      </c>
      <c r="J46" s="15">
        <f>AVERAGEIFS(FMECA[consequence_value],FMECA[HazardRisk_name],Table3[[#This Row],[HazardRisk_name]])</f>
        <v>6.75</v>
      </c>
      <c r="K46" s="15" cm="1">
        <f t="array" ref="K46">STDEVP(IF(FMECA[HazardRisk_name]=Table3[[#This Row],[HazardRisk_name]],FMECA[consequence_value]))</f>
        <v>1.6393596310755001</v>
      </c>
      <c r="L46" s="23">
        <f>AVERAGEIFS(FMECA[Score],FMECA[HazardRisk_name],Table3[[#This Row],[HazardRisk_name]])</f>
        <v>23.3125</v>
      </c>
      <c r="M46" s="23" cm="1">
        <f t="array" ref="M46">STDEVP(IF(FMECA[HazardRisk_name]=Table3[[#This Row],[HazardRisk_name]],FMECA[Score]))</f>
        <v>6.742762323410191</v>
      </c>
      <c r="N46" s="15">
        <f>COUNTIFS(FMECA_data!P:P, "Theoretical", FMECA_data!I:I,Table3[[#This Row],[HazardRisk_name]])</f>
        <v>5</v>
      </c>
      <c r="O46" s="15">
        <f>COUNTIFS(FMECA_data!P:P, "Observational", FMECA_data!I:I,Table3[[#This Row],[HazardRisk_name]])</f>
        <v>4</v>
      </c>
      <c r="P46" s="15">
        <f>COUNTIFS(FMECA_data!P:P, "Hybrid", FMECA_data!I:I,Table3[[#This Row],[HazardRisk_name]])</f>
        <v>5</v>
      </c>
      <c r="Q46" s="15">
        <f>COUNTIFS(FMECA_data!P:P, "Modelling", FMECA_data!I:I,Table3[[#This Row],[HazardRisk_name]])</f>
        <v>2</v>
      </c>
      <c r="R46" s="23">
        <f>COUNTIFS(FMECA[data_deficient], "Yes",FMECA[HazardRisk_name],Table3[[#This Row],[HazardRisk_name]])</f>
        <v>2</v>
      </c>
      <c r="S46" s="23">
        <f>(COUNTIFS(FMECA[availability], "Yes",FMECA[HazardRisk_name],Table3[[#This Row],[HazardRisk_name]])) + (COUNTIFS(FMECA[availability], "Available",FMECA[HazardRisk_name],Table3[[#This Row],[HazardRisk_name]]))</f>
        <v>4</v>
      </c>
      <c r="T46" s="23">
        <f>COUNTIFS(FMECA[RR], "VERY HIGH",FMECA[HazardRisk_name],Table3[[#This Row],[HazardRisk_name]])</f>
        <v>1</v>
      </c>
      <c r="U46" s="22">
        <f>Table3[[#This Row],[vh_count]]/Table3[[#This Row],[risk_counts]]</f>
        <v>6.25E-2</v>
      </c>
      <c r="V46" s="23">
        <f>COUNTIFS(FMECA[RR], "HIGH",FMECA[HazardRisk_name],Table3[[#This Row],[HazardRisk_name]])</f>
        <v>4</v>
      </c>
      <c r="W46" s="22">
        <f>Table3[[#This Row],[h_count]]/Table3[[#This Row],[risk_counts]]</f>
        <v>0.25</v>
      </c>
      <c r="X46" s="23">
        <f>COUNTIFS(FMECA[RR], "MODERATE",FMECA[HazardRisk_name],Table3[[#This Row],[HazardRisk_name]])</f>
        <v>11</v>
      </c>
      <c r="Y46" s="22">
        <f>Table3[[#This Row],[m_count]]/Table3[[#This Row],[risk_counts]]</f>
        <v>0.6875</v>
      </c>
      <c r="Z46" s="23">
        <f>COUNTIFS(FMECA[RR], "UNDETECTABLE",FMECA[HazardRisk_name],Table3[[#This Row],[HazardRisk_name]])</f>
        <v>0</v>
      </c>
      <c r="AA46" s="22">
        <f>Table3[[#This Row],[l_count]]/Table3[[#This Row],[risk_counts]]</f>
        <v>0</v>
      </c>
      <c r="AI46" s="16" t="str">
        <f>VLOOKUP(Table3[[#This Row],[HazardRisk_id]], categories[], 4, FALSE)</f>
        <v>Risk</v>
      </c>
      <c r="AJ46" s="16">
        <f>(COUNTIFS(FMECA[availability], "Unknown",FMECA[HazardRisk_name],Table3[[#This Row],[HazardRisk_name]]))</f>
        <v>8</v>
      </c>
    </row>
    <row r="47" spans="1:36" ht="51" x14ac:dyDescent="0.2">
      <c r="A47" s="16" t="s">
        <v>576</v>
      </c>
      <c r="B47" s="13" t="str">
        <f>VLOOKUP(Table3[[#This Row],[HazardRisk_id]], categories[], 5, FALSE)</f>
        <v>Social</v>
      </c>
      <c r="C47" s="14" t="str">
        <f>VLOOKUP(Table3[[#This Row],[HazardRisk_id]], categories[], 2, FALSE)</f>
        <v>Lacking shipping infrastructure and services</v>
      </c>
      <c r="D47" s="15" t="str">
        <f>VLOOKUP(Table3[[#This Row],[HazardRisk_id]], categories[], 3, FALSE)</f>
        <v>Due to the limited infrastructure available, search and rescue vessels will have increased wait times in the event of an emergency, causing reduced availability for vessels in distress.</v>
      </c>
      <c r="E47" s="15">
        <f>COUNTIFS(FMECA[HazardRisk_name],Table3[[#This Row],[HazardRisk_name]])</f>
        <v>22</v>
      </c>
      <c r="F47" s="15">
        <f>SUMIFS(FMECA[probability_value], FMECA[HazardRisk_name], Table3[[#This Row],[HazardRisk_name]])</f>
        <v>88</v>
      </c>
      <c r="G47" s="15">
        <f>AVERAGEIFS(FMECA[probability_value],FMECA[HazardRisk_name],Table3[[#This Row],[HazardRisk_name]])</f>
        <v>4</v>
      </c>
      <c r="H47" s="15" cm="1">
        <f t="array" ref="H47">STDEVP(IF(FMECA[HazardRisk_name]=Table3[[#This Row],[HazardRisk_name]],FMECA[probability_value]))</f>
        <v>0.85280286542244177</v>
      </c>
      <c r="I47" s="15">
        <f>SUMIFS(FMECA[consequence_value], FMECA[HazardRisk_name], Table3[[#This Row],[HazardRisk_name]])</f>
        <v>154</v>
      </c>
      <c r="J47" s="15">
        <f>AVERAGEIFS(FMECA[consequence_value],FMECA[HazardRisk_name],Table3[[#This Row],[HazardRisk_name]])</f>
        <v>7</v>
      </c>
      <c r="K47" s="15" cm="1">
        <f t="array" ref="K47">STDEVP(IF(FMECA[HazardRisk_name]=Table3[[#This Row],[HazardRisk_name]],FMECA[consequence_value]))</f>
        <v>1.5666989036012806</v>
      </c>
      <c r="L47" s="23">
        <f>AVERAGEIFS(FMECA[Score],FMECA[HazardRisk_name],Table3[[#This Row],[HazardRisk_name]])</f>
        <v>27.727272727272727</v>
      </c>
      <c r="M47" s="23" cm="1">
        <f t="array" ref="M47">STDEVP(IF(FMECA[HazardRisk_name]=Table3[[#This Row],[HazardRisk_name]],FMECA[Score]))</f>
        <v>7.6999517010398906</v>
      </c>
      <c r="N47" s="15">
        <f>COUNTIFS(FMECA_data!P:P, "Theoretical", FMECA_data!I:I,Table3[[#This Row],[HazardRisk_name]])</f>
        <v>10</v>
      </c>
      <c r="O47" s="15">
        <f>COUNTIFS(FMECA_data!P:P, "Observational", FMECA_data!I:I,Table3[[#This Row],[HazardRisk_name]])</f>
        <v>7</v>
      </c>
      <c r="P47" s="15">
        <f>COUNTIFS(FMECA_data!P:P, "Hybrid", FMECA_data!I:I,Table3[[#This Row],[HazardRisk_name]])</f>
        <v>4</v>
      </c>
      <c r="Q47" s="15">
        <f>COUNTIFS(FMECA_data!P:P, "Modelling", FMECA_data!I:I,Table3[[#This Row],[HazardRisk_name]])</f>
        <v>1</v>
      </c>
      <c r="R47" s="23">
        <f>COUNTIFS(FMECA[data_deficient], "Yes",FMECA[HazardRisk_name],Table3[[#This Row],[HazardRisk_name]])</f>
        <v>6</v>
      </c>
      <c r="S47" s="23">
        <f>(COUNTIFS(FMECA[availability], "Yes",FMECA[HazardRisk_name],Table3[[#This Row],[HazardRisk_name]])) + (COUNTIFS(FMECA[availability], "Available",FMECA[HazardRisk_name],Table3[[#This Row],[HazardRisk_name]]))</f>
        <v>5</v>
      </c>
      <c r="T47" s="23">
        <f>COUNTIFS(FMECA[RR], "VERY HIGH",FMECA[HazardRisk_name],Table3[[#This Row],[HazardRisk_name]])</f>
        <v>2</v>
      </c>
      <c r="U47" s="22">
        <f>Table3[[#This Row],[vh_count]]/Table3[[#This Row],[risk_counts]]</f>
        <v>9.0909090909090912E-2</v>
      </c>
      <c r="V47" s="23">
        <f>COUNTIFS(FMECA[RR], "HIGH",FMECA[HazardRisk_name],Table3[[#This Row],[HazardRisk_name]])</f>
        <v>12</v>
      </c>
      <c r="W47" s="22">
        <f>Table3[[#This Row],[h_count]]/Table3[[#This Row],[risk_counts]]</f>
        <v>0.54545454545454541</v>
      </c>
      <c r="X47" s="23">
        <f>COUNTIFS(FMECA[RR], "MODERATE",FMECA[HazardRisk_name],Table3[[#This Row],[HazardRisk_name]])</f>
        <v>8</v>
      </c>
      <c r="Y47" s="22">
        <f>Table3[[#This Row],[m_count]]/Table3[[#This Row],[risk_counts]]</f>
        <v>0.36363636363636365</v>
      </c>
      <c r="Z47" s="23">
        <f>COUNTIFS(FMECA[RR], "UNDETECTABLE",FMECA[HazardRisk_name],Table3[[#This Row],[HazardRisk_name]])</f>
        <v>0</v>
      </c>
      <c r="AA47" s="22">
        <f>Table3[[#This Row],[l_count]]/Table3[[#This Row],[risk_counts]]</f>
        <v>0</v>
      </c>
      <c r="AI47" s="16" t="str">
        <f>VLOOKUP(Table3[[#This Row],[HazardRisk_id]], categories[], 4, FALSE)</f>
        <v>Risk</v>
      </c>
      <c r="AJ47" s="16">
        <f>(COUNTIFS(FMECA[availability], "Unknown",FMECA[HazardRisk_name],Table3[[#This Row],[HazardRisk_name]]))</f>
        <v>6</v>
      </c>
    </row>
    <row r="48" spans="1:36" ht="51" x14ac:dyDescent="0.2">
      <c r="A48" s="16" t="s">
        <v>578</v>
      </c>
      <c r="B48" s="13" t="str">
        <f>VLOOKUP(Table3[[#This Row],[HazardRisk_id]], categories[], 5, FALSE)</f>
        <v>Technological</v>
      </c>
      <c r="C48" s="14" t="str">
        <f>VLOOKUP(Table3[[#This Row],[HazardRisk_id]], categories[], 2, FALSE)</f>
        <v>Lacking technological advances</v>
      </c>
      <c r="D48" s="15" t="str">
        <f>VLOOKUP(Table3[[#This Row],[HazardRisk_id]], categories[], 3, FALSE)</f>
        <v>Technological advances in vessel cannot be recplicated in Arctic environments due to the harsh conditions. This creates lower effeciency and reduces safety measure options for Arctic vessels.</v>
      </c>
      <c r="E48" s="15">
        <f>COUNTIFS(FMECA[HazardRisk_name],Table3[[#This Row],[HazardRisk_name]])</f>
        <v>5</v>
      </c>
      <c r="F48" s="15">
        <f>SUMIFS(FMECA[probability_value], FMECA[HazardRisk_name], Table3[[#This Row],[HazardRisk_name]])</f>
        <v>20</v>
      </c>
      <c r="G48" s="15">
        <f>AVERAGEIFS(FMECA[probability_value],FMECA[HazardRisk_name],Table3[[#This Row],[HazardRisk_name]])</f>
        <v>4</v>
      </c>
      <c r="H48" s="15" cm="1">
        <f t="array" ref="H48">STDEVP(IF(FMECA[HazardRisk_name]=Table3[[#This Row],[HazardRisk_name]],FMECA[probability_value]))</f>
        <v>0.63245553203367588</v>
      </c>
      <c r="I48" s="15">
        <f>SUMIFS(FMECA[consequence_value], FMECA[HazardRisk_name], Table3[[#This Row],[HazardRisk_name]])</f>
        <v>26</v>
      </c>
      <c r="J48" s="15">
        <f>AVERAGEIFS(FMECA[consequence_value],FMECA[HazardRisk_name],Table3[[#This Row],[HazardRisk_name]])</f>
        <v>5.2</v>
      </c>
      <c r="K48" s="15" cm="1">
        <f t="array" ref="K48">STDEVP(IF(FMECA[HazardRisk_name]=Table3[[#This Row],[HazardRisk_name]],FMECA[consequence_value]))</f>
        <v>1.4696938456699069</v>
      </c>
      <c r="L48" s="23">
        <f>AVERAGEIFS(FMECA[Score],FMECA[HazardRisk_name],Table3[[#This Row],[HazardRisk_name]])</f>
        <v>21.4</v>
      </c>
      <c r="M48" s="23" cm="1">
        <f t="array" ref="M48">STDEVP(IF(FMECA[HazardRisk_name]=Table3[[#This Row],[HazardRisk_name]],FMECA[Score]))</f>
        <v>8.6625631310830862</v>
      </c>
      <c r="N48" s="15">
        <f>COUNTIFS(FMECA_data!P:P, "Theoretical", FMECA_data!I:I,Table3[[#This Row],[HazardRisk_name]])</f>
        <v>1</v>
      </c>
      <c r="O48" s="15">
        <f>COUNTIFS(FMECA_data!P:P, "Observational", FMECA_data!I:I,Table3[[#This Row],[HazardRisk_name]])</f>
        <v>0</v>
      </c>
      <c r="P48" s="15">
        <f>COUNTIFS(FMECA_data!P:P, "Hybrid", FMECA_data!I:I,Table3[[#This Row],[HazardRisk_name]])</f>
        <v>2</v>
      </c>
      <c r="Q48" s="15">
        <f>COUNTIFS(FMECA_data!P:P, "Modelling", FMECA_data!I:I,Table3[[#This Row],[HazardRisk_name]])</f>
        <v>2</v>
      </c>
      <c r="R48" s="23">
        <f>COUNTIFS(FMECA[data_deficient], "Yes",FMECA[HazardRisk_name],Table3[[#This Row],[HazardRisk_name]])</f>
        <v>0</v>
      </c>
      <c r="S48" s="23">
        <f>(COUNTIFS(FMECA[availability], "Yes",FMECA[HazardRisk_name],Table3[[#This Row],[HazardRisk_name]])) + (COUNTIFS(FMECA[availability], "Available",FMECA[HazardRisk_name],Table3[[#This Row],[HazardRisk_name]]))</f>
        <v>1</v>
      </c>
      <c r="T48" s="23">
        <f>COUNTIFS(FMECA[RR], "VERY HIGH",FMECA[HazardRisk_name],Table3[[#This Row],[HazardRisk_name]])</f>
        <v>0</v>
      </c>
      <c r="U48" s="22">
        <f>Table3[[#This Row],[vh_count]]/Table3[[#This Row],[risk_counts]]</f>
        <v>0</v>
      </c>
      <c r="V48" s="23">
        <f>COUNTIFS(FMECA[RR], "HIGH",FMECA[HazardRisk_name],Table3[[#This Row],[HazardRisk_name]])</f>
        <v>2</v>
      </c>
      <c r="W48" s="22">
        <f>Table3[[#This Row],[h_count]]/Table3[[#This Row],[risk_counts]]</f>
        <v>0.4</v>
      </c>
      <c r="X48" s="23">
        <f>COUNTIFS(FMECA[RR], "MODERATE",FMECA[HazardRisk_name],Table3[[#This Row],[HazardRisk_name]])</f>
        <v>3</v>
      </c>
      <c r="Y48" s="22">
        <f>Table3[[#This Row],[m_count]]/Table3[[#This Row],[risk_counts]]</f>
        <v>0.6</v>
      </c>
      <c r="Z48" s="23">
        <f>COUNTIFS(FMECA[RR], "UNDETECTABLE",FMECA[HazardRisk_name],Table3[[#This Row],[HazardRisk_name]])</f>
        <v>0</v>
      </c>
      <c r="AA48" s="22">
        <f>Table3[[#This Row],[l_count]]/Table3[[#This Row],[risk_counts]]</f>
        <v>0</v>
      </c>
      <c r="AI48" s="16" t="str">
        <f>VLOOKUP(Table3[[#This Row],[HazardRisk_id]], categories[], 4, FALSE)</f>
        <v>Risk</v>
      </c>
      <c r="AJ48" s="16">
        <f>(COUNTIFS(FMECA[availability], "Unknown",FMECA[HazardRisk_name],Table3[[#This Row],[HazardRisk_name]]))</f>
        <v>3</v>
      </c>
    </row>
    <row r="49" spans="1:36" ht="34" x14ac:dyDescent="0.2">
      <c r="A49" s="16" t="s">
        <v>579</v>
      </c>
      <c r="B49" s="13" t="str">
        <f>VLOOKUP(Table3[[#This Row],[HazardRisk_id]], categories[], 5, FALSE)</f>
        <v>Political</v>
      </c>
      <c r="C49" s="14" t="str">
        <f>VLOOKUP(Table3[[#This Row],[HazardRisk_id]], categories[], 2, FALSE)</f>
        <v>Legal dispute over northwest passage staus</v>
      </c>
      <c r="D49" s="15" t="str">
        <f>VLOOKUP(Table3[[#This Row],[HazardRisk_id]], categories[], 3, FALSE)</f>
        <v>With competing international interests regarding the NWP inducing geo-political tensions, this indueces possible delays amnd legal obstacles regarding navigation.</v>
      </c>
      <c r="E49" s="15">
        <f>COUNTIFS(FMECA[HazardRisk_name],Table3[[#This Row],[HazardRisk_name]])</f>
        <v>1</v>
      </c>
      <c r="F49" s="15">
        <f>SUMIFS(FMECA[probability_value], FMECA[HazardRisk_name], Table3[[#This Row],[HazardRisk_name]])</f>
        <v>5</v>
      </c>
      <c r="G49" s="15">
        <f>AVERAGEIFS(FMECA[probability_value],FMECA[HazardRisk_name],Table3[[#This Row],[HazardRisk_name]])</f>
        <v>5</v>
      </c>
      <c r="H49" s="15" cm="1">
        <f t="array" ref="H49">STDEVP(IF(FMECA[HazardRisk_name]=Table3[[#This Row],[HazardRisk_name]],FMECA[probability_value]))</f>
        <v>0</v>
      </c>
      <c r="I49" s="15">
        <f>SUMIFS(FMECA[consequence_value], FMECA[HazardRisk_name], Table3[[#This Row],[HazardRisk_name]])</f>
        <v>4</v>
      </c>
      <c r="J49" s="15">
        <f>AVERAGEIFS(FMECA[consequence_value],FMECA[HazardRisk_name],Table3[[#This Row],[HazardRisk_name]])</f>
        <v>4</v>
      </c>
      <c r="K49" s="15" cm="1">
        <f t="array" ref="K49">STDEVP(IF(FMECA[HazardRisk_name]=Table3[[#This Row],[HazardRisk_name]],FMECA[consequence_value]))</f>
        <v>0</v>
      </c>
      <c r="L49" s="23">
        <f>AVERAGEIFS(FMECA[Score],FMECA[HazardRisk_name],Table3[[#This Row],[HazardRisk_name]])</f>
        <v>20</v>
      </c>
      <c r="M49" s="23" cm="1">
        <f t="array" ref="M49">STDEVP(IF(FMECA[HazardRisk_name]=Table3[[#This Row],[HazardRisk_name]],FMECA[Score]))</f>
        <v>0</v>
      </c>
      <c r="N49" s="15">
        <f>COUNTIFS(FMECA_data!P:P, "Theoretical", FMECA_data!I:I,Table3[[#This Row],[HazardRisk_name]])</f>
        <v>1</v>
      </c>
      <c r="O49" s="15">
        <f>COUNTIFS(FMECA_data!P:P, "Observational", FMECA_data!I:I,Table3[[#This Row],[HazardRisk_name]])</f>
        <v>0</v>
      </c>
      <c r="P49" s="15">
        <f>COUNTIFS(FMECA_data!P:P, "Hybrid", FMECA_data!I:I,Table3[[#This Row],[HazardRisk_name]])</f>
        <v>0</v>
      </c>
      <c r="Q49" s="15">
        <f>COUNTIFS(FMECA_data!P:P, "Modelling", FMECA_data!I:I,Table3[[#This Row],[HazardRisk_name]])</f>
        <v>0</v>
      </c>
      <c r="R49" s="23">
        <f>COUNTIFS(FMECA[data_deficient], "Yes",FMECA[HazardRisk_name],Table3[[#This Row],[HazardRisk_name]])</f>
        <v>0</v>
      </c>
      <c r="S49" s="23">
        <f>(COUNTIFS(FMECA[availability], "Yes",FMECA[HazardRisk_name],Table3[[#This Row],[HazardRisk_name]])) + (COUNTIFS(FMECA[availability], "Available",FMECA[HazardRisk_name],Table3[[#This Row],[HazardRisk_name]]))</f>
        <v>0</v>
      </c>
      <c r="T49" s="23">
        <f>COUNTIFS(FMECA[RR], "VERY HIGH",FMECA[HazardRisk_name],Table3[[#This Row],[HazardRisk_name]])</f>
        <v>0</v>
      </c>
      <c r="U49" s="22">
        <f>Table3[[#This Row],[vh_count]]/Table3[[#This Row],[risk_counts]]</f>
        <v>0</v>
      </c>
      <c r="V49" s="23">
        <f>COUNTIFS(FMECA[RR], "HIGH",FMECA[HazardRisk_name],Table3[[#This Row],[HazardRisk_name]])</f>
        <v>0</v>
      </c>
      <c r="W49" s="22">
        <f>Table3[[#This Row],[h_count]]/Table3[[#This Row],[risk_counts]]</f>
        <v>0</v>
      </c>
      <c r="X49" s="23">
        <f>COUNTIFS(FMECA[RR], "MODERATE",FMECA[HazardRisk_name],Table3[[#This Row],[HazardRisk_name]])</f>
        <v>1</v>
      </c>
      <c r="Y49" s="22">
        <f>Table3[[#This Row],[m_count]]/Table3[[#This Row],[risk_counts]]</f>
        <v>1</v>
      </c>
      <c r="Z49" s="23">
        <f>COUNTIFS(FMECA[RR], "UNDETECTABLE",FMECA[HazardRisk_name],Table3[[#This Row],[HazardRisk_name]])</f>
        <v>0</v>
      </c>
      <c r="AA49" s="22">
        <f>Table3[[#This Row],[l_count]]/Table3[[#This Row],[risk_counts]]</f>
        <v>0</v>
      </c>
      <c r="AI49" s="16" t="str">
        <f>VLOOKUP(Table3[[#This Row],[HazardRisk_id]], categories[], 4, FALSE)</f>
        <v>Risk</v>
      </c>
      <c r="AJ49" s="16">
        <f>(COUNTIFS(FMECA[availability], "Unknown",FMECA[HazardRisk_name],Table3[[#This Row],[HazardRisk_name]]))</f>
        <v>0</v>
      </c>
    </row>
    <row r="50" spans="1:36" ht="51" x14ac:dyDescent="0.2">
      <c r="A50" s="16" t="s">
        <v>580</v>
      </c>
      <c r="B50" s="13" t="str">
        <f>VLOOKUP(Table3[[#This Row],[HazardRisk_id]], categories[], 5, FALSE)</f>
        <v>Technological</v>
      </c>
      <c r="C50" s="14" t="str">
        <f>VLOOKUP(Table3[[#This Row],[HazardRisk_id]], categories[], 2, FALSE)</f>
        <v>Limited Application of BC Abatement Technologies</v>
      </c>
      <c r="D50" s="15" t="str">
        <f>VLOOKUP(Table3[[#This Row],[HazardRisk_id]], categories[], 3, FALSE)</f>
        <v>Due to the limited technology being applicable to be implented in the harsh conditions of the Arctic, this creates higher emissions from vessels and increased difficulty to transition vessels into regulatory complaiance if caught in violation.</v>
      </c>
      <c r="E50" s="15">
        <f>COUNTIFS(FMECA[HazardRisk_name],Table3[[#This Row],[HazardRisk_name]])</f>
        <v>1</v>
      </c>
      <c r="F50" s="15">
        <f>SUMIFS(FMECA[probability_value], FMECA[HazardRisk_name], Table3[[#This Row],[HazardRisk_name]])</f>
        <v>3</v>
      </c>
      <c r="G50" s="15">
        <f>AVERAGEIFS(FMECA[probability_value],FMECA[HazardRisk_name],Table3[[#This Row],[HazardRisk_name]])</f>
        <v>3</v>
      </c>
      <c r="H50" s="15" cm="1">
        <f t="array" ref="H50">STDEVP(IF(FMECA[HazardRisk_name]=Table3[[#This Row],[HazardRisk_name]],FMECA[probability_value]))</f>
        <v>0</v>
      </c>
      <c r="I50" s="15">
        <f>SUMIFS(FMECA[consequence_value], FMECA[HazardRisk_name], Table3[[#This Row],[HazardRisk_name]])</f>
        <v>7</v>
      </c>
      <c r="J50" s="15">
        <f>AVERAGEIFS(FMECA[consequence_value],FMECA[HazardRisk_name],Table3[[#This Row],[HazardRisk_name]])</f>
        <v>7</v>
      </c>
      <c r="K50" s="15" cm="1">
        <f t="array" ref="K50">STDEVP(IF(FMECA[HazardRisk_name]=Table3[[#This Row],[HazardRisk_name]],FMECA[consequence_value]))</f>
        <v>0</v>
      </c>
      <c r="L50" s="23">
        <f>AVERAGEIFS(FMECA[Score],FMECA[HazardRisk_name],Table3[[#This Row],[HazardRisk_name]])</f>
        <v>21</v>
      </c>
      <c r="M50" s="23" cm="1">
        <f t="array" ref="M50">STDEVP(IF(FMECA[HazardRisk_name]=Table3[[#This Row],[HazardRisk_name]],FMECA[Score]))</f>
        <v>0</v>
      </c>
      <c r="N50" s="15">
        <f>COUNTIFS(FMECA_data!P:P, "Theoretical", FMECA_data!I:I,Table3[[#This Row],[HazardRisk_name]])</f>
        <v>0</v>
      </c>
      <c r="O50" s="15">
        <f>COUNTIFS(FMECA_data!P:P, "Observational", FMECA_data!I:I,Table3[[#This Row],[HazardRisk_name]])</f>
        <v>0</v>
      </c>
      <c r="P50" s="15">
        <f>COUNTIFS(FMECA_data!P:P, "Hybrid", FMECA_data!I:I,Table3[[#This Row],[HazardRisk_name]])</f>
        <v>1</v>
      </c>
      <c r="Q50" s="15">
        <f>COUNTIFS(FMECA_data!P:P, "Modelling", FMECA_data!I:I,Table3[[#This Row],[HazardRisk_name]])</f>
        <v>0</v>
      </c>
      <c r="R50" s="23">
        <f>COUNTIFS(FMECA[data_deficient], "Yes",FMECA[HazardRisk_name],Table3[[#This Row],[HazardRisk_name]])</f>
        <v>0</v>
      </c>
      <c r="S50" s="23">
        <f>(COUNTIFS(FMECA[availability], "Yes",FMECA[HazardRisk_name],Table3[[#This Row],[HazardRisk_name]])) + (COUNTIFS(FMECA[availability], "Available",FMECA[HazardRisk_name],Table3[[#This Row],[HazardRisk_name]]))</f>
        <v>0</v>
      </c>
      <c r="T50" s="23">
        <f>COUNTIFS(FMECA[RR], "VERY HIGH",FMECA[HazardRisk_name],Table3[[#This Row],[HazardRisk_name]])</f>
        <v>0</v>
      </c>
      <c r="U50" s="22">
        <f>Table3[[#This Row],[vh_count]]/Table3[[#This Row],[risk_counts]]</f>
        <v>0</v>
      </c>
      <c r="V50" s="23">
        <f>COUNTIFS(FMECA[RR], "HIGH",FMECA[HazardRisk_name],Table3[[#This Row],[HazardRisk_name]])</f>
        <v>0</v>
      </c>
      <c r="W50" s="22">
        <f>Table3[[#This Row],[h_count]]/Table3[[#This Row],[risk_counts]]</f>
        <v>0</v>
      </c>
      <c r="X50" s="23">
        <f>COUNTIFS(FMECA[RR], "MODERATE",FMECA[HazardRisk_name],Table3[[#This Row],[HazardRisk_name]])</f>
        <v>1</v>
      </c>
      <c r="Y50" s="22">
        <f>Table3[[#This Row],[m_count]]/Table3[[#This Row],[risk_counts]]</f>
        <v>1</v>
      </c>
      <c r="Z50" s="23">
        <f>COUNTIFS(FMECA[RR], "UNDETECTABLE",FMECA[HazardRisk_name],Table3[[#This Row],[HazardRisk_name]])</f>
        <v>0</v>
      </c>
      <c r="AA50" s="22">
        <f>Table3[[#This Row],[l_count]]/Table3[[#This Row],[risk_counts]]</f>
        <v>0</v>
      </c>
      <c r="AI50" s="16" t="str">
        <f>VLOOKUP(Table3[[#This Row],[HazardRisk_id]], categories[], 4, FALSE)</f>
        <v>Risk</v>
      </c>
      <c r="AJ50" s="16">
        <f>(COUNTIFS(FMECA[availability], "Unknown",FMECA[HazardRisk_name],Table3[[#This Row],[HazardRisk_name]]))</f>
        <v>1</v>
      </c>
    </row>
    <row r="51" spans="1:36" ht="51" x14ac:dyDescent="0.2">
      <c r="A51" s="16" t="s">
        <v>581</v>
      </c>
      <c r="B51" s="13" t="str">
        <f>VLOOKUP(Table3[[#This Row],[HazardRisk_id]], categories[], 5, FALSE)</f>
        <v>Operational</v>
      </c>
      <c r="C51" s="14" t="str">
        <f>VLOOKUP(Table3[[#This Row],[HazardRisk_id]], categories[], 2, FALSE)</f>
        <v>Load capacity</v>
      </c>
      <c r="D51" s="15" t="str">
        <f>VLOOKUP(Table3[[#This Row],[HazardRisk_id]], categories[], 3, FALSE)</f>
        <v>The load capacity of vessels may cause issues such as overaloding to occur to increase financial gains, though, creates sizable vessel instability which can lead to environmental harm/financial losses.</v>
      </c>
      <c r="E51" s="15">
        <f>COUNTIFS(FMECA[HazardRisk_name],Table3[[#This Row],[HazardRisk_name]])</f>
        <v>2</v>
      </c>
      <c r="F51" s="15">
        <f>SUMIFS(FMECA[probability_value], FMECA[HazardRisk_name], Table3[[#This Row],[HazardRisk_name]])</f>
        <v>9</v>
      </c>
      <c r="G51" s="15">
        <f>AVERAGEIFS(FMECA[probability_value],FMECA[HazardRisk_name],Table3[[#This Row],[HazardRisk_name]])</f>
        <v>4.5</v>
      </c>
      <c r="H51" s="15" cm="1">
        <f t="array" ref="H51">STDEVP(IF(FMECA[HazardRisk_name]=Table3[[#This Row],[HazardRisk_name]],FMECA[probability_value]))</f>
        <v>0.5</v>
      </c>
      <c r="I51" s="15">
        <f>SUMIFS(FMECA[consequence_value], FMECA[HazardRisk_name], Table3[[#This Row],[HazardRisk_name]])</f>
        <v>8</v>
      </c>
      <c r="J51" s="15">
        <f>AVERAGEIFS(FMECA[consequence_value],FMECA[HazardRisk_name],Table3[[#This Row],[HazardRisk_name]])</f>
        <v>4</v>
      </c>
      <c r="K51" s="15" cm="1">
        <f t="array" ref="K51">STDEVP(IF(FMECA[HazardRisk_name]=Table3[[#This Row],[HazardRisk_name]],FMECA[consequence_value]))</f>
        <v>0</v>
      </c>
      <c r="L51" s="23">
        <f>AVERAGEIFS(FMECA[Score],FMECA[HazardRisk_name],Table3[[#This Row],[HazardRisk_name]])</f>
        <v>18</v>
      </c>
      <c r="M51" s="23" cm="1">
        <f t="array" ref="M51">STDEVP(IF(FMECA[HazardRisk_name]=Table3[[#This Row],[HazardRisk_name]],FMECA[Score]))</f>
        <v>2</v>
      </c>
      <c r="N51" s="15">
        <f>COUNTIFS(FMECA_data!P:P, "Theoretical", FMECA_data!I:I,Table3[[#This Row],[HazardRisk_name]])</f>
        <v>0</v>
      </c>
      <c r="O51" s="15">
        <f>COUNTIFS(FMECA_data!P:P, "Observational", FMECA_data!I:I,Table3[[#This Row],[HazardRisk_name]])</f>
        <v>2</v>
      </c>
      <c r="P51" s="15">
        <f>COUNTIFS(FMECA_data!P:P, "Hybrid", FMECA_data!I:I,Table3[[#This Row],[HazardRisk_name]])</f>
        <v>0</v>
      </c>
      <c r="Q51" s="15">
        <f>COUNTIFS(FMECA_data!P:P, "Modelling", FMECA_data!I:I,Table3[[#This Row],[HazardRisk_name]])</f>
        <v>0</v>
      </c>
      <c r="R51" s="23">
        <f>COUNTIFS(FMECA[data_deficient], "Yes",FMECA[HazardRisk_name],Table3[[#This Row],[HazardRisk_name]])</f>
        <v>0</v>
      </c>
      <c r="S51" s="23">
        <f>(COUNTIFS(FMECA[availability], "Yes",FMECA[HazardRisk_name],Table3[[#This Row],[HazardRisk_name]])) + (COUNTIFS(FMECA[availability], "Available",FMECA[HazardRisk_name],Table3[[#This Row],[HazardRisk_name]]))</f>
        <v>1</v>
      </c>
      <c r="T51" s="23">
        <f>COUNTIFS(FMECA[RR], "VERY HIGH",FMECA[HazardRisk_name],Table3[[#This Row],[HazardRisk_name]])</f>
        <v>0</v>
      </c>
      <c r="U51" s="22">
        <f>Table3[[#This Row],[vh_count]]/Table3[[#This Row],[risk_counts]]</f>
        <v>0</v>
      </c>
      <c r="V51" s="23">
        <f>COUNTIFS(FMECA[RR], "HIGH",FMECA[HazardRisk_name],Table3[[#This Row],[HazardRisk_name]])</f>
        <v>0</v>
      </c>
      <c r="W51" s="22">
        <f>Table3[[#This Row],[h_count]]/Table3[[#This Row],[risk_counts]]</f>
        <v>0</v>
      </c>
      <c r="X51" s="23">
        <f>COUNTIFS(FMECA[RR], "MODERATE",FMECA[HazardRisk_name],Table3[[#This Row],[HazardRisk_name]])</f>
        <v>2</v>
      </c>
      <c r="Y51" s="22">
        <f>Table3[[#This Row],[m_count]]/Table3[[#This Row],[risk_counts]]</f>
        <v>1</v>
      </c>
      <c r="Z51" s="23">
        <f>COUNTIFS(FMECA[RR], "UNDETECTABLE",FMECA[HazardRisk_name],Table3[[#This Row],[HazardRisk_name]])</f>
        <v>0</v>
      </c>
      <c r="AA51" s="22">
        <f>Table3[[#This Row],[l_count]]/Table3[[#This Row],[risk_counts]]</f>
        <v>0</v>
      </c>
      <c r="AI51" s="16" t="str">
        <f>VLOOKUP(Table3[[#This Row],[HazardRisk_id]], categories[], 4, FALSE)</f>
        <v>Risk</v>
      </c>
      <c r="AJ51" s="16">
        <f>(COUNTIFS(FMECA[availability], "Unknown",FMECA[HazardRisk_name],Table3[[#This Row],[HazardRisk_name]]))</f>
        <v>1</v>
      </c>
    </row>
    <row r="52" spans="1:36" ht="34" x14ac:dyDescent="0.2">
      <c r="A52" s="16" t="s">
        <v>603</v>
      </c>
      <c r="B52" s="13" t="str">
        <f>VLOOKUP(Table3[[#This Row],[HazardRisk_id]], categories[], 5, FALSE)</f>
        <v>Community</v>
      </c>
      <c r="C52" s="14" t="str">
        <f>VLOOKUP(Table3[[#This Row],[HazardRisk_id]], categories[], 2, FALSE)</f>
        <v>Lost sense of wildness, isolation, and exclusiveness</v>
      </c>
      <c r="D52" s="15" t="str">
        <f>VLOOKUP(Table3[[#This Row],[HazardRisk_id]], categories[], 3, FALSE)</f>
        <v>An increased presence of tourists and vessels reduce the sence of uniqueness of the environment, creating negative tourism and envirnmental experiences.</v>
      </c>
      <c r="E52" s="15">
        <f>COUNTIFS(FMECA[HazardRisk_name],Table3[[#This Row],[HazardRisk_name]])</f>
        <v>1</v>
      </c>
      <c r="F52" s="15">
        <f>SUMIFS(FMECA[probability_value], FMECA[HazardRisk_name], Table3[[#This Row],[HazardRisk_name]])</f>
        <v>4</v>
      </c>
      <c r="G52" s="15">
        <f>AVERAGEIFS(FMECA[probability_value],FMECA[HazardRisk_name],Table3[[#This Row],[HazardRisk_name]])</f>
        <v>4</v>
      </c>
      <c r="H52" s="15" cm="1">
        <f t="array" ref="H52">STDEVP(IF(FMECA[HazardRisk_name]=Table3[[#This Row],[HazardRisk_name]],FMECA[probability_value]))</f>
        <v>0</v>
      </c>
      <c r="I52" s="15">
        <f>SUMIFS(FMECA[consequence_value], FMECA[HazardRisk_name], Table3[[#This Row],[HazardRisk_name]])</f>
        <v>5</v>
      </c>
      <c r="J52" s="15">
        <f>AVERAGEIFS(FMECA[consequence_value],FMECA[HazardRisk_name],Table3[[#This Row],[HazardRisk_name]])</f>
        <v>5</v>
      </c>
      <c r="K52" s="15" cm="1">
        <f t="array" ref="K52">STDEVP(IF(FMECA[HazardRisk_name]=Table3[[#This Row],[HazardRisk_name]],FMECA[consequence_value]))</f>
        <v>0</v>
      </c>
      <c r="L52" s="23">
        <f>AVERAGEIFS(FMECA[Score],FMECA[HazardRisk_name],Table3[[#This Row],[HazardRisk_name]])</f>
        <v>20</v>
      </c>
      <c r="M52" s="23" cm="1">
        <f t="array" ref="M52">STDEVP(IF(FMECA[HazardRisk_name]=Table3[[#This Row],[HazardRisk_name]],FMECA[Score]))</f>
        <v>0</v>
      </c>
      <c r="N52" s="15">
        <f>COUNTIFS(FMECA_data!P:P, "Theoretical", FMECA_data!I:I,Table3[[#This Row],[HazardRisk_name]])</f>
        <v>0</v>
      </c>
      <c r="O52" s="15">
        <f>COUNTIFS(FMECA_data!P:P, "Observational", FMECA_data!I:I,Table3[[#This Row],[HazardRisk_name]])</f>
        <v>1</v>
      </c>
      <c r="P52" s="15">
        <f>COUNTIFS(FMECA_data!P:P, "Hybrid", FMECA_data!I:I,Table3[[#This Row],[HazardRisk_name]])</f>
        <v>0</v>
      </c>
      <c r="Q52" s="15">
        <f>COUNTIFS(FMECA_data!P:P, "Modelling", FMECA_data!I:I,Table3[[#This Row],[HazardRisk_name]])</f>
        <v>0</v>
      </c>
      <c r="R52" s="23">
        <f>COUNTIFS(FMECA[data_deficient], "Yes",FMECA[HazardRisk_name],Table3[[#This Row],[HazardRisk_name]])</f>
        <v>0</v>
      </c>
      <c r="S52" s="23">
        <f>(COUNTIFS(FMECA[availability], "Yes",FMECA[HazardRisk_name],Table3[[#This Row],[HazardRisk_name]])) + (COUNTIFS(FMECA[availability], "Available",FMECA[HazardRisk_name],Table3[[#This Row],[HazardRisk_name]]))</f>
        <v>1</v>
      </c>
      <c r="T52" s="23">
        <f>COUNTIFS(FMECA[RR], "VERY HIGH",FMECA[HazardRisk_name],Table3[[#This Row],[HazardRisk_name]])</f>
        <v>0</v>
      </c>
      <c r="U52" s="22">
        <f>Table3[[#This Row],[vh_count]]/Table3[[#This Row],[risk_counts]]</f>
        <v>0</v>
      </c>
      <c r="V52" s="23">
        <f>COUNTIFS(FMECA[RR], "HIGH",FMECA[HazardRisk_name],Table3[[#This Row],[HazardRisk_name]])</f>
        <v>0</v>
      </c>
      <c r="W52" s="22">
        <f>Table3[[#This Row],[h_count]]/Table3[[#This Row],[risk_counts]]</f>
        <v>0</v>
      </c>
      <c r="X52" s="23">
        <f>COUNTIFS(FMECA[RR], "MODERATE",FMECA[HazardRisk_name],Table3[[#This Row],[HazardRisk_name]])</f>
        <v>1</v>
      </c>
      <c r="Y52" s="22">
        <f>Table3[[#This Row],[m_count]]/Table3[[#This Row],[risk_counts]]</f>
        <v>1</v>
      </c>
      <c r="Z52" s="23">
        <f>COUNTIFS(FMECA[RR], "UNDETECTABLE",FMECA[HazardRisk_name],Table3[[#This Row],[HazardRisk_name]])</f>
        <v>0</v>
      </c>
      <c r="AA52" s="22">
        <f>Table3[[#This Row],[l_count]]/Table3[[#This Row],[risk_counts]]</f>
        <v>0</v>
      </c>
      <c r="AI52" s="16" t="str">
        <f>VLOOKUP(Table3[[#This Row],[HazardRisk_id]], categories[], 4, FALSE)</f>
        <v>Risk</v>
      </c>
      <c r="AJ52" s="16">
        <f>(COUNTIFS(FMECA[availability], "Unknown",FMECA[HazardRisk_name],Table3[[#This Row],[HazardRisk_name]]))</f>
        <v>0</v>
      </c>
    </row>
    <row r="53" spans="1:36" ht="51" x14ac:dyDescent="0.2">
      <c r="A53" s="16" t="s">
        <v>604</v>
      </c>
      <c r="B53" s="13" t="str">
        <f>VLOOKUP(Table3[[#This Row],[HazardRisk_id]], categories[], 5, FALSE)</f>
        <v>Environmental</v>
      </c>
      <c r="C53" s="14" t="str">
        <f>VLOOKUP(Table3[[#This Row],[HazardRisk_id]], categories[], 2, FALSE)</f>
        <v>National heritage degration</v>
      </c>
      <c r="D53" s="15" t="str">
        <f>VLOOKUP(Table3[[#This Row],[HazardRisk_id]], categories[], 3, FALSE)</f>
        <v>The degration of national heritage sites as a result of vessel operations creates tensions between indigenous communities, lacking sense of community, and devalues the indigenous community identity.</v>
      </c>
      <c r="E53" s="15">
        <f>COUNTIFS(FMECA[HazardRisk_name],Table3[[#This Row],[HazardRisk_name]])</f>
        <v>1</v>
      </c>
      <c r="F53" s="15">
        <f>SUMIFS(FMECA[probability_value], FMECA[HazardRisk_name], Table3[[#This Row],[HazardRisk_name]])</f>
        <v>5</v>
      </c>
      <c r="G53" s="15">
        <f>AVERAGEIFS(FMECA[probability_value],FMECA[HazardRisk_name],Table3[[#This Row],[HazardRisk_name]])</f>
        <v>5</v>
      </c>
      <c r="H53" s="15" cm="1">
        <f t="array" ref="H53">STDEVP(IF(FMECA[HazardRisk_name]=Table3[[#This Row],[HazardRisk_name]],FMECA[probability_value]))</f>
        <v>0</v>
      </c>
      <c r="I53" s="15">
        <f>SUMIFS(FMECA[consequence_value], FMECA[HazardRisk_name], Table3[[#This Row],[HazardRisk_name]])</f>
        <v>4</v>
      </c>
      <c r="J53" s="15">
        <f>AVERAGEIFS(FMECA[consequence_value],FMECA[HazardRisk_name],Table3[[#This Row],[HazardRisk_name]])</f>
        <v>4</v>
      </c>
      <c r="K53" s="15" cm="1">
        <f t="array" ref="K53">STDEVP(IF(FMECA[HazardRisk_name]=Table3[[#This Row],[HazardRisk_name]],FMECA[consequence_value]))</f>
        <v>0</v>
      </c>
      <c r="L53" s="23">
        <f>AVERAGEIFS(FMECA[Score],FMECA[HazardRisk_name],Table3[[#This Row],[HazardRisk_name]])</f>
        <v>20</v>
      </c>
      <c r="M53" s="23" cm="1">
        <f t="array" ref="M53">STDEVP(IF(FMECA[HazardRisk_name]=Table3[[#This Row],[HazardRisk_name]],FMECA[Score]))</f>
        <v>0</v>
      </c>
      <c r="N53" s="15">
        <f>COUNTIFS(FMECA_data!P:P, "Theoretical", FMECA_data!I:I,Table3[[#This Row],[HazardRisk_name]])</f>
        <v>0</v>
      </c>
      <c r="O53" s="15">
        <f>COUNTIFS(FMECA_data!P:P, "Observational", FMECA_data!I:I,Table3[[#This Row],[HazardRisk_name]])</f>
        <v>0</v>
      </c>
      <c r="P53" s="15">
        <f>COUNTIFS(FMECA_data!P:P, "Hybrid", FMECA_data!I:I,Table3[[#This Row],[HazardRisk_name]])</f>
        <v>1</v>
      </c>
      <c r="Q53" s="15">
        <f>COUNTIFS(FMECA_data!P:P, "Modelling", FMECA_data!I:I,Table3[[#This Row],[HazardRisk_name]])</f>
        <v>0</v>
      </c>
      <c r="R53" s="23">
        <f>COUNTIFS(FMECA[data_deficient], "Yes",FMECA[HazardRisk_name],Table3[[#This Row],[HazardRisk_name]])</f>
        <v>0</v>
      </c>
      <c r="S53" s="23">
        <f>(COUNTIFS(FMECA[availability], "Yes",FMECA[HazardRisk_name],Table3[[#This Row],[HazardRisk_name]])) + (COUNTIFS(FMECA[availability], "Available",FMECA[HazardRisk_name],Table3[[#This Row],[HazardRisk_name]]))</f>
        <v>1</v>
      </c>
      <c r="T53" s="23">
        <f>COUNTIFS(FMECA[RR], "VERY HIGH",FMECA[HazardRisk_name],Table3[[#This Row],[HazardRisk_name]])</f>
        <v>0</v>
      </c>
      <c r="U53" s="22">
        <f>Table3[[#This Row],[vh_count]]/Table3[[#This Row],[risk_counts]]</f>
        <v>0</v>
      </c>
      <c r="V53" s="23">
        <f>COUNTIFS(FMECA[RR], "HIGH",FMECA[HazardRisk_name],Table3[[#This Row],[HazardRisk_name]])</f>
        <v>0</v>
      </c>
      <c r="W53" s="22">
        <f>Table3[[#This Row],[h_count]]/Table3[[#This Row],[risk_counts]]</f>
        <v>0</v>
      </c>
      <c r="X53" s="23">
        <f>COUNTIFS(FMECA[RR], "MODERATE",FMECA[HazardRisk_name],Table3[[#This Row],[HazardRisk_name]])</f>
        <v>1</v>
      </c>
      <c r="Y53" s="22">
        <f>Table3[[#This Row],[m_count]]/Table3[[#This Row],[risk_counts]]</f>
        <v>1</v>
      </c>
      <c r="Z53" s="23">
        <f>COUNTIFS(FMECA[RR], "UNDETECTABLE",FMECA[HazardRisk_name],Table3[[#This Row],[HazardRisk_name]])</f>
        <v>0</v>
      </c>
      <c r="AA53" s="22">
        <f>Table3[[#This Row],[l_count]]/Table3[[#This Row],[risk_counts]]</f>
        <v>0</v>
      </c>
      <c r="AI53" s="16" t="str">
        <f>VLOOKUP(Table3[[#This Row],[HazardRisk_id]], categories[], 4, FALSE)</f>
        <v>Risk</v>
      </c>
      <c r="AJ53" s="16">
        <f>(COUNTIFS(FMECA[availability], "Unknown",FMECA[HazardRisk_name],Table3[[#This Row],[HazardRisk_name]]))</f>
        <v>0</v>
      </c>
    </row>
    <row r="54" spans="1:36" ht="68" x14ac:dyDescent="0.2">
      <c r="A54" s="16" t="s">
        <v>605</v>
      </c>
      <c r="B54" s="13" t="str">
        <f>VLOOKUP(Table3[[#This Row],[HazardRisk_id]], categories[], 5, FALSE)</f>
        <v>Economic</v>
      </c>
      <c r="C54" s="14" t="str">
        <f>VLOOKUP(Table3[[#This Row],[HazardRisk_id]], categories[], 2, FALSE)</f>
        <v>No toll requirements</v>
      </c>
      <c r="D54" s="15" t="str">
        <f>VLOOKUP(Table3[[#This Row],[HazardRisk_id]], categories[], 3, FALSE)</f>
        <v>The non-exsistent toll requirements for passage creates difficultues for implementing a toll route system due to the numerous routes vessel can take. This may create an impact on overall shipping safety due to limited oppurtunities to ensure complaince with requirements.</v>
      </c>
      <c r="E54" s="15">
        <f>COUNTIFS(FMECA[HazardRisk_name],Table3[[#This Row],[HazardRisk_name]])</f>
        <v>1</v>
      </c>
      <c r="F54" s="15">
        <f>SUMIFS(FMECA[probability_value], FMECA[HazardRisk_name], Table3[[#This Row],[HazardRisk_name]])</f>
        <v>5</v>
      </c>
      <c r="G54" s="15">
        <f>AVERAGEIFS(FMECA[probability_value],FMECA[HazardRisk_name],Table3[[#This Row],[HazardRisk_name]])</f>
        <v>5</v>
      </c>
      <c r="H54" s="15" cm="1">
        <f t="array" ref="H54">STDEVP(IF(FMECA[HazardRisk_name]=Table3[[#This Row],[HazardRisk_name]],FMECA[probability_value]))</f>
        <v>0</v>
      </c>
      <c r="I54" s="15">
        <f>SUMIFS(FMECA[consequence_value], FMECA[HazardRisk_name], Table3[[#This Row],[HazardRisk_name]])</f>
        <v>4</v>
      </c>
      <c r="J54" s="15">
        <f>AVERAGEIFS(FMECA[consequence_value],FMECA[HazardRisk_name],Table3[[#This Row],[HazardRisk_name]])</f>
        <v>4</v>
      </c>
      <c r="K54" s="15" cm="1">
        <f t="array" ref="K54">STDEVP(IF(FMECA[HazardRisk_name]=Table3[[#This Row],[HazardRisk_name]],FMECA[consequence_value]))</f>
        <v>0</v>
      </c>
      <c r="L54" s="23">
        <f>AVERAGEIFS(FMECA[Score],FMECA[HazardRisk_name],Table3[[#This Row],[HazardRisk_name]])</f>
        <v>20</v>
      </c>
      <c r="M54" s="23" cm="1">
        <f t="array" ref="M54">STDEVP(IF(FMECA[HazardRisk_name]=Table3[[#This Row],[HazardRisk_name]],FMECA[Score]))</f>
        <v>0</v>
      </c>
      <c r="N54" s="15">
        <f>COUNTIFS(FMECA_data!P:P, "Theoretical", FMECA_data!I:I,Table3[[#This Row],[HazardRisk_name]])</f>
        <v>0</v>
      </c>
      <c r="O54" s="15">
        <f>COUNTIFS(FMECA_data!P:P, "Observational", FMECA_data!I:I,Table3[[#This Row],[HazardRisk_name]])</f>
        <v>0</v>
      </c>
      <c r="P54" s="15">
        <f>COUNTIFS(FMECA_data!P:P, "Hybrid", FMECA_data!I:I,Table3[[#This Row],[HazardRisk_name]])</f>
        <v>1</v>
      </c>
      <c r="Q54" s="15">
        <f>COUNTIFS(FMECA_data!P:P, "Modelling", FMECA_data!I:I,Table3[[#This Row],[HazardRisk_name]])</f>
        <v>0</v>
      </c>
      <c r="R54" s="23">
        <f>COUNTIFS(FMECA[data_deficient], "Yes",FMECA[HazardRisk_name],Table3[[#This Row],[HazardRisk_name]])</f>
        <v>1</v>
      </c>
      <c r="S54" s="23">
        <f>(COUNTIFS(FMECA[availability], "Yes",FMECA[HazardRisk_name],Table3[[#This Row],[HazardRisk_name]])) + (COUNTIFS(FMECA[availability], "Available",FMECA[HazardRisk_name],Table3[[#This Row],[HazardRisk_name]]))</f>
        <v>0</v>
      </c>
      <c r="T54" s="23">
        <f>COUNTIFS(FMECA[RR], "VERY HIGH",FMECA[HazardRisk_name],Table3[[#This Row],[HazardRisk_name]])</f>
        <v>0</v>
      </c>
      <c r="U54" s="22">
        <f>Table3[[#This Row],[vh_count]]/Table3[[#This Row],[risk_counts]]</f>
        <v>0</v>
      </c>
      <c r="V54" s="23">
        <f>COUNTIFS(FMECA[RR], "HIGH",FMECA[HazardRisk_name],Table3[[#This Row],[HazardRisk_name]])</f>
        <v>0</v>
      </c>
      <c r="W54" s="22">
        <f>Table3[[#This Row],[h_count]]/Table3[[#This Row],[risk_counts]]</f>
        <v>0</v>
      </c>
      <c r="X54" s="23">
        <f>COUNTIFS(FMECA[RR], "MODERATE",FMECA[HazardRisk_name],Table3[[#This Row],[HazardRisk_name]])</f>
        <v>1</v>
      </c>
      <c r="Y54" s="22">
        <f>Table3[[#This Row],[m_count]]/Table3[[#This Row],[risk_counts]]</f>
        <v>1</v>
      </c>
      <c r="Z54" s="23">
        <f>COUNTIFS(FMECA[RR], "UNDETECTABLE",FMECA[HazardRisk_name],Table3[[#This Row],[HazardRisk_name]])</f>
        <v>0</v>
      </c>
      <c r="AA54" s="22">
        <f>Table3[[#This Row],[l_count]]/Table3[[#This Row],[risk_counts]]</f>
        <v>0</v>
      </c>
      <c r="AI54" s="16" t="str">
        <f>VLOOKUP(Table3[[#This Row],[HazardRisk_id]], categories[], 4, FALSE)</f>
        <v>Risk</v>
      </c>
      <c r="AJ54" s="16">
        <f>(COUNTIFS(FMECA[availability], "Unknown",FMECA[HazardRisk_name],Table3[[#This Row],[HazardRisk_name]]))</f>
        <v>0</v>
      </c>
    </row>
    <row r="55" spans="1:36" ht="68" x14ac:dyDescent="0.2">
      <c r="A55" s="16" t="s">
        <v>606</v>
      </c>
      <c r="B55" s="13" t="str">
        <f>VLOOKUP(Table3[[#This Row],[HazardRisk_id]], categories[], 5, FALSE)</f>
        <v>Economic</v>
      </c>
      <c r="C55" s="14" t="str">
        <f>VLOOKUP(Table3[[#This Row],[HazardRisk_id]], categories[], 2, FALSE)</f>
        <v>Oil spill clean-up costs</v>
      </c>
      <c r="D55" s="15" t="str">
        <f>VLOOKUP(Table3[[#This Row],[HazardRisk_id]], categories[], 3, FALSE)</f>
        <v>The economic implications of any Arctic oil spill has a high economic cost due to ongoing monitoring and extended clean up. The remoteness of the environment negatively impacts the ability to deploy numerous to aid in remediation in a timely manner.</v>
      </c>
      <c r="E55" s="15">
        <f>COUNTIFS(FMECA[HazardRisk_name],Table3[[#This Row],[HazardRisk_name]])</f>
        <v>7</v>
      </c>
      <c r="F55" s="15">
        <f>SUMIFS(FMECA[probability_value], FMECA[HazardRisk_name], Table3[[#This Row],[HazardRisk_name]])</f>
        <v>24</v>
      </c>
      <c r="G55" s="15">
        <f>AVERAGEIFS(FMECA[probability_value],FMECA[HazardRisk_name],Table3[[#This Row],[HazardRisk_name]])</f>
        <v>3.4285714285714284</v>
      </c>
      <c r="H55" s="15" cm="1">
        <f t="array" ref="H55">STDEVP(IF(FMECA[HazardRisk_name]=Table3[[#This Row],[HazardRisk_name]],FMECA[probability_value]))</f>
        <v>0.90350790290525129</v>
      </c>
      <c r="I55" s="15">
        <f>SUMIFS(FMECA[consequence_value], FMECA[HazardRisk_name], Table3[[#This Row],[HazardRisk_name]])</f>
        <v>61</v>
      </c>
      <c r="J55" s="15">
        <f>AVERAGEIFS(FMECA[consequence_value],FMECA[HazardRisk_name],Table3[[#This Row],[HazardRisk_name]])</f>
        <v>8.7142857142857135</v>
      </c>
      <c r="K55" s="15" cm="1">
        <f t="array" ref="K55">STDEVP(IF(FMECA[HazardRisk_name]=Table3[[#This Row],[HazardRisk_name]],FMECA[consequence_value]))</f>
        <v>2.1852940772540506</v>
      </c>
      <c r="L55" s="23">
        <f>AVERAGEIFS(FMECA[Score],FMECA[HazardRisk_name],Table3[[#This Row],[HazardRisk_name]])</f>
        <v>30</v>
      </c>
      <c r="M55" s="23" cm="1">
        <f t="array" ref="M55">STDEVP(IF(FMECA[HazardRisk_name]=Table3[[#This Row],[HazardRisk_name]],FMECA[Score]))</f>
        <v>11.513966674062791</v>
      </c>
      <c r="N55" s="15">
        <f>COUNTIFS(FMECA_data!P:P, "Theoretical", FMECA_data!I:I,Table3[[#This Row],[HazardRisk_name]])</f>
        <v>3</v>
      </c>
      <c r="O55" s="15">
        <f>COUNTIFS(FMECA_data!P:P, "Observational", FMECA_data!I:I,Table3[[#This Row],[HazardRisk_name]])</f>
        <v>1</v>
      </c>
      <c r="P55" s="15">
        <f>COUNTIFS(FMECA_data!P:P, "Hybrid", FMECA_data!I:I,Table3[[#This Row],[HazardRisk_name]])</f>
        <v>2</v>
      </c>
      <c r="Q55" s="15">
        <f>COUNTIFS(FMECA_data!P:P, "Modelling", FMECA_data!I:I,Table3[[#This Row],[HazardRisk_name]])</f>
        <v>1</v>
      </c>
      <c r="R55" s="23">
        <f>COUNTIFS(FMECA[data_deficient], "Yes",FMECA[HazardRisk_name],Table3[[#This Row],[HazardRisk_name]])</f>
        <v>2</v>
      </c>
      <c r="S55" s="23">
        <f>(COUNTIFS(FMECA[availability], "Yes",FMECA[HazardRisk_name],Table3[[#This Row],[HazardRisk_name]])) + (COUNTIFS(FMECA[availability], "Available",FMECA[HazardRisk_name],Table3[[#This Row],[HazardRisk_name]]))</f>
        <v>1</v>
      </c>
      <c r="T55" s="23">
        <f>COUNTIFS(FMECA[RR], "VERY HIGH",FMECA[HazardRisk_name],Table3[[#This Row],[HazardRisk_name]])</f>
        <v>2</v>
      </c>
      <c r="U55" s="22">
        <f>Table3[[#This Row],[vh_count]]/Table3[[#This Row],[risk_counts]]</f>
        <v>0.2857142857142857</v>
      </c>
      <c r="V55" s="23">
        <f>COUNTIFS(FMECA[RR], "HIGH",FMECA[HazardRisk_name],Table3[[#This Row],[HazardRisk_name]])</f>
        <v>3</v>
      </c>
      <c r="W55" s="22">
        <f>Table3[[#This Row],[h_count]]/Table3[[#This Row],[risk_counts]]</f>
        <v>0.42857142857142855</v>
      </c>
      <c r="X55" s="23">
        <f>COUNTIFS(FMECA[RR], "MODERATE",FMECA[HazardRisk_name],Table3[[#This Row],[HazardRisk_name]])</f>
        <v>2</v>
      </c>
      <c r="Y55" s="22">
        <f>Table3[[#This Row],[m_count]]/Table3[[#This Row],[risk_counts]]</f>
        <v>0.2857142857142857</v>
      </c>
      <c r="Z55" s="23">
        <f>COUNTIFS(FMECA[RR], "UNDETECTABLE",FMECA[HazardRisk_name],Table3[[#This Row],[HazardRisk_name]])</f>
        <v>0</v>
      </c>
      <c r="AA55" s="22">
        <f>Table3[[#This Row],[l_count]]/Table3[[#This Row],[risk_counts]]</f>
        <v>0</v>
      </c>
      <c r="AI55" s="16" t="str">
        <f>VLOOKUP(Table3[[#This Row],[HazardRisk_id]], categories[], 4, FALSE)</f>
        <v>Risk</v>
      </c>
      <c r="AJ55" s="16">
        <f>(COUNTIFS(FMECA[availability], "Unknown",FMECA[HazardRisk_name],Table3[[#This Row],[HazardRisk_name]]))</f>
        <v>3</v>
      </c>
    </row>
    <row r="56" spans="1:36" ht="51" x14ac:dyDescent="0.2">
      <c r="A56" s="16" t="s">
        <v>607</v>
      </c>
      <c r="B56" s="13" t="str">
        <f>VLOOKUP(Table3[[#This Row],[HazardRisk_id]], categories[], 5, FALSE)</f>
        <v>Human</v>
      </c>
      <c r="C56" s="14" t="str">
        <f>VLOOKUP(Table3[[#This Row],[HazardRisk_id]], categories[], 2, FALSE)</f>
        <v>Operator miscommunication</v>
      </c>
      <c r="D56" s="15" t="str">
        <f>VLOOKUP(Table3[[#This Row],[HazardRisk_id]], categories[], 3, FALSE)</f>
        <v>Miscommunication between other operators is a contant challenge within the maritime industry. Many crews speak different languages and as a result, have the ability to relay unintentional wrong or miscronstruded messaging to other operators.</v>
      </c>
      <c r="E56" s="15">
        <f>COUNTIFS(FMECA[HazardRisk_name],Table3[[#This Row],[HazardRisk_name]])</f>
        <v>2</v>
      </c>
      <c r="F56" s="15">
        <f>SUMIFS(FMECA[probability_value], FMECA[HazardRisk_name], Table3[[#This Row],[HazardRisk_name]])</f>
        <v>6</v>
      </c>
      <c r="G56" s="15">
        <f>AVERAGEIFS(FMECA[probability_value],FMECA[HazardRisk_name],Table3[[#This Row],[HazardRisk_name]])</f>
        <v>3</v>
      </c>
      <c r="H56" s="15" cm="1">
        <f t="array" ref="H56">STDEVP(IF(FMECA[HazardRisk_name]=Table3[[#This Row],[HazardRisk_name]],FMECA[probability_value]))</f>
        <v>1</v>
      </c>
      <c r="I56" s="15">
        <f>SUMIFS(FMECA[consequence_value], FMECA[HazardRisk_name], Table3[[#This Row],[HazardRisk_name]])</f>
        <v>17</v>
      </c>
      <c r="J56" s="15">
        <f>AVERAGEIFS(FMECA[consequence_value],FMECA[HazardRisk_name],Table3[[#This Row],[HazardRisk_name]])</f>
        <v>8.5</v>
      </c>
      <c r="K56" s="15" cm="1">
        <f t="array" ref="K56">STDEVP(IF(FMECA[HazardRisk_name]=Table3[[#This Row],[HazardRisk_name]],FMECA[consequence_value]))</f>
        <v>1.5</v>
      </c>
      <c r="L56" s="23">
        <f>AVERAGEIFS(FMECA[Score],FMECA[HazardRisk_name],Table3[[#This Row],[HazardRisk_name]])</f>
        <v>24</v>
      </c>
      <c r="M56" s="23" cm="1">
        <f t="array" ref="M56">STDEVP(IF(FMECA[HazardRisk_name]=Table3[[#This Row],[HazardRisk_name]],FMECA[Score]))</f>
        <v>4</v>
      </c>
      <c r="N56" s="15">
        <f>COUNTIFS(FMECA_data!P:P, "Theoretical", FMECA_data!I:I,Table3[[#This Row],[HazardRisk_name]])</f>
        <v>0</v>
      </c>
      <c r="O56" s="15">
        <f>COUNTIFS(FMECA_data!P:P, "Observational", FMECA_data!I:I,Table3[[#This Row],[HazardRisk_name]])</f>
        <v>2</v>
      </c>
      <c r="P56" s="15">
        <f>COUNTIFS(FMECA_data!P:P, "Hybrid", FMECA_data!I:I,Table3[[#This Row],[HazardRisk_name]])</f>
        <v>0</v>
      </c>
      <c r="Q56" s="15">
        <f>COUNTIFS(FMECA_data!P:P, "Modelling", FMECA_data!I:I,Table3[[#This Row],[HazardRisk_name]])</f>
        <v>0</v>
      </c>
      <c r="R56" s="23">
        <f>COUNTIFS(FMECA[data_deficient], "Yes",FMECA[HazardRisk_name],Table3[[#This Row],[HazardRisk_name]])</f>
        <v>0</v>
      </c>
      <c r="S56" s="23">
        <f>(COUNTIFS(FMECA[availability], "Yes",FMECA[HazardRisk_name],Table3[[#This Row],[HazardRisk_name]])) + (COUNTIFS(FMECA[availability], "Available",FMECA[HazardRisk_name],Table3[[#This Row],[HazardRisk_name]]))</f>
        <v>1</v>
      </c>
      <c r="T56" s="23">
        <f>COUNTIFS(FMECA[RR], "VERY HIGH",FMECA[HazardRisk_name],Table3[[#This Row],[HazardRisk_name]])</f>
        <v>0</v>
      </c>
      <c r="U56" s="22">
        <f>Table3[[#This Row],[vh_count]]/Table3[[#This Row],[risk_counts]]</f>
        <v>0</v>
      </c>
      <c r="V56" s="23">
        <f>COUNTIFS(FMECA[RR], "HIGH",FMECA[HazardRisk_name],Table3[[#This Row],[HazardRisk_name]])</f>
        <v>1</v>
      </c>
      <c r="W56" s="22">
        <f>Table3[[#This Row],[h_count]]/Table3[[#This Row],[risk_counts]]</f>
        <v>0.5</v>
      </c>
      <c r="X56" s="23">
        <f>COUNTIFS(FMECA[RR], "MODERATE",FMECA[HazardRisk_name],Table3[[#This Row],[HazardRisk_name]])</f>
        <v>1</v>
      </c>
      <c r="Y56" s="22">
        <f>Table3[[#This Row],[m_count]]/Table3[[#This Row],[risk_counts]]</f>
        <v>0.5</v>
      </c>
      <c r="Z56" s="23">
        <f>COUNTIFS(FMECA[RR], "UNDETECTABLE",FMECA[HazardRisk_name],Table3[[#This Row],[HazardRisk_name]])</f>
        <v>0</v>
      </c>
      <c r="AA56" s="22">
        <f>Table3[[#This Row],[l_count]]/Table3[[#This Row],[risk_counts]]</f>
        <v>0</v>
      </c>
      <c r="AI56" s="16" t="str">
        <f>VLOOKUP(Table3[[#This Row],[HazardRisk_id]], categories[], 4, FALSE)</f>
        <v>Risk</v>
      </c>
      <c r="AJ56" s="16">
        <f>(COUNTIFS(FMECA[availability], "Unknown",FMECA[HazardRisk_name],Table3[[#This Row],[HazardRisk_name]]))</f>
        <v>1</v>
      </c>
    </row>
    <row r="57" spans="1:36" ht="68" x14ac:dyDescent="0.2">
      <c r="A57" s="16" t="s">
        <v>608</v>
      </c>
      <c r="B57" s="13" t="str">
        <f>VLOOKUP(Table3[[#This Row],[HazardRisk_id]], categories[], 5, FALSE)</f>
        <v>Operational</v>
      </c>
      <c r="C57" s="14" t="str">
        <f>VLOOKUP(Table3[[#This Row],[HazardRisk_id]], categories[], 2, FALSE)</f>
        <v>Poor communication between vessels</v>
      </c>
      <c r="D57" s="15" t="str">
        <f>VLOOKUP(Table3[[#This Row],[HazardRisk_id]], categories[], 3, FALSE)</f>
        <v>There are reduced safety and response effectiveness through misconnumication between crews. Miscomunication can be due to language barriers, misunderstandings, or lack of coordination between operators, causing collisions or other accidents.</v>
      </c>
      <c r="E57" s="15">
        <f>COUNTIFS(FMECA[HazardRisk_name],Table3[[#This Row],[HazardRisk_name]])</f>
        <v>7</v>
      </c>
      <c r="F57" s="15">
        <f>SUMIFS(FMECA[probability_value], FMECA[HazardRisk_name], Table3[[#This Row],[HazardRisk_name]])</f>
        <v>19</v>
      </c>
      <c r="G57" s="15">
        <f>AVERAGEIFS(FMECA[probability_value],FMECA[HazardRisk_name],Table3[[#This Row],[HazardRisk_name]])</f>
        <v>2.7142857142857144</v>
      </c>
      <c r="H57" s="15" cm="1">
        <f t="array" ref="H57">STDEVP(IF(FMECA[HazardRisk_name]=Table3[[#This Row],[HazardRisk_name]],FMECA[probability_value]))</f>
        <v>1.1605769149479943</v>
      </c>
      <c r="I57" s="15">
        <f>SUMIFS(FMECA[consequence_value], FMECA[HazardRisk_name], Table3[[#This Row],[HazardRisk_name]])</f>
        <v>46</v>
      </c>
      <c r="J57" s="15">
        <f>AVERAGEIFS(FMECA[consequence_value],FMECA[HazardRisk_name],Table3[[#This Row],[HazardRisk_name]])</f>
        <v>6.5714285714285712</v>
      </c>
      <c r="K57" s="15" cm="1">
        <f t="array" ref="K57">STDEVP(IF(FMECA[HazardRisk_name]=Table3[[#This Row],[HazardRisk_name]],FMECA[consequence_value]))</f>
        <v>1.9166296949998198</v>
      </c>
      <c r="L57" s="23">
        <f>AVERAGEIFS(FMECA[Score],FMECA[HazardRisk_name],Table3[[#This Row],[HazardRisk_name]])</f>
        <v>17.285714285714285</v>
      </c>
      <c r="M57" s="23" cm="1">
        <f t="array" ref="M57">STDEVP(IF(FMECA[HazardRisk_name]=Table3[[#This Row],[HazardRisk_name]],FMECA[Score]))</f>
        <v>8.6141791038179054</v>
      </c>
      <c r="N57" s="15">
        <f>COUNTIFS(FMECA_data!P:P, "Theoretical", FMECA_data!I:I,Table3[[#This Row],[HazardRisk_name]])</f>
        <v>1</v>
      </c>
      <c r="O57" s="15">
        <f>COUNTIFS(FMECA_data!P:P, "Observational", FMECA_data!I:I,Table3[[#This Row],[HazardRisk_name]])</f>
        <v>2</v>
      </c>
      <c r="P57" s="15">
        <f>COUNTIFS(FMECA_data!P:P, "Hybrid", FMECA_data!I:I,Table3[[#This Row],[HazardRisk_name]])</f>
        <v>3</v>
      </c>
      <c r="Q57" s="15">
        <f>COUNTIFS(FMECA_data!P:P, "Modelling", FMECA_data!I:I,Table3[[#This Row],[HazardRisk_name]])</f>
        <v>1</v>
      </c>
      <c r="R57" s="23">
        <f>COUNTIFS(FMECA[data_deficient], "Yes",FMECA[HazardRisk_name],Table3[[#This Row],[HazardRisk_name]])</f>
        <v>0</v>
      </c>
      <c r="S57" s="23">
        <f>(COUNTIFS(FMECA[availability], "Yes",FMECA[HazardRisk_name],Table3[[#This Row],[HazardRisk_name]])) + (COUNTIFS(FMECA[availability], "Available",FMECA[HazardRisk_name],Table3[[#This Row],[HazardRisk_name]]))</f>
        <v>1</v>
      </c>
      <c r="T57" s="23">
        <f>COUNTIFS(FMECA[RR], "VERY HIGH",FMECA[HazardRisk_name],Table3[[#This Row],[HazardRisk_name]])</f>
        <v>0</v>
      </c>
      <c r="U57" s="22">
        <f>Table3[[#This Row],[vh_count]]/Table3[[#This Row],[risk_counts]]</f>
        <v>0</v>
      </c>
      <c r="V57" s="23">
        <f>COUNTIFS(FMECA[RR], "HIGH",FMECA[HazardRisk_name],Table3[[#This Row],[HazardRisk_name]])</f>
        <v>1</v>
      </c>
      <c r="W57" s="22">
        <f>Table3[[#This Row],[h_count]]/Table3[[#This Row],[risk_counts]]</f>
        <v>0.14285714285714285</v>
      </c>
      <c r="X57" s="23">
        <f>COUNTIFS(FMECA[RR], "MODERATE",FMECA[HazardRisk_name],Table3[[#This Row],[HazardRisk_name]])</f>
        <v>5</v>
      </c>
      <c r="Y57" s="22">
        <f>Table3[[#This Row],[m_count]]/Table3[[#This Row],[risk_counts]]</f>
        <v>0.7142857142857143</v>
      </c>
      <c r="Z57" s="23">
        <f>COUNTIFS(FMECA[RR], "UNDETECTABLE",FMECA[HazardRisk_name],Table3[[#This Row],[HazardRisk_name]])</f>
        <v>1</v>
      </c>
      <c r="AA57" s="22">
        <f>Table3[[#This Row],[l_count]]/Table3[[#This Row],[risk_counts]]</f>
        <v>0.14285714285714285</v>
      </c>
      <c r="AI57" s="16" t="str">
        <f>VLOOKUP(Table3[[#This Row],[HazardRisk_id]], categories[], 4, FALSE)</f>
        <v>Risk</v>
      </c>
      <c r="AJ57" s="16">
        <f>(COUNTIFS(FMECA[availability], "Unknown",FMECA[HazardRisk_name],Table3[[#This Row],[HazardRisk_name]]))</f>
        <v>5</v>
      </c>
    </row>
    <row r="58" spans="1:36" ht="51" x14ac:dyDescent="0.2">
      <c r="A58" s="16" t="s">
        <v>609</v>
      </c>
      <c r="B58" s="13" t="str">
        <f>VLOOKUP(Table3[[#This Row],[HazardRisk_id]], categories[], 5, FALSE)</f>
        <v>Social</v>
      </c>
      <c r="C58" s="14" t="str">
        <f>VLOOKUP(Table3[[#This Row],[HazardRisk_id]], categories[], 2, FALSE)</f>
        <v>Rapid tourism growth</v>
      </c>
      <c r="D58" s="15" t="str">
        <f>VLOOKUP(Table3[[#This Row],[HazardRisk_id]], categories[], 3, FALSE)</f>
        <v>Last-chance tourism has caused many people to visit the Arctic while still in pristine and untouched condition. This causes stress to both the natural environment due to increasing noise pollution and the local impact due to the exploitation of resources.</v>
      </c>
      <c r="E58" s="15">
        <f>COUNTIFS(FMECA[HazardRisk_name],Table3[[#This Row],[HazardRisk_name]])</f>
        <v>6</v>
      </c>
      <c r="F58" s="15">
        <f>SUMIFS(FMECA[probability_value], FMECA[HazardRisk_name], Table3[[#This Row],[HazardRisk_name]])</f>
        <v>23</v>
      </c>
      <c r="G58" s="15">
        <f>AVERAGEIFS(FMECA[probability_value],FMECA[HazardRisk_name],Table3[[#This Row],[HazardRisk_name]])</f>
        <v>3.8333333333333335</v>
      </c>
      <c r="H58" s="15" cm="1">
        <f t="array" ref="H58">STDEVP(IF(FMECA[HazardRisk_name]=Table3[[#This Row],[HazardRisk_name]],FMECA[probability_value]))</f>
        <v>0.37267799624996489</v>
      </c>
      <c r="I58" s="15">
        <f>SUMIFS(FMECA[consequence_value], FMECA[HazardRisk_name], Table3[[#This Row],[HazardRisk_name]])</f>
        <v>36</v>
      </c>
      <c r="J58" s="15">
        <f>AVERAGEIFS(FMECA[consequence_value],FMECA[HazardRisk_name],Table3[[#This Row],[HazardRisk_name]])</f>
        <v>6</v>
      </c>
      <c r="K58" s="15" cm="1">
        <f t="array" ref="K58">STDEVP(IF(FMECA[HazardRisk_name]=Table3[[#This Row],[HazardRisk_name]],FMECA[consequence_value]))</f>
        <v>1.4142135623730951</v>
      </c>
      <c r="L58" s="23">
        <f>AVERAGEIFS(FMECA[Score],FMECA[HazardRisk_name],Table3[[#This Row],[HazardRisk_name]])</f>
        <v>23.333333333333332</v>
      </c>
      <c r="M58" s="23" cm="1">
        <f t="array" ref="M58">STDEVP(IF(FMECA[HazardRisk_name]=Table3[[#This Row],[HazardRisk_name]],FMECA[Score]))</f>
        <v>6.6999170807472597</v>
      </c>
      <c r="N58" s="15">
        <f>COUNTIFS(FMECA_data!P:P, "Theoretical", FMECA_data!I:I,Table3[[#This Row],[HazardRisk_name]])</f>
        <v>2</v>
      </c>
      <c r="O58" s="15">
        <f>COUNTIFS(FMECA_data!P:P, "Observational", FMECA_data!I:I,Table3[[#This Row],[HazardRisk_name]])</f>
        <v>3</v>
      </c>
      <c r="P58" s="15">
        <f>COUNTIFS(FMECA_data!P:P, "Hybrid", FMECA_data!I:I,Table3[[#This Row],[HazardRisk_name]])</f>
        <v>1</v>
      </c>
      <c r="Q58" s="15">
        <f>COUNTIFS(FMECA_data!P:P, "Modelling", FMECA_data!I:I,Table3[[#This Row],[HazardRisk_name]])</f>
        <v>0</v>
      </c>
      <c r="R58" s="23">
        <f>COUNTIFS(FMECA[data_deficient], "Yes",FMECA[HazardRisk_name],Table3[[#This Row],[HazardRisk_name]])</f>
        <v>0</v>
      </c>
      <c r="S58" s="23">
        <f>(COUNTIFS(FMECA[availability], "Yes",FMECA[HazardRisk_name],Table3[[#This Row],[HazardRisk_name]])) + (COUNTIFS(FMECA[availability], "Available",FMECA[HazardRisk_name],Table3[[#This Row],[HazardRisk_name]]))</f>
        <v>4</v>
      </c>
      <c r="T58" s="23">
        <f>COUNTIFS(FMECA[RR], "VERY HIGH",FMECA[HazardRisk_name],Table3[[#This Row],[HazardRisk_name]])</f>
        <v>0</v>
      </c>
      <c r="U58" s="22">
        <f>Table3[[#This Row],[vh_count]]/Table3[[#This Row],[risk_counts]]</f>
        <v>0</v>
      </c>
      <c r="V58" s="23">
        <f>COUNTIFS(FMECA[RR], "HIGH",FMECA[HazardRisk_name],Table3[[#This Row],[HazardRisk_name]])</f>
        <v>4</v>
      </c>
      <c r="W58" s="22">
        <f>Table3[[#This Row],[h_count]]/Table3[[#This Row],[risk_counts]]</f>
        <v>0.66666666666666663</v>
      </c>
      <c r="X58" s="23">
        <f>COUNTIFS(FMECA[RR], "MODERATE",FMECA[HazardRisk_name],Table3[[#This Row],[HazardRisk_name]])</f>
        <v>2</v>
      </c>
      <c r="Y58" s="22">
        <f>Table3[[#This Row],[m_count]]/Table3[[#This Row],[risk_counts]]</f>
        <v>0.33333333333333331</v>
      </c>
      <c r="Z58" s="23">
        <f>COUNTIFS(FMECA[RR], "UNDETECTABLE",FMECA[HazardRisk_name],Table3[[#This Row],[HazardRisk_name]])</f>
        <v>0</v>
      </c>
      <c r="AA58" s="22">
        <f>Table3[[#This Row],[l_count]]/Table3[[#This Row],[risk_counts]]</f>
        <v>0</v>
      </c>
      <c r="AI58" s="16" t="str">
        <f>VLOOKUP(Table3[[#This Row],[HazardRisk_id]], categories[], 4, FALSE)</f>
        <v>Risk</v>
      </c>
      <c r="AJ58" s="16">
        <f>(COUNTIFS(FMECA[availability], "Unknown",FMECA[HazardRisk_name],Table3[[#This Row],[HazardRisk_name]]))</f>
        <v>0</v>
      </c>
    </row>
    <row r="59" spans="1:36" ht="51" x14ac:dyDescent="0.2">
      <c r="A59" s="16" t="s">
        <v>610</v>
      </c>
      <c r="B59" s="13" t="str">
        <f>VLOOKUP(Table3[[#This Row],[HazardRisk_id]], categories[], 5, FALSE)</f>
        <v>Environmental</v>
      </c>
      <c r="C59" s="14" t="str">
        <f>VLOOKUP(Table3[[#This Row],[HazardRisk_id]], categories[], 2, FALSE)</f>
        <v>Reduced ecosystem recovery time</v>
      </c>
      <c r="D59" s="15" t="str">
        <f>VLOOKUP(Table3[[#This Row],[HazardRisk_id]], categories[], 3, FALSE)</f>
        <v>Due to the complex nature of the Arctic environment, the environment takes longer to properly recovery time if a vessel collision or accident were to occur. This causes long term and/or irreverable damages to the ecosystem.</v>
      </c>
      <c r="E59" s="15">
        <f>COUNTIFS(FMECA[HazardRisk_name],Table3[[#This Row],[HazardRisk_name]])</f>
        <v>7</v>
      </c>
      <c r="F59" s="15">
        <f>SUMIFS(FMECA[probability_value], FMECA[HazardRisk_name], Table3[[#This Row],[HazardRisk_name]])</f>
        <v>28</v>
      </c>
      <c r="G59" s="15">
        <f>AVERAGEIFS(FMECA[probability_value],FMECA[HazardRisk_name],Table3[[#This Row],[HazardRisk_name]])</f>
        <v>4</v>
      </c>
      <c r="H59" s="15" cm="1">
        <f t="array" ref="H59">STDEVP(IF(FMECA[HazardRisk_name]=Table3[[#This Row],[HazardRisk_name]],FMECA[probability_value]))</f>
        <v>0.7559289460184544</v>
      </c>
      <c r="I59" s="15">
        <f>SUMIFS(FMECA[consequence_value], FMECA[HazardRisk_name], Table3[[#This Row],[HazardRisk_name]])</f>
        <v>49</v>
      </c>
      <c r="J59" s="15">
        <f>AVERAGEIFS(FMECA[consequence_value],FMECA[HazardRisk_name],Table3[[#This Row],[HazardRisk_name]])</f>
        <v>7</v>
      </c>
      <c r="K59" s="15" cm="1">
        <f t="array" ref="K59">STDEVP(IF(FMECA[HazardRisk_name]=Table3[[#This Row],[HazardRisk_name]],FMECA[consequence_value]))</f>
        <v>2.7774602993176543</v>
      </c>
      <c r="L59" s="23">
        <f>AVERAGEIFS(FMECA[Score],FMECA[HazardRisk_name],Table3[[#This Row],[HazardRisk_name]])</f>
        <v>26.285714285714285</v>
      </c>
      <c r="M59" s="23" cm="1">
        <f t="array" ref="M59">STDEVP(IF(FMECA[HazardRisk_name]=Table3[[#This Row],[HazardRisk_name]],FMECA[Score]))</f>
        <v>7.5916172889065274</v>
      </c>
      <c r="N59" s="15">
        <f>COUNTIFS(FMECA_data!P:P, "Theoretical", FMECA_data!I:I,Table3[[#This Row],[HazardRisk_name]])</f>
        <v>2</v>
      </c>
      <c r="O59" s="15">
        <f>COUNTIFS(FMECA_data!P:P, "Observational", FMECA_data!I:I,Table3[[#This Row],[HazardRisk_name]])</f>
        <v>3</v>
      </c>
      <c r="P59" s="15">
        <f>COUNTIFS(FMECA_data!P:P, "Hybrid", FMECA_data!I:I,Table3[[#This Row],[HazardRisk_name]])</f>
        <v>2</v>
      </c>
      <c r="Q59" s="15">
        <f>COUNTIFS(FMECA_data!P:P, "Modelling", FMECA_data!I:I,Table3[[#This Row],[HazardRisk_name]])</f>
        <v>0</v>
      </c>
      <c r="R59" s="23">
        <f>COUNTIFS(FMECA[data_deficient], "Yes",FMECA[HazardRisk_name],Table3[[#This Row],[HazardRisk_name]])</f>
        <v>1</v>
      </c>
      <c r="S59" s="23">
        <f>(COUNTIFS(FMECA[availability], "Yes",FMECA[HazardRisk_name],Table3[[#This Row],[HazardRisk_name]])) + (COUNTIFS(FMECA[availability], "Available",FMECA[HazardRisk_name],Table3[[#This Row],[HazardRisk_name]]))</f>
        <v>2</v>
      </c>
      <c r="T59" s="23">
        <f>COUNTIFS(FMECA[RR], "VERY HIGH",FMECA[HazardRisk_name],Table3[[#This Row],[HazardRisk_name]])</f>
        <v>1</v>
      </c>
      <c r="U59" s="22">
        <f>Table3[[#This Row],[vh_count]]/Table3[[#This Row],[risk_counts]]</f>
        <v>0.14285714285714285</v>
      </c>
      <c r="V59" s="23">
        <f>COUNTIFS(FMECA[RR], "HIGH",FMECA[HazardRisk_name],Table3[[#This Row],[HazardRisk_name]])</f>
        <v>3</v>
      </c>
      <c r="W59" s="22">
        <f>Table3[[#This Row],[h_count]]/Table3[[#This Row],[risk_counts]]</f>
        <v>0.42857142857142855</v>
      </c>
      <c r="X59" s="23">
        <f>COUNTIFS(FMECA[RR], "MODERATE",FMECA[HazardRisk_name],Table3[[#This Row],[HazardRisk_name]])</f>
        <v>3</v>
      </c>
      <c r="Y59" s="22">
        <f>Table3[[#This Row],[m_count]]/Table3[[#This Row],[risk_counts]]</f>
        <v>0.42857142857142855</v>
      </c>
      <c r="Z59" s="23">
        <f>COUNTIFS(FMECA[RR], "UNDETECTABLE",FMECA[HazardRisk_name],Table3[[#This Row],[HazardRisk_name]])</f>
        <v>0</v>
      </c>
      <c r="AA59" s="22">
        <f>Table3[[#This Row],[l_count]]/Table3[[#This Row],[risk_counts]]</f>
        <v>0</v>
      </c>
      <c r="AI59" s="16" t="str">
        <f>VLOOKUP(Table3[[#This Row],[HazardRisk_id]], categories[], 4, FALSE)</f>
        <v>Risk</v>
      </c>
      <c r="AJ59" s="16">
        <f>(COUNTIFS(FMECA[availability], "Unknown",FMECA[HazardRisk_name],Table3[[#This Row],[HazardRisk_name]]))</f>
        <v>2</v>
      </c>
    </row>
    <row r="60" spans="1:36" ht="34" x14ac:dyDescent="0.2">
      <c r="A60" s="16" t="s">
        <v>611</v>
      </c>
      <c r="B60" s="13" t="str">
        <f>VLOOKUP(Table3[[#This Row],[HazardRisk_id]], categories[], 5, FALSE)</f>
        <v>Operational</v>
      </c>
      <c r="C60" s="14" t="str">
        <f>VLOOKUP(Table3[[#This Row],[HazardRisk_id]], categories[], 2, FALSE)</f>
        <v>Reduced search and rescure capacity</v>
      </c>
      <c r="D60" s="15" t="str">
        <f>VLOOKUP(Table3[[#This Row],[HazardRisk_id]], categories[], 3, FALSE)</f>
        <v>Due to limited assisting regarding search and rescue capabilities, a reduced vessel fleet rcreates limited emergenciy capabilities, causing delays in response time.</v>
      </c>
      <c r="E60" s="15">
        <f>COUNTIFS(FMECA[HazardRisk_name],Table3[[#This Row],[HazardRisk_name]])</f>
        <v>17</v>
      </c>
      <c r="F60" s="15">
        <f>SUMIFS(FMECA[probability_value], FMECA[HazardRisk_name], Table3[[#This Row],[HazardRisk_name]])</f>
        <v>64</v>
      </c>
      <c r="G60" s="15">
        <f>AVERAGEIFS(FMECA[probability_value],FMECA[HazardRisk_name],Table3[[#This Row],[HazardRisk_name]])</f>
        <v>3.7647058823529411</v>
      </c>
      <c r="H60" s="15" cm="1">
        <f t="array" ref="H60">STDEVP(IF(FMECA[HazardRisk_name]=Table3[[#This Row],[HazardRisk_name]],FMECA[probability_value]))</f>
        <v>0.72998080270534449</v>
      </c>
      <c r="I60" s="15">
        <f>SUMIFS(FMECA[consequence_value], FMECA[HazardRisk_name], Table3[[#This Row],[HazardRisk_name]])</f>
        <v>131</v>
      </c>
      <c r="J60" s="15">
        <f>AVERAGEIFS(FMECA[consequence_value],FMECA[HazardRisk_name],Table3[[#This Row],[HazardRisk_name]])</f>
        <v>7.7058823529411766</v>
      </c>
      <c r="K60" s="15" cm="1">
        <f t="array" ref="K60">STDEVP(IF(FMECA[HazardRisk_name]=Table3[[#This Row],[HazardRisk_name]],FMECA[consequence_value]))</f>
        <v>1.2725475089872904</v>
      </c>
      <c r="L60" s="23">
        <f>AVERAGEIFS(FMECA[Score],FMECA[HazardRisk_name],Table3[[#This Row],[HazardRisk_name]])</f>
        <v>29.352941176470587</v>
      </c>
      <c r="M60" s="23" cm="1">
        <f t="array" ref="M60">STDEVP(IF(FMECA[HazardRisk_name]=Table3[[#This Row],[HazardRisk_name]],FMECA[Score]))</f>
        <v>8.8313690662759132</v>
      </c>
      <c r="N60" s="15">
        <f>COUNTIFS(FMECA_data!P:P, "Theoretical", FMECA_data!I:I,Table3[[#This Row],[HazardRisk_name]])</f>
        <v>4</v>
      </c>
      <c r="O60" s="15">
        <f>COUNTIFS(FMECA_data!P:P, "Observational", FMECA_data!I:I,Table3[[#This Row],[HazardRisk_name]])</f>
        <v>7</v>
      </c>
      <c r="P60" s="15">
        <f>COUNTIFS(FMECA_data!P:P, "Hybrid", FMECA_data!I:I,Table3[[#This Row],[HazardRisk_name]])</f>
        <v>4</v>
      </c>
      <c r="Q60" s="15">
        <f>COUNTIFS(FMECA_data!P:P, "Modelling", FMECA_data!I:I,Table3[[#This Row],[HazardRisk_name]])</f>
        <v>2</v>
      </c>
      <c r="R60" s="23">
        <f>COUNTIFS(FMECA[data_deficient], "Yes",FMECA[HazardRisk_name],Table3[[#This Row],[HazardRisk_name]])</f>
        <v>3</v>
      </c>
      <c r="S60" s="23">
        <f>(COUNTIFS(FMECA[availability], "Yes",FMECA[HazardRisk_name],Table3[[#This Row],[HazardRisk_name]])) + (COUNTIFS(FMECA[availability], "Available",FMECA[HazardRisk_name],Table3[[#This Row],[HazardRisk_name]]))</f>
        <v>5</v>
      </c>
      <c r="T60" s="23">
        <f>COUNTIFS(FMECA[RR], "VERY HIGH",FMECA[HazardRisk_name],Table3[[#This Row],[HazardRisk_name]])</f>
        <v>4</v>
      </c>
      <c r="U60" s="22">
        <f>Table3[[#This Row],[vh_count]]/Table3[[#This Row],[risk_counts]]</f>
        <v>0.23529411764705882</v>
      </c>
      <c r="V60" s="23">
        <f>COUNTIFS(FMECA[RR], "HIGH",FMECA[HazardRisk_name],Table3[[#This Row],[HazardRisk_name]])</f>
        <v>8</v>
      </c>
      <c r="W60" s="22">
        <f>Table3[[#This Row],[h_count]]/Table3[[#This Row],[risk_counts]]</f>
        <v>0.47058823529411764</v>
      </c>
      <c r="X60" s="23">
        <f>COUNTIFS(FMECA[RR], "MODERATE",FMECA[HazardRisk_name],Table3[[#This Row],[HazardRisk_name]])</f>
        <v>5</v>
      </c>
      <c r="Y60" s="22">
        <f>Table3[[#This Row],[m_count]]/Table3[[#This Row],[risk_counts]]</f>
        <v>0.29411764705882354</v>
      </c>
      <c r="Z60" s="23">
        <f>COUNTIFS(FMECA[RR], "UNDETECTABLE",FMECA[HazardRisk_name],Table3[[#This Row],[HazardRisk_name]])</f>
        <v>0</v>
      </c>
      <c r="AA60" s="22">
        <f>Table3[[#This Row],[l_count]]/Table3[[#This Row],[risk_counts]]</f>
        <v>0</v>
      </c>
      <c r="AI60" s="16" t="str">
        <f>VLOOKUP(Table3[[#This Row],[HazardRisk_id]], categories[], 4, FALSE)</f>
        <v>Risk</v>
      </c>
      <c r="AJ60" s="16">
        <f>(COUNTIFS(FMECA[availability], "Unknown",FMECA[HazardRisk_name],Table3[[#This Row],[HazardRisk_name]]))</f>
        <v>6</v>
      </c>
    </row>
    <row r="61" spans="1:36" ht="51" x14ac:dyDescent="0.2">
      <c r="A61" s="16" t="s">
        <v>612</v>
      </c>
      <c r="B61" s="13" t="str">
        <f>VLOOKUP(Table3[[#This Row],[HazardRisk_id]], categories[], 5, FALSE)</f>
        <v>Social</v>
      </c>
      <c r="C61" s="14" t="str">
        <f>VLOOKUP(Table3[[#This Row],[HazardRisk_id]], categories[], 2, FALSE)</f>
        <v>Reduction in resources to locals</v>
      </c>
      <c r="D61" s="15" t="str">
        <f>VLOOKUP(Table3[[#This Row],[HazardRisk_id]], categories[], 3, FALSE)</f>
        <v>Limited resources to local communities create strain on development and refinment of infrastructure and services available, causing negative socio-economic impacts to occur.</v>
      </c>
      <c r="E61" s="15">
        <f>COUNTIFS(FMECA[HazardRisk_name],Table3[[#This Row],[HazardRisk_name]])</f>
        <v>3</v>
      </c>
      <c r="F61" s="15">
        <f>SUMIFS(FMECA[probability_value], FMECA[HazardRisk_name], Table3[[#This Row],[HazardRisk_name]])</f>
        <v>12</v>
      </c>
      <c r="G61" s="15">
        <f>AVERAGEIFS(FMECA[probability_value],FMECA[HazardRisk_name],Table3[[#This Row],[HazardRisk_name]])</f>
        <v>4</v>
      </c>
      <c r="H61" s="15" cm="1">
        <f t="array" ref="H61">STDEVP(IF(FMECA[HazardRisk_name]=Table3[[#This Row],[HazardRisk_name]],FMECA[probability_value]))</f>
        <v>0</v>
      </c>
      <c r="I61" s="15">
        <f>SUMIFS(FMECA[consequence_value], FMECA[HazardRisk_name], Table3[[#This Row],[HazardRisk_name]])</f>
        <v>24</v>
      </c>
      <c r="J61" s="15">
        <f>AVERAGEIFS(FMECA[consequence_value],FMECA[HazardRisk_name],Table3[[#This Row],[HazardRisk_name]])</f>
        <v>8</v>
      </c>
      <c r="K61" s="15" cm="1">
        <f t="array" ref="K61">STDEVP(IF(FMECA[HazardRisk_name]=Table3[[#This Row],[HazardRisk_name]],FMECA[consequence_value]))</f>
        <v>1.4142135623730951</v>
      </c>
      <c r="L61" s="23">
        <f>AVERAGEIFS(FMECA[Score],FMECA[HazardRisk_name],Table3[[#This Row],[HazardRisk_name]])</f>
        <v>32</v>
      </c>
      <c r="M61" s="23" cm="1">
        <f t="array" ref="M61">STDEVP(IF(FMECA[HazardRisk_name]=Table3[[#This Row],[HazardRisk_name]],FMECA[Score]))</f>
        <v>5.6568542494923806</v>
      </c>
      <c r="N61" s="15">
        <f>COUNTIFS(FMECA_data!P:P, "Theoretical", FMECA_data!I:I,Table3[[#This Row],[HazardRisk_name]])</f>
        <v>1</v>
      </c>
      <c r="O61" s="15">
        <f>COUNTIFS(FMECA_data!P:P, "Observational", FMECA_data!I:I,Table3[[#This Row],[HazardRisk_name]])</f>
        <v>1</v>
      </c>
      <c r="P61" s="15">
        <f>COUNTIFS(FMECA_data!P:P, "Hybrid", FMECA_data!I:I,Table3[[#This Row],[HazardRisk_name]])</f>
        <v>0</v>
      </c>
      <c r="Q61" s="15">
        <f>COUNTIFS(FMECA_data!P:P, "Modelling", FMECA_data!I:I,Table3[[#This Row],[HazardRisk_name]])</f>
        <v>1</v>
      </c>
      <c r="R61" s="23">
        <f>COUNTIFS(FMECA[data_deficient], "Yes",FMECA[HazardRisk_name],Table3[[#This Row],[HazardRisk_name]])</f>
        <v>1</v>
      </c>
      <c r="S61" s="23">
        <f>(COUNTIFS(FMECA[availability], "Yes",FMECA[HazardRisk_name],Table3[[#This Row],[HazardRisk_name]])) + (COUNTIFS(FMECA[availability], "Available",FMECA[HazardRisk_name],Table3[[#This Row],[HazardRisk_name]]))</f>
        <v>2</v>
      </c>
      <c r="T61" s="23">
        <f>COUNTIFS(FMECA[RR], "VERY HIGH",FMECA[HazardRisk_name],Table3[[#This Row],[HazardRisk_name]])</f>
        <v>1</v>
      </c>
      <c r="U61" s="22">
        <f>Table3[[#This Row],[vh_count]]/Table3[[#This Row],[risk_counts]]</f>
        <v>0.33333333333333331</v>
      </c>
      <c r="V61" s="23">
        <f>COUNTIFS(FMECA[RR], "HIGH",FMECA[HazardRisk_name],Table3[[#This Row],[HazardRisk_name]])</f>
        <v>2</v>
      </c>
      <c r="W61" s="22">
        <f>Table3[[#This Row],[h_count]]/Table3[[#This Row],[risk_counts]]</f>
        <v>0.66666666666666663</v>
      </c>
      <c r="X61" s="23">
        <f>COUNTIFS(FMECA[RR], "MODERATE",FMECA[HazardRisk_name],Table3[[#This Row],[HazardRisk_name]])</f>
        <v>0</v>
      </c>
      <c r="Y61" s="22">
        <f>Table3[[#This Row],[m_count]]/Table3[[#This Row],[risk_counts]]</f>
        <v>0</v>
      </c>
      <c r="Z61" s="23">
        <f>COUNTIFS(FMECA[RR], "UNDETECTABLE",FMECA[HazardRisk_name],Table3[[#This Row],[HazardRisk_name]])</f>
        <v>0</v>
      </c>
      <c r="AA61" s="22">
        <f>Table3[[#This Row],[l_count]]/Table3[[#This Row],[risk_counts]]</f>
        <v>0</v>
      </c>
      <c r="AI61" s="16" t="str">
        <f>VLOOKUP(Table3[[#This Row],[HazardRisk_id]], categories[], 4, FALSE)</f>
        <v>Risk</v>
      </c>
      <c r="AJ61" s="16">
        <f>(COUNTIFS(FMECA[availability], "Unknown",FMECA[HazardRisk_name],Table3[[#This Row],[HazardRisk_name]]))</f>
        <v>0</v>
      </c>
    </row>
    <row r="62" spans="1:36" ht="51" x14ac:dyDescent="0.2">
      <c r="A62" s="16" t="s">
        <v>613</v>
      </c>
      <c r="B62" s="13" t="str">
        <f>VLOOKUP(Table3[[#This Row],[HazardRisk_id]], categories[], 5, FALSE)</f>
        <v>Environmental</v>
      </c>
      <c r="C62" s="14" t="str">
        <f>VLOOKUP(Table3[[#This Row],[HazardRisk_id]], categories[], 2, FALSE)</f>
        <v>Remoteness</v>
      </c>
      <c r="D62" s="15" t="str">
        <f>VLOOKUP(Table3[[#This Row],[HazardRisk_id]], categories[], 3, FALSE)</f>
        <v>Navigating Arctic waters creates limited access to instrstructure, search and resuce, and other emergency supports. This increases the severity of any accidents occuring due to the longer response time required.</v>
      </c>
      <c r="E62" s="15">
        <f>COUNTIFS(FMECA[HazardRisk_name],Table3[[#This Row],[HazardRisk_name]])</f>
        <v>7</v>
      </c>
      <c r="F62" s="15">
        <f>SUMIFS(FMECA[probability_value], FMECA[HazardRisk_name], Table3[[#This Row],[HazardRisk_name]])</f>
        <v>31</v>
      </c>
      <c r="G62" s="15">
        <f>AVERAGEIFS(FMECA[probability_value],FMECA[HazardRisk_name],Table3[[#This Row],[HazardRisk_name]])</f>
        <v>4.4285714285714288</v>
      </c>
      <c r="H62" s="15" cm="1">
        <f t="array" ref="H62">STDEVP(IF(FMECA[HazardRisk_name]=Table3[[#This Row],[HazardRisk_name]],FMECA[probability_value]))</f>
        <v>1.3997084244475304</v>
      </c>
      <c r="I62" s="15">
        <f>SUMIFS(FMECA[consequence_value], FMECA[HazardRisk_name], Table3[[#This Row],[HazardRisk_name]])</f>
        <v>41</v>
      </c>
      <c r="J62" s="15">
        <f>AVERAGEIFS(FMECA[consequence_value],FMECA[HazardRisk_name],Table3[[#This Row],[HazardRisk_name]])</f>
        <v>5.8571428571428568</v>
      </c>
      <c r="K62" s="15" cm="1">
        <f t="array" ref="K62">STDEVP(IF(FMECA[HazardRisk_name]=Table3[[#This Row],[HazardRisk_name]],FMECA[consequence_value]))</f>
        <v>1.3552618543578769</v>
      </c>
      <c r="L62" s="23">
        <f>AVERAGEIFS(FMECA[Score],FMECA[HazardRisk_name],Table3[[#This Row],[HazardRisk_name]])</f>
        <v>26.428571428571427</v>
      </c>
      <c r="M62" s="23" cm="1">
        <f t="array" ref="M62">STDEVP(IF(FMECA[HazardRisk_name]=Table3[[#This Row],[HazardRisk_name]],FMECA[Score]))</f>
        <v>10.926470386270253</v>
      </c>
      <c r="N62" s="15">
        <f>COUNTIFS(FMECA_data!P:P, "Theoretical", FMECA_data!I:I,Table3[[#This Row],[HazardRisk_name]])</f>
        <v>4</v>
      </c>
      <c r="O62" s="15">
        <f>COUNTIFS(FMECA_data!P:P, "Observational", FMECA_data!I:I,Table3[[#This Row],[HazardRisk_name]])</f>
        <v>1</v>
      </c>
      <c r="P62" s="15">
        <f>COUNTIFS(FMECA_data!P:P, "Hybrid", FMECA_data!I:I,Table3[[#This Row],[HazardRisk_name]])</f>
        <v>2</v>
      </c>
      <c r="Q62" s="15">
        <f>COUNTIFS(FMECA_data!P:P, "Modelling", FMECA_data!I:I,Table3[[#This Row],[HazardRisk_name]])</f>
        <v>0</v>
      </c>
      <c r="R62" s="23">
        <f>COUNTIFS(FMECA[data_deficient], "Yes",FMECA[HazardRisk_name],Table3[[#This Row],[HazardRisk_name]])</f>
        <v>1</v>
      </c>
      <c r="S62" s="23">
        <f>(COUNTIFS(FMECA[availability], "Yes",FMECA[HazardRisk_name],Table3[[#This Row],[HazardRisk_name]])) + (COUNTIFS(FMECA[availability], "Available",FMECA[HazardRisk_name],Table3[[#This Row],[HazardRisk_name]]))</f>
        <v>1</v>
      </c>
      <c r="T62" s="23">
        <f>COUNTIFS(FMECA[RR], "VERY HIGH",FMECA[HazardRisk_name],Table3[[#This Row],[HazardRisk_name]])</f>
        <v>0</v>
      </c>
      <c r="U62" s="22">
        <f>Table3[[#This Row],[vh_count]]/Table3[[#This Row],[risk_counts]]</f>
        <v>0</v>
      </c>
      <c r="V62" s="23">
        <f>COUNTIFS(FMECA[RR], "HIGH",FMECA[HazardRisk_name],Table3[[#This Row],[HazardRisk_name]])</f>
        <v>4</v>
      </c>
      <c r="W62" s="22">
        <f>Table3[[#This Row],[h_count]]/Table3[[#This Row],[risk_counts]]</f>
        <v>0.5714285714285714</v>
      </c>
      <c r="X62" s="23">
        <f>COUNTIFS(FMECA[RR], "MODERATE",FMECA[HazardRisk_name],Table3[[#This Row],[HazardRisk_name]])</f>
        <v>2</v>
      </c>
      <c r="Y62" s="22">
        <f>Table3[[#This Row],[m_count]]/Table3[[#This Row],[risk_counts]]</f>
        <v>0.2857142857142857</v>
      </c>
      <c r="Z62" s="23">
        <f>COUNTIFS(FMECA[RR], "UNDETECTABLE",FMECA[HazardRisk_name],Table3[[#This Row],[HazardRisk_name]])</f>
        <v>1</v>
      </c>
      <c r="AA62" s="22">
        <f>Table3[[#This Row],[l_count]]/Table3[[#This Row],[risk_counts]]</f>
        <v>0.14285714285714285</v>
      </c>
      <c r="AI62" s="16" t="str">
        <f>VLOOKUP(Table3[[#This Row],[HazardRisk_id]], categories[], 4, FALSE)</f>
        <v>Hazard</v>
      </c>
      <c r="AJ62" s="16">
        <f>(COUNTIFS(FMECA[availability], "Unknown",FMECA[HazardRisk_name],Table3[[#This Row],[HazardRisk_name]]))</f>
        <v>3</v>
      </c>
    </row>
    <row r="63" spans="1:36" ht="51" x14ac:dyDescent="0.2">
      <c r="A63" s="16" t="s">
        <v>614</v>
      </c>
      <c r="B63" s="13" t="str">
        <f>VLOOKUP(Table3[[#This Row],[HazardRisk_id]], categories[], 5, FALSE)</f>
        <v>Sea Ice</v>
      </c>
      <c r="C63" s="14" t="str">
        <f>VLOOKUP(Table3[[#This Row],[HazardRisk_id]], categories[], 2, FALSE)</f>
        <v>Sea ice (generalized)</v>
      </c>
      <c r="D63" s="15" t="str">
        <f>VLOOKUP(Table3[[#This Row],[HazardRisk_id]], categories[], 3, FALSE)</f>
        <v>Sea ice can create physical damage to vessels and create environmental impacts during navigation throughout the Arctic. Studies have identified that estimating sea ice is deemed inaccurate, only allowing crews to actively detect sea ice in real-time.</v>
      </c>
      <c r="E63" s="15">
        <f>COUNTIFS(FMECA[HazardRisk_name],Table3[[#This Row],[HazardRisk_name]])</f>
        <v>24</v>
      </c>
      <c r="F63" s="15">
        <f>SUMIFS(FMECA[probability_value], FMECA[HazardRisk_name], Table3[[#This Row],[HazardRisk_name]])</f>
        <v>92</v>
      </c>
      <c r="G63" s="15">
        <f>AVERAGEIFS(FMECA[probability_value],FMECA[HazardRisk_name],Table3[[#This Row],[HazardRisk_name]])</f>
        <v>3.8333333333333335</v>
      </c>
      <c r="H63" s="15" cm="1">
        <f t="array" ref="H63">STDEVP(IF(FMECA[HazardRisk_name]=Table3[[#This Row],[HazardRisk_name]],FMECA[probability_value]))</f>
        <v>1.0671873729054748</v>
      </c>
      <c r="I63" s="15">
        <f>SUMIFS(FMECA[consequence_value], FMECA[HazardRisk_name], Table3[[#This Row],[HazardRisk_name]])</f>
        <v>166</v>
      </c>
      <c r="J63" s="15">
        <f>AVERAGEIFS(FMECA[consequence_value],FMECA[HazardRisk_name],Table3[[#This Row],[HazardRisk_name]])</f>
        <v>6.916666666666667</v>
      </c>
      <c r="K63" s="15" cm="1">
        <f t="array" ref="K63">STDEVP(IF(FMECA[HazardRisk_name]=Table3[[#This Row],[HazardRisk_name]],FMECA[consequence_value]))</f>
        <v>1.7775607506417952</v>
      </c>
      <c r="L63" s="23">
        <f>AVERAGEIFS(FMECA[Score],FMECA[HazardRisk_name],Table3[[#This Row],[HazardRisk_name]])</f>
        <v>26</v>
      </c>
      <c r="M63" s="23" cm="1">
        <f t="array" ref="M63">STDEVP(IF(FMECA[HazardRisk_name]=Table3[[#This Row],[HazardRisk_name]],FMECA[Score]))</f>
        <v>8.9209491273817569</v>
      </c>
      <c r="N63" s="15">
        <f>COUNTIFS(FMECA_data!P:P, "Theoretical", FMECA_data!I:I,Table3[[#This Row],[HazardRisk_name]])</f>
        <v>5</v>
      </c>
      <c r="O63" s="15">
        <f>COUNTIFS(FMECA_data!P:P, "Observational", FMECA_data!I:I,Table3[[#This Row],[HazardRisk_name]])</f>
        <v>13</v>
      </c>
      <c r="P63" s="15">
        <f>COUNTIFS(FMECA_data!P:P, "Hybrid", FMECA_data!I:I,Table3[[#This Row],[HazardRisk_name]])</f>
        <v>4</v>
      </c>
      <c r="Q63" s="15">
        <f>COUNTIFS(FMECA_data!P:P, "Modelling", FMECA_data!I:I,Table3[[#This Row],[HazardRisk_name]])</f>
        <v>2</v>
      </c>
      <c r="R63" s="23">
        <f>COUNTIFS(FMECA[data_deficient], "Yes",FMECA[HazardRisk_name],Table3[[#This Row],[HazardRisk_name]])</f>
        <v>2</v>
      </c>
      <c r="S63" s="23">
        <f>(COUNTIFS(FMECA[availability], "Yes",FMECA[HazardRisk_name],Table3[[#This Row],[HazardRisk_name]])) + (COUNTIFS(FMECA[availability], "Available",FMECA[HazardRisk_name],Table3[[#This Row],[HazardRisk_name]]))</f>
        <v>10</v>
      </c>
      <c r="T63" s="23">
        <f>COUNTIFS(FMECA[RR], "VERY HIGH",FMECA[HazardRisk_name],Table3[[#This Row],[HazardRisk_name]])</f>
        <v>2</v>
      </c>
      <c r="U63" s="22">
        <f>Table3[[#This Row],[vh_count]]/Table3[[#This Row],[risk_counts]]</f>
        <v>8.3333333333333329E-2</v>
      </c>
      <c r="V63" s="23">
        <f>COUNTIFS(FMECA[RR], "HIGH",FMECA[HazardRisk_name],Table3[[#This Row],[HazardRisk_name]])</f>
        <v>14</v>
      </c>
      <c r="W63" s="22">
        <f>Table3[[#This Row],[h_count]]/Table3[[#This Row],[risk_counts]]</f>
        <v>0.58333333333333337</v>
      </c>
      <c r="X63" s="23">
        <f>COUNTIFS(FMECA[RR], "MODERATE",FMECA[HazardRisk_name],Table3[[#This Row],[HazardRisk_name]])</f>
        <v>7</v>
      </c>
      <c r="Y63" s="22">
        <f>Table3[[#This Row],[m_count]]/Table3[[#This Row],[risk_counts]]</f>
        <v>0.29166666666666669</v>
      </c>
      <c r="Z63" s="23">
        <f>COUNTIFS(FMECA[RR], "UNDETECTABLE",FMECA[HazardRisk_name],Table3[[#This Row],[HazardRisk_name]])</f>
        <v>1</v>
      </c>
      <c r="AA63" s="22">
        <f>Table3[[#This Row],[l_count]]/Table3[[#This Row],[risk_counts]]</f>
        <v>4.1666666666666664E-2</v>
      </c>
      <c r="AI63" s="16" t="str">
        <f>VLOOKUP(Table3[[#This Row],[HazardRisk_id]], categories[], 4, FALSE)</f>
        <v>Risk</v>
      </c>
      <c r="AJ63" s="16">
        <f>(COUNTIFS(FMECA[availability], "Unknown",FMECA[HazardRisk_name],Table3[[#This Row],[HazardRisk_name]]))</f>
        <v>7</v>
      </c>
    </row>
    <row r="64" spans="1:36" ht="51" x14ac:dyDescent="0.2">
      <c r="A64" s="16" t="s">
        <v>615</v>
      </c>
      <c r="B64" s="13" t="str">
        <f>VLOOKUP(Table3[[#This Row],[HazardRisk_id]], categories[], 5, FALSE)</f>
        <v>Social</v>
      </c>
      <c r="C64" s="14" t="str">
        <f>VLOOKUP(Table3[[#This Row],[HazardRisk_id]], categories[], 2, FALSE)</f>
        <v>Socioeconomic impacts on indigenous peoples</v>
      </c>
      <c r="D64" s="15" t="str">
        <f>VLOOKUP(Table3[[#This Row],[HazardRisk_id]], categories[], 3, FALSE)</f>
        <v xml:space="preserve">Ongoing legal and land claim tensions between indigenous communities and local governments fabricate negative impacts on the socio-economic statuses of indigenous peoples and communities. </v>
      </c>
      <c r="E64" s="15">
        <f>COUNTIFS(FMECA[HazardRisk_name],Table3[[#This Row],[HazardRisk_name]])</f>
        <v>2</v>
      </c>
      <c r="F64" s="15">
        <f>SUMIFS(FMECA[probability_value], FMECA[HazardRisk_name], Table3[[#This Row],[HazardRisk_name]])</f>
        <v>9</v>
      </c>
      <c r="G64" s="15">
        <f>AVERAGEIFS(FMECA[probability_value],FMECA[HazardRisk_name],Table3[[#This Row],[HazardRisk_name]])</f>
        <v>4.5</v>
      </c>
      <c r="H64" s="15" cm="1">
        <f t="array" ref="H64">STDEVP(IF(FMECA[HazardRisk_name]=Table3[[#This Row],[HazardRisk_name]],FMECA[probability_value]))</f>
        <v>0.5</v>
      </c>
      <c r="I64" s="15">
        <f>SUMIFS(FMECA[consequence_value], FMECA[HazardRisk_name], Table3[[#This Row],[HazardRisk_name]])</f>
        <v>17</v>
      </c>
      <c r="J64" s="15">
        <f>AVERAGEIFS(FMECA[consequence_value],FMECA[HazardRisk_name],Table3[[#This Row],[HazardRisk_name]])</f>
        <v>8.5</v>
      </c>
      <c r="K64" s="15" cm="1">
        <f t="array" ref="K64">STDEVP(IF(FMECA[HazardRisk_name]=Table3[[#This Row],[HazardRisk_name]],FMECA[consequence_value]))</f>
        <v>1.5</v>
      </c>
      <c r="L64" s="23">
        <f>AVERAGEIFS(FMECA[Score],FMECA[HazardRisk_name],Table3[[#This Row],[HazardRisk_name]])</f>
        <v>37.5</v>
      </c>
      <c r="M64" s="23" cm="1">
        <f t="array" ref="M64">STDEVP(IF(FMECA[HazardRisk_name]=Table3[[#This Row],[HazardRisk_name]],FMECA[Score]))</f>
        <v>2.5</v>
      </c>
      <c r="N64" s="15">
        <f>COUNTIFS(FMECA_data!P:P, "Theoretical", FMECA_data!I:I,Table3[[#This Row],[HazardRisk_name]])</f>
        <v>1</v>
      </c>
      <c r="O64" s="15">
        <f>COUNTIFS(FMECA_data!P:P, "Observational", FMECA_data!I:I,Table3[[#This Row],[HazardRisk_name]])</f>
        <v>1</v>
      </c>
      <c r="P64" s="15">
        <f>COUNTIFS(FMECA_data!P:P, "Hybrid", FMECA_data!I:I,Table3[[#This Row],[HazardRisk_name]])</f>
        <v>0</v>
      </c>
      <c r="Q64" s="15">
        <f>COUNTIFS(FMECA_data!P:P, "Modelling", FMECA_data!I:I,Table3[[#This Row],[HazardRisk_name]])</f>
        <v>0</v>
      </c>
      <c r="R64" s="23">
        <f>COUNTIFS(FMECA[data_deficient], "Yes",FMECA[HazardRisk_name],Table3[[#This Row],[HazardRisk_name]])</f>
        <v>1</v>
      </c>
      <c r="S64" s="23">
        <f>(COUNTIFS(FMECA[availability], "Yes",FMECA[HazardRisk_name],Table3[[#This Row],[HazardRisk_name]])) + (COUNTIFS(FMECA[availability], "Available",FMECA[HazardRisk_name],Table3[[#This Row],[HazardRisk_name]]))</f>
        <v>0</v>
      </c>
      <c r="T64" s="23">
        <f>COUNTIFS(FMECA[RR], "VERY HIGH",FMECA[HazardRisk_name],Table3[[#This Row],[HazardRisk_name]])</f>
        <v>1</v>
      </c>
      <c r="U64" s="22">
        <f>Table3[[#This Row],[vh_count]]/Table3[[#This Row],[risk_counts]]</f>
        <v>0.5</v>
      </c>
      <c r="V64" s="23">
        <f>COUNTIFS(FMECA[RR], "HIGH",FMECA[HazardRisk_name],Table3[[#This Row],[HazardRisk_name]])</f>
        <v>1</v>
      </c>
      <c r="W64" s="22">
        <f>Table3[[#This Row],[h_count]]/Table3[[#This Row],[risk_counts]]</f>
        <v>0.5</v>
      </c>
      <c r="X64" s="23">
        <f>COUNTIFS(FMECA[RR], "MODERATE",FMECA[HazardRisk_name],Table3[[#This Row],[HazardRisk_name]])</f>
        <v>0</v>
      </c>
      <c r="Y64" s="22">
        <f>Table3[[#This Row],[m_count]]/Table3[[#This Row],[risk_counts]]</f>
        <v>0</v>
      </c>
      <c r="Z64" s="23">
        <f>COUNTIFS(FMECA[RR], "UNDETECTABLE",FMECA[HazardRisk_name],Table3[[#This Row],[HazardRisk_name]])</f>
        <v>0</v>
      </c>
      <c r="AA64" s="22">
        <f>Table3[[#This Row],[l_count]]/Table3[[#This Row],[risk_counts]]</f>
        <v>0</v>
      </c>
      <c r="AI64" s="16" t="str">
        <f>VLOOKUP(Table3[[#This Row],[HazardRisk_id]], categories[], 4, FALSE)</f>
        <v>Risk</v>
      </c>
      <c r="AJ64" s="16">
        <f>(COUNTIFS(FMECA[availability], "Unknown",FMECA[HazardRisk_name],Table3[[#This Row],[HazardRisk_name]]))</f>
        <v>1</v>
      </c>
    </row>
    <row r="65" spans="1:36" ht="68" x14ac:dyDescent="0.2">
      <c r="A65" s="16" t="s">
        <v>616</v>
      </c>
      <c r="B65" s="13" t="str">
        <f>VLOOKUP(Table3[[#This Row],[HazardRisk_id]], categories[], 5, FALSE)</f>
        <v>Political</v>
      </c>
      <c r="C65" s="14" t="str">
        <f>VLOOKUP(Table3[[#This Row],[HazardRisk_id]], categories[], 2, FALSE)</f>
        <v>Sovereignty claims and disputes</v>
      </c>
      <c r="D65" s="15" t="str">
        <f>VLOOKUP(Table3[[#This Row],[HazardRisk_id]], categories[], 3, FALSE)</f>
        <v>Ongoing competing international interests from federal governments and geopolitical tensions induce uncertainty regarding sovereignty claims and disputes throughout the northwest passage. This tends to exhibit constant changes and complexities within regulations and best practices.</v>
      </c>
      <c r="E65" s="15">
        <f>COUNTIFS(FMECA[HazardRisk_name],Table3[[#This Row],[HazardRisk_name]])</f>
        <v>6</v>
      </c>
      <c r="F65" s="15">
        <f>SUMIFS(FMECA[probability_value], FMECA[HazardRisk_name], Table3[[#This Row],[HazardRisk_name]])</f>
        <v>25</v>
      </c>
      <c r="G65" s="15">
        <f>AVERAGEIFS(FMECA[probability_value],FMECA[HazardRisk_name],Table3[[#This Row],[HazardRisk_name]])</f>
        <v>4.166666666666667</v>
      </c>
      <c r="H65" s="15" cm="1">
        <f t="array" ref="H65">STDEVP(IF(FMECA[HazardRisk_name]=Table3[[#This Row],[HazardRisk_name]],FMECA[probability_value]))</f>
        <v>0.89752746785575066</v>
      </c>
      <c r="I65" s="15">
        <f>SUMIFS(FMECA[consequence_value], FMECA[HazardRisk_name], Table3[[#This Row],[HazardRisk_name]])</f>
        <v>39</v>
      </c>
      <c r="J65" s="15">
        <f>AVERAGEIFS(FMECA[consequence_value],FMECA[HazardRisk_name],Table3[[#This Row],[HazardRisk_name]])</f>
        <v>6.5</v>
      </c>
      <c r="K65" s="15" cm="1">
        <f t="array" ref="K65">STDEVP(IF(FMECA[HazardRisk_name]=Table3[[#This Row],[HazardRisk_name]],FMECA[consequence_value]))</f>
        <v>1.1180339887498949</v>
      </c>
      <c r="L65" s="23">
        <f>AVERAGEIFS(FMECA[Score],FMECA[HazardRisk_name],Table3[[#This Row],[HazardRisk_name]])</f>
        <v>27.666666666666668</v>
      </c>
      <c r="M65" s="23" cm="1">
        <f t="array" ref="M65">STDEVP(IF(FMECA[HazardRisk_name]=Table3[[#This Row],[HazardRisk_name]],FMECA[Score]))</f>
        <v>8.6730745541717926</v>
      </c>
      <c r="N65" s="15">
        <f>COUNTIFS(FMECA_data!P:P, "Theoretical", FMECA_data!I:I,Table3[[#This Row],[HazardRisk_name]])</f>
        <v>3</v>
      </c>
      <c r="O65" s="15">
        <f>COUNTIFS(FMECA_data!P:P, "Observational", FMECA_data!I:I,Table3[[#This Row],[HazardRisk_name]])</f>
        <v>1</v>
      </c>
      <c r="P65" s="15">
        <f>COUNTIFS(FMECA_data!P:P, "Hybrid", FMECA_data!I:I,Table3[[#This Row],[HazardRisk_name]])</f>
        <v>2</v>
      </c>
      <c r="Q65" s="15">
        <f>COUNTIFS(FMECA_data!P:P, "Modelling", FMECA_data!I:I,Table3[[#This Row],[HazardRisk_name]])</f>
        <v>0</v>
      </c>
      <c r="R65" s="23">
        <f>COUNTIFS(FMECA[data_deficient], "Yes",FMECA[HazardRisk_name],Table3[[#This Row],[HazardRisk_name]])</f>
        <v>0</v>
      </c>
      <c r="S65" s="23">
        <f>(COUNTIFS(FMECA[availability], "Yes",FMECA[HazardRisk_name],Table3[[#This Row],[HazardRisk_name]])) + (COUNTIFS(FMECA[availability], "Available",FMECA[HazardRisk_name],Table3[[#This Row],[HazardRisk_name]]))</f>
        <v>2</v>
      </c>
      <c r="T65" s="23">
        <f>COUNTIFS(FMECA[RR], "VERY HIGH",FMECA[HazardRisk_name],Table3[[#This Row],[HazardRisk_name]])</f>
        <v>0</v>
      </c>
      <c r="U65" s="22">
        <f>Table3[[#This Row],[vh_count]]/Table3[[#This Row],[risk_counts]]</f>
        <v>0</v>
      </c>
      <c r="V65" s="23">
        <f>COUNTIFS(FMECA[RR], "HIGH",FMECA[HazardRisk_name],Table3[[#This Row],[HazardRisk_name]])</f>
        <v>4</v>
      </c>
      <c r="W65" s="22">
        <f>Table3[[#This Row],[h_count]]/Table3[[#This Row],[risk_counts]]</f>
        <v>0.66666666666666663</v>
      </c>
      <c r="X65" s="23">
        <f>COUNTIFS(FMECA[RR], "MODERATE",FMECA[HazardRisk_name],Table3[[#This Row],[HazardRisk_name]])</f>
        <v>2</v>
      </c>
      <c r="Y65" s="22">
        <f>Table3[[#This Row],[m_count]]/Table3[[#This Row],[risk_counts]]</f>
        <v>0.33333333333333331</v>
      </c>
      <c r="Z65" s="23">
        <f>COUNTIFS(FMECA[RR], "UNDETECTABLE",FMECA[HazardRisk_name],Table3[[#This Row],[HazardRisk_name]])</f>
        <v>0</v>
      </c>
      <c r="AA65" s="22">
        <f>Table3[[#This Row],[l_count]]/Table3[[#This Row],[risk_counts]]</f>
        <v>0</v>
      </c>
      <c r="AI65" s="16" t="str">
        <f>VLOOKUP(Table3[[#This Row],[HazardRisk_id]], categories[], 4, FALSE)</f>
        <v>Risk</v>
      </c>
      <c r="AJ65" s="16">
        <f>(COUNTIFS(FMECA[availability], "Unknown",FMECA[HazardRisk_name],Table3[[#This Row],[HazardRisk_name]]))</f>
        <v>2</v>
      </c>
    </row>
    <row r="66" spans="1:36" ht="68" x14ac:dyDescent="0.2">
      <c r="A66" s="16" t="s">
        <v>617</v>
      </c>
      <c r="B66" s="13" t="str">
        <f>VLOOKUP(Table3[[#This Row],[HazardRisk_id]], categories[], 5, FALSE)</f>
        <v>Environmental</v>
      </c>
      <c r="C66" s="14" t="str">
        <f>VLOOKUP(Table3[[#This Row],[HazardRisk_id]], categories[], 2, FALSE)</f>
        <v>Species population migration/change</v>
      </c>
      <c r="D66" s="15" t="str">
        <f>VLOOKUP(Table3[[#This Row],[HazardRisk_id]], categories[], 3, FALSE)</f>
        <v>Increased vessel shipping within the North Passage creates shifts in ecological migration and possible impacts on subsequent fisheries and ecosystems. this migration and population shift creates difficulties regarding regulations and conservation management plans.</v>
      </c>
      <c r="E66" s="15">
        <f>COUNTIFS(FMECA[HazardRisk_name],Table3[[#This Row],[HazardRisk_name]])</f>
        <v>4</v>
      </c>
      <c r="F66" s="15">
        <f>SUMIFS(FMECA[probability_value], FMECA[HazardRisk_name], Table3[[#This Row],[HazardRisk_name]])</f>
        <v>12</v>
      </c>
      <c r="G66" s="15">
        <f>AVERAGEIFS(FMECA[probability_value],FMECA[HazardRisk_name],Table3[[#This Row],[HazardRisk_name]])</f>
        <v>3</v>
      </c>
      <c r="H66" s="15" cm="1">
        <f t="array" ref="H66">STDEVP(IF(FMECA[HazardRisk_name]=Table3[[#This Row],[HazardRisk_name]],FMECA[probability_value]))</f>
        <v>0.70710678118654757</v>
      </c>
      <c r="I66" s="15">
        <f>SUMIFS(FMECA[consequence_value], FMECA[HazardRisk_name], Table3[[#This Row],[HazardRisk_name]])</f>
        <v>25</v>
      </c>
      <c r="J66" s="15">
        <f>AVERAGEIFS(FMECA[consequence_value],FMECA[HazardRisk_name],Table3[[#This Row],[HazardRisk_name]])</f>
        <v>6.25</v>
      </c>
      <c r="K66" s="15" cm="1">
        <f t="array" ref="K66">STDEVP(IF(FMECA[HazardRisk_name]=Table3[[#This Row],[HazardRisk_name]],FMECA[consequence_value]))</f>
        <v>2.4874685927665499</v>
      </c>
      <c r="L66" s="23">
        <f>AVERAGEIFS(FMECA[Score],FMECA[HazardRisk_name],Table3[[#This Row],[HazardRisk_name]])</f>
        <v>19.5</v>
      </c>
      <c r="M66" s="23" cm="1">
        <f t="array" ref="M66">STDEVP(IF(FMECA[HazardRisk_name]=Table3[[#This Row],[HazardRisk_name]],FMECA[Score]))</f>
        <v>9.6306801421291119</v>
      </c>
      <c r="N66" s="15">
        <f>COUNTIFS(FMECA_data!P:P, "Theoretical", FMECA_data!I:I,Table3[[#This Row],[HazardRisk_name]])</f>
        <v>3</v>
      </c>
      <c r="O66" s="15">
        <f>COUNTIFS(FMECA_data!P:P, "Observational", FMECA_data!I:I,Table3[[#This Row],[HazardRisk_name]])</f>
        <v>1</v>
      </c>
      <c r="P66" s="15">
        <f>COUNTIFS(FMECA_data!P:P, "Hybrid", FMECA_data!I:I,Table3[[#This Row],[HazardRisk_name]])</f>
        <v>0</v>
      </c>
      <c r="Q66" s="15">
        <f>COUNTIFS(FMECA_data!P:P, "Modelling", FMECA_data!I:I,Table3[[#This Row],[HazardRisk_name]])</f>
        <v>0</v>
      </c>
      <c r="R66" s="23">
        <f>COUNTIFS(FMECA[data_deficient], "Yes",FMECA[HazardRisk_name],Table3[[#This Row],[HazardRisk_name]])</f>
        <v>2</v>
      </c>
      <c r="S66" s="23">
        <f>(COUNTIFS(FMECA[availability], "Yes",FMECA[HazardRisk_name],Table3[[#This Row],[HazardRisk_name]])) + (COUNTIFS(FMECA[availability], "Available",FMECA[HazardRisk_name],Table3[[#This Row],[HazardRisk_name]]))</f>
        <v>0</v>
      </c>
      <c r="T66" s="23">
        <f>COUNTIFS(FMECA[RR], "VERY HIGH",FMECA[HazardRisk_name],Table3[[#This Row],[HazardRisk_name]])</f>
        <v>0</v>
      </c>
      <c r="U66" s="22">
        <f>Table3[[#This Row],[vh_count]]/Table3[[#This Row],[risk_counts]]</f>
        <v>0</v>
      </c>
      <c r="V66" s="23">
        <f>COUNTIFS(FMECA[RR], "HIGH",FMECA[HazardRisk_name],Table3[[#This Row],[HazardRisk_name]])</f>
        <v>2</v>
      </c>
      <c r="W66" s="22">
        <f>Table3[[#This Row],[h_count]]/Table3[[#This Row],[risk_counts]]</f>
        <v>0.5</v>
      </c>
      <c r="X66" s="23">
        <f>COUNTIFS(FMECA[RR], "MODERATE",FMECA[HazardRisk_name],Table3[[#This Row],[HazardRisk_name]])</f>
        <v>1</v>
      </c>
      <c r="Y66" s="22">
        <f>Table3[[#This Row],[m_count]]/Table3[[#This Row],[risk_counts]]</f>
        <v>0.25</v>
      </c>
      <c r="Z66" s="23">
        <f>COUNTIFS(FMECA[RR], "UNDETECTABLE",FMECA[HazardRisk_name],Table3[[#This Row],[HazardRisk_name]])</f>
        <v>1</v>
      </c>
      <c r="AA66" s="22">
        <f>Table3[[#This Row],[l_count]]/Table3[[#This Row],[risk_counts]]</f>
        <v>0.25</v>
      </c>
      <c r="AI66" s="16" t="str">
        <f>VLOOKUP(Table3[[#This Row],[HazardRisk_id]], categories[], 4, FALSE)</f>
        <v>Risk</v>
      </c>
      <c r="AJ66" s="16">
        <f>(COUNTIFS(FMECA[availability], "Unknown",FMECA[HazardRisk_name],Table3[[#This Row],[HazardRisk_name]]))</f>
        <v>1</v>
      </c>
    </row>
    <row r="67" spans="1:36" ht="51" x14ac:dyDescent="0.2">
      <c r="A67" s="16" t="s">
        <v>618</v>
      </c>
      <c r="B67" s="13" t="str">
        <f>VLOOKUP(Table3[[#This Row],[HazardRisk_id]], categories[], 5, FALSE)</f>
        <v>Technological</v>
      </c>
      <c r="C67" s="14" t="str">
        <f>VLOOKUP(Table3[[#This Row],[HazardRisk_id]], categories[], 2, FALSE)</f>
        <v>Technical errors due to Geomagnetic storms</v>
      </c>
      <c r="D67" s="15" t="str">
        <f>VLOOKUP(Table3[[#This Row],[HazardRisk_id]], categories[], 3, FALSE)</f>
        <v xml:space="preserve">The increased Reliance on technology through satellite navigation creates disruptions in communication and navigational technology. This poses risks to search and rescue resource personnel and the safety of crew members. </v>
      </c>
      <c r="E67" s="15">
        <f>COUNTIFS(FMECA[HazardRisk_name],Table3[[#This Row],[HazardRisk_name]])</f>
        <v>1</v>
      </c>
      <c r="F67" s="15">
        <f>SUMIFS(FMECA[probability_value], FMECA[HazardRisk_name], Table3[[#This Row],[HazardRisk_name]])</f>
        <v>2</v>
      </c>
      <c r="G67" s="15">
        <f>AVERAGEIFS(FMECA[probability_value],FMECA[HazardRisk_name],Table3[[#This Row],[HazardRisk_name]])</f>
        <v>2</v>
      </c>
      <c r="H67" s="15" cm="1">
        <f t="array" ref="H67">STDEVP(IF(FMECA[HazardRisk_name]=Table3[[#This Row],[HazardRisk_name]],FMECA[probability_value]))</f>
        <v>0</v>
      </c>
      <c r="I67" s="15">
        <f>SUMIFS(FMECA[consequence_value], FMECA[HazardRisk_name], Table3[[#This Row],[HazardRisk_name]])</f>
        <v>7</v>
      </c>
      <c r="J67" s="15">
        <f>AVERAGEIFS(FMECA[consequence_value],FMECA[HazardRisk_name],Table3[[#This Row],[HazardRisk_name]])</f>
        <v>7</v>
      </c>
      <c r="K67" s="15" cm="1">
        <f t="array" ref="K67">STDEVP(IF(FMECA[HazardRisk_name]=Table3[[#This Row],[HazardRisk_name]],FMECA[consequence_value]))</f>
        <v>0</v>
      </c>
      <c r="L67" s="23">
        <f>AVERAGEIFS(FMECA[Score],FMECA[HazardRisk_name],Table3[[#This Row],[HazardRisk_name]])</f>
        <v>14</v>
      </c>
      <c r="M67" s="23" cm="1">
        <f t="array" ref="M67">STDEVP(IF(FMECA[HazardRisk_name]=Table3[[#This Row],[HazardRisk_name]],FMECA[Score]))</f>
        <v>0</v>
      </c>
      <c r="N67" s="15">
        <f>COUNTIFS(FMECA_data!P:P, "Theoretical", FMECA_data!I:I,Table3[[#This Row],[HazardRisk_name]])</f>
        <v>0</v>
      </c>
      <c r="O67" s="15">
        <f>COUNTIFS(FMECA_data!P:P, "Observational", FMECA_data!I:I,Table3[[#This Row],[HazardRisk_name]])</f>
        <v>0</v>
      </c>
      <c r="P67" s="15">
        <f>COUNTIFS(FMECA_data!P:P, "Hybrid", FMECA_data!I:I,Table3[[#This Row],[HazardRisk_name]])</f>
        <v>0</v>
      </c>
      <c r="Q67" s="15">
        <f>COUNTIFS(FMECA_data!P:P, "Modelling", FMECA_data!I:I,Table3[[#This Row],[HazardRisk_name]])</f>
        <v>1</v>
      </c>
      <c r="R67" s="23">
        <f>COUNTIFS(FMECA[data_deficient], "Yes",FMECA[HazardRisk_name],Table3[[#This Row],[HazardRisk_name]])</f>
        <v>0</v>
      </c>
      <c r="S67" s="23">
        <f>(COUNTIFS(FMECA[availability], "Yes",FMECA[HazardRisk_name],Table3[[#This Row],[HazardRisk_name]])) + (COUNTIFS(FMECA[availability], "Available",FMECA[HazardRisk_name],Table3[[#This Row],[HazardRisk_name]]))</f>
        <v>1</v>
      </c>
      <c r="T67" s="23">
        <f>COUNTIFS(FMECA[RR], "VERY HIGH",FMECA[HazardRisk_name],Table3[[#This Row],[HazardRisk_name]])</f>
        <v>0</v>
      </c>
      <c r="U67" s="22">
        <f>Table3[[#This Row],[vh_count]]/Table3[[#This Row],[risk_counts]]</f>
        <v>0</v>
      </c>
      <c r="V67" s="23">
        <f>COUNTIFS(FMECA[RR], "HIGH",FMECA[HazardRisk_name],Table3[[#This Row],[HazardRisk_name]])</f>
        <v>0</v>
      </c>
      <c r="W67" s="22">
        <f>Table3[[#This Row],[h_count]]/Table3[[#This Row],[risk_counts]]</f>
        <v>0</v>
      </c>
      <c r="X67" s="23">
        <f>COUNTIFS(FMECA[RR], "MODERATE",FMECA[HazardRisk_name],Table3[[#This Row],[HazardRisk_name]])</f>
        <v>1</v>
      </c>
      <c r="Y67" s="22">
        <f>Table3[[#This Row],[m_count]]/Table3[[#This Row],[risk_counts]]</f>
        <v>1</v>
      </c>
      <c r="Z67" s="23">
        <f>COUNTIFS(FMECA[RR], "UNDETECTABLE",FMECA[HazardRisk_name],Table3[[#This Row],[HazardRisk_name]])</f>
        <v>0</v>
      </c>
      <c r="AA67" s="22">
        <f>Table3[[#This Row],[l_count]]/Table3[[#This Row],[risk_counts]]</f>
        <v>0</v>
      </c>
      <c r="AI67" s="16" t="str">
        <f>VLOOKUP(Table3[[#This Row],[HazardRisk_id]], categories[], 4, FALSE)</f>
        <v>Risk</v>
      </c>
      <c r="AJ67" s="16">
        <f>(COUNTIFS(FMECA[availability], "Unknown",FMECA[HazardRisk_name],Table3[[#This Row],[HazardRisk_name]]))</f>
        <v>0</v>
      </c>
    </row>
    <row r="68" spans="1:36" ht="68" x14ac:dyDescent="0.2">
      <c r="A68" s="16" t="s">
        <v>619</v>
      </c>
      <c r="B68" s="13" t="str">
        <f>VLOOKUP(Table3[[#This Row],[HazardRisk_id]], categories[], 5, FALSE)</f>
        <v>Community</v>
      </c>
      <c r="C68" s="14" t="str">
        <f>VLOOKUP(Table3[[#This Row],[HazardRisk_id]], categories[], 2, FALSE)</f>
        <v>Tourist overcrowding</v>
      </c>
      <c r="D68" s="15" t="str">
        <f>VLOOKUP(Table3[[#This Row],[HazardRisk_id]], categories[], 3, FALSE)</f>
        <v xml:space="preserve">The increased demand for tourism creates temporary overcrowding in indigenous communities throughout the Arctic due to small community sizes. This causes strain on the community infrastructure to provide adequate resources to the community in the long term. </v>
      </c>
      <c r="E68" s="15">
        <f>COUNTIFS(FMECA[HazardRisk_name],Table3[[#This Row],[HazardRisk_name]])</f>
        <v>2</v>
      </c>
      <c r="F68" s="15">
        <f>SUMIFS(FMECA[probability_value], FMECA[HazardRisk_name], Table3[[#This Row],[HazardRisk_name]])</f>
        <v>8</v>
      </c>
      <c r="G68" s="15">
        <f>AVERAGEIFS(FMECA[probability_value],FMECA[HazardRisk_name],Table3[[#This Row],[HazardRisk_name]])</f>
        <v>4</v>
      </c>
      <c r="H68" s="15" cm="1">
        <f t="array" ref="H68">STDEVP(IF(FMECA[HazardRisk_name]=Table3[[#This Row],[HazardRisk_name]],FMECA[probability_value]))</f>
        <v>0</v>
      </c>
      <c r="I68" s="15">
        <f>SUMIFS(FMECA[consequence_value], FMECA[HazardRisk_name], Table3[[#This Row],[HazardRisk_name]])</f>
        <v>17</v>
      </c>
      <c r="J68" s="15">
        <f>AVERAGEIFS(FMECA[consequence_value],FMECA[HazardRisk_name],Table3[[#This Row],[HazardRisk_name]])</f>
        <v>8.5</v>
      </c>
      <c r="K68" s="15" cm="1">
        <f t="array" ref="K68">STDEVP(IF(FMECA[HazardRisk_name]=Table3[[#This Row],[HazardRisk_name]],FMECA[consequence_value]))</f>
        <v>1.5</v>
      </c>
      <c r="L68" s="23">
        <f>AVERAGEIFS(FMECA[Score],FMECA[HazardRisk_name],Table3[[#This Row],[HazardRisk_name]])</f>
        <v>34</v>
      </c>
      <c r="M68" s="23" cm="1">
        <f t="array" ref="M68">STDEVP(IF(FMECA[HazardRisk_name]=Table3[[#This Row],[HazardRisk_name]],FMECA[Score]))</f>
        <v>6</v>
      </c>
      <c r="N68" s="15">
        <f>COUNTIFS(FMECA_data!P:P, "Theoretical", FMECA_data!I:I,Table3[[#This Row],[HazardRisk_name]])</f>
        <v>1</v>
      </c>
      <c r="O68" s="15">
        <f>COUNTIFS(FMECA_data!P:P, "Observational", FMECA_data!I:I,Table3[[#This Row],[HazardRisk_name]])</f>
        <v>1</v>
      </c>
      <c r="P68" s="15">
        <f>COUNTIFS(FMECA_data!P:P, "Hybrid", FMECA_data!I:I,Table3[[#This Row],[HazardRisk_name]])</f>
        <v>0</v>
      </c>
      <c r="Q68" s="15">
        <f>COUNTIFS(FMECA_data!P:P, "Modelling", FMECA_data!I:I,Table3[[#This Row],[HazardRisk_name]])</f>
        <v>0</v>
      </c>
      <c r="R68" s="23">
        <f>COUNTIFS(FMECA[data_deficient], "Yes",FMECA[HazardRisk_name],Table3[[#This Row],[HazardRisk_name]])</f>
        <v>0</v>
      </c>
      <c r="S68" s="23">
        <f>(COUNTIFS(FMECA[availability], "Yes",FMECA[HazardRisk_name],Table3[[#This Row],[HazardRisk_name]])) + (COUNTIFS(FMECA[availability], "Available",FMECA[HazardRisk_name],Table3[[#This Row],[HazardRisk_name]]))</f>
        <v>1</v>
      </c>
      <c r="T68" s="23">
        <f>COUNTIFS(FMECA[RR], "VERY HIGH",FMECA[HazardRisk_name],Table3[[#This Row],[HazardRisk_name]])</f>
        <v>1</v>
      </c>
      <c r="U68" s="22">
        <f>Table3[[#This Row],[vh_count]]/Table3[[#This Row],[risk_counts]]</f>
        <v>0.5</v>
      </c>
      <c r="V68" s="23">
        <f>COUNTIFS(FMECA[RR], "HIGH",FMECA[HazardRisk_name],Table3[[#This Row],[HazardRisk_name]])</f>
        <v>1</v>
      </c>
      <c r="W68" s="22">
        <f>Table3[[#This Row],[h_count]]/Table3[[#This Row],[risk_counts]]</f>
        <v>0.5</v>
      </c>
      <c r="X68" s="23">
        <f>COUNTIFS(FMECA[RR], "MODERATE",FMECA[HazardRisk_name],Table3[[#This Row],[HazardRisk_name]])</f>
        <v>0</v>
      </c>
      <c r="Y68" s="22">
        <f>Table3[[#This Row],[m_count]]/Table3[[#This Row],[risk_counts]]</f>
        <v>0</v>
      </c>
      <c r="Z68" s="23">
        <f>COUNTIFS(FMECA[RR], "UNDETECTABLE",FMECA[HazardRisk_name],Table3[[#This Row],[HazardRisk_name]])</f>
        <v>0</v>
      </c>
      <c r="AA68" s="22">
        <f>Table3[[#This Row],[l_count]]/Table3[[#This Row],[risk_counts]]</f>
        <v>0</v>
      </c>
      <c r="AI68" s="16" t="str">
        <f>VLOOKUP(Table3[[#This Row],[HazardRisk_id]], categories[], 4, FALSE)</f>
        <v>Risk</v>
      </c>
      <c r="AJ68" s="16">
        <f>(COUNTIFS(FMECA[availability], "Unknown",FMECA[HazardRisk_name],Table3[[#This Row],[HazardRisk_name]]))</f>
        <v>0</v>
      </c>
    </row>
    <row r="69" spans="1:36" ht="51" x14ac:dyDescent="0.2">
      <c r="A69" s="16" t="s">
        <v>650</v>
      </c>
      <c r="B69" s="13" t="str">
        <f>VLOOKUP(Table3[[#This Row],[HazardRisk_id]], categories[], 5, FALSE)</f>
        <v>Political</v>
      </c>
      <c r="C69" s="14" t="str">
        <f>VLOOKUP(Table3[[#This Row],[HazardRisk_id]], categories[], 2, FALSE)</f>
        <v>Trading implications/competitions</v>
      </c>
      <c r="D69" s="15" t="str">
        <f>VLOOKUP(Table3[[#This Row],[HazardRisk_id]], categories[], 3, FALSE)</f>
        <v>Geopolitical tensions due to external matters can impact shipping corridors and routes significantly. The tensions can foster issues with navigation as well as illegal behaviors from nations that are not in agreement with one another.</v>
      </c>
      <c r="E69" s="15">
        <f>COUNTIFS(FMECA[HazardRisk_name],Table3[[#This Row],[HazardRisk_name]])</f>
        <v>4</v>
      </c>
      <c r="F69" s="15">
        <f>SUMIFS(FMECA[probability_value], FMECA[HazardRisk_name], Table3[[#This Row],[HazardRisk_name]])</f>
        <v>15</v>
      </c>
      <c r="G69" s="15">
        <f>AVERAGEIFS(FMECA[probability_value],FMECA[HazardRisk_name],Table3[[#This Row],[HazardRisk_name]])</f>
        <v>3.75</v>
      </c>
      <c r="H69" s="15" cm="1">
        <f t="array" ref="H69">STDEVP(IF(FMECA[HazardRisk_name]=Table3[[#This Row],[HazardRisk_name]],FMECA[probability_value]))</f>
        <v>0.4330127018922193</v>
      </c>
      <c r="I69" s="15">
        <f>SUMIFS(FMECA[consequence_value], FMECA[HazardRisk_name], Table3[[#This Row],[HazardRisk_name]])</f>
        <v>16</v>
      </c>
      <c r="J69" s="15">
        <f>AVERAGEIFS(FMECA[consequence_value],FMECA[HazardRisk_name],Table3[[#This Row],[HazardRisk_name]])</f>
        <v>4</v>
      </c>
      <c r="K69" s="15" cm="1">
        <f t="array" ref="K69">STDEVP(IF(FMECA[HazardRisk_name]=Table3[[#This Row],[HazardRisk_name]],FMECA[consequence_value]))</f>
        <v>0</v>
      </c>
      <c r="L69" s="23">
        <f>AVERAGEIFS(FMECA[Score],FMECA[HazardRisk_name],Table3[[#This Row],[HazardRisk_name]])</f>
        <v>15</v>
      </c>
      <c r="M69" s="23" cm="1">
        <f t="array" ref="M69">STDEVP(IF(FMECA[HazardRisk_name]=Table3[[#This Row],[HazardRisk_name]],FMECA[Score]))</f>
        <v>1.7320508075688772</v>
      </c>
      <c r="N69" s="15">
        <f>COUNTIFS(FMECA_data!P:P, "Theoretical", FMECA_data!I:I,Table3[[#This Row],[HazardRisk_name]])</f>
        <v>1</v>
      </c>
      <c r="O69" s="15">
        <f>COUNTIFS(FMECA_data!P:P, "Observational", FMECA_data!I:I,Table3[[#This Row],[HazardRisk_name]])</f>
        <v>1</v>
      </c>
      <c r="P69" s="15">
        <f>COUNTIFS(FMECA_data!P:P, "Hybrid", FMECA_data!I:I,Table3[[#This Row],[HazardRisk_name]])</f>
        <v>2</v>
      </c>
      <c r="Q69" s="15">
        <f>COUNTIFS(FMECA_data!P:P, "Modelling", FMECA_data!I:I,Table3[[#This Row],[HazardRisk_name]])</f>
        <v>0</v>
      </c>
      <c r="R69" s="23">
        <f>COUNTIFS(FMECA[data_deficient], "Yes",FMECA[HazardRisk_name],Table3[[#This Row],[HazardRisk_name]])</f>
        <v>0</v>
      </c>
      <c r="S69" s="23">
        <f>(COUNTIFS(FMECA[availability], "Yes",FMECA[HazardRisk_name],Table3[[#This Row],[HazardRisk_name]])) + (COUNTIFS(FMECA[availability], "Available",FMECA[HazardRisk_name],Table3[[#This Row],[HazardRisk_name]]))</f>
        <v>2</v>
      </c>
      <c r="T69" s="23">
        <f>COUNTIFS(FMECA[RR], "VERY HIGH",FMECA[HazardRisk_name],Table3[[#This Row],[HazardRisk_name]])</f>
        <v>0</v>
      </c>
      <c r="U69" s="22">
        <f>Table3[[#This Row],[vh_count]]/Table3[[#This Row],[risk_counts]]</f>
        <v>0</v>
      </c>
      <c r="V69" s="23">
        <f>COUNTIFS(FMECA[RR], "HIGH",FMECA[HazardRisk_name],Table3[[#This Row],[HazardRisk_name]])</f>
        <v>0</v>
      </c>
      <c r="W69" s="22">
        <f>Table3[[#This Row],[h_count]]/Table3[[#This Row],[risk_counts]]</f>
        <v>0</v>
      </c>
      <c r="X69" s="23">
        <f>COUNTIFS(FMECA[RR], "MODERATE",FMECA[HazardRisk_name],Table3[[#This Row],[HazardRisk_name]])</f>
        <v>4</v>
      </c>
      <c r="Y69" s="22">
        <f>Table3[[#This Row],[m_count]]/Table3[[#This Row],[risk_counts]]</f>
        <v>1</v>
      </c>
      <c r="Z69" s="23">
        <f>COUNTIFS(FMECA[RR], "UNDETECTABLE",FMECA[HazardRisk_name],Table3[[#This Row],[HazardRisk_name]])</f>
        <v>0</v>
      </c>
      <c r="AA69" s="22">
        <f>Table3[[#This Row],[l_count]]/Table3[[#This Row],[risk_counts]]</f>
        <v>0</v>
      </c>
      <c r="AI69" s="16" t="str">
        <f>VLOOKUP(Table3[[#This Row],[HazardRisk_id]], categories[], 4, FALSE)</f>
        <v>Risk</v>
      </c>
      <c r="AJ69" s="16">
        <f>(COUNTIFS(FMECA[availability], "Unknown",FMECA[HazardRisk_name],Table3[[#This Row],[HazardRisk_name]]))</f>
        <v>0</v>
      </c>
    </row>
    <row r="70" spans="1:36" ht="68" x14ac:dyDescent="0.2">
      <c r="A70" s="16" t="s">
        <v>651</v>
      </c>
      <c r="B70" s="13" t="str">
        <f>VLOOKUP(Table3[[#This Row],[HazardRisk_id]], categories[], 5, FALSE)</f>
        <v>Navigational</v>
      </c>
      <c r="C70" s="14" t="str">
        <f>VLOOKUP(Table3[[#This Row],[HazardRisk_id]], categories[], 2, FALSE)</f>
        <v>Traffic intensification</v>
      </c>
      <c r="D70" s="15" t="str">
        <f>VLOOKUP(Table3[[#This Row],[HazardRisk_id]], categories[], 3, FALSE)</f>
        <v>Intensification of vessels within the Arctic poses increased risks of accidents occurring, such as collisions, vessel sinking, and uncontrolled releases of toxic substances into the natural environment. Increased vessel traffic creates a substantial navigational challenge, impacting crew safety and the environment.</v>
      </c>
      <c r="E70" s="15">
        <f>COUNTIFS(FMECA[HazardRisk_name],Table3[[#This Row],[HazardRisk_name]])</f>
        <v>5</v>
      </c>
      <c r="F70" s="15">
        <f>SUMIFS(FMECA[probability_value], FMECA[HazardRisk_name], Table3[[#This Row],[HazardRisk_name]])</f>
        <v>21</v>
      </c>
      <c r="G70" s="15">
        <f>AVERAGEIFS(FMECA[probability_value],FMECA[HazardRisk_name],Table3[[#This Row],[HazardRisk_name]])</f>
        <v>4.2</v>
      </c>
      <c r="H70" s="15" cm="1">
        <f t="array" ref="H70">STDEVP(IF(FMECA[HazardRisk_name]=Table3[[#This Row],[HazardRisk_name]],FMECA[probability_value]))</f>
        <v>0.74833147735478833</v>
      </c>
      <c r="I70" s="15">
        <f>SUMIFS(FMECA[consequence_value], FMECA[HazardRisk_name], Table3[[#This Row],[HazardRisk_name]])</f>
        <v>29</v>
      </c>
      <c r="J70" s="15">
        <f>AVERAGEIFS(FMECA[consequence_value],FMECA[HazardRisk_name],Table3[[#This Row],[HazardRisk_name]])</f>
        <v>5.8</v>
      </c>
      <c r="K70" s="15" cm="1">
        <f t="array" ref="K70">STDEVP(IF(FMECA[HazardRisk_name]=Table3[[#This Row],[HazardRisk_name]],FMECA[consequence_value]))</f>
        <v>1.4696938456699069</v>
      </c>
      <c r="L70" s="23">
        <f>AVERAGEIFS(FMECA[Score],FMECA[HazardRisk_name],Table3[[#This Row],[HazardRisk_name]])</f>
        <v>24</v>
      </c>
      <c r="M70" s="23" cm="1">
        <f t="array" ref="M70">STDEVP(IF(FMECA[HazardRisk_name]=Table3[[#This Row],[HazardRisk_name]],FMECA[Score]))</f>
        <v>6.7230945255886443</v>
      </c>
      <c r="N70" s="15">
        <f>COUNTIFS(FMECA_data!P:P, "Theoretical", FMECA_data!I:I,Table3[[#This Row],[HazardRisk_name]])</f>
        <v>2</v>
      </c>
      <c r="O70" s="15">
        <f>COUNTIFS(FMECA_data!P:P, "Observational", FMECA_data!I:I,Table3[[#This Row],[HazardRisk_name]])</f>
        <v>2</v>
      </c>
      <c r="P70" s="15">
        <f>COUNTIFS(FMECA_data!P:P, "Hybrid", FMECA_data!I:I,Table3[[#This Row],[HazardRisk_name]])</f>
        <v>0</v>
      </c>
      <c r="Q70" s="15">
        <f>COUNTIFS(FMECA_data!P:P, "Modelling", FMECA_data!I:I,Table3[[#This Row],[HazardRisk_name]])</f>
        <v>1</v>
      </c>
      <c r="R70" s="23">
        <f>COUNTIFS(FMECA[data_deficient], "Yes",FMECA[HazardRisk_name],Table3[[#This Row],[HazardRisk_name]])</f>
        <v>0</v>
      </c>
      <c r="S70" s="23">
        <f>(COUNTIFS(FMECA[availability], "Yes",FMECA[HazardRisk_name],Table3[[#This Row],[HazardRisk_name]])) + (COUNTIFS(FMECA[availability], "Available",FMECA[HazardRisk_name],Table3[[#This Row],[HazardRisk_name]]))</f>
        <v>2</v>
      </c>
      <c r="T70" s="23">
        <f>COUNTIFS(FMECA[RR], "VERY HIGH",FMECA[HazardRisk_name],Table3[[#This Row],[HazardRisk_name]])</f>
        <v>0</v>
      </c>
      <c r="U70" s="22">
        <f>Table3[[#This Row],[vh_count]]/Table3[[#This Row],[risk_counts]]</f>
        <v>0</v>
      </c>
      <c r="V70" s="23">
        <f>COUNTIFS(FMECA[RR], "HIGH",FMECA[HazardRisk_name],Table3[[#This Row],[HazardRisk_name]])</f>
        <v>2</v>
      </c>
      <c r="W70" s="22">
        <f>Table3[[#This Row],[h_count]]/Table3[[#This Row],[risk_counts]]</f>
        <v>0.4</v>
      </c>
      <c r="X70" s="23">
        <f>COUNTIFS(FMECA[RR], "MODERATE",FMECA[HazardRisk_name],Table3[[#This Row],[HazardRisk_name]])</f>
        <v>3</v>
      </c>
      <c r="Y70" s="22">
        <f>Table3[[#This Row],[m_count]]/Table3[[#This Row],[risk_counts]]</f>
        <v>0.6</v>
      </c>
      <c r="Z70" s="23">
        <f>COUNTIFS(FMECA[RR], "UNDETECTABLE",FMECA[HazardRisk_name],Table3[[#This Row],[HazardRisk_name]])</f>
        <v>0</v>
      </c>
      <c r="AA70" s="22">
        <f>Table3[[#This Row],[l_count]]/Table3[[#This Row],[risk_counts]]</f>
        <v>0</v>
      </c>
      <c r="AI70" s="16" t="str">
        <f>VLOOKUP(Table3[[#This Row],[HazardRisk_id]], categories[], 4, FALSE)</f>
        <v>Risk</v>
      </c>
      <c r="AJ70" s="16">
        <f>(COUNTIFS(FMECA[availability], "Unknown",FMECA[HazardRisk_name],Table3[[#This Row],[HazardRisk_name]]))</f>
        <v>1</v>
      </c>
    </row>
    <row r="71" spans="1:36" ht="68" x14ac:dyDescent="0.2">
      <c r="A71" s="16" t="s">
        <v>652</v>
      </c>
      <c r="B71" s="13" t="str">
        <f>VLOOKUP(Table3[[#This Row],[HazardRisk_id]], categories[], 5, FALSE)</f>
        <v>Environmental</v>
      </c>
      <c r="C71" s="14" t="str">
        <f>VLOOKUP(Table3[[#This Row],[HazardRisk_id]], categories[], 2, FALSE)</f>
        <v>Travelling through marine protected areas</v>
      </c>
      <c r="D71" s="15" t="str">
        <f>VLOOKUP(Table3[[#This Row],[HazardRisk_id]], categories[], 3, FALSE)</f>
        <v xml:space="preserve">Vessels traveling through Marine Protected Areas (MPAs) run the risks of environmental disturbance of protected species and their corresponding habitats. Without obtaining legal documentation, entering these areas also poses risks of illegality of regulations and standards. </v>
      </c>
      <c r="E71" s="15">
        <f>COUNTIFS(FMECA[HazardRisk_name],Table3[[#This Row],[HazardRisk_name]])</f>
        <v>4</v>
      </c>
      <c r="F71" s="15">
        <f>SUMIFS(FMECA[probability_value], FMECA[HazardRisk_name], Table3[[#This Row],[HazardRisk_name]])</f>
        <v>15</v>
      </c>
      <c r="G71" s="15">
        <f>AVERAGEIFS(FMECA[probability_value],FMECA[HazardRisk_name],Table3[[#This Row],[HazardRisk_name]])</f>
        <v>3.75</v>
      </c>
      <c r="H71" s="15" cm="1">
        <f t="array" ref="H71">STDEVP(IF(FMECA[HazardRisk_name]=Table3[[#This Row],[HazardRisk_name]],FMECA[probability_value]))</f>
        <v>0.4330127018922193</v>
      </c>
      <c r="I71" s="15">
        <f>SUMIFS(FMECA[consequence_value], FMECA[HazardRisk_name], Table3[[#This Row],[HazardRisk_name]])</f>
        <v>31</v>
      </c>
      <c r="J71" s="15">
        <f>AVERAGEIFS(FMECA[consequence_value],FMECA[HazardRisk_name],Table3[[#This Row],[HazardRisk_name]])</f>
        <v>7.75</v>
      </c>
      <c r="K71" s="15" cm="1">
        <f t="array" ref="K71">STDEVP(IF(FMECA[HazardRisk_name]=Table3[[#This Row],[HazardRisk_name]],FMECA[consequence_value]))</f>
        <v>1.299038105676658</v>
      </c>
      <c r="L71" s="23">
        <f>AVERAGEIFS(FMECA[Score],FMECA[HazardRisk_name],Table3[[#This Row],[HazardRisk_name]])</f>
        <v>28.5</v>
      </c>
      <c r="M71" s="23" cm="1">
        <f t="array" ref="M71">STDEVP(IF(FMECA[HazardRisk_name]=Table3[[#This Row],[HazardRisk_name]],FMECA[Score]))</f>
        <v>0.8660254037844386</v>
      </c>
      <c r="N71" s="15">
        <f>COUNTIFS(FMECA_data!P:P, "Theoretical", FMECA_data!I:I,Table3[[#This Row],[HazardRisk_name]])</f>
        <v>1</v>
      </c>
      <c r="O71" s="15">
        <f>COUNTIFS(FMECA_data!P:P, "Observational", FMECA_data!I:I,Table3[[#This Row],[HazardRisk_name]])</f>
        <v>3</v>
      </c>
      <c r="P71" s="15">
        <f>COUNTIFS(FMECA_data!P:P, "Hybrid", FMECA_data!I:I,Table3[[#This Row],[HazardRisk_name]])</f>
        <v>0</v>
      </c>
      <c r="Q71" s="15">
        <f>COUNTIFS(FMECA_data!P:P, "Modelling", FMECA_data!I:I,Table3[[#This Row],[HazardRisk_name]])</f>
        <v>0</v>
      </c>
      <c r="R71" s="23">
        <f>COUNTIFS(FMECA[data_deficient], "Yes",FMECA[HazardRisk_name],Table3[[#This Row],[HazardRisk_name]])</f>
        <v>0</v>
      </c>
      <c r="S71" s="23">
        <f>(COUNTIFS(FMECA[availability], "Yes",FMECA[HazardRisk_name],Table3[[#This Row],[HazardRisk_name]])) + (COUNTIFS(FMECA[availability], "Available",FMECA[HazardRisk_name],Table3[[#This Row],[HazardRisk_name]]))</f>
        <v>3</v>
      </c>
      <c r="T71" s="23">
        <f>COUNTIFS(FMECA[RR], "VERY HIGH",FMECA[HazardRisk_name],Table3[[#This Row],[HazardRisk_name]])</f>
        <v>0</v>
      </c>
      <c r="U71" s="22">
        <f>Table3[[#This Row],[vh_count]]/Table3[[#This Row],[risk_counts]]</f>
        <v>0</v>
      </c>
      <c r="V71" s="23">
        <f>COUNTIFS(FMECA[RR], "HIGH",FMECA[HazardRisk_name],Table3[[#This Row],[HazardRisk_name]])</f>
        <v>4</v>
      </c>
      <c r="W71" s="22">
        <f>Table3[[#This Row],[h_count]]/Table3[[#This Row],[risk_counts]]</f>
        <v>1</v>
      </c>
      <c r="X71" s="23">
        <f>COUNTIFS(FMECA[RR], "MODERATE",FMECA[HazardRisk_name],Table3[[#This Row],[HazardRisk_name]])</f>
        <v>0</v>
      </c>
      <c r="Y71" s="22">
        <f>Table3[[#This Row],[m_count]]/Table3[[#This Row],[risk_counts]]</f>
        <v>0</v>
      </c>
      <c r="Z71" s="23">
        <f>COUNTIFS(FMECA[RR], "UNDETECTABLE",FMECA[HazardRisk_name],Table3[[#This Row],[HazardRisk_name]])</f>
        <v>0</v>
      </c>
      <c r="AA71" s="22">
        <f>Table3[[#This Row],[l_count]]/Table3[[#This Row],[risk_counts]]</f>
        <v>0</v>
      </c>
      <c r="AI71" s="16" t="str">
        <f>VLOOKUP(Table3[[#This Row],[HazardRisk_id]], categories[], 4, FALSE)</f>
        <v>Risk</v>
      </c>
      <c r="AJ71" s="16">
        <f>(COUNTIFS(FMECA[availability], "Unknown",FMECA[HazardRisk_name],Table3[[#This Row],[HazardRisk_name]]))</f>
        <v>0</v>
      </c>
    </row>
    <row r="72" spans="1:36" ht="51" x14ac:dyDescent="0.2">
      <c r="A72" s="16" t="s">
        <v>653</v>
      </c>
      <c r="B72" s="13" t="str">
        <f>VLOOKUP(Table3[[#This Row],[HazardRisk_id]], categories[], 5, FALSE)</f>
        <v>Navigational</v>
      </c>
      <c r="C72" s="14" t="str">
        <f>VLOOKUP(Table3[[#This Row],[HazardRisk_id]], categories[], 2, FALSE)</f>
        <v>Unfamilliar route planning</v>
      </c>
      <c r="D72" s="15" t="str">
        <f>VLOOKUP(Table3[[#This Row],[HazardRisk_id]], categories[], 3, FALSE)</f>
        <v xml:space="preserve">Due to the lack of crew experience with arctic vessel root planning, this poses risks of navigational errors as well as accidents occurring during the voyage. this post is first to crew safety and disruption to the environment. </v>
      </c>
      <c r="E72" s="15">
        <f>COUNTIFS(FMECA[HazardRisk_name],Table3[[#This Row],[HazardRisk_name]])</f>
        <v>3</v>
      </c>
      <c r="F72" s="15">
        <f>SUMIFS(FMECA[probability_value], FMECA[HazardRisk_name], Table3[[#This Row],[HazardRisk_name]])</f>
        <v>9</v>
      </c>
      <c r="G72" s="15">
        <f>AVERAGEIFS(FMECA[probability_value],FMECA[HazardRisk_name],Table3[[#This Row],[HazardRisk_name]])</f>
        <v>3</v>
      </c>
      <c r="H72" s="15" cm="1">
        <f t="array" ref="H72">STDEVP(IF(FMECA[HazardRisk_name]=Table3[[#This Row],[HazardRisk_name]],FMECA[probability_value]))</f>
        <v>0.81649658092772603</v>
      </c>
      <c r="I72" s="15">
        <f>SUMIFS(FMECA[consequence_value], FMECA[HazardRisk_name], Table3[[#This Row],[HazardRisk_name]])</f>
        <v>12</v>
      </c>
      <c r="J72" s="15">
        <f>AVERAGEIFS(FMECA[consequence_value],FMECA[HazardRisk_name],Table3[[#This Row],[HazardRisk_name]])</f>
        <v>4</v>
      </c>
      <c r="K72" s="15" cm="1">
        <f t="array" ref="K72">STDEVP(IF(FMECA[HazardRisk_name]=Table3[[#This Row],[HazardRisk_name]],FMECA[consequence_value]))</f>
        <v>0</v>
      </c>
      <c r="L72" s="23">
        <f>AVERAGEIFS(FMECA[Score],FMECA[HazardRisk_name],Table3[[#This Row],[HazardRisk_name]])</f>
        <v>12</v>
      </c>
      <c r="M72" s="23" cm="1">
        <f t="array" ref="M72">STDEVP(IF(FMECA[HazardRisk_name]=Table3[[#This Row],[HazardRisk_name]],FMECA[Score]))</f>
        <v>3.2659863237109041</v>
      </c>
      <c r="N72" s="15">
        <f>COUNTIFS(FMECA_data!P:P, "Theoretical", FMECA_data!I:I,Table3[[#This Row],[HazardRisk_name]])</f>
        <v>0</v>
      </c>
      <c r="O72" s="15">
        <f>COUNTIFS(FMECA_data!P:P, "Observational", FMECA_data!I:I,Table3[[#This Row],[HazardRisk_name]])</f>
        <v>2</v>
      </c>
      <c r="P72" s="15">
        <f>COUNTIFS(FMECA_data!P:P, "Hybrid", FMECA_data!I:I,Table3[[#This Row],[HazardRisk_name]])</f>
        <v>1</v>
      </c>
      <c r="Q72" s="15">
        <f>COUNTIFS(FMECA_data!P:P, "Modelling", FMECA_data!I:I,Table3[[#This Row],[HazardRisk_name]])</f>
        <v>0</v>
      </c>
      <c r="R72" s="23">
        <f>COUNTIFS(FMECA[data_deficient], "Yes",FMECA[HazardRisk_name],Table3[[#This Row],[HazardRisk_name]])</f>
        <v>0</v>
      </c>
      <c r="S72" s="23">
        <f>(COUNTIFS(FMECA[availability], "Yes",FMECA[HazardRisk_name],Table3[[#This Row],[HazardRisk_name]])) + (COUNTIFS(FMECA[availability], "Available",FMECA[HazardRisk_name],Table3[[#This Row],[HazardRisk_name]]))</f>
        <v>1</v>
      </c>
      <c r="T72" s="23">
        <f>COUNTIFS(FMECA[RR], "VERY HIGH",FMECA[HazardRisk_name],Table3[[#This Row],[HazardRisk_name]])</f>
        <v>0</v>
      </c>
      <c r="U72" s="22">
        <f>Table3[[#This Row],[vh_count]]/Table3[[#This Row],[risk_counts]]</f>
        <v>0</v>
      </c>
      <c r="V72" s="23">
        <f>COUNTIFS(FMECA[RR], "HIGH",FMECA[HazardRisk_name],Table3[[#This Row],[HazardRisk_name]])</f>
        <v>0</v>
      </c>
      <c r="W72" s="22">
        <f>Table3[[#This Row],[h_count]]/Table3[[#This Row],[risk_counts]]</f>
        <v>0</v>
      </c>
      <c r="X72" s="23">
        <f>COUNTIFS(FMECA[RR], "MODERATE",FMECA[HazardRisk_name],Table3[[#This Row],[HazardRisk_name]])</f>
        <v>2</v>
      </c>
      <c r="Y72" s="22">
        <f>Table3[[#This Row],[m_count]]/Table3[[#This Row],[risk_counts]]</f>
        <v>0.66666666666666663</v>
      </c>
      <c r="Z72" s="23">
        <f>COUNTIFS(FMECA[RR], "UNDETECTABLE",FMECA[HazardRisk_name],Table3[[#This Row],[HazardRisk_name]])</f>
        <v>1</v>
      </c>
      <c r="AA72" s="22">
        <f>Table3[[#This Row],[l_count]]/Table3[[#This Row],[risk_counts]]</f>
        <v>0.33333333333333331</v>
      </c>
      <c r="AI72" s="16" t="str">
        <f>VLOOKUP(Table3[[#This Row],[HazardRisk_id]], categories[], 4, FALSE)</f>
        <v>Risk</v>
      </c>
      <c r="AJ72" s="16">
        <f>(COUNTIFS(FMECA[availability], "Unknown",FMECA[HazardRisk_name],Table3[[#This Row],[HazardRisk_name]]))</f>
        <v>2</v>
      </c>
    </row>
    <row r="73" spans="1:36" ht="85" x14ac:dyDescent="0.2">
      <c r="A73" s="16" t="s">
        <v>654</v>
      </c>
      <c r="B73" s="13" t="str">
        <f>VLOOKUP(Table3[[#This Row],[HazardRisk_id]], categories[], 5, FALSE)</f>
        <v>Political</v>
      </c>
      <c r="C73" s="14" t="str">
        <f>VLOOKUP(Table3[[#This Row],[HazardRisk_id]], categories[], 2, FALSE)</f>
        <v>Ununified technical standards</v>
      </c>
      <c r="D73" s="15" t="str">
        <f>VLOOKUP(Table3[[#This Row],[HazardRisk_id]], categories[], 3, FALSE)</f>
        <v>The lack of unification regarding international vessel operating standards within polar waters create descrepancies among various countries travelling through the region. This increases oppurtunities for companies to 'race to the bottom' approach by increasing a cost effectiveness, though, undermining factors like environmental health and safety.</v>
      </c>
      <c r="E73" s="15">
        <f>COUNTIFS(FMECA[HazardRisk_name],Table3[[#This Row],[HazardRisk_name]])</f>
        <v>3</v>
      </c>
      <c r="F73" s="15">
        <f>SUMIFS(FMECA[probability_value], FMECA[HazardRisk_name], Table3[[#This Row],[HazardRisk_name]])</f>
        <v>12</v>
      </c>
      <c r="G73" s="15">
        <f>AVERAGEIFS(FMECA[probability_value],FMECA[HazardRisk_name],Table3[[#This Row],[HazardRisk_name]])</f>
        <v>4</v>
      </c>
      <c r="H73" s="15" cm="1">
        <f t="array" ref="H73">STDEVP(IF(FMECA[HazardRisk_name]=Table3[[#This Row],[HazardRisk_name]],FMECA[probability_value]))</f>
        <v>0.81649658092772603</v>
      </c>
      <c r="I73" s="15">
        <f>SUMIFS(FMECA[consequence_value], FMECA[HazardRisk_name], Table3[[#This Row],[HazardRisk_name]])</f>
        <v>15</v>
      </c>
      <c r="J73" s="15">
        <f>AVERAGEIFS(FMECA[consequence_value],FMECA[HazardRisk_name],Table3[[#This Row],[HazardRisk_name]])</f>
        <v>5</v>
      </c>
      <c r="K73" s="15" cm="1">
        <f t="array" ref="K73">STDEVP(IF(FMECA[HazardRisk_name]=Table3[[#This Row],[HazardRisk_name]],FMECA[consequence_value]))</f>
        <v>1.4142135623730951</v>
      </c>
      <c r="L73" s="23">
        <f>AVERAGEIFS(FMECA[Score],FMECA[HazardRisk_name],Table3[[#This Row],[HazardRisk_name]])</f>
        <v>21</v>
      </c>
      <c r="M73" s="23" cm="1">
        <f t="array" ref="M73">STDEVP(IF(FMECA[HazardRisk_name]=Table3[[#This Row],[HazardRisk_name]],FMECA[Score]))</f>
        <v>10.033277962194941</v>
      </c>
      <c r="N73" s="15">
        <f>COUNTIFS(FMECA_data!P:P, "Theoretical", FMECA_data!I:I,Table3[[#This Row],[HazardRisk_name]])</f>
        <v>2</v>
      </c>
      <c r="O73" s="15">
        <f>COUNTIFS(FMECA_data!P:P, "Observational", FMECA_data!I:I,Table3[[#This Row],[HazardRisk_name]])</f>
        <v>0</v>
      </c>
      <c r="P73" s="15">
        <f>COUNTIFS(FMECA_data!P:P, "Hybrid", FMECA_data!I:I,Table3[[#This Row],[HazardRisk_name]])</f>
        <v>1</v>
      </c>
      <c r="Q73" s="15">
        <f>COUNTIFS(FMECA_data!P:P, "Modelling", FMECA_data!I:I,Table3[[#This Row],[HazardRisk_name]])</f>
        <v>0</v>
      </c>
      <c r="R73" s="23">
        <f>COUNTIFS(FMECA[data_deficient], "Yes",FMECA[HazardRisk_name],Table3[[#This Row],[HazardRisk_name]])</f>
        <v>0</v>
      </c>
      <c r="S73" s="23">
        <f>(COUNTIFS(FMECA[availability], "Yes",FMECA[HazardRisk_name],Table3[[#This Row],[HazardRisk_name]])) + (COUNTIFS(FMECA[availability], "Available",FMECA[HazardRisk_name],Table3[[#This Row],[HazardRisk_name]]))</f>
        <v>0</v>
      </c>
      <c r="T73" s="23">
        <f>COUNTIFS(FMECA[RR], "VERY HIGH",FMECA[HazardRisk_name],Table3[[#This Row],[HazardRisk_name]])</f>
        <v>0</v>
      </c>
      <c r="U73" s="22">
        <f>Table3[[#This Row],[vh_count]]/Table3[[#This Row],[risk_counts]]</f>
        <v>0</v>
      </c>
      <c r="V73" s="23">
        <f>COUNTIFS(FMECA[RR], "HIGH",FMECA[HazardRisk_name],Table3[[#This Row],[HazardRisk_name]])</f>
        <v>1</v>
      </c>
      <c r="W73" s="22">
        <f>Table3[[#This Row],[h_count]]/Table3[[#This Row],[risk_counts]]</f>
        <v>0.33333333333333331</v>
      </c>
      <c r="X73" s="23">
        <f>COUNTIFS(FMECA[RR], "MODERATE",FMECA[HazardRisk_name],Table3[[#This Row],[HazardRisk_name]])</f>
        <v>2</v>
      </c>
      <c r="Y73" s="22">
        <f>Table3[[#This Row],[m_count]]/Table3[[#This Row],[risk_counts]]</f>
        <v>0.66666666666666663</v>
      </c>
      <c r="Z73" s="23">
        <f>COUNTIFS(FMECA[RR], "UNDETECTABLE",FMECA[HazardRisk_name],Table3[[#This Row],[HazardRisk_name]])</f>
        <v>0</v>
      </c>
      <c r="AA73" s="22">
        <f>Table3[[#This Row],[l_count]]/Table3[[#This Row],[risk_counts]]</f>
        <v>0</v>
      </c>
      <c r="AI73" s="16" t="str">
        <f>VLOOKUP(Table3[[#This Row],[HazardRisk_id]], categories[], 4, FALSE)</f>
        <v>Risk</v>
      </c>
      <c r="AJ73" s="16">
        <f>(COUNTIFS(FMECA[availability], "Unknown",FMECA[HazardRisk_name],Table3[[#This Row],[HazardRisk_name]]))</f>
        <v>1</v>
      </c>
    </row>
    <row r="74" spans="1:36" ht="51" x14ac:dyDescent="0.2">
      <c r="A74" s="16" t="s">
        <v>655</v>
      </c>
      <c r="B74" s="13" t="str">
        <f>VLOOKUP(Table3[[#This Row],[HazardRisk_id]], categories[], 5, FALSE)</f>
        <v>Economic</v>
      </c>
      <c r="C74" s="14" t="str">
        <f>VLOOKUP(Table3[[#This Row],[HazardRisk_id]], categories[], 2, FALSE)</f>
        <v>Variable insurance costs</v>
      </c>
      <c r="D74" s="15" t="str">
        <f>VLOOKUP(Table3[[#This Row],[HazardRisk_id]], categories[], 3, FALSE)</f>
        <v>Due to limited shipping precedent in the Arctic, Insurance companies have limited insurance rates when voyaging through this region. These coverage costs are also dependent on the amounts of accidents that occur.</v>
      </c>
      <c r="E74" s="15">
        <f>COUNTIFS(FMECA[HazardRisk_name],Table3[[#This Row],[HazardRisk_name]])</f>
        <v>8</v>
      </c>
      <c r="F74" s="15">
        <f>SUMIFS(FMECA[probability_value], FMECA[HazardRisk_name], Table3[[#This Row],[HazardRisk_name]])</f>
        <v>33</v>
      </c>
      <c r="G74" s="15">
        <f>AVERAGEIFS(FMECA[probability_value],FMECA[HazardRisk_name],Table3[[#This Row],[HazardRisk_name]])</f>
        <v>4.125</v>
      </c>
      <c r="H74" s="15" cm="1">
        <f t="array" ref="H74">STDEVP(IF(FMECA[HazardRisk_name]=Table3[[#This Row],[HazardRisk_name]],FMECA[probability_value]))</f>
        <v>0.92702481088695787</v>
      </c>
      <c r="I74" s="15">
        <f>SUMIFS(FMECA[consequence_value], FMECA[HazardRisk_name], Table3[[#This Row],[HazardRisk_name]])</f>
        <v>50</v>
      </c>
      <c r="J74" s="15">
        <f>AVERAGEIFS(FMECA[consequence_value],FMECA[HazardRisk_name],Table3[[#This Row],[HazardRisk_name]])</f>
        <v>6.25</v>
      </c>
      <c r="K74" s="15" cm="1">
        <f t="array" ref="K74">STDEVP(IF(FMECA[HazardRisk_name]=Table3[[#This Row],[HazardRisk_name]],FMECA[consequence_value]))</f>
        <v>1.984313483298443</v>
      </c>
      <c r="L74" s="23">
        <f>AVERAGEIFS(FMECA[Score],FMECA[HazardRisk_name],Table3[[#This Row],[HazardRisk_name]])</f>
        <v>25.125</v>
      </c>
      <c r="M74" s="23" cm="1">
        <f t="array" ref="M74">STDEVP(IF(FMECA[HazardRisk_name]=Table3[[#This Row],[HazardRisk_name]],FMECA[Score]))</f>
        <v>8.6231882155035908</v>
      </c>
      <c r="N74" s="15">
        <f>COUNTIFS(FMECA_data!P:P, "Theoretical", FMECA_data!I:I,Table3[[#This Row],[HazardRisk_name]])</f>
        <v>1</v>
      </c>
      <c r="O74" s="15">
        <f>COUNTIFS(FMECA_data!P:P, "Observational", FMECA_data!I:I,Table3[[#This Row],[HazardRisk_name]])</f>
        <v>5</v>
      </c>
      <c r="P74" s="15">
        <f>COUNTIFS(FMECA_data!P:P, "Hybrid", FMECA_data!I:I,Table3[[#This Row],[HazardRisk_name]])</f>
        <v>2</v>
      </c>
      <c r="Q74" s="15">
        <f>COUNTIFS(FMECA_data!P:P, "Modelling", FMECA_data!I:I,Table3[[#This Row],[HazardRisk_name]])</f>
        <v>0</v>
      </c>
      <c r="R74" s="23">
        <f>COUNTIFS(FMECA[data_deficient], "Yes",FMECA[HazardRisk_name],Table3[[#This Row],[HazardRisk_name]])</f>
        <v>2</v>
      </c>
      <c r="S74" s="23">
        <f>(COUNTIFS(FMECA[availability], "Yes",FMECA[HazardRisk_name],Table3[[#This Row],[HazardRisk_name]])) + (COUNTIFS(FMECA[availability], "Available",FMECA[HazardRisk_name],Table3[[#This Row],[HazardRisk_name]]))</f>
        <v>2</v>
      </c>
      <c r="T74" s="23">
        <f>COUNTIFS(FMECA[RR], "VERY HIGH",FMECA[HazardRisk_name],Table3[[#This Row],[HazardRisk_name]])</f>
        <v>1</v>
      </c>
      <c r="U74" s="22">
        <f>Table3[[#This Row],[vh_count]]/Table3[[#This Row],[risk_counts]]</f>
        <v>0.125</v>
      </c>
      <c r="V74" s="23">
        <f>COUNTIFS(FMECA[RR], "HIGH",FMECA[HazardRisk_name],Table3[[#This Row],[HazardRisk_name]])</f>
        <v>3</v>
      </c>
      <c r="W74" s="22">
        <f>Table3[[#This Row],[h_count]]/Table3[[#This Row],[risk_counts]]</f>
        <v>0.375</v>
      </c>
      <c r="X74" s="23">
        <f>COUNTIFS(FMECA[RR], "MODERATE",FMECA[HazardRisk_name],Table3[[#This Row],[HazardRisk_name]])</f>
        <v>4</v>
      </c>
      <c r="Y74" s="22">
        <f>Table3[[#This Row],[m_count]]/Table3[[#This Row],[risk_counts]]</f>
        <v>0.5</v>
      </c>
      <c r="Z74" s="23">
        <f>COUNTIFS(FMECA[RR], "UNDETECTABLE",FMECA[HazardRisk_name],Table3[[#This Row],[HazardRisk_name]])</f>
        <v>0</v>
      </c>
      <c r="AA74" s="22">
        <f>Table3[[#This Row],[l_count]]/Table3[[#This Row],[risk_counts]]</f>
        <v>0</v>
      </c>
      <c r="AI74" s="16" t="str">
        <f>VLOOKUP(Table3[[#This Row],[HazardRisk_id]], categories[], 4, FALSE)</f>
        <v>Risk</v>
      </c>
      <c r="AJ74" s="16">
        <f>(COUNTIFS(FMECA[availability], "Unknown",FMECA[HazardRisk_name],Table3[[#This Row],[HazardRisk_name]]))</f>
        <v>4</v>
      </c>
    </row>
    <row r="75" spans="1:36" ht="34" x14ac:dyDescent="0.2">
      <c r="A75" s="16" t="s">
        <v>656</v>
      </c>
      <c r="B75" s="13" t="str">
        <f>VLOOKUP(Table3[[#This Row],[HazardRisk_id]], categories[], 5, FALSE)</f>
        <v>Economic</v>
      </c>
      <c r="C75" s="14" t="str">
        <f>VLOOKUP(Table3[[#This Row],[HazardRisk_id]], categories[], 2, FALSE)</f>
        <v>Variable profit margins</v>
      </c>
      <c r="D75" s="15" t="str">
        <f>VLOOKUP(Table3[[#This Row],[HazardRisk_id]], categories[], 3, FALSE)</f>
        <v>There is no current consensus on whether Arctic vessel trip profitability is impacted in a positive or negative manner.</v>
      </c>
      <c r="E75" s="15">
        <f>COUNTIFS(FMECA[HazardRisk_name],Table3[[#This Row],[HazardRisk_name]])</f>
        <v>9</v>
      </c>
      <c r="F75" s="15">
        <f>SUMIFS(FMECA[probability_value], FMECA[HazardRisk_name], Table3[[#This Row],[HazardRisk_name]])</f>
        <v>36</v>
      </c>
      <c r="G75" s="15">
        <f>AVERAGEIFS(FMECA[probability_value],FMECA[HazardRisk_name],Table3[[#This Row],[HazardRisk_name]])</f>
        <v>4</v>
      </c>
      <c r="H75" s="15" cm="1">
        <f t="array" ref="H75">STDEVP(IF(FMECA[HazardRisk_name]=Table3[[#This Row],[HazardRisk_name]],FMECA[probability_value]))</f>
        <v>0.81649658092772603</v>
      </c>
      <c r="I75" s="15">
        <f>SUMIFS(FMECA[consequence_value], FMECA[HazardRisk_name], Table3[[#This Row],[HazardRisk_name]])</f>
        <v>54</v>
      </c>
      <c r="J75" s="15">
        <f>AVERAGEIFS(FMECA[consequence_value],FMECA[HazardRisk_name],Table3[[#This Row],[HazardRisk_name]])</f>
        <v>6</v>
      </c>
      <c r="K75" s="15" cm="1">
        <f t="array" ref="K75">STDEVP(IF(FMECA[HazardRisk_name]=Table3[[#This Row],[HazardRisk_name]],FMECA[consequence_value]))</f>
        <v>1.4142135623730951</v>
      </c>
      <c r="L75" s="23">
        <f>AVERAGEIFS(FMECA[Score],FMECA[HazardRisk_name],Table3[[#This Row],[HazardRisk_name]])</f>
        <v>24.333333333333332</v>
      </c>
      <c r="M75" s="23" cm="1">
        <f t="array" ref="M75">STDEVP(IF(FMECA[HazardRisk_name]=Table3[[#This Row],[HazardRisk_name]],FMECA[Score]))</f>
        <v>8.1785627642568652</v>
      </c>
      <c r="N75" s="15">
        <f>COUNTIFS(FMECA_data!P:P, "Theoretical", FMECA_data!I:I,Table3[[#This Row],[HazardRisk_name]])</f>
        <v>1</v>
      </c>
      <c r="O75" s="15">
        <f>COUNTIFS(FMECA_data!P:P, "Observational", FMECA_data!I:I,Table3[[#This Row],[HazardRisk_name]])</f>
        <v>6</v>
      </c>
      <c r="P75" s="15">
        <f>COUNTIFS(FMECA_data!P:P, "Hybrid", FMECA_data!I:I,Table3[[#This Row],[HazardRisk_name]])</f>
        <v>1</v>
      </c>
      <c r="Q75" s="15">
        <f>COUNTIFS(FMECA_data!P:P, "Modelling", FMECA_data!I:I,Table3[[#This Row],[HazardRisk_name]])</f>
        <v>1</v>
      </c>
      <c r="R75" s="23">
        <f>COUNTIFS(FMECA[data_deficient], "Yes",FMECA[HazardRisk_name],Table3[[#This Row],[HazardRisk_name]])</f>
        <v>2</v>
      </c>
      <c r="S75" s="23">
        <f>(COUNTIFS(FMECA[availability], "Yes",FMECA[HazardRisk_name],Table3[[#This Row],[HazardRisk_name]])) + (COUNTIFS(FMECA[availability], "Available",FMECA[HazardRisk_name],Table3[[#This Row],[HazardRisk_name]]))</f>
        <v>5</v>
      </c>
      <c r="T75" s="23">
        <f>COUNTIFS(FMECA[RR], "VERY HIGH",FMECA[HazardRisk_name],Table3[[#This Row],[HazardRisk_name]])</f>
        <v>0</v>
      </c>
      <c r="U75" s="22">
        <f>Table3[[#This Row],[vh_count]]/Table3[[#This Row],[risk_counts]]</f>
        <v>0</v>
      </c>
      <c r="V75" s="23">
        <f>COUNTIFS(FMECA[RR], "HIGH",FMECA[HazardRisk_name],Table3[[#This Row],[HazardRisk_name]])</f>
        <v>5</v>
      </c>
      <c r="W75" s="22">
        <f>Table3[[#This Row],[h_count]]/Table3[[#This Row],[risk_counts]]</f>
        <v>0.55555555555555558</v>
      </c>
      <c r="X75" s="23">
        <f>COUNTIFS(FMECA[RR], "MODERATE",FMECA[HazardRisk_name],Table3[[#This Row],[HazardRisk_name]])</f>
        <v>4</v>
      </c>
      <c r="Y75" s="22">
        <f>Table3[[#This Row],[m_count]]/Table3[[#This Row],[risk_counts]]</f>
        <v>0.44444444444444442</v>
      </c>
      <c r="Z75" s="23">
        <f>COUNTIFS(FMECA[RR], "UNDETECTABLE",FMECA[HazardRisk_name],Table3[[#This Row],[HazardRisk_name]])</f>
        <v>0</v>
      </c>
      <c r="AA75" s="22">
        <f>Table3[[#This Row],[l_count]]/Table3[[#This Row],[risk_counts]]</f>
        <v>0</v>
      </c>
      <c r="AI75" s="16" t="str">
        <f>VLOOKUP(Table3[[#This Row],[HazardRisk_id]], categories[], 4, FALSE)</f>
        <v>Risk</v>
      </c>
      <c r="AJ75" s="16">
        <f>(COUNTIFS(FMECA[availability], "Unknown",FMECA[HazardRisk_name],Table3[[#This Row],[HazardRisk_name]]))</f>
        <v>3</v>
      </c>
    </row>
    <row r="76" spans="1:36" ht="34" x14ac:dyDescent="0.2">
      <c r="A76" s="16" t="s">
        <v>657</v>
      </c>
      <c r="B76" s="13" t="str">
        <f>VLOOKUP(Table3[[#This Row],[HazardRisk_id]], categories[], 5, FALSE)</f>
        <v>Navigational</v>
      </c>
      <c r="C76" s="14" t="str">
        <f>VLOOKUP(Table3[[#This Row],[HazardRisk_id]], categories[], 2, FALSE)</f>
        <v>Vessel accident (generalized)</v>
      </c>
      <c r="D76" s="15" t="str">
        <f>VLOOKUP(Table3[[#This Row],[HazardRisk_id]], categories[], 3, FALSE)</f>
        <v>Vessel accidents can range from near misses to accidental collisions with land, icebergs, or other vessels. This process can posess human and ecological damage.</v>
      </c>
      <c r="E76" s="15">
        <f>COUNTIFS(FMECA[HazardRisk_name],Table3[[#This Row],[HazardRisk_name]])</f>
        <v>12</v>
      </c>
      <c r="F76" s="15">
        <f>SUMIFS(FMECA[probability_value], FMECA[HazardRisk_name], Table3[[#This Row],[HazardRisk_name]])</f>
        <v>28</v>
      </c>
      <c r="G76" s="15">
        <f>AVERAGEIFS(FMECA[probability_value],FMECA[HazardRisk_name],Table3[[#This Row],[HazardRisk_name]])</f>
        <v>2.5454545454545454</v>
      </c>
      <c r="H76" s="15" cm="1">
        <f t="array" ref="H76">STDEVP(IF(FMECA[HazardRisk_name]=Table3[[#This Row],[HazardRisk_name]],FMECA[probability_value]))</f>
        <v>0.94280904158206336</v>
      </c>
      <c r="I76" s="15">
        <f>SUMIFS(FMECA[consequence_value], FMECA[HazardRisk_name], Table3[[#This Row],[HazardRisk_name]])</f>
        <v>89</v>
      </c>
      <c r="J76" s="15">
        <f>AVERAGEIFS(FMECA[consequence_value],FMECA[HazardRisk_name],Table3[[#This Row],[HazardRisk_name]])</f>
        <v>8.0909090909090917</v>
      </c>
      <c r="K76" s="15" cm="1">
        <f t="array" ref="K76">STDEVP(IF(FMECA[HazardRisk_name]=Table3[[#This Row],[HazardRisk_name]],FMECA[consequence_value]))</f>
        <v>2.8999521068842191</v>
      </c>
      <c r="L76" s="23">
        <f>AVERAGEIFS(FMECA[Score],FMECA[HazardRisk_name],Table3[[#This Row],[HazardRisk_name]])</f>
        <v>18.583333333333332</v>
      </c>
      <c r="M76" s="23" cm="1">
        <f t="array" ref="M76">STDEVP(IF(FMECA[HazardRisk_name]=Table3[[#This Row],[HazardRisk_name]],FMECA[Score]))</f>
        <v>8.7317269515002334</v>
      </c>
      <c r="N76" s="15">
        <f>COUNTIFS(FMECA_data!P:P, "Theoretical", FMECA_data!I:I,Table3[[#This Row],[HazardRisk_name]])</f>
        <v>2</v>
      </c>
      <c r="O76" s="15">
        <f>COUNTIFS(FMECA_data!P:P, "Observational", FMECA_data!I:I,Table3[[#This Row],[HazardRisk_name]])</f>
        <v>5</v>
      </c>
      <c r="P76" s="15">
        <f>COUNTIFS(FMECA_data!P:P, "Hybrid", FMECA_data!I:I,Table3[[#This Row],[HazardRisk_name]])</f>
        <v>4</v>
      </c>
      <c r="Q76" s="15">
        <f>COUNTIFS(FMECA_data!P:P, "Modelling", FMECA_data!I:I,Table3[[#This Row],[HazardRisk_name]])</f>
        <v>1</v>
      </c>
      <c r="R76" s="23">
        <f>COUNTIFS(FMECA[data_deficient], "Yes",FMECA[HazardRisk_name],Table3[[#This Row],[HazardRisk_name]])</f>
        <v>1</v>
      </c>
      <c r="S76" s="23">
        <f>(COUNTIFS(FMECA[availability], "Yes",FMECA[HazardRisk_name],Table3[[#This Row],[HazardRisk_name]])) + (COUNTIFS(FMECA[availability], "Available",FMECA[HazardRisk_name],Table3[[#This Row],[HazardRisk_name]]))</f>
        <v>2</v>
      </c>
      <c r="T76" s="23">
        <f>COUNTIFS(FMECA[RR], "VERY HIGH",FMECA[HazardRisk_name],Table3[[#This Row],[HazardRisk_name]])</f>
        <v>0</v>
      </c>
      <c r="U76" s="22">
        <f>Table3[[#This Row],[vh_count]]/Table3[[#This Row],[risk_counts]]</f>
        <v>0</v>
      </c>
      <c r="V76" s="23">
        <f>COUNTIFS(FMECA[RR], "HIGH",FMECA[HazardRisk_name],Table3[[#This Row],[HazardRisk_name]])</f>
        <v>3</v>
      </c>
      <c r="W76" s="22">
        <f>Table3[[#This Row],[h_count]]/Table3[[#This Row],[risk_counts]]</f>
        <v>0.25</v>
      </c>
      <c r="X76" s="23">
        <f>COUNTIFS(FMECA[RR], "MODERATE",FMECA[HazardRisk_name],Table3[[#This Row],[HazardRisk_name]])</f>
        <v>8</v>
      </c>
      <c r="Y76" s="22">
        <f>Table3[[#This Row],[m_count]]/Table3[[#This Row],[risk_counts]]</f>
        <v>0.66666666666666663</v>
      </c>
      <c r="Z76" s="23">
        <f>COUNTIFS(FMECA[RR], "UNDETECTABLE",FMECA[HazardRisk_name],Table3[[#This Row],[HazardRisk_name]])</f>
        <v>1</v>
      </c>
      <c r="AA76" s="22">
        <f>Table3[[#This Row],[l_count]]/Table3[[#This Row],[risk_counts]]</f>
        <v>8.3333333333333329E-2</v>
      </c>
      <c r="AI76" s="16" t="str">
        <f>VLOOKUP(Table3[[#This Row],[HazardRisk_id]], categories[], 4, FALSE)</f>
        <v>Risk</v>
      </c>
      <c r="AJ76" s="16">
        <f>(COUNTIFS(FMECA[availability], "Unknown",FMECA[HazardRisk_name],Table3[[#This Row],[HazardRisk_name]]))</f>
        <v>6</v>
      </c>
    </row>
    <row r="77" spans="1:36" ht="51" x14ac:dyDescent="0.2">
      <c r="A77" s="16" t="s">
        <v>658</v>
      </c>
      <c r="B77" s="13" t="str">
        <f>VLOOKUP(Table3[[#This Row],[HazardRisk_id]], categories[], 5, FALSE)</f>
        <v>Operational</v>
      </c>
      <c r="C77" s="14" t="str">
        <f>VLOOKUP(Table3[[#This Row],[HazardRisk_id]], categories[], 2, FALSE)</f>
        <v>Vessel alarm and sensor malfunction</v>
      </c>
      <c r="D77" s="15" t="str">
        <f>VLOOKUP(Table3[[#This Row],[HazardRisk_id]], categories[], 3, FALSE)</f>
        <v>A malfunction in a vessels alarm restricts the crew members ability to identify malfunctions in risks such as unsafe CO2 levels, machine failure, engine difficulties, verbal orders, and/or navigation alarms.</v>
      </c>
      <c r="E77" s="15">
        <f>COUNTIFS(FMECA[HazardRisk_name],Table3[[#This Row],[HazardRisk_name]])</f>
        <v>3</v>
      </c>
      <c r="F77" s="15">
        <f>SUMIFS(FMECA[probability_value], FMECA[HazardRisk_name], Table3[[#This Row],[HazardRisk_name]])</f>
        <v>5</v>
      </c>
      <c r="G77" s="15">
        <f>AVERAGEIFS(FMECA[probability_value],FMECA[HazardRisk_name],Table3[[#This Row],[HazardRisk_name]])</f>
        <v>1.6666666666666667</v>
      </c>
      <c r="H77" s="15" cm="1">
        <f t="array" ref="H77">STDEVP(IF(FMECA[HazardRisk_name]=Table3[[#This Row],[HazardRisk_name]],FMECA[probability_value]))</f>
        <v>0.94280904158206336</v>
      </c>
      <c r="I77" s="15">
        <f>SUMIFS(FMECA[consequence_value], FMECA[HazardRisk_name], Table3[[#This Row],[HazardRisk_name]])</f>
        <v>24</v>
      </c>
      <c r="J77" s="15">
        <f>AVERAGEIFS(FMECA[consequence_value],FMECA[HazardRisk_name],Table3[[#This Row],[HazardRisk_name]])</f>
        <v>8</v>
      </c>
      <c r="K77" s="15" cm="1">
        <f t="array" ref="K77">STDEVP(IF(FMECA[HazardRisk_name]=Table3[[#This Row],[HazardRisk_name]],FMECA[consequence_value]))</f>
        <v>2.8284271247461903</v>
      </c>
      <c r="L77" s="23">
        <f>AVERAGEIFS(FMECA[Score],FMECA[HazardRisk_name],Table3[[#This Row],[HazardRisk_name]])</f>
        <v>14.666666666666666</v>
      </c>
      <c r="M77" s="23" cm="1">
        <f t="array" ref="M77">STDEVP(IF(FMECA[HazardRisk_name]=Table3[[#This Row],[HazardRisk_name]],FMECA[Score]))</f>
        <v>11.115554667022044</v>
      </c>
      <c r="N77" s="15">
        <f>COUNTIFS(FMECA_data!P:P, "Theoretical", FMECA_data!I:I,Table3[[#This Row],[HazardRisk_name]])</f>
        <v>0</v>
      </c>
      <c r="O77" s="15">
        <f>COUNTIFS(FMECA_data!P:P, "Observational", FMECA_data!I:I,Table3[[#This Row],[HazardRisk_name]])</f>
        <v>1</v>
      </c>
      <c r="P77" s="15">
        <f>COUNTIFS(FMECA_data!P:P, "Hybrid", FMECA_data!I:I,Table3[[#This Row],[HazardRisk_name]])</f>
        <v>1</v>
      </c>
      <c r="Q77" s="15">
        <f>COUNTIFS(FMECA_data!P:P, "Modelling", FMECA_data!I:I,Table3[[#This Row],[HazardRisk_name]])</f>
        <v>1</v>
      </c>
      <c r="R77" s="23">
        <f>COUNTIFS(FMECA[data_deficient], "Yes",FMECA[HazardRisk_name],Table3[[#This Row],[HazardRisk_name]])</f>
        <v>0</v>
      </c>
      <c r="S77" s="23">
        <f>(COUNTIFS(FMECA[availability], "Yes",FMECA[HazardRisk_name],Table3[[#This Row],[HazardRisk_name]])) + (COUNTIFS(FMECA[availability], "Available",FMECA[HazardRisk_name],Table3[[#This Row],[HazardRisk_name]]))</f>
        <v>0</v>
      </c>
      <c r="T77" s="23">
        <f>COUNTIFS(FMECA[RR], "VERY HIGH",FMECA[HazardRisk_name],Table3[[#This Row],[HazardRisk_name]])</f>
        <v>0</v>
      </c>
      <c r="U77" s="22">
        <f>Table3[[#This Row],[vh_count]]/Table3[[#This Row],[risk_counts]]</f>
        <v>0</v>
      </c>
      <c r="V77" s="23">
        <f>COUNTIFS(FMECA[RR], "HIGH",FMECA[HazardRisk_name],Table3[[#This Row],[HazardRisk_name]])</f>
        <v>1</v>
      </c>
      <c r="W77" s="22">
        <f>Table3[[#This Row],[h_count]]/Table3[[#This Row],[risk_counts]]</f>
        <v>0.33333333333333331</v>
      </c>
      <c r="X77" s="23">
        <f>COUNTIFS(FMECA[RR], "MODERATE",FMECA[HazardRisk_name],Table3[[#This Row],[HazardRisk_name]])</f>
        <v>1</v>
      </c>
      <c r="Y77" s="22">
        <f>Table3[[#This Row],[m_count]]/Table3[[#This Row],[risk_counts]]</f>
        <v>0.33333333333333331</v>
      </c>
      <c r="Z77" s="23">
        <f>COUNTIFS(FMECA[RR], "UNDETECTABLE",FMECA[HazardRisk_name],Table3[[#This Row],[HazardRisk_name]])</f>
        <v>1</v>
      </c>
      <c r="AA77" s="22">
        <f>Table3[[#This Row],[l_count]]/Table3[[#This Row],[risk_counts]]</f>
        <v>0.33333333333333331</v>
      </c>
      <c r="AI77" s="16" t="str">
        <f>VLOOKUP(Table3[[#This Row],[HazardRisk_id]], categories[], 4, FALSE)</f>
        <v>Risk</v>
      </c>
      <c r="AJ77" s="16">
        <f>(COUNTIFS(FMECA[availability], "Unknown",FMECA[HazardRisk_name],Table3[[#This Row],[HazardRisk_name]]))</f>
        <v>3</v>
      </c>
    </row>
    <row r="78" spans="1:36" ht="34" x14ac:dyDescent="0.2">
      <c r="A78" s="16" t="s">
        <v>659</v>
      </c>
      <c r="B78" s="13" t="str">
        <f>VLOOKUP(Table3[[#This Row],[HazardRisk_id]], categories[], 5, FALSE)</f>
        <v>Navigational</v>
      </c>
      <c r="C78" s="14" t="str">
        <f>VLOOKUP(Table3[[#This Row],[HazardRisk_id]], categories[], 2, FALSE)</f>
        <v>Vessel capsizing</v>
      </c>
      <c r="D78" s="15" t="str">
        <f>VLOOKUP(Table3[[#This Row],[HazardRisk_id]], categories[], 3, FALSE)</f>
        <v>Vessel capsizing or keeling occurs when a ship becomes rolled over on its side or furher by strong waves, strong winds, and/or vessel instability.</v>
      </c>
      <c r="E78" s="15">
        <f>COUNTIFS(FMECA[HazardRisk_name],Table3[[#This Row],[HazardRisk_name]])</f>
        <v>2</v>
      </c>
      <c r="F78" s="15">
        <f>SUMIFS(FMECA[probability_value], FMECA[HazardRisk_name], Table3[[#This Row],[HazardRisk_name]])</f>
        <v>4</v>
      </c>
      <c r="G78" s="15">
        <f>AVERAGEIFS(FMECA[probability_value],FMECA[HazardRisk_name],Table3[[#This Row],[HazardRisk_name]])</f>
        <v>2</v>
      </c>
      <c r="H78" s="15" cm="1">
        <f t="array" ref="H78">STDEVP(IF(FMECA[HazardRisk_name]=Table3[[#This Row],[HazardRisk_name]],FMECA[probability_value]))</f>
        <v>0</v>
      </c>
      <c r="I78" s="15">
        <f>SUMIFS(FMECA[consequence_value], FMECA[HazardRisk_name], Table3[[#This Row],[HazardRisk_name]])</f>
        <v>20</v>
      </c>
      <c r="J78" s="15">
        <f>AVERAGEIFS(FMECA[consequence_value],FMECA[HazardRisk_name],Table3[[#This Row],[HazardRisk_name]])</f>
        <v>10</v>
      </c>
      <c r="K78" s="15" cm="1">
        <f t="array" ref="K78">STDEVP(IF(FMECA[HazardRisk_name]=Table3[[#This Row],[HazardRisk_name]],FMECA[consequence_value]))</f>
        <v>0</v>
      </c>
      <c r="L78" s="23">
        <f>AVERAGEIFS(FMECA[Score],FMECA[HazardRisk_name],Table3[[#This Row],[HazardRisk_name]])</f>
        <v>20</v>
      </c>
      <c r="M78" s="23" cm="1">
        <f t="array" ref="M78">STDEVP(IF(FMECA[HazardRisk_name]=Table3[[#This Row],[HazardRisk_name]],FMECA[Score]))</f>
        <v>0</v>
      </c>
      <c r="N78" s="15">
        <f>COUNTIFS(FMECA_data!P:P, "Theoretical", FMECA_data!I:I,Table3[[#This Row],[HazardRisk_name]])</f>
        <v>0</v>
      </c>
      <c r="O78" s="15">
        <f>COUNTIFS(FMECA_data!P:P, "Observational", FMECA_data!I:I,Table3[[#This Row],[HazardRisk_name]])</f>
        <v>2</v>
      </c>
      <c r="P78" s="15">
        <f>COUNTIFS(FMECA_data!P:P, "Hybrid", FMECA_data!I:I,Table3[[#This Row],[HazardRisk_name]])</f>
        <v>0</v>
      </c>
      <c r="Q78" s="15">
        <f>COUNTIFS(FMECA_data!P:P, "Modelling", FMECA_data!I:I,Table3[[#This Row],[HazardRisk_name]])</f>
        <v>0</v>
      </c>
      <c r="R78" s="23">
        <f>COUNTIFS(FMECA[data_deficient], "Yes",FMECA[HazardRisk_name],Table3[[#This Row],[HazardRisk_name]])</f>
        <v>0</v>
      </c>
      <c r="S78" s="23">
        <f>(COUNTIFS(FMECA[availability], "Yes",FMECA[HazardRisk_name],Table3[[#This Row],[HazardRisk_name]])) + (COUNTIFS(FMECA[availability], "Available",FMECA[HazardRisk_name],Table3[[#This Row],[HazardRisk_name]]))</f>
        <v>0</v>
      </c>
      <c r="T78" s="23">
        <f>COUNTIFS(FMECA[RR], "VERY HIGH",FMECA[HazardRisk_name],Table3[[#This Row],[HazardRisk_name]])</f>
        <v>0</v>
      </c>
      <c r="U78" s="22">
        <f>Table3[[#This Row],[vh_count]]/Table3[[#This Row],[risk_counts]]</f>
        <v>0</v>
      </c>
      <c r="V78" s="23">
        <f>COUNTIFS(FMECA[RR], "HIGH",FMECA[HazardRisk_name],Table3[[#This Row],[HazardRisk_name]])</f>
        <v>0</v>
      </c>
      <c r="W78" s="22">
        <f>Table3[[#This Row],[h_count]]/Table3[[#This Row],[risk_counts]]</f>
        <v>0</v>
      </c>
      <c r="X78" s="23">
        <f>COUNTIFS(FMECA[RR], "MODERATE",FMECA[HazardRisk_name],Table3[[#This Row],[HazardRisk_name]])</f>
        <v>2</v>
      </c>
      <c r="Y78" s="22">
        <f>Table3[[#This Row],[m_count]]/Table3[[#This Row],[risk_counts]]</f>
        <v>1</v>
      </c>
      <c r="Z78" s="23">
        <f>COUNTIFS(FMECA[RR], "UNDETECTABLE",FMECA[HazardRisk_name],Table3[[#This Row],[HazardRisk_name]])</f>
        <v>0</v>
      </c>
      <c r="AA78" s="22">
        <f>Table3[[#This Row],[l_count]]/Table3[[#This Row],[risk_counts]]</f>
        <v>0</v>
      </c>
      <c r="AI78" s="16" t="str">
        <f>VLOOKUP(Table3[[#This Row],[HazardRisk_id]], categories[], 4, FALSE)</f>
        <v>Risk</v>
      </c>
      <c r="AJ78" s="16">
        <f>(COUNTIFS(FMECA[availability], "Unknown",FMECA[HazardRisk_name],Table3[[#This Row],[HazardRisk_name]]))</f>
        <v>2</v>
      </c>
    </row>
    <row r="79" spans="1:36" ht="68" x14ac:dyDescent="0.2">
      <c r="A79" s="16" t="s">
        <v>660</v>
      </c>
      <c r="B79" s="13" t="str">
        <f>VLOOKUP(Table3[[#This Row],[HazardRisk_id]], categories[], 5, FALSE)</f>
        <v>Operational</v>
      </c>
      <c r="C79" s="14" t="str">
        <f>VLOOKUP(Table3[[#This Row],[HazardRisk_id]], categories[], 2, FALSE)</f>
        <v>Vessel equipment and safety</v>
      </c>
      <c r="D79" s="15" t="str">
        <f>VLOOKUP(Table3[[#This Row],[HazardRisk_id]], categories[], 3, FALSE)</f>
        <v>The type and quantity of safety equipment on board can perpetuate additional stress during operations. If the vessel is carrying harmful chemicals or other pollutants, these resources have the ability to reduce or increase the risk of pollutants being spilt as a result of capsizing or vessel collision.</v>
      </c>
      <c r="E79" s="15">
        <f>COUNTIFS(FMECA[HazardRisk_name],Table3[[#This Row],[HazardRisk_name]])</f>
        <v>2</v>
      </c>
      <c r="F79" s="15">
        <f>SUMIFS(FMECA[probability_value], FMECA[HazardRisk_name], Table3[[#This Row],[HazardRisk_name]])</f>
        <v>9</v>
      </c>
      <c r="G79" s="15">
        <f>AVERAGEIFS(FMECA[probability_value],FMECA[HazardRisk_name],Table3[[#This Row],[HazardRisk_name]])</f>
        <v>4.5</v>
      </c>
      <c r="H79" s="15" cm="1">
        <f t="array" ref="H79">STDEVP(IF(FMECA[HazardRisk_name]=Table3[[#This Row],[HazardRisk_name]],FMECA[probability_value]))</f>
        <v>0.5</v>
      </c>
      <c r="I79" s="15">
        <f>SUMIFS(FMECA[consequence_value], FMECA[HazardRisk_name], Table3[[#This Row],[HazardRisk_name]])</f>
        <v>11</v>
      </c>
      <c r="J79" s="15">
        <f>AVERAGEIFS(FMECA[consequence_value],FMECA[HazardRisk_name],Table3[[#This Row],[HazardRisk_name]])</f>
        <v>5.5</v>
      </c>
      <c r="K79" s="15" cm="1">
        <f t="array" ref="K79">STDEVP(IF(FMECA[HazardRisk_name]=Table3[[#This Row],[HazardRisk_name]],FMECA[consequence_value]))</f>
        <v>1.5</v>
      </c>
      <c r="L79" s="23">
        <f>AVERAGEIFS(FMECA[Score],FMECA[HazardRisk_name],Table3[[#This Row],[HazardRisk_name]])</f>
        <v>25.5</v>
      </c>
      <c r="M79" s="23" cm="1">
        <f t="array" ref="M79">STDEVP(IF(FMECA[HazardRisk_name]=Table3[[#This Row],[HazardRisk_name]],FMECA[Score]))</f>
        <v>9.5</v>
      </c>
      <c r="N79" s="15">
        <f>COUNTIFS(FMECA_data!P:P, "Theoretical", FMECA_data!I:I,Table3[[#This Row],[HazardRisk_name]])</f>
        <v>1</v>
      </c>
      <c r="O79" s="15">
        <f>COUNTIFS(FMECA_data!P:P, "Observational", FMECA_data!I:I,Table3[[#This Row],[HazardRisk_name]])</f>
        <v>0</v>
      </c>
      <c r="P79" s="15">
        <f>COUNTIFS(FMECA_data!P:P, "Hybrid", FMECA_data!I:I,Table3[[#This Row],[HazardRisk_name]])</f>
        <v>0</v>
      </c>
      <c r="Q79" s="15">
        <f>COUNTIFS(FMECA_data!P:P, "Modelling", FMECA_data!I:I,Table3[[#This Row],[HazardRisk_name]])</f>
        <v>1</v>
      </c>
      <c r="R79" s="23">
        <f>COUNTIFS(FMECA[data_deficient], "Yes",FMECA[HazardRisk_name],Table3[[#This Row],[HazardRisk_name]])</f>
        <v>1</v>
      </c>
      <c r="S79" s="23">
        <f>(COUNTIFS(FMECA[availability], "Yes",FMECA[HazardRisk_name],Table3[[#This Row],[HazardRisk_name]])) + (COUNTIFS(FMECA[availability], "Available",FMECA[HazardRisk_name],Table3[[#This Row],[HazardRisk_name]]))</f>
        <v>0</v>
      </c>
      <c r="T79" s="23">
        <f>COUNTIFS(FMECA[RR], "VERY HIGH",FMECA[HazardRisk_name],Table3[[#This Row],[HazardRisk_name]])</f>
        <v>0</v>
      </c>
      <c r="U79" s="22">
        <f>Table3[[#This Row],[vh_count]]/Table3[[#This Row],[risk_counts]]</f>
        <v>0</v>
      </c>
      <c r="V79" s="23">
        <f>COUNTIFS(FMECA[RR], "HIGH",FMECA[HazardRisk_name],Table3[[#This Row],[HazardRisk_name]])</f>
        <v>1</v>
      </c>
      <c r="W79" s="22">
        <f>Table3[[#This Row],[h_count]]/Table3[[#This Row],[risk_counts]]</f>
        <v>0.5</v>
      </c>
      <c r="X79" s="23">
        <f>COUNTIFS(FMECA[RR], "MODERATE",FMECA[HazardRisk_name],Table3[[#This Row],[HazardRisk_name]])</f>
        <v>1</v>
      </c>
      <c r="Y79" s="22">
        <f>Table3[[#This Row],[m_count]]/Table3[[#This Row],[risk_counts]]</f>
        <v>0.5</v>
      </c>
      <c r="Z79" s="23">
        <f>COUNTIFS(FMECA[RR], "UNDETECTABLE",FMECA[HazardRisk_name],Table3[[#This Row],[HazardRisk_name]])</f>
        <v>0</v>
      </c>
      <c r="AA79" s="22">
        <f>Table3[[#This Row],[l_count]]/Table3[[#This Row],[risk_counts]]</f>
        <v>0</v>
      </c>
      <c r="AI79" s="16" t="str">
        <f>VLOOKUP(Table3[[#This Row],[HazardRisk_id]], categories[], 4, FALSE)</f>
        <v>Risk</v>
      </c>
      <c r="AJ79" s="16">
        <f>(COUNTIFS(FMECA[availability], "Unknown",FMECA[HazardRisk_name],Table3[[#This Row],[HazardRisk_name]]))</f>
        <v>1</v>
      </c>
    </row>
    <row r="80" spans="1:36" ht="51" x14ac:dyDescent="0.2">
      <c r="A80" s="16" t="s">
        <v>661</v>
      </c>
      <c r="B80" s="13" t="str">
        <f>VLOOKUP(Table3[[#This Row],[HazardRisk_id]], categories[], 5, FALSE)</f>
        <v>Navigational</v>
      </c>
      <c r="C80" s="14" t="str">
        <f>VLOOKUP(Table3[[#This Row],[HazardRisk_id]], categories[], 2, FALSE)</f>
        <v>Vessel grounding</v>
      </c>
      <c r="D80" s="15" t="str">
        <f>VLOOKUP(Table3[[#This Row],[HazardRisk_id]], categories[], 3, FALSE)</f>
        <v>Grounding or 'running aground' is defined as a vessel's impact on the seabed or waterway side. Grounding can be intentional and unintentional, where crews may ground a ship for maintenance or to land crew due to an accident.</v>
      </c>
      <c r="E80" s="15">
        <f>COUNTIFS(FMECA[HazardRisk_name],Table3[[#This Row],[HazardRisk_name]])</f>
        <v>10</v>
      </c>
      <c r="F80" s="15">
        <f>SUMIFS(FMECA[probability_value], FMECA[HazardRisk_name], Table3[[#This Row],[HazardRisk_name]])</f>
        <v>26</v>
      </c>
      <c r="G80" s="15">
        <f>AVERAGEIFS(FMECA[probability_value],FMECA[HazardRisk_name],Table3[[#This Row],[HazardRisk_name]])</f>
        <v>2.6</v>
      </c>
      <c r="H80" s="15" cm="1">
        <f t="array" ref="H80">STDEVP(IF(FMECA[HazardRisk_name]=Table3[[#This Row],[HazardRisk_name]],FMECA[probability_value]))</f>
        <v>1.3564659966250536</v>
      </c>
      <c r="I80" s="15">
        <f>SUMIFS(FMECA[consequence_value], FMECA[HazardRisk_name], Table3[[#This Row],[HazardRisk_name]])</f>
        <v>70</v>
      </c>
      <c r="J80" s="15">
        <f>AVERAGEIFS(FMECA[consequence_value],FMECA[HazardRisk_name],Table3[[#This Row],[HazardRisk_name]])</f>
        <v>7</v>
      </c>
      <c r="K80" s="15" cm="1">
        <f t="array" ref="K80">STDEVP(IF(FMECA[HazardRisk_name]=Table3[[#This Row],[HazardRisk_name]],FMECA[consequence_value]))</f>
        <v>1.3416407864998738</v>
      </c>
      <c r="L80" s="23">
        <f>AVERAGEIFS(FMECA[Score],FMECA[HazardRisk_name],Table3[[#This Row],[HazardRisk_name]])</f>
        <v>17.600000000000001</v>
      </c>
      <c r="M80" s="23" cm="1">
        <f t="array" ref="M80">STDEVP(IF(FMECA[HazardRisk_name]=Table3[[#This Row],[HazardRisk_name]],FMECA[Score]))</f>
        <v>9.3295230317524815</v>
      </c>
      <c r="N80" s="15">
        <f>COUNTIFS(FMECA_data!P:P, "Theoretical", FMECA_data!I:I,Table3[[#This Row],[HazardRisk_name]])</f>
        <v>1</v>
      </c>
      <c r="O80" s="15">
        <f>COUNTIFS(FMECA_data!P:P, "Observational", FMECA_data!I:I,Table3[[#This Row],[HazardRisk_name]])</f>
        <v>7</v>
      </c>
      <c r="P80" s="15">
        <f>COUNTIFS(FMECA_data!P:P, "Hybrid", FMECA_data!I:I,Table3[[#This Row],[HazardRisk_name]])</f>
        <v>2</v>
      </c>
      <c r="Q80" s="15">
        <f>COUNTIFS(FMECA_data!P:P, "Modelling", FMECA_data!I:I,Table3[[#This Row],[HazardRisk_name]])</f>
        <v>0</v>
      </c>
      <c r="R80" s="23">
        <f>COUNTIFS(FMECA[data_deficient], "Yes",FMECA[HazardRisk_name],Table3[[#This Row],[HazardRisk_name]])</f>
        <v>0</v>
      </c>
      <c r="S80" s="23">
        <f>(COUNTIFS(FMECA[availability], "Yes",FMECA[HazardRisk_name],Table3[[#This Row],[HazardRisk_name]])) + (COUNTIFS(FMECA[availability], "Available",FMECA[HazardRisk_name],Table3[[#This Row],[HazardRisk_name]]))</f>
        <v>5</v>
      </c>
      <c r="T80" s="23">
        <f>COUNTIFS(FMECA[RR], "VERY HIGH",FMECA[HazardRisk_name],Table3[[#This Row],[HazardRisk_name]])</f>
        <v>0</v>
      </c>
      <c r="U80" s="22">
        <f>Table3[[#This Row],[vh_count]]/Table3[[#This Row],[risk_counts]]</f>
        <v>0</v>
      </c>
      <c r="V80" s="23">
        <f>COUNTIFS(FMECA[RR], "HIGH",FMECA[HazardRisk_name],Table3[[#This Row],[HazardRisk_name]])</f>
        <v>3</v>
      </c>
      <c r="W80" s="22">
        <f>Table3[[#This Row],[h_count]]/Table3[[#This Row],[risk_counts]]</f>
        <v>0.3</v>
      </c>
      <c r="X80" s="23">
        <f>COUNTIFS(FMECA[RR], "MODERATE",FMECA[HazardRisk_name],Table3[[#This Row],[HazardRisk_name]])</f>
        <v>5</v>
      </c>
      <c r="Y80" s="22">
        <f>Table3[[#This Row],[m_count]]/Table3[[#This Row],[risk_counts]]</f>
        <v>0.5</v>
      </c>
      <c r="Z80" s="23">
        <f>COUNTIFS(FMECA[RR], "UNDETECTABLE",FMECA[HazardRisk_name],Table3[[#This Row],[HazardRisk_name]])</f>
        <v>2</v>
      </c>
      <c r="AA80" s="22">
        <f>Table3[[#This Row],[l_count]]/Table3[[#This Row],[risk_counts]]</f>
        <v>0.2</v>
      </c>
      <c r="AI80" s="16" t="str">
        <f>VLOOKUP(Table3[[#This Row],[HazardRisk_id]], categories[], 4, FALSE)</f>
        <v>Risk</v>
      </c>
      <c r="AJ80" s="16">
        <f>(COUNTIFS(FMECA[availability], "Unknown",FMECA[HazardRisk_name],Table3[[#This Row],[HazardRisk_name]]))</f>
        <v>4</v>
      </c>
    </row>
    <row r="81" spans="1:36" ht="68" x14ac:dyDescent="0.2">
      <c r="A81" s="16" t="s">
        <v>662</v>
      </c>
      <c r="B81" s="13" t="str">
        <f>VLOOKUP(Table3[[#This Row],[HazardRisk_id]], categories[], 5, FALSE)</f>
        <v>Navigational</v>
      </c>
      <c r="C81" s="14" t="str">
        <f>VLOOKUP(Table3[[#This Row],[HazardRisk_id]], categories[], 2, FALSE)</f>
        <v>Vessel ice classification</v>
      </c>
      <c r="D81" s="15" t="str">
        <f>VLOOKUP(Table3[[#This Row],[HazardRisk_id]], categories[], 3, FALSE)</f>
        <v>A vessel ice classification can significantly impact the navicability of a vessels travel through Arctic waters, especially during winter months. Higher ice classifications allow for vessels to withstand harsh environmental conditions over a longer period of time due to increased ice strengthening technologies.</v>
      </c>
      <c r="E81" s="15">
        <f>COUNTIFS(FMECA[HazardRisk_name],Table3[[#This Row],[HazardRisk_name]])</f>
        <v>6</v>
      </c>
      <c r="F81" s="15">
        <f>SUMIFS(FMECA[probability_value], FMECA[HazardRisk_name], Table3[[#This Row],[HazardRisk_name]])</f>
        <v>25</v>
      </c>
      <c r="G81" s="15">
        <f>AVERAGEIFS(FMECA[probability_value],FMECA[HazardRisk_name],Table3[[#This Row],[HazardRisk_name]])</f>
        <v>4.166666666666667</v>
      </c>
      <c r="H81" s="15" cm="1">
        <f t="array" ref="H81">STDEVP(IF(FMECA[HazardRisk_name]=Table3[[#This Row],[HazardRisk_name]],FMECA[probability_value]))</f>
        <v>0.89752746785575066</v>
      </c>
      <c r="I81" s="15">
        <f>SUMIFS(FMECA[consequence_value], FMECA[HazardRisk_name], Table3[[#This Row],[HazardRisk_name]])</f>
        <v>42</v>
      </c>
      <c r="J81" s="15">
        <f>AVERAGEIFS(FMECA[consequence_value],FMECA[HazardRisk_name],Table3[[#This Row],[HazardRisk_name]])</f>
        <v>7</v>
      </c>
      <c r="K81" s="15" cm="1">
        <f t="array" ref="K81">STDEVP(IF(FMECA[HazardRisk_name]=Table3[[#This Row],[HazardRisk_name]],FMECA[consequence_value]))</f>
        <v>3</v>
      </c>
      <c r="L81" s="23">
        <f>AVERAGEIFS(FMECA[Score],FMECA[HazardRisk_name],Table3[[#This Row],[HazardRisk_name]])</f>
        <v>30.666666666666668</v>
      </c>
      <c r="M81" s="23" cm="1">
        <f t="array" ref="M81">STDEVP(IF(FMECA[HazardRisk_name]=Table3[[#This Row],[HazardRisk_name]],FMECA[Score]))</f>
        <v>15.040685563571303</v>
      </c>
      <c r="N81" s="15">
        <f>COUNTIFS(FMECA_data!P:P, "Theoretical", FMECA_data!I:I,Table3[[#This Row],[HazardRisk_name]])</f>
        <v>2</v>
      </c>
      <c r="O81" s="15">
        <f>COUNTIFS(FMECA_data!P:P, "Observational", FMECA_data!I:I,Table3[[#This Row],[HazardRisk_name]])</f>
        <v>4</v>
      </c>
      <c r="P81" s="15">
        <f>COUNTIFS(FMECA_data!P:P, "Hybrid", FMECA_data!I:I,Table3[[#This Row],[HazardRisk_name]])</f>
        <v>0</v>
      </c>
      <c r="Q81" s="15">
        <f>COUNTIFS(FMECA_data!P:P, "Modelling", FMECA_data!I:I,Table3[[#This Row],[HazardRisk_name]])</f>
        <v>0</v>
      </c>
      <c r="R81" s="23">
        <f>COUNTIFS(FMECA[data_deficient], "Yes",FMECA[HazardRisk_name],Table3[[#This Row],[HazardRisk_name]])</f>
        <v>0</v>
      </c>
      <c r="S81" s="23">
        <f>(COUNTIFS(FMECA[availability], "Yes",FMECA[HazardRisk_name],Table3[[#This Row],[HazardRisk_name]])) + (COUNTIFS(FMECA[availability], "Available",FMECA[HazardRisk_name],Table3[[#This Row],[HazardRisk_name]]))</f>
        <v>4</v>
      </c>
      <c r="T81" s="23">
        <f>COUNTIFS(FMECA[RR], "VERY HIGH",FMECA[HazardRisk_name],Table3[[#This Row],[HazardRisk_name]])</f>
        <v>2</v>
      </c>
      <c r="U81" s="22">
        <f>Table3[[#This Row],[vh_count]]/Table3[[#This Row],[risk_counts]]</f>
        <v>0.33333333333333331</v>
      </c>
      <c r="V81" s="23">
        <f>COUNTIFS(FMECA[RR], "HIGH",FMECA[HazardRisk_name],Table3[[#This Row],[HazardRisk_name]])</f>
        <v>2</v>
      </c>
      <c r="W81" s="22">
        <f>Table3[[#This Row],[h_count]]/Table3[[#This Row],[risk_counts]]</f>
        <v>0.33333333333333331</v>
      </c>
      <c r="X81" s="23">
        <f>COUNTIFS(FMECA[RR], "MODERATE",FMECA[HazardRisk_name],Table3[[#This Row],[HazardRisk_name]])</f>
        <v>1</v>
      </c>
      <c r="Y81" s="22">
        <f>Table3[[#This Row],[m_count]]/Table3[[#This Row],[risk_counts]]</f>
        <v>0.16666666666666666</v>
      </c>
      <c r="Z81" s="23">
        <f>COUNTIFS(FMECA[RR], "UNDETECTABLE",FMECA[HazardRisk_name],Table3[[#This Row],[HazardRisk_name]])</f>
        <v>1</v>
      </c>
      <c r="AA81" s="22">
        <f>Table3[[#This Row],[l_count]]/Table3[[#This Row],[risk_counts]]</f>
        <v>0.16666666666666666</v>
      </c>
      <c r="AI81" s="16" t="str">
        <f>VLOOKUP(Table3[[#This Row],[HazardRisk_id]], categories[], 4, FALSE)</f>
        <v>Risk</v>
      </c>
      <c r="AJ81" s="16">
        <f>(COUNTIFS(FMECA[availability], "Unknown",FMECA[HazardRisk_name],Table3[[#This Row],[HazardRisk_name]]))</f>
        <v>0</v>
      </c>
    </row>
    <row r="82" spans="1:36" ht="68" x14ac:dyDescent="0.2">
      <c r="A82" s="16" t="s">
        <v>663</v>
      </c>
      <c r="B82" s="13" t="str">
        <f>VLOOKUP(Table3[[#This Row],[HazardRisk_id]], categories[], 5, FALSE)</f>
        <v>Navigational</v>
      </c>
      <c r="C82" s="14" t="str">
        <f>VLOOKUP(Table3[[#This Row],[HazardRisk_id]], categories[], 2, FALSE)</f>
        <v>Vessel traffic congestion</v>
      </c>
      <c r="D82" s="15" t="str">
        <f>VLOOKUP(Table3[[#This Row],[HazardRisk_id]], categories[], 3, FALSE)</f>
        <v>The volume of maritime sea traffic throughout the Northwest Passage (NWP) has significantly increased since the beginning of the 21st century. This increase in volume has increased navigational risks due to narrow passages, vessel-vessel collisions, and other vessel accidents.</v>
      </c>
      <c r="E82" s="15">
        <f>COUNTIFS(FMECA[HazardRisk_name],Table3[[#This Row],[HazardRisk_name]])</f>
        <v>34</v>
      </c>
      <c r="F82" s="15">
        <f>SUMIFS(FMECA[probability_value], FMECA[HazardRisk_name], Table3[[#This Row],[HazardRisk_name]])</f>
        <v>134</v>
      </c>
      <c r="G82" s="15">
        <f>AVERAGEIFS(FMECA[probability_value],FMECA[HazardRisk_name],Table3[[#This Row],[HazardRisk_name]])</f>
        <v>3.9411764705882355</v>
      </c>
      <c r="H82" s="15" cm="1">
        <f t="array" ref="H82">STDEVP(IF(FMECA[HazardRisk_name]=Table3[[#This Row],[HazardRisk_name]],FMECA[probability_value]))</f>
        <v>0.72522517681987952</v>
      </c>
      <c r="I82" s="15">
        <f>SUMIFS(FMECA[consequence_value], FMECA[HazardRisk_name], Table3[[#This Row],[HazardRisk_name]])</f>
        <v>213</v>
      </c>
      <c r="J82" s="15">
        <f>AVERAGEIFS(FMECA[consequence_value],FMECA[HazardRisk_name],Table3[[#This Row],[HazardRisk_name]])</f>
        <v>6.2647058823529411</v>
      </c>
      <c r="K82" s="15" cm="1">
        <f t="array" ref="K82">STDEVP(IF(FMECA[HazardRisk_name]=Table3[[#This Row],[HazardRisk_name]],FMECA[consequence_value]))</f>
        <v>2.1734876219814492</v>
      </c>
      <c r="L82" s="23">
        <f>AVERAGEIFS(FMECA[Score],FMECA[HazardRisk_name],Table3[[#This Row],[HazardRisk_name]])</f>
        <v>24.882352941176471</v>
      </c>
      <c r="M82" s="23" cm="1">
        <f t="array" ref="M82">STDEVP(IF(FMECA[HazardRisk_name]=Table3[[#This Row],[HazardRisk_name]],FMECA[Score]))</f>
        <v>10.20024424702477</v>
      </c>
      <c r="N82" s="15">
        <f>COUNTIFS(FMECA_data!P:P, "Theoretical", FMECA_data!I:I,Table3[[#This Row],[HazardRisk_name]])</f>
        <v>8</v>
      </c>
      <c r="O82" s="15">
        <f>COUNTIFS(FMECA_data!P:P, "Observational", FMECA_data!I:I,Table3[[#This Row],[HazardRisk_name]])</f>
        <v>18</v>
      </c>
      <c r="P82" s="15">
        <f>COUNTIFS(FMECA_data!P:P, "Hybrid", FMECA_data!I:I,Table3[[#This Row],[HazardRisk_name]])</f>
        <v>8</v>
      </c>
      <c r="Q82" s="15">
        <f>COUNTIFS(FMECA_data!P:P, "Modelling", FMECA_data!I:I,Table3[[#This Row],[HazardRisk_name]])</f>
        <v>0</v>
      </c>
      <c r="R82" s="23">
        <f>COUNTIFS(FMECA[data_deficient], "Yes",FMECA[HazardRisk_name],Table3[[#This Row],[HazardRisk_name]])</f>
        <v>7</v>
      </c>
      <c r="S82" s="23">
        <f>(COUNTIFS(FMECA[availability], "Yes",FMECA[HazardRisk_name],Table3[[#This Row],[HazardRisk_name]])) + (COUNTIFS(FMECA[availability], "Available",FMECA[HazardRisk_name],Table3[[#This Row],[HazardRisk_name]]))</f>
        <v>14</v>
      </c>
      <c r="T82" s="23">
        <f>COUNTIFS(FMECA[RR], "VERY HIGH",FMECA[HazardRisk_name],Table3[[#This Row],[HazardRisk_name]])</f>
        <v>4</v>
      </c>
      <c r="U82" s="22">
        <f>Table3[[#This Row],[vh_count]]/Table3[[#This Row],[risk_counts]]</f>
        <v>0.11764705882352941</v>
      </c>
      <c r="V82" s="23">
        <f>COUNTIFS(FMECA[RR], "HIGH",FMECA[HazardRisk_name],Table3[[#This Row],[HazardRisk_name]])</f>
        <v>15</v>
      </c>
      <c r="W82" s="22">
        <f>Table3[[#This Row],[h_count]]/Table3[[#This Row],[risk_counts]]</f>
        <v>0.44117647058823528</v>
      </c>
      <c r="X82" s="23">
        <f>COUNTIFS(FMECA[RR], "MODERATE",FMECA[HazardRisk_name],Table3[[#This Row],[HazardRisk_name]])</f>
        <v>14</v>
      </c>
      <c r="Y82" s="22">
        <f>Table3[[#This Row],[m_count]]/Table3[[#This Row],[risk_counts]]</f>
        <v>0.41176470588235292</v>
      </c>
      <c r="Z82" s="23">
        <f>COUNTIFS(FMECA[RR], "UNDETECTABLE",FMECA[HazardRisk_name],Table3[[#This Row],[HazardRisk_name]])</f>
        <v>1</v>
      </c>
      <c r="AA82" s="22">
        <f>Table3[[#This Row],[l_count]]/Table3[[#This Row],[risk_counts]]</f>
        <v>2.9411764705882353E-2</v>
      </c>
      <c r="AI82" s="16" t="str">
        <f>VLOOKUP(Table3[[#This Row],[HazardRisk_id]], categories[], 4, FALSE)</f>
        <v>Risk</v>
      </c>
      <c r="AJ82" s="16">
        <f>(COUNTIFS(FMECA[availability], "Unknown",FMECA[HazardRisk_name],Table3[[#This Row],[HazardRisk_name]]))</f>
        <v>8</v>
      </c>
    </row>
    <row r="83" spans="1:36" ht="34" x14ac:dyDescent="0.2">
      <c r="A83" s="16" t="s">
        <v>664</v>
      </c>
      <c r="B83" s="13" t="str">
        <f>VLOOKUP(Table3[[#This Row],[HazardRisk_id]], categories[], 5, FALSE)</f>
        <v>Operational</v>
      </c>
      <c r="C83" s="14" t="str">
        <f>VLOOKUP(Table3[[#This Row],[HazardRisk_id]], categories[], 2, FALSE)</f>
        <v>Vessel-barge bunkering communication</v>
      </c>
      <c r="D83" s="15" t="str">
        <f>VLOOKUP(Table3[[#This Row],[HazardRisk_id]], categories[], 3, FALSE)</f>
        <v>Misscommunication throught the bunkering process can perpetuate and fufill conditions that allow for other risks to occur such as oill or chemical spills.</v>
      </c>
      <c r="E83" s="15">
        <f>COUNTIFS(FMECA[HazardRisk_name],Table3[[#This Row],[HazardRisk_name]])</f>
        <v>1</v>
      </c>
      <c r="F83" s="15">
        <f>SUMIFS(FMECA[probability_value], FMECA[HazardRisk_name], Table3[[#This Row],[HazardRisk_name]])</f>
        <v>2</v>
      </c>
      <c r="G83" s="15">
        <f>AVERAGEIFS(FMECA[probability_value],FMECA[HazardRisk_name],Table3[[#This Row],[HazardRisk_name]])</f>
        <v>2</v>
      </c>
      <c r="H83" s="15" cm="1">
        <f t="array" ref="H83">STDEVP(IF(FMECA[HazardRisk_name]=Table3[[#This Row],[HazardRisk_name]],FMECA[probability_value]))</f>
        <v>0</v>
      </c>
      <c r="I83" s="15">
        <f>SUMIFS(FMECA[consequence_value], FMECA[HazardRisk_name], Table3[[#This Row],[HazardRisk_name]])</f>
        <v>4</v>
      </c>
      <c r="J83" s="15">
        <f>AVERAGEIFS(FMECA[consequence_value],FMECA[HazardRisk_name],Table3[[#This Row],[HazardRisk_name]])</f>
        <v>4</v>
      </c>
      <c r="K83" s="15" cm="1">
        <f t="array" ref="K83">STDEVP(IF(FMECA[HazardRisk_name]=Table3[[#This Row],[HazardRisk_name]],FMECA[consequence_value]))</f>
        <v>0</v>
      </c>
      <c r="L83" s="23">
        <f>AVERAGEIFS(FMECA[Score],FMECA[HazardRisk_name],Table3[[#This Row],[HazardRisk_name]])</f>
        <v>8</v>
      </c>
      <c r="M83" s="23" cm="1">
        <f t="array" ref="M83">STDEVP(IF(FMECA[HazardRisk_name]=Table3[[#This Row],[HazardRisk_name]],FMECA[Score]))</f>
        <v>0</v>
      </c>
      <c r="N83" s="15">
        <f>COUNTIFS(FMECA_data!P:P, "Theoretical", FMECA_data!I:I,Table3[[#This Row],[HazardRisk_name]])</f>
        <v>0</v>
      </c>
      <c r="O83" s="15">
        <f>COUNTIFS(FMECA_data!P:P, "Observational", FMECA_data!I:I,Table3[[#This Row],[HazardRisk_name]])</f>
        <v>0</v>
      </c>
      <c r="P83" s="15">
        <f>COUNTIFS(FMECA_data!P:P, "Hybrid", FMECA_data!I:I,Table3[[#This Row],[HazardRisk_name]])</f>
        <v>1</v>
      </c>
      <c r="Q83" s="15">
        <f>COUNTIFS(FMECA_data!P:P, "Modelling", FMECA_data!I:I,Table3[[#This Row],[HazardRisk_name]])</f>
        <v>0</v>
      </c>
      <c r="R83" s="23">
        <f>COUNTIFS(FMECA[data_deficient], "Yes",FMECA[HazardRisk_name],Table3[[#This Row],[HazardRisk_name]])</f>
        <v>0</v>
      </c>
      <c r="S83" s="23">
        <f>(COUNTIFS(FMECA[availability], "Yes",FMECA[HazardRisk_name],Table3[[#This Row],[HazardRisk_name]])) + (COUNTIFS(FMECA[availability], "Available",FMECA[HazardRisk_name],Table3[[#This Row],[HazardRisk_name]]))</f>
        <v>0</v>
      </c>
      <c r="T83" s="23">
        <f>COUNTIFS(FMECA[RR], "VERY HIGH",FMECA[HazardRisk_name],Table3[[#This Row],[HazardRisk_name]])</f>
        <v>0</v>
      </c>
      <c r="U83" s="22">
        <f>Table3[[#This Row],[vh_count]]/Table3[[#This Row],[risk_counts]]</f>
        <v>0</v>
      </c>
      <c r="V83" s="23">
        <f>COUNTIFS(FMECA[RR], "HIGH",FMECA[HazardRisk_name],Table3[[#This Row],[HazardRisk_name]])</f>
        <v>0</v>
      </c>
      <c r="W83" s="22">
        <f>Table3[[#This Row],[h_count]]/Table3[[#This Row],[risk_counts]]</f>
        <v>0</v>
      </c>
      <c r="X83" s="23">
        <f>COUNTIFS(FMECA[RR], "MODERATE",FMECA[HazardRisk_name],Table3[[#This Row],[HazardRisk_name]])</f>
        <v>0</v>
      </c>
      <c r="Y83" s="22">
        <f>Table3[[#This Row],[m_count]]/Table3[[#This Row],[risk_counts]]</f>
        <v>0</v>
      </c>
      <c r="Z83" s="23">
        <f>COUNTIFS(FMECA[RR], "UNDETECTABLE",FMECA[HazardRisk_name],Table3[[#This Row],[HazardRisk_name]])</f>
        <v>1</v>
      </c>
      <c r="AA83" s="22">
        <f>Table3[[#This Row],[l_count]]/Table3[[#This Row],[risk_counts]]</f>
        <v>1</v>
      </c>
      <c r="AI83" s="16" t="str">
        <f>VLOOKUP(Table3[[#This Row],[HazardRisk_id]], categories[], 4, FALSE)</f>
        <v>Risk</v>
      </c>
      <c r="AJ83" s="16">
        <f>(COUNTIFS(FMECA[availability], "Unknown",FMECA[HazardRisk_name],Table3[[#This Row],[HazardRisk_name]]))</f>
        <v>1</v>
      </c>
    </row>
    <row r="84" spans="1:36" ht="51" x14ac:dyDescent="0.2">
      <c r="A84" s="16" t="s">
        <v>665</v>
      </c>
      <c r="B84" s="13" t="str">
        <f>VLOOKUP(Table3[[#This Row],[HazardRisk_id]], categories[], 5, FALSE)</f>
        <v>Environmental</v>
      </c>
      <c r="C84" s="14" t="str">
        <f>VLOOKUP(Table3[[#This Row],[HazardRisk_id]], categories[], 2, FALSE)</f>
        <v>Vessel-Source Pollution in Sensitive Marine Regions</v>
      </c>
      <c r="D84" s="15" t="str">
        <f>VLOOKUP(Table3[[#This Row],[HazardRisk_id]], categories[], 3, FALSE)</f>
        <v>Vessel operations and incidents that cause a discharge of substances into the natural environment creates environmental stress to flora and fauna, specifically in national wildlife areas and migratory bird santuaries.</v>
      </c>
      <c r="E84" s="15">
        <f>COUNTIFS(FMECA[HazardRisk_name],Table3[[#This Row],[HazardRisk_name]])</f>
        <v>1</v>
      </c>
      <c r="F84" s="15">
        <f>SUMIFS(FMECA[probability_value], FMECA[HazardRisk_name], Table3[[#This Row],[HazardRisk_name]])</f>
        <v>4</v>
      </c>
      <c r="G84" s="15">
        <f>AVERAGEIFS(FMECA[probability_value],FMECA[HazardRisk_name],Table3[[#This Row],[HazardRisk_name]])</f>
        <v>4</v>
      </c>
      <c r="H84" s="15" cm="1">
        <f t="array" ref="H84">STDEVP(IF(FMECA[HazardRisk_name]=Table3[[#This Row],[HazardRisk_name]],FMECA[probability_value]))</f>
        <v>0</v>
      </c>
      <c r="I84" s="15">
        <f>SUMIFS(FMECA[consequence_value], FMECA[HazardRisk_name], Table3[[#This Row],[HazardRisk_name]])</f>
        <v>7</v>
      </c>
      <c r="J84" s="15">
        <f>AVERAGEIFS(FMECA[consequence_value],FMECA[HazardRisk_name],Table3[[#This Row],[HazardRisk_name]])</f>
        <v>7</v>
      </c>
      <c r="K84" s="15" cm="1">
        <f t="array" ref="K84">STDEVP(IF(FMECA[HazardRisk_name]=Table3[[#This Row],[HazardRisk_name]],FMECA[consequence_value]))</f>
        <v>0</v>
      </c>
      <c r="L84" s="23">
        <f>AVERAGEIFS(FMECA[Score],FMECA[HazardRisk_name],Table3[[#This Row],[HazardRisk_name]])</f>
        <v>28</v>
      </c>
      <c r="M84" s="23" cm="1">
        <f t="array" ref="M84">STDEVP(IF(FMECA[HazardRisk_name]=Table3[[#This Row],[HazardRisk_name]],FMECA[Score]))</f>
        <v>0</v>
      </c>
      <c r="N84" s="15">
        <f>COUNTIFS(FMECA_data!P:P, "Theoretical", FMECA_data!I:I,Table3[[#This Row],[HazardRisk_name]])</f>
        <v>1</v>
      </c>
      <c r="O84" s="15">
        <f>COUNTIFS(FMECA_data!P:P, "Observational", FMECA_data!I:I,Table3[[#This Row],[HazardRisk_name]])</f>
        <v>0</v>
      </c>
      <c r="P84" s="15">
        <f>COUNTIFS(FMECA_data!P:P, "Hybrid", FMECA_data!I:I,Table3[[#This Row],[HazardRisk_name]])</f>
        <v>0</v>
      </c>
      <c r="Q84" s="15">
        <f>COUNTIFS(FMECA_data!P:P, "Modelling", FMECA_data!I:I,Table3[[#This Row],[HazardRisk_name]])</f>
        <v>0</v>
      </c>
      <c r="R84" s="23">
        <f>COUNTIFS(FMECA[data_deficient], "Yes",FMECA[HazardRisk_name],Table3[[#This Row],[HazardRisk_name]])</f>
        <v>0</v>
      </c>
      <c r="S84" s="23">
        <f>(COUNTIFS(FMECA[availability], "Yes",FMECA[HazardRisk_name],Table3[[#This Row],[HazardRisk_name]])) + (COUNTIFS(FMECA[availability], "Available",FMECA[HazardRisk_name],Table3[[#This Row],[HazardRisk_name]]))</f>
        <v>0</v>
      </c>
      <c r="T84" s="23">
        <f>COUNTIFS(FMECA[RR], "VERY HIGH",FMECA[HazardRisk_name],Table3[[#This Row],[HazardRisk_name]])</f>
        <v>0</v>
      </c>
      <c r="U84" s="22">
        <f>Table3[[#This Row],[vh_count]]/Table3[[#This Row],[risk_counts]]</f>
        <v>0</v>
      </c>
      <c r="V84" s="23">
        <f>COUNTIFS(FMECA[RR], "HIGH",FMECA[HazardRisk_name],Table3[[#This Row],[HazardRisk_name]])</f>
        <v>1</v>
      </c>
      <c r="W84" s="22">
        <f>Table3[[#This Row],[h_count]]/Table3[[#This Row],[risk_counts]]</f>
        <v>1</v>
      </c>
      <c r="X84" s="23">
        <f>COUNTIFS(FMECA[RR], "MODERATE",FMECA[HazardRisk_name],Table3[[#This Row],[HazardRisk_name]])</f>
        <v>0</v>
      </c>
      <c r="Y84" s="22">
        <f>Table3[[#This Row],[m_count]]/Table3[[#This Row],[risk_counts]]</f>
        <v>0</v>
      </c>
      <c r="Z84" s="23">
        <f>COUNTIFS(FMECA[RR], "UNDETECTABLE",FMECA[HazardRisk_name],Table3[[#This Row],[HazardRisk_name]])</f>
        <v>0</v>
      </c>
      <c r="AA84" s="22">
        <f>Table3[[#This Row],[l_count]]/Table3[[#This Row],[risk_counts]]</f>
        <v>0</v>
      </c>
      <c r="AI84" s="16" t="str">
        <f>VLOOKUP(Table3[[#This Row],[HazardRisk_id]], categories[], 4, FALSE)</f>
        <v>Risk</v>
      </c>
      <c r="AJ84" s="16">
        <f>(COUNTIFS(FMECA[availability], "Unknown",FMECA[HazardRisk_name],Table3[[#This Row],[HazardRisk_name]]))</f>
        <v>0</v>
      </c>
    </row>
    <row r="85" spans="1:36" ht="51" x14ac:dyDescent="0.2">
      <c r="A85" s="16" t="s">
        <v>666</v>
      </c>
      <c r="B85" s="13" t="str">
        <f>VLOOKUP(Table3[[#This Row],[HazardRisk_id]], categories[], 5, FALSE)</f>
        <v>Environmental</v>
      </c>
      <c r="C85" s="14" t="str">
        <f>VLOOKUP(Table3[[#This Row],[HazardRisk_id]], categories[], 2, FALSE)</f>
        <v>Vulnerability of Arctic marine mammals</v>
      </c>
      <c r="D85" s="15" t="str">
        <f>VLOOKUP(Table3[[#This Row],[HazardRisk_id]], categories[], 3, FALSE)</f>
        <v>Increases in vessel traffic causes vulnerability of marine species due to increased underwater noise pollition being a persistant factor along with increased possibilities of collisions occuring.</v>
      </c>
      <c r="E85" s="15">
        <f>COUNTIFS(FMECA[HazardRisk_name],Table3[[#This Row],[HazardRisk_name]])</f>
        <v>2</v>
      </c>
      <c r="F85" s="15">
        <f>SUMIFS(FMECA[probability_value], FMECA[HazardRisk_name], Table3[[#This Row],[HazardRisk_name]])</f>
        <v>8</v>
      </c>
      <c r="G85" s="15">
        <f>AVERAGEIFS(FMECA[probability_value],FMECA[HazardRisk_name],Table3[[#This Row],[HazardRisk_name]])</f>
        <v>4</v>
      </c>
      <c r="H85" s="15" cm="1">
        <f t="array" ref="H85">STDEVP(IF(FMECA[HazardRisk_name]=Table3[[#This Row],[HazardRisk_name]],FMECA[probability_value]))</f>
        <v>1</v>
      </c>
      <c r="I85" s="15">
        <f>SUMIFS(FMECA[consequence_value], FMECA[HazardRisk_name], Table3[[#This Row],[HazardRisk_name]])</f>
        <v>14</v>
      </c>
      <c r="J85" s="15">
        <f>AVERAGEIFS(FMECA[consequence_value],FMECA[HazardRisk_name],Table3[[#This Row],[HazardRisk_name]])</f>
        <v>7</v>
      </c>
      <c r="K85" s="15" cm="1">
        <f t="array" ref="K85">STDEVP(IF(FMECA[HazardRisk_name]=Table3[[#This Row],[HazardRisk_name]],FMECA[consequence_value]))</f>
        <v>0</v>
      </c>
      <c r="L85" s="23">
        <f>AVERAGEIFS(FMECA[Score],FMECA[HazardRisk_name],Table3[[#This Row],[HazardRisk_name]])</f>
        <v>28</v>
      </c>
      <c r="M85" s="23" cm="1">
        <f t="array" ref="M85">STDEVP(IF(FMECA[HazardRisk_name]=Table3[[#This Row],[HazardRisk_name]],FMECA[Score]))</f>
        <v>7</v>
      </c>
      <c r="N85" s="15">
        <f>COUNTIFS(FMECA_data!P:P, "Theoretical", FMECA_data!I:I,Table3[[#This Row],[HazardRisk_name]])</f>
        <v>0</v>
      </c>
      <c r="O85" s="15">
        <f>COUNTIFS(FMECA_data!P:P, "Observational", FMECA_data!I:I,Table3[[#This Row],[HazardRisk_name]])</f>
        <v>1</v>
      </c>
      <c r="P85" s="15">
        <f>COUNTIFS(FMECA_data!P:P, "Hybrid", FMECA_data!I:I,Table3[[#This Row],[HazardRisk_name]])</f>
        <v>1</v>
      </c>
      <c r="Q85" s="15">
        <f>COUNTIFS(FMECA_data!P:P, "Modelling", FMECA_data!I:I,Table3[[#This Row],[HazardRisk_name]])</f>
        <v>0</v>
      </c>
      <c r="R85" s="23">
        <f>COUNTIFS(FMECA[data_deficient], "Yes",FMECA[HazardRisk_name],Table3[[#This Row],[HazardRisk_name]])</f>
        <v>0</v>
      </c>
      <c r="S85" s="23">
        <f>(COUNTIFS(FMECA[availability], "Yes",FMECA[HazardRisk_name],Table3[[#This Row],[HazardRisk_name]])) + (COUNTIFS(FMECA[availability], "Available",FMECA[HazardRisk_name],Table3[[#This Row],[HazardRisk_name]]))</f>
        <v>1</v>
      </c>
      <c r="T85" s="23">
        <f>COUNTIFS(FMECA[RR], "VERY HIGH",FMECA[HazardRisk_name],Table3[[#This Row],[HazardRisk_name]])</f>
        <v>0</v>
      </c>
      <c r="U85" s="22">
        <f>Table3[[#This Row],[vh_count]]/Table3[[#This Row],[risk_counts]]</f>
        <v>0</v>
      </c>
      <c r="V85" s="23">
        <f>COUNTIFS(FMECA[RR], "HIGH",FMECA[HazardRisk_name],Table3[[#This Row],[HazardRisk_name]])</f>
        <v>1</v>
      </c>
      <c r="W85" s="22">
        <f>Table3[[#This Row],[h_count]]/Table3[[#This Row],[risk_counts]]</f>
        <v>0.5</v>
      </c>
      <c r="X85" s="23">
        <f>COUNTIFS(FMECA[RR], "MODERATE",FMECA[HazardRisk_name],Table3[[#This Row],[HazardRisk_name]])</f>
        <v>1</v>
      </c>
      <c r="Y85" s="22">
        <f>Table3[[#This Row],[m_count]]/Table3[[#This Row],[risk_counts]]</f>
        <v>0.5</v>
      </c>
      <c r="Z85" s="23">
        <f>COUNTIFS(FMECA[RR], "UNDETECTABLE",FMECA[HazardRisk_name],Table3[[#This Row],[HazardRisk_name]])</f>
        <v>0</v>
      </c>
      <c r="AA85" s="22">
        <f>Table3[[#This Row],[l_count]]/Table3[[#This Row],[risk_counts]]</f>
        <v>0</v>
      </c>
      <c r="AI85" s="16" t="str">
        <f>VLOOKUP(Table3[[#This Row],[HazardRisk_id]], categories[], 4, FALSE)</f>
        <v>Risk</v>
      </c>
      <c r="AJ85" s="16">
        <f>(COUNTIFS(FMECA[availability], "Unknown",FMECA[HazardRisk_name],Table3[[#This Row],[HazardRisk_name]]))</f>
        <v>1</v>
      </c>
    </row>
    <row r="86" spans="1:36" ht="34" x14ac:dyDescent="0.2">
      <c r="A86" s="16" t="s">
        <v>2657</v>
      </c>
      <c r="B86" s="13" t="str">
        <f>VLOOKUP(Table3[[#This Row],[HazardRisk_id]], categories[], 5, FALSE)</f>
        <v>Pollutants</v>
      </c>
      <c r="C86" s="14" t="str">
        <f>VLOOKUP(Table3[[#This Row],[HazardRisk_id]], categories[], 2, FALSE)</f>
        <v>Above-water noise pollution</v>
      </c>
      <c r="D86" s="15" t="str">
        <f>VLOOKUP(Table3[[#This Row],[HazardRisk_id]], categories[], 3, FALSE)</f>
        <v>Noise is a significant external threat to both human and animal health. This also impacts local fishing activities.</v>
      </c>
      <c r="E86" s="15">
        <f>COUNTIFS(FMECA[HazardRisk_name],Table3[[#This Row],[HazardRisk_name]])</f>
        <v>2</v>
      </c>
      <c r="F86" s="15">
        <f>SUMIFS(FMECA[probability_value], FMECA[HazardRisk_name], Table3[[#This Row],[HazardRisk_name]])</f>
        <v>10</v>
      </c>
      <c r="G86" s="15">
        <f>AVERAGEIFS(FMECA[probability_value],FMECA[HazardRisk_name],Table3[[#This Row],[HazardRisk_name]])</f>
        <v>5</v>
      </c>
      <c r="H86" s="15" cm="1">
        <f t="array" ref="H86">STDEVP(IF(FMECA[HazardRisk_name]=Table3[[#This Row],[HazardRisk_name]],FMECA[probability_value]))</f>
        <v>0</v>
      </c>
      <c r="I86" s="15">
        <f>SUMIFS(FMECA[consequence_value], FMECA[HazardRisk_name], Table3[[#This Row],[HazardRisk_name]])</f>
        <v>14</v>
      </c>
      <c r="J86" s="15">
        <f>AVERAGEIFS(FMECA[consequence_value],FMECA[HazardRisk_name],Table3[[#This Row],[HazardRisk_name]])</f>
        <v>7</v>
      </c>
      <c r="K86" s="15" cm="1">
        <f t="array" ref="K86">STDEVP(IF(FMECA[HazardRisk_name]=Table3[[#This Row],[HazardRisk_name]],FMECA[consequence_value]))</f>
        <v>0</v>
      </c>
      <c r="L86" s="23">
        <f>AVERAGEIFS(FMECA[Score],FMECA[HazardRisk_name],Table3[[#This Row],[HazardRisk_name]])</f>
        <v>35</v>
      </c>
      <c r="M86" s="23" cm="1">
        <f t="array" ref="M86">STDEVP(IF(FMECA[HazardRisk_name]=Table3[[#This Row],[HazardRisk_name]],FMECA[Score]))</f>
        <v>0</v>
      </c>
      <c r="N86" s="15">
        <f>COUNTIFS(FMECA_data!P:P, "Theoretical", FMECA_data!I:I,Table3[[#This Row],[HazardRisk_name]])</f>
        <v>0</v>
      </c>
      <c r="O86" s="15">
        <f>COUNTIFS(FMECA_data!P:P, "Observational", FMECA_data!I:I,Table3[[#This Row],[HazardRisk_name]])</f>
        <v>1</v>
      </c>
      <c r="P86" s="15">
        <f>COUNTIFS(FMECA_data!P:P, "Hybrid", FMECA_data!I:I,Table3[[#This Row],[HazardRisk_name]])</f>
        <v>0</v>
      </c>
      <c r="Q86" s="15">
        <f>COUNTIFS(FMECA_data!P:P, "Modelling", FMECA_data!I:I,Table3[[#This Row],[HazardRisk_name]])</f>
        <v>1</v>
      </c>
      <c r="R86" s="23">
        <f>COUNTIFS(FMECA[data_deficient], "Yes",FMECA[HazardRisk_name],Table3[[#This Row],[HazardRisk_name]])</f>
        <v>1</v>
      </c>
      <c r="S86" s="23">
        <f>(COUNTIFS(FMECA[availability], "Yes",FMECA[HazardRisk_name],Table3[[#This Row],[HazardRisk_name]])) + (COUNTIFS(FMECA[availability], "Available",FMECA[HazardRisk_name],Table3[[#This Row],[HazardRisk_name]]))</f>
        <v>1</v>
      </c>
      <c r="T86" s="23">
        <f>COUNTIFS(FMECA[RR], "VERY HIGH",FMECA[HazardRisk_name],Table3[[#This Row],[HazardRisk_name]])</f>
        <v>0</v>
      </c>
      <c r="U86" s="22">
        <f>Table3[[#This Row],[vh_count]]/Table3[[#This Row],[risk_counts]]</f>
        <v>0</v>
      </c>
      <c r="V86" s="23">
        <f>COUNTIFS(FMECA[RR], "HIGH",FMECA[HazardRisk_name],Table3[[#This Row],[HazardRisk_name]])</f>
        <v>2</v>
      </c>
      <c r="W86" s="22">
        <f>Table3[[#This Row],[h_count]]/Table3[[#This Row],[risk_counts]]</f>
        <v>1</v>
      </c>
      <c r="X86" s="23">
        <f>COUNTIFS(FMECA[RR], "MODERATE",FMECA[HazardRisk_name],Table3[[#This Row],[HazardRisk_name]])</f>
        <v>0</v>
      </c>
      <c r="Y86" s="22">
        <f>Table3[[#This Row],[m_count]]/Table3[[#This Row],[risk_counts]]</f>
        <v>0</v>
      </c>
      <c r="Z86" s="23">
        <f>COUNTIFS(FMECA[RR], "UNDETECTABLE",FMECA[HazardRisk_name],Table3[[#This Row],[HazardRisk_name]])</f>
        <v>0</v>
      </c>
      <c r="AA86" s="22">
        <f>Table3[[#This Row],[l_count]]/Table3[[#This Row],[risk_counts]]</f>
        <v>0</v>
      </c>
      <c r="AI86" s="16" t="str">
        <f>VLOOKUP(Table3[[#This Row],[HazardRisk_id]], categories[], 4, FALSE)</f>
        <v>Hazard</v>
      </c>
      <c r="AJ86" s="16">
        <f>(COUNTIFS(FMECA[availability], "Unknown",FMECA[HazardRisk_name],Table3[[#This Row],[HazardRisk_name]]))</f>
        <v>1</v>
      </c>
    </row>
    <row r="87" spans="1:36" ht="17" x14ac:dyDescent="0.2">
      <c r="A87" s="16" t="s">
        <v>2658</v>
      </c>
      <c r="B87" s="13" t="str">
        <f>VLOOKUP(Table3[[#This Row],[HazardRisk_id]], categories[], 5, FALSE)</f>
        <v>Pollutants</v>
      </c>
      <c r="C87" s="14" t="str">
        <f>VLOOKUP(Table3[[#This Row],[HazardRisk_id]], categories[], 2, FALSE)</f>
        <v>Accidental discharge of a substance</v>
      </c>
      <c r="D87" s="15">
        <f>VLOOKUP(Table3[[#This Row],[HazardRisk_id]], categories[], 3, FALSE)</f>
        <v>0</v>
      </c>
      <c r="E87" s="15">
        <f>COUNTIFS(FMECA[HazardRisk_name],Table3[[#This Row],[HazardRisk_name]])</f>
        <v>1</v>
      </c>
      <c r="F87" s="15">
        <f>SUMIFS(FMECA[probability_value], FMECA[HazardRisk_name], Table3[[#This Row],[HazardRisk_name]])</f>
        <v>2</v>
      </c>
      <c r="G87" s="15">
        <f>AVERAGEIFS(FMECA[probability_value],FMECA[HazardRisk_name],Table3[[#This Row],[HazardRisk_name]])</f>
        <v>2</v>
      </c>
      <c r="H87" s="15" cm="1">
        <f t="array" ref="H87">STDEVP(IF(FMECA[HazardRisk_name]=Table3[[#This Row],[HazardRisk_name]],FMECA[probability_value]))</f>
        <v>0</v>
      </c>
      <c r="I87" s="15">
        <f>SUMIFS(FMECA[consequence_value], FMECA[HazardRisk_name], Table3[[#This Row],[HazardRisk_name]])</f>
        <v>10</v>
      </c>
      <c r="J87" s="15">
        <f>AVERAGEIFS(FMECA[consequence_value],FMECA[HazardRisk_name],Table3[[#This Row],[HazardRisk_name]])</f>
        <v>10</v>
      </c>
      <c r="K87" s="15" cm="1">
        <f t="array" ref="K87">STDEVP(IF(FMECA[HazardRisk_name]=Table3[[#This Row],[HazardRisk_name]],FMECA[consequence_value]))</f>
        <v>0</v>
      </c>
      <c r="L87" s="23">
        <f>AVERAGEIFS(FMECA[Score],FMECA[HazardRisk_name],Table3[[#This Row],[HazardRisk_name]])</f>
        <v>20</v>
      </c>
      <c r="M87" s="23" cm="1">
        <f t="array" ref="M87">STDEVP(IF(FMECA[HazardRisk_name]=Table3[[#This Row],[HazardRisk_name]],FMECA[Score]))</f>
        <v>0</v>
      </c>
      <c r="N87" s="15">
        <f>COUNTIFS(FMECA_data!P:P, "Theoretical", FMECA_data!I:I,Table3[[#This Row],[HazardRisk_name]])</f>
        <v>1</v>
      </c>
      <c r="O87" s="15">
        <f>COUNTIFS(FMECA_data!P:P, "Observational", FMECA_data!I:I,Table3[[#This Row],[HazardRisk_name]])</f>
        <v>0</v>
      </c>
      <c r="P87" s="15">
        <f>COUNTIFS(FMECA_data!P:P, "Hybrid", FMECA_data!I:I,Table3[[#This Row],[HazardRisk_name]])</f>
        <v>0</v>
      </c>
      <c r="Q87" s="15">
        <f>COUNTIFS(FMECA_data!P:P, "Modelling", FMECA_data!I:I,Table3[[#This Row],[HazardRisk_name]])</f>
        <v>0</v>
      </c>
      <c r="R87" s="23">
        <f>COUNTIFS(FMECA[data_deficient], "Yes",FMECA[HazardRisk_name],Table3[[#This Row],[HazardRisk_name]])</f>
        <v>0</v>
      </c>
      <c r="S87" s="23">
        <f>(COUNTIFS(FMECA[availability], "Yes",FMECA[HazardRisk_name],Table3[[#This Row],[HazardRisk_name]])) + (COUNTIFS(FMECA[availability], "Available",FMECA[HazardRisk_name],Table3[[#This Row],[HazardRisk_name]]))</f>
        <v>0</v>
      </c>
      <c r="T87" s="23">
        <f>COUNTIFS(FMECA[RR], "VERY HIGH",FMECA[HazardRisk_name],Table3[[#This Row],[HazardRisk_name]])</f>
        <v>0</v>
      </c>
      <c r="U87" s="22">
        <f>Table3[[#This Row],[vh_count]]/Table3[[#This Row],[risk_counts]]</f>
        <v>0</v>
      </c>
      <c r="V87" s="23">
        <f>COUNTIFS(FMECA[RR], "HIGH",FMECA[HazardRisk_name],Table3[[#This Row],[HazardRisk_name]])</f>
        <v>0</v>
      </c>
      <c r="W87" s="22">
        <f>Table3[[#This Row],[h_count]]/Table3[[#This Row],[risk_counts]]</f>
        <v>0</v>
      </c>
      <c r="X87" s="23">
        <f>COUNTIFS(FMECA[RR], "MODERATE",FMECA[HazardRisk_name],Table3[[#This Row],[HazardRisk_name]])</f>
        <v>1</v>
      </c>
      <c r="Y87" s="22">
        <f>Table3[[#This Row],[m_count]]/Table3[[#This Row],[risk_counts]]</f>
        <v>1</v>
      </c>
      <c r="Z87" s="23">
        <f>COUNTIFS(FMECA[RR], "UNDETECTABLE",FMECA[HazardRisk_name],Table3[[#This Row],[HazardRisk_name]])</f>
        <v>0</v>
      </c>
      <c r="AA87" s="22">
        <f>Table3[[#This Row],[l_count]]/Table3[[#This Row],[risk_counts]]</f>
        <v>0</v>
      </c>
      <c r="AI87" s="16" t="str">
        <f>VLOOKUP(Table3[[#This Row],[HazardRisk_id]], categories[], 4, FALSE)</f>
        <v>Hazard</v>
      </c>
      <c r="AJ87" s="16">
        <f>(COUNTIFS(FMECA[availability], "Unknown",FMECA[HazardRisk_name],Table3[[#This Row],[HazardRisk_name]]))</f>
        <v>0</v>
      </c>
    </row>
    <row r="88" spans="1:36" ht="51" x14ac:dyDescent="0.2">
      <c r="A88" s="16" t="s">
        <v>2659</v>
      </c>
      <c r="B88" s="13" t="str">
        <f>VLOOKUP(Table3[[#This Row],[HazardRisk_id]], categories[], 5, FALSE)</f>
        <v>Pollutants</v>
      </c>
      <c r="C88" s="14" t="str">
        <f>VLOOKUP(Table3[[#This Row],[HazardRisk_id]], categories[], 2, FALSE)</f>
        <v>Acoustic propogation effects</v>
      </c>
      <c r="D88" s="15" t="str">
        <f>VLOOKUP(Table3[[#This Row],[HazardRisk_id]], categories[], 3, FALSE)</f>
        <v>Acoustic propogation varies based on the bathymetry, though, is caused by consistent vessel movement. This limits marine-mammal acoustic habitats in a similar way fog or smoke obscures visuals for terrestial species.</v>
      </c>
      <c r="E88" s="15">
        <f>COUNTIFS(FMECA[HazardRisk_name],Table3[[#This Row],[HazardRisk_name]])</f>
        <v>3</v>
      </c>
      <c r="F88" s="15">
        <f>SUMIFS(FMECA[probability_value], FMECA[HazardRisk_name], Table3[[#This Row],[HazardRisk_name]])</f>
        <v>10</v>
      </c>
      <c r="G88" s="15">
        <f>AVERAGEIFS(FMECA[probability_value],FMECA[HazardRisk_name],Table3[[#This Row],[HazardRisk_name]])</f>
        <v>3.3333333333333335</v>
      </c>
      <c r="H88" s="15" cm="1">
        <f t="array" ref="H88">STDEVP(IF(FMECA[HazardRisk_name]=Table3[[#This Row],[HazardRisk_name]],FMECA[probability_value]))</f>
        <v>0.94280904158206336</v>
      </c>
      <c r="I88" s="15">
        <f>SUMIFS(FMECA[consequence_value], FMECA[HazardRisk_name], Table3[[#This Row],[HazardRisk_name]])</f>
        <v>18</v>
      </c>
      <c r="J88" s="15">
        <f>AVERAGEIFS(FMECA[consequence_value],FMECA[HazardRisk_name],Table3[[#This Row],[HazardRisk_name]])</f>
        <v>6</v>
      </c>
      <c r="K88" s="15" cm="1">
        <f t="array" ref="K88">STDEVP(IF(FMECA[HazardRisk_name]=Table3[[#This Row],[HazardRisk_name]],FMECA[consequence_value]))</f>
        <v>1.4142135623730951</v>
      </c>
      <c r="L88" s="23">
        <f>AVERAGEIFS(FMECA[Score],FMECA[HazardRisk_name],Table3[[#This Row],[HazardRisk_name]])</f>
        <v>21.333333333333332</v>
      </c>
      <c r="M88" s="23" cm="1">
        <f t="array" ref="M88">STDEVP(IF(FMECA[HazardRisk_name]=Table3[[#This Row],[HazardRisk_name]],FMECA[Score]))</f>
        <v>9.428090415820634</v>
      </c>
      <c r="N88" s="15">
        <f>COUNTIFS(FMECA_data!P:P, "Theoretical", FMECA_data!I:I,Table3[[#This Row],[HazardRisk_name]])</f>
        <v>1</v>
      </c>
      <c r="O88" s="15">
        <f>COUNTIFS(FMECA_data!P:P, "Observational", FMECA_data!I:I,Table3[[#This Row],[HazardRisk_name]])</f>
        <v>2</v>
      </c>
      <c r="P88" s="15">
        <f>COUNTIFS(FMECA_data!P:P, "Hybrid", FMECA_data!I:I,Table3[[#This Row],[HazardRisk_name]])</f>
        <v>0</v>
      </c>
      <c r="Q88" s="15">
        <f>COUNTIFS(FMECA_data!P:P, "Modelling", FMECA_data!I:I,Table3[[#This Row],[HazardRisk_name]])</f>
        <v>0</v>
      </c>
      <c r="R88" s="23">
        <f>COUNTIFS(FMECA[data_deficient], "Yes",FMECA[HazardRisk_name],Table3[[#This Row],[HazardRisk_name]])</f>
        <v>1</v>
      </c>
      <c r="S88" s="23">
        <f>(COUNTIFS(FMECA[availability], "Yes",FMECA[HazardRisk_name],Table3[[#This Row],[HazardRisk_name]])) + (COUNTIFS(FMECA[availability], "Available",FMECA[HazardRisk_name],Table3[[#This Row],[HazardRisk_name]]))</f>
        <v>1</v>
      </c>
      <c r="T88" s="23">
        <f>COUNTIFS(FMECA[RR], "VERY HIGH",FMECA[HazardRisk_name],Table3[[#This Row],[HazardRisk_name]])</f>
        <v>0</v>
      </c>
      <c r="U88" s="22">
        <f>Table3[[#This Row],[vh_count]]/Table3[[#This Row],[risk_counts]]</f>
        <v>0</v>
      </c>
      <c r="V88" s="23">
        <f>COUNTIFS(FMECA[RR], "HIGH",FMECA[HazardRisk_name],Table3[[#This Row],[HazardRisk_name]])</f>
        <v>2</v>
      </c>
      <c r="W88" s="22">
        <f>Table3[[#This Row],[h_count]]/Table3[[#This Row],[risk_counts]]</f>
        <v>0.66666666666666663</v>
      </c>
      <c r="X88" s="23">
        <f>COUNTIFS(FMECA[RR], "MODERATE",FMECA[HazardRisk_name],Table3[[#This Row],[HazardRisk_name]])</f>
        <v>0</v>
      </c>
      <c r="Y88" s="22">
        <f>Table3[[#This Row],[m_count]]/Table3[[#This Row],[risk_counts]]</f>
        <v>0</v>
      </c>
      <c r="Z88" s="23">
        <f>COUNTIFS(FMECA[RR], "UNDETECTABLE",FMECA[HazardRisk_name],Table3[[#This Row],[HazardRisk_name]])</f>
        <v>1</v>
      </c>
      <c r="AA88" s="22">
        <f>Table3[[#This Row],[l_count]]/Table3[[#This Row],[risk_counts]]</f>
        <v>0.33333333333333331</v>
      </c>
      <c r="AI88" s="16" t="str">
        <f>VLOOKUP(Table3[[#This Row],[HazardRisk_id]], categories[], 4, FALSE)</f>
        <v>Hazard</v>
      </c>
      <c r="AJ88" s="16">
        <f>(COUNTIFS(FMECA[availability], "Unknown",FMECA[HazardRisk_name],Table3[[#This Row],[HazardRisk_name]]))</f>
        <v>1</v>
      </c>
    </row>
    <row r="89" spans="1:36" ht="51" x14ac:dyDescent="0.2">
      <c r="A89" s="16" t="s">
        <v>2660</v>
      </c>
      <c r="B89" s="13" t="str">
        <f>VLOOKUP(Table3[[#This Row],[HazardRisk_id]], categories[], 5, FALSE)</f>
        <v>Pollutants</v>
      </c>
      <c r="C89" s="14" t="str">
        <f>VLOOKUP(Table3[[#This Row],[HazardRisk_id]], categories[], 2, FALSE)</f>
        <v>Air emissions (generalized)</v>
      </c>
      <c r="D89" s="15" t="str">
        <f>VLOOKUP(Table3[[#This Row],[HazardRisk_id]], categories[], 3, FALSE)</f>
        <v>Vessels typically emit pollutants in the form of various greenhouse gases (GHGs) through combustion. This process aggrevates warming in the region and influences sea ice presence.</v>
      </c>
      <c r="E89" s="15">
        <f>COUNTIFS(FMECA[HazardRisk_name],Table3[[#This Row],[HazardRisk_name]])</f>
        <v>11</v>
      </c>
      <c r="F89" s="15">
        <f>SUMIFS(FMECA[probability_value], FMECA[HazardRisk_name], Table3[[#This Row],[HazardRisk_name]])</f>
        <v>50</v>
      </c>
      <c r="G89" s="15">
        <f>AVERAGEIFS(FMECA[probability_value],FMECA[HazardRisk_name],Table3[[#This Row],[HazardRisk_name]])</f>
        <v>4.5454545454545459</v>
      </c>
      <c r="H89" s="15" cm="1">
        <f t="array" ref="H89">STDEVP(IF(FMECA[HazardRisk_name]=Table3[[#This Row],[HazardRisk_name]],FMECA[probability_value]))</f>
        <v>0.49792959773196921</v>
      </c>
      <c r="I89" s="15">
        <f>SUMIFS(FMECA[consequence_value], FMECA[HazardRisk_name], Table3[[#This Row],[HazardRisk_name]])</f>
        <v>86</v>
      </c>
      <c r="J89" s="15">
        <f>AVERAGEIFS(FMECA[consequence_value],FMECA[HazardRisk_name],Table3[[#This Row],[HazardRisk_name]])</f>
        <v>7.8181818181818183</v>
      </c>
      <c r="K89" s="15" cm="1">
        <f t="array" ref="K89">STDEVP(IF(FMECA[HazardRisk_name]=Table3[[#This Row],[HazardRisk_name]],FMECA[consequence_value]))</f>
        <v>1.3360853142453699</v>
      </c>
      <c r="L89" s="23">
        <f>AVERAGEIFS(FMECA[Score],FMECA[HazardRisk_name],Table3[[#This Row],[HazardRisk_name]])</f>
        <v>35.636363636363633</v>
      </c>
      <c r="M89" s="23" cm="1">
        <f t="array" ref="M89">STDEVP(IF(FMECA[HazardRisk_name]=Table3[[#This Row],[HazardRisk_name]],FMECA[Score]))</f>
        <v>7.784281683130053</v>
      </c>
      <c r="N89" s="15">
        <f>COUNTIFS(FMECA_data!P:P, "Theoretical", FMECA_data!I:I,Table3[[#This Row],[HazardRisk_name]])</f>
        <v>2</v>
      </c>
      <c r="O89" s="15">
        <f>COUNTIFS(FMECA_data!P:P, "Observational", FMECA_data!I:I,Table3[[#This Row],[HazardRisk_name]])</f>
        <v>4</v>
      </c>
      <c r="P89" s="15">
        <f>COUNTIFS(FMECA_data!P:P, "Hybrid", FMECA_data!I:I,Table3[[#This Row],[HazardRisk_name]])</f>
        <v>4</v>
      </c>
      <c r="Q89" s="15">
        <f>COUNTIFS(FMECA_data!P:P, "Modelling", FMECA_data!I:I,Table3[[#This Row],[HazardRisk_name]])</f>
        <v>1</v>
      </c>
      <c r="R89" s="23">
        <f>COUNTIFS(FMECA[data_deficient], "Yes",FMECA[HazardRisk_name],Table3[[#This Row],[HazardRisk_name]])</f>
        <v>2</v>
      </c>
      <c r="S89" s="23">
        <f>(COUNTIFS(FMECA[availability], "Yes",FMECA[HazardRisk_name],Table3[[#This Row],[HazardRisk_name]])) + (COUNTIFS(FMECA[availability], "Available",FMECA[HazardRisk_name],Table3[[#This Row],[HazardRisk_name]]))</f>
        <v>5</v>
      </c>
      <c r="T89" s="23">
        <f>COUNTIFS(FMECA[RR], "VERY HIGH",FMECA[HazardRisk_name],Table3[[#This Row],[HazardRisk_name]])</f>
        <v>3</v>
      </c>
      <c r="U89" s="22">
        <f>Table3[[#This Row],[vh_count]]/Table3[[#This Row],[risk_counts]]</f>
        <v>0.27272727272727271</v>
      </c>
      <c r="V89" s="23">
        <f>COUNTIFS(FMECA[RR], "HIGH",FMECA[HazardRisk_name],Table3[[#This Row],[HazardRisk_name]])</f>
        <v>8</v>
      </c>
      <c r="W89" s="22">
        <f>Table3[[#This Row],[h_count]]/Table3[[#This Row],[risk_counts]]</f>
        <v>0.72727272727272729</v>
      </c>
      <c r="X89" s="23">
        <f>COUNTIFS(FMECA[RR], "MODERATE",FMECA[HazardRisk_name],Table3[[#This Row],[HazardRisk_name]])</f>
        <v>0</v>
      </c>
      <c r="Y89" s="22">
        <f>Table3[[#This Row],[m_count]]/Table3[[#This Row],[risk_counts]]</f>
        <v>0</v>
      </c>
      <c r="Z89" s="23">
        <f>COUNTIFS(FMECA[RR], "UNDETECTABLE",FMECA[HazardRisk_name],Table3[[#This Row],[HazardRisk_name]])</f>
        <v>0</v>
      </c>
      <c r="AA89" s="22">
        <f>Table3[[#This Row],[l_count]]/Table3[[#This Row],[risk_counts]]</f>
        <v>0</v>
      </c>
      <c r="AI89" s="16" t="str">
        <f>VLOOKUP(Table3[[#This Row],[HazardRisk_id]], categories[], 4, FALSE)</f>
        <v>Hazard</v>
      </c>
      <c r="AJ89" s="16">
        <f>(COUNTIFS(FMECA[availability], "Unknown",FMECA[HazardRisk_name],Table3[[#This Row],[HazardRisk_name]]))</f>
        <v>4</v>
      </c>
    </row>
    <row r="90" spans="1:36" ht="51" x14ac:dyDescent="0.2">
      <c r="A90" s="16" t="s">
        <v>2661</v>
      </c>
      <c r="B90" s="13" t="str">
        <f>VLOOKUP(Table3[[#This Row],[HazardRisk_id]], categories[], 5, FALSE)</f>
        <v>Environmental</v>
      </c>
      <c r="C90" s="14" t="str">
        <f>VLOOKUP(Table3[[#This Row],[HazardRisk_id]], categories[], 2, FALSE)</f>
        <v>Animal displacement</v>
      </c>
      <c r="D90" s="15" t="str">
        <f>VLOOKUP(Table3[[#This Row],[HazardRisk_id]], categories[], 3, FALSE)</f>
        <v>Due to anthropogenic activity such as maritime vessel operations, habitait destruction  and noise pollution cause animals to relocate an unknown environment where the hazards are less severe, frequent, or non exisitant.</v>
      </c>
      <c r="E90" s="15">
        <f>COUNTIFS(FMECA[HazardRisk_name],Table3[[#This Row],[HazardRisk_name]])</f>
        <v>3</v>
      </c>
      <c r="F90" s="15">
        <f>SUMIFS(FMECA[probability_value], FMECA[HazardRisk_name], Table3[[#This Row],[HazardRisk_name]])</f>
        <v>6</v>
      </c>
      <c r="G90" s="15">
        <f>AVERAGEIFS(FMECA[probability_value],FMECA[HazardRisk_name],Table3[[#This Row],[HazardRisk_name]])</f>
        <v>3</v>
      </c>
      <c r="H90" s="15" cm="1">
        <f t="array" ref="H90">STDEVP(IF(FMECA[HazardRisk_name]=Table3[[#This Row],[HazardRisk_name]],FMECA[probability_value]))</f>
        <v>1.4142135623730951</v>
      </c>
      <c r="I90" s="15">
        <f>SUMIFS(FMECA[consequence_value], FMECA[HazardRisk_name], Table3[[#This Row],[HazardRisk_name]])</f>
        <v>27</v>
      </c>
      <c r="J90" s="15">
        <f>AVERAGEIFS(FMECA[consequence_value],FMECA[HazardRisk_name],Table3[[#This Row],[HazardRisk_name]])</f>
        <v>9</v>
      </c>
      <c r="K90" s="15" cm="1">
        <f t="array" ref="K90">STDEVP(IF(FMECA[HazardRisk_name]=Table3[[#This Row],[HazardRisk_name]],FMECA[consequence_value]))</f>
        <v>1.4142135623730951</v>
      </c>
      <c r="L90" s="23">
        <f>AVERAGEIFS(FMECA[Score],FMECA[HazardRisk_name],Table3[[#This Row],[HazardRisk_name]])</f>
        <v>20</v>
      </c>
      <c r="M90" s="23" cm="1">
        <f t="array" ref="M90">STDEVP(IF(FMECA[HazardRisk_name]=Table3[[#This Row],[HazardRisk_name]],FMECA[Score]))</f>
        <v>14.142135623730951</v>
      </c>
      <c r="N90" s="15">
        <f>COUNTIFS(FMECA_data!P:P, "Theoretical", FMECA_data!I:I,Table3[[#This Row],[HazardRisk_name]])</f>
        <v>0</v>
      </c>
      <c r="O90" s="15">
        <f>COUNTIFS(FMECA_data!P:P, "Observational", FMECA_data!I:I,Table3[[#This Row],[HazardRisk_name]])</f>
        <v>3</v>
      </c>
      <c r="P90" s="15">
        <f>COUNTIFS(FMECA_data!P:P, "Hybrid", FMECA_data!I:I,Table3[[#This Row],[HazardRisk_name]])</f>
        <v>0</v>
      </c>
      <c r="Q90" s="15">
        <f>COUNTIFS(FMECA_data!P:P, "Modelling", FMECA_data!I:I,Table3[[#This Row],[HazardRisk_name]])</f>
        <v>0</v>
      </c>
      <c r="R90" s="23">
        <f>COUNTIFS(FMECA[data_deficient], "Yes",FMECA[HazardRisk_name],Table3[[#This Row],[HazardRisk_name]])</f>
        <v>0</v>
      </c>
      <c r="S90" s="23">
        <f>(COUNTIFS(FMECA[availability], "Yes",FMECA[HazardRisk_name],Table3[[#This Row],[HazardRisk_name]])) + (COUNTIFS(FMECA[availability], "Available",FMECA[HazardRisk_name],Table3[[#This Row],[HazardRisk_name]]))</f>
        <v>3</v>
      </c>
      <c r="T90" s="23">
        <f>COUNTIFS(FMECA[RR], "VERY HIGH",FMECA[HazardRisk_name],Table3[[#This Row],[HazardRisk_name]])</f>
        <v>0</v>
      </c>
      <c r="U90" s="22">
        <f>Table3[[#This Row],[vh_count]]/Table3[[#This Row],[risk_counts]]</f>
        <v>0</v>
      </c>
      <c r="V90" s="23">
        <f>COUNTIFS(FMECA[RR], "HIGH",FMECA[HazardRisk_name],Table3[[#This Row],[HazardRisk_name]])</f>
        <v>2</v>
      </c>
      <c r="W90" s="22">
        <f>Table3[[#This Row],[h_count]]/Table3[[#This Row],[risk_counts]]</f>
        <v>0.66666666666666663</v>
      </c>
      <c r="X90" s="23">
        <f>COUNTIFS(FMECA[RR], "MODERATE",FMECA[HazardRisk_name],Table3[[#This Row],[HazardRisk_name]])</f>
        <v>0</v>
      </c>
      <c r="Y90" s="22">
        <f>Table3[[#This Row],[m_count]]/Table3[[#This Row],[risk_counts]]</f>
        <v>0</v>
      </c>
      <c r="Z90" s="23">
        <f>COUNTIFS(FMECA[RR], "UNDETECTABLE",FMECA[HazardRisk_name],Table3[[#This Row],[HazardRisk_name]])</f>
        <v>1</v>
      </c>
      <c r="AA90" s="22">
        <f>Table3[[#This Row],[l_count]]/Table3[[#This Row],[risk_counts]]</f>
        <v>0.33333333333333331</v>
      </c>
      <c r="AI90" s="16" t="str">
        <f>VLOOKUP(Table3[[#This Row],[HazardRisk_id]], categories[], 4, FALSE)</f>
        <v>Hazard</v>
      </c>
      <c r="AJ90" s="16">
        <f>(COUNTIFS(FMECA[availability], "Unknown",FMECA[HazardRisk_name],Table3[[#This Row],[HazardRisk_name]]))</f>
        <v>0</v>
      </c>
    </row>
    <row r="91" spans="1:36" ht="34" x14ac:dyDescent="0.2">
      <c r="A91" s="16" t="s">
        <v>2662</v>
      </c>
      <c r="B91" s="13" t="str">
        <f>VLOOKUP(Table3[[#This Row],[HazardRisk_id]], categories[], 5, FALSE)</f>
        <v>Environmental</v>
      </c>
      <c r="C91" s="14" t="str">
        <f>VLOOKUP(Table3[[#This Row],[HazardRisk_id]], categories[], 2, FALSE)</f>
        <v>Animal disturbance</v>
      </c>
      <c r="D91" s="15" t="str">
        <f>VLOOKUP(Table3[[#This Row],[HazardRisk_id]], categories[], 3, FALSE)</f>
        <v>Animals can incur injures in the form of sharp or blunt force impacts from moving vessels. Disturbances can also  present negative impacts to a species habitait.</v>
      </c>
      <c r="E91" s="15">
        <f>COUNTIFS(FMECA[HazardRisk_name],Table3[[#This Row],[HazardRisk_name]])</f>
        <v>6</v>
      </c>
      <c r="F91" s="15">
        <f>SUMIFS(FMECA[probability_value], FMECA[HazardRisk_name], Table3[[#This Row],[HazardRisk_name]])</f>
        <v>21</v>
      </c>
      <c r="G91" s="15">
        <f>AVERAGEIFS(FMECA[probability_value],FMECA[HazardRisk_name],Table3[[#This Row],[HazardRisk_name]])</f>
        <v>3.5</v>
      </c>
      <c r="H91" s="15" cm="1">
        <f t="array" ref="H91">STDEVP(IF(FMECA[HazardRisk_name]=Table3[[#This Row],[HazardRisk_name]],FMECA[probability_value]))</f>
        <v>0.5</v>
      </c>
      <c r="I91" s="15">
        <f>SUMIFS(FMECA[consequence_value], FMECA[HazardRisk_name], Table3[[#This Row],[HazardRisk_name]])</f>
        <v>45</v>
      </c>
      <c r="J91" s="15">
        <f>AVERAGEIFS(FMECA[consequence_value],FMECA[HazardRisk_name],Table3[[#This Row],[HazardRisk_name]])</f>
        <v>7.5</v>
      </c>
      <c r="K91" s="15" cm="1">
        <f t="array" ref="K91">STDEVP(IF(FMECA[HazardRisk_name]=Table3[[#This Row],[HazardRisk_name]],FMECA[consequence_value]))</f>
        <v>1.1180339887498949</v>
      </c>
      <c r="L91" s="23">
        <f>AVERAGEIFS(FMECA[Score],FMECA[HazardRisk_name],Table3[[#This Row],[HazardRisk_name]])</f>
        <v>26.5</v>
      </c>
      <c r="M91" s="23" cm="1">
        <f t="array" ref="M91">STDEVP(IF(FMECA[HazardRisk_name]=Table3[[#This Row],[HazardRisk_name]],FMECA[Score]))</f>
        <v>6.800735254367722</v>
      </c>
      <c r="N91" s="15">
        <f>COUNTIFS(FMECA_data!P:P, "Theoretical", FMECA_data!I:I,Table3[[#This Row],[HazardRisk_name]])</f>
        <v>0</v>
      </c>
      <c r="O91" s="15">
        <f>COUNTIFS(FMECA_data!P:P, "Observational", FMECA_data!I:I,Table3[[#This Row],[HazardRisk_name]])</f>
        <v>4</v>
      </c>
      <c r="P91" s="15">
        <f>COUNTIFS(FMECA_data!P:P, "Hybrid", FMECA_data!I:I,Table3[[#This Row],[HazardRisk_name]])</f>
        <v>1</v>
      </c>
      <c r="Q91" s="15">
        <f>COUNTIFS(FMECA_data!P:P, "Modelling", FMECA_data!I:I,Table3[[#This Row],[HazardRisk_name]])</f>
        <v>1</v>
      </c>
      <c r="R91" s="23">
        <f>COUNTIFS(FMECA[data_deficient], "Yes",FMECA[HazardRisk_name],Table3[[#This Row],[HazardRisk_name]])</f>
        <v>1</v>
      </c>
      <c r="S91" s="23">
        <f>(COUNTIFS(FMECA[availability], "Yes",FMECA[HazardRisk_name],Table3[[#This Row],[HazardRisk_name]])) + (COUNTIFS(FMECA[availability], "Available",FMECA[HazardRisk_name],Table3[[#This Row],[HazardRisk_name]]))</f>
        <v>3</v>
      </c>
      <c r="T91" s="23">
        <f>COUNTIFS(FMECA[RR], "VERY HIGH",FMECA[HazardRisk_name],Table3[[#This Row],[HazardRisk_name]])</f>
        <v>1</v>
      </c>
      <c r="U91" s="22">
        <f>Table3[[#This Row],[vh_count]]/Table3[[#This Row],[risk_counts]]</f>
        <v>0.16666666666666666</v>
      </c>
      <c r="V91" s="23">
        <f>COUNTIFS(FMECA[RR], "HIGH",FMECA[HazardRisk_name],Table3[[#This Row],[HazardRisk_name]])</f>
        <v>2</v>
      </c>
      <c r="W91" s="22">
        <f>Table3[[#This Row],[h_count]]/Table3[[#This Row],[risk_counts]]</f>
        <v>0.33333333333333331</v>
      </c>
      <c r="X91" s="23">
        <f>COUNTIFS(FMECA[RR], "MODERATE",FMECA[HazardRisk_name],Table3[[#This Row],[HazardRisk_name]])</f>
        <v>3</v>
      </c>
      <c r="Y91" s="22">
        <f>Table3[[#This Row],[m_count]]/Table3[[#This Row],[risk_counts]]</f>
        <v>0.5</v>
      </c>
      <c r="Z91" s="23">
        <f>COUNTIFS(FMECA[RR], "UNDETECTABLE",FMECA[HazardRisk_name],Table3[[#This Row],[HazardRisk_name]])</f>
        <v>0</v>
      </c>
      <c r="AA91" s="22">
        <f>Table3[[#This Row],[l_count]]/Table3[[#This Row],[risk_counts]]</f>
        <v>0</v>
      </c>
      <c r="AI91" s="16" t="str">
        <f>VLOOKUP(Table3[[#This Row],[HazardRisk_id]], categories[], 4, FALSE)</f>
        <v>Risk</v>
      </c>
      <c r="AJ91" s="16">
        <f>(COUNTIFS(FMECA[availability], "Unknown",FMECA[HazardRisk_name],Table3[[#This Row],[HazardRisk_name]]))</f>
        <v>3</v>
      </c>
    </row>
    <row r="92" spans="1:36" ht="17" x14ac:dyDescent="0.2">
      <c r="A92" s="16" t="s">
        <v>2663</v>
      </c>
      <c r="B92" s="13" t="str">
        <f>VLOOKUP(Table3[[#This Row],[HazardRisk_id]], categories[], 5, FALSE)</f>
        <v>Environmental</v>
      </c>
      <c r="C92" s="14" t="str">
        <f>VLOOKUP(Table3[[#This Row],[HazardRisk_id]], categories[], 2, FALSE)</f>
        <v>Animal mortaility</v>
      </c>
      <c r="D92" s="15">
        <f>VLOOKUP(Table3[[#This Row],[HazardRisk_id]], categories[], 3, FALSE)</f>
        <v>0</v>
      </c>
      <c r="E92" s="15">
        <f>COUNTIFS(FMECA[HazardRisk_name],Table3[[#This Row],[HazardRisk_name]])</f>
        <v>2</v>
      </c>
      <c r="F92" s="15">
        <f>SUMIFS(FMECA[probability_value], FMECA[HazardRisk_name], Table3[[#This Row],[HazardRisk_name]])</f>
        <v>6</v>
      </c>
      <c r="G92" s="15">
        <f>AVERAGEIFS(FMECA[probability_value],FMECA[HazardRisk_name],Table3[[#This Row],[HazardRisk_name]])</f>
        <v>3</v>
      </c>
      <c r="H92" s="15" cm="1">
        <f t="array" ref="H92">STDEVP(IF(FMECA[HazardRisk_name]=Table3[[#This Row],[HazardRisk_name]],FMECA[probability_value]))</f>
        <v>0</v>
      </c>
      <c r="I92" s="15">
        <f>SUMIFS(FMECA[consequence_value], FMECA[HazardRisk_name], Table3[[#This Row],[HazardRisk_name]])</f>
        <v>20</v>
      </c>
      <c r="J92" s="15">
        <f>AVERAGEIFS(FMECA[consequence_value],FMECA[HazardRisk_name],Table3[[#This Row],[HazardRisk_name]])</f>
        <v>10</v>
      </c>
      <c r="K92" s="15" cm="1">
        <f t="array" ref="K92">STDEVP(IF(FMECA[HazardRisk_name]=Table3[[#This Row],[HazardRisk_name]],FMECA[consequence_value]))</f>
        <v>0</v>
      </c>
      <c r="L92" s="23">
        <f>AVERAGEIFS(FMECA[Score],FMECA[HazardRisk_name],Table3[[#This Row],[HazardRisk_name]])</f>
        <v>30</v>
      </c>
      <c r="M92" s="23" cm="1">
        <f t="array" ref="M92">STDEVP(IF(FMECA[HazardRisk_name]=Table3[[#This Row],[HazardRisk_name]],FMECA[Score]))</f>
        <v>0</v>
      </c>
      <c r="N92" s="15">
        <f>COUNTIFS(FMECA_data!P:P, "Theoretical", FMECA_data!I:I,Table3[[#This Row],[HazardRisk_name]])</f>
        <v>0</v>
      </c>
      <c r="O92" s="15">
        <f>COUNTIFS(FMECA_data!P:P, "Observational", FMECA_data!I:I,Table3[[#This Row],[HazardRisk_name]])</f>
        <v>2</v>
      </c>
      <c r="P92" s="15">
        <f>COUNTIFS(FMECA_data!P:P, "Hybrid", FMECA_data!I:I,Table3[[#This Row],[HazardRisk_name]])</f>
        <v>0</v>
      </c>
      <c r="Q92" s="15">
        <f>COUNTIFS(FMECA_data!P:P, "Modelling", FMECA_data!I:I,Table3[[#This Row],[HazardRisk_name]])</f>
        <v>0</v>
      </c>
      <c r="R92" s="23">
        <f>COUNTIFS(FMECA[data_deficient], "Yes",FMECA[HazardRisk_name],Table3[[#This Row],[HazardRisk_name]])</f>
        <v>0</v>
      </c>
      <c r="S92" s="23">
        <f>(COUNTIFS(FMECA[availability], "Yes",FMECA[HazardRisk_name],Table3[[#This Row],[HazardRisk_name]])) + (COUNTIFS(FMECA[availability], "Available",FMECA[HazardRisk_name],Table3[[#This Row],[HazardRisk_name]]))</f>
        <v>1</v>
      </c>
      <c r="T92" s="23">
        <f>COUNTIFS(FMECA[RR], "VERY HIGH",FMECA[HazardRisk_name],Table3[[#This Row],[HazardRisk_name]])</f>
        <v>0</v>
      </c>
      <c r="U92" s="22">
        <f>Table3[[#This Row],[vh_count]]/Table3[[#This Row],[risk_counts]]</f>
        <v>0</v>
      </c>
      <c r="V92" s="23">
        <f>COUNTIFS(FMECA[RR], "HIGH",FMECA[HazardRisk_name],Table3[[#This Row],[HazardRisk_name]])</f>
        <v>2</v>
      </c>
      <c r="W92" s="22">
        <f>Table3[[#This Row],[h_count]]/Table3[[#This Row],[risk_counts]]</f>
        <v>1</v>
      </c>
      <c r="X92" s="23">
        <f>COUNTIFS(FMECA[RR], "MODERATE",FMECA[HazardRisk_name],Table3[[#This Row],[HazardRisk_name]])</f>
        <v>0</v>
      </c>
      <c r="Y92" s="22">
        <f>Table3[[#This Row],[m_count]]/Table3[[#This Row],[risk_counts]]</f>
        <v>0</v>
      </c>
      <c r="Z92" s="23">
        <f>COUNTIFS(FMECA[RR], "UNDETECTABLE",FMECA[HazardRisk_name],Table3[[#This Row],[HazardRisk_name]])</f>
        <v>0</v>
      </c>
      <c r="AA92" s="22">
        <f>Table3[[#This Row],[l_count]]/Table3[[#This Row],[risk_counts]]</f>
        <v>0</v>
      </c>
      <c r="AI92" s="16" t="str">
        <f>VLOOKUP(Table3[[#This Row],[HazardRisk_id]], categories[], 4, FALSE)</f>
        <v>Hazard</v>
      </c>
      <c r="AJ92" s="16">
        <f>(COUNTIFS(FMECA[availability], "Unknown",FMECA[HazardRisk_name],Table3[[#This Row],[HazardRisk_name]]))</f>
        <v>1</v>
      </c>
    </row>
    <row r="93" spans="1:36" ht="51" x14ac:dyDescent="0.2">
      <c r="A93" s="16" t="s">
        <v>2664</v>
      </c>
      <c r="B93" s="13" t="str">
        <f>VLOOKUP(Table3[[#This Row],[HazardRisk_id]], categories[], 5, FALSE)</f>
        <v>Pollutants</v>
      </c>
      <c r="C93" s="14" t="str">
        <f>VLOOKUP(Table3[[#This Row],[HazardRisk_id]], categories[], 2, FALSE)</f>
        <v>BC Climate Forcing</v>
      </c>
      <c r="D93" s="15" t="str">
        <f>VLOOKUP(Table3[[#This Row],[HazardRisk_id]], categories[], 3, FALSE)</f>
        <v>Black Carbon (BC) emissions warm the environment by absorbing sunlight, causing an increase in air temperatures. This process also reduced the albedo when BC particles land on sea ice and snow.</v>
      </c>
      <c r="E93" s="15">
        <f>COUNTIFS(FMECA[HazardRisk_name],Table3[[#This Row],[HazardRisk_name]])</f>
        <v>5</v>
      </c>
      <c r="F93" s="15">
        <f>SUMIFS(FMECA[probability_value], FMECA[HazardRisk_name], Table3[[#This Row],[HazardRisk_name]])</f>
        <v>20</v>
      </c>
      <c r="G93" s="15">
        <f>AVERAGEIFS(FMECA[probability_value],FMECA[HazardRisk_name],Table3[[#This Row],[HazardRisk_name]])</f>
        <v>4</v>
      </c>
      <c r="H93" s="15" cm="1">
        <f t="array" ref="H93">STDEVP(IF(FMECA[HazardRisk_name]=Table3[[#This Row],[HazardRisk_name]],FMECA[probability_value]))</f>
        <v>0</v>
      </c>
      <c r="I93" s="15">
        <f>SUMIFS(FMECA[consequence_value], FMECA[HazardRisk_name], Table3[[#This Row],[HazardRisk_name]])</f>
        <v>32</v>
      </c>
      <c r="J93" s="15">
        <f>AVERAGEIFS(FMECA[consequence_value],FMECA[HazardRisk_name],Table3[[#This Row],[HazardRisk_name]])</f>
        <v>6.4</v>
      </c>
      <c r="K93" s="15" cm="1">
        <f t="array" ref="K93">STDEVP(IF(FMECA[HazardRisk_name]=Table3[[#This Row],[HazardRisk_name]],FMECA[consequence_value]))</f>
        <v>2.2449944320643649</v>
      </c>
      <c r="L93" s="23">
        <f>AVERAGEIFS(FMECA[Score],FMECA[HazardRisk_name],Table3[[#This Row],[HazardRisk_name]])</f>
        <v>25.6</v>
      </c>
      <c r="M93" s="23" cm="1">
        <f t="array" ref="M93">STDEVP(IF(FMECA[HazardRisk_name]=Table3[[#This Row],[HazardRisk_name]],FMECA[Score]))</f>
        <v>8.9799777282574595</v>
      </c>
      <c r="N93" s="15">
        <f>COUNTIFS(FMECA_data!P:P, "Theoretical", FMECA_data!I:I,Table3[[#This Row],[HazardRisk_name]])</f>
        <v>1</v>
      </c>
      <c r="O93" s="15">
        <f>COUNTIFS(FMECA_data!P:P, "Observational", FMECA_data!I:I,Table3[[#This Row],[HazardRisk_name]])</f>
        <v>1</v>
      </c>
      <c r="P93" s="15">
        <f>COUNTIFS(FMECA_data!P:P, "Hybrid", FMECA_data!I:I,Table3[[#This Row],[HazardRisk_name]])</f>
        <v>3</v>
      </c>
      <c r="Q93" s="15">
        <f>COUNTIFS(FMECA_data!P:P, "Modelling", FMECA_data!I:I,Table3[[#This Row],[HazardRisk_name]])</f>
        <v>0</v>
      </c>
      <c r="R93" s="23">
        <f>COUNTIFS(FMECA[data_deficient], "Yes",FMECA[HazardRisk_name],Table3[[#This Row],[HazardRisk_name]])</f>
        <v>0</v>
      </c>
      <c r="S93" s="23">
        <f>(COUNTIFS(FMECA[availability], "Yes",FMECA[HazardRisk_name],Table3[[#This Row],[HazardRisk_name]])) + (COUNTIFS(FMECA[availability], "Available",FMECA[HazardRisk_name],Table3[[#This Row],[HazardRisk_name]]))</f>
        <v>1</v>
      </c>
      <c r="T93" s="23">
        <f>COUNTIFS(FMECA[RR], "VERY HIGH",FMECA[HazardRisk_name],Table3[[#This Row],[HazardRisk_name]])</f>
        <v>1</v>
      </c>
      <c r="U93" s="22">
        <f>Table3[[#This Row],[vh_count]]/Table3[[#This Row],[risk_counts]]</f>
        <v>0.2</v>
      </c>
      <c r="V93" s="23">
        <f>COUNTIFS(FMECA[RR], "HIGH",FMECA[HazardRisk_name],Table3[[#This Row],[HazardRisk_name]])</f>
        <v>2</v>
      </c>
      <c r="W93" s="22">
        <f>Table3[[#This Row],[h_count]]/Table3[[#This Row],[risk_counts]]</f>
        <v>0.4</v>
      </c>
      <c r="X93" s="23">
        <f>COUNTIFS(FMECA[RR], "MODERATE",FMECA[HazardRisk_name],Table3[[#This Row],[HazardRisk_name]])</f>
        <v>2</v>
      </c>
      <c r="Y93" s="22">
        <f>Table3[[#This Row],[m_count]]/Table3[[#This Row],[risk_counts]]</f>
        <v>0.4</v>
      </c>
      <c r="Z93" s="23">
        <f>COUNTIFS(FMECA[RR], "UNDETECTABLE",FMECA[HazardRisk_name],Table3[[#This Row],[HazardRisk_name]])</f>
        <v>0</v>
      </c>
      <c r="AA93" s="22">
        <f>Table3[[#This Row],[l_count]]/Table3[[#This Row],[risk_counts]]</f>
        <v>0</v>
      </c>
      <c r="AI93" s="16" t="str">
        <f>VLOOKUP(Table3[[#This Row],[HazardRisk_id]], categories[], 4, FALSE)</f>
        <v>Risk</v>
      </c>
      <c r="AJ93" s="16">
        <f>(COUNTIFS(FMECA[availability], "Unknown",FMECA[HazardRisk_name],Table3[[#This Row],[HazardRisk_name]]))</f>
        <v>3</v>
      </c>
    </row>
    <row r="94" spans="1:36" ht="17" x14ac:dyDescent="0.2">
      <c r="A94" s="16" t="s">
        <v>2665</v>
      </c>
      <c r="B94" s="13" t="str">
        <f>VLOOKUP(Table3[[#This Row],[HazardRisk_id]], categories[], 5, FALSE)</f>
        <v>Environmental</v>
      </c>
      <c r="C94" s="14" t="str">
        <f>VLOOKUP(Table3[[#This Row],[HazardRisk_id]], categories[], 2, FALSE)</f>
        <v>Bioaccumulation - flora/fauna</v>
      </c>
      <c r="D94" s="15">
        <f>VLOOKUP(Table3[[#This Row],[HazardRisk_id]], categories[], 3, FALSE)</f>
        <v>0</v>
      </c>
      <c r="E94" s="15">
        <f>COUNTIFS(FMECA[HazardRisk_name],Table3[[#This Row],[HazardRisk_name]])</f>
        <v>5</v>
      </c>
      <c r="F94" s="15">
        <f>SUMIFS(FMECA[probability_value], FMECA[HazardRisk_name], Table3[[#This Row],[HazardRisk_name]])</f>
        <v>21</v>
      </c>
      <c r="G94" s="15">
        <f>AVERAGEIFS(FMECA[probability_value],FMECA[HazardRisk_name],Table3[[#This Row],[HazardRisk_name]])</f>
        <v>4.2</v>
      </c>
      <c r="H94" s="15" cm="1">
        <f t="array" ref="H94">STDEVP(IF(FMECA[HazardRisk_name]=Table3[[#This Row],[HazardRisk_name]],FMECA[probability_value]))</f>
        <v>0.74833147735478833</v>
      </c>
      <c r="I94" s="15">
        <f>SUMIFS(FMECA[consequence_value], FMECA[HazardRisk_name], Table3[[#This Row],[HazardRisk_name]])</f>
        <v>26</v>
      </c>
      <c r="J94" s="15">
        <f>AVERAGEIFS(FMECA[consequence_value],FMECA[HazardRisk_name],Table3[[#This Row],[HazardRisk_name]])</f>
        <v>5.2</v>
      </c>
      <c r="K94" s="15" cm="1">
        <f t="array" ref="K94">STDEVP(IF(FMECA[HazardRisk_name]=Table3[[#This Row],[HazardRisk_name]],FMECA[consequence_value]))</f>
        <v>2.4</v>
      </c>
      <c r="L94" s="23">
        <f>AVERAGEIFS(FMECA[Score],FMECA[HazardRisk_name],Table3[[#This Row],[HazardRisk_name]])</f>
        <v>22.2</v>
      </c>
      <c r="M94" s="23" cm="1">
        <f t="array" ref="M94">STDEVP(IF(FMECA[HazardRisk_name]=Table3[[#This Row],[HazardRisk_name]],FMECA[Score]))</f>
        <v>11.822013364905319</v>
      </c>
      <c r="N94" s="15">
        <f>COUNTIFS(FMECA_data!P:P, "Theoretical", FMECA_data!I:I,Table3[[#This Row],[HazardRisk_name]])</f>
        <v>1</v>
      </c>
      <c r="O94" s="15">
        <f>COUNTIFS(FMECA_data!P:P, "Observational", FMECA_data!I:I,Table3[[#This Row],[HazardRisk_name]])</f>
        <v>3</v>
      </c>
      <c r="P94" s="15">
        <f>COUNTIFS(FMECA_data!P:P, "Hybrid", FMECA_data!I:I,Table3[[#This Row],[HazardRisk_name]])</f>
        <v>0</v>
      </c>
      <c r="Q94" s="15">
        <f>COUNTIFS(FMECA_data!P:P, "Modelling", FMECA_data!I:I,Table3[[#This Row],[HazardRisk_name]])</f>
        <v>1</v>
      </c>
      <c r="R94" s="23">
        <f>COUNTIFS(FMECA[data_deficient], "Yes",FMECA[HazardRisk_name],Table3[[#This Row],[HazardRisk_name]])</f>
        <v>0</v>
      </c>
      <c r="S94" s="23">
        <f>(COUNTIFS(FMECA[availability], "Yes",FMECA[HazardRisk_name],Table3[[#This Row],[HazardRisk_name]])) + (COUNTIFS(FMECA[availability], "Available",FMECA[HazardRisk_name],Table3[[#This Row],[HazardRisk_name]]))</f>
        <v>3</v>
      </c>
      <c r="T94" s="23">
        <f>COUNTIFS(FMECA[RR], "VERY HIGH",FMECA[HazardRisk_name],Table3[[#This Row],[HazardRisk_name]])</f>
        <v>0</v>
      </c>
      <c r="U94" s="22">
        <f>Table3[[#This Row],[vh_count]]/Table3[[#This Row],[risk_counts]]</f>
        <v>0</v>
      </c>
      <c r="V94" s="23">
        <f>COUNTIFS(FMECA[RR], "HIGH",FMECA[HazardRisk_name],Table3[[#This Row],[HazardRisk_name]])</f>
        <v>2</v>
      </c>
      <c r="W94" s="22">
        <f>Table3[[#This Row],[h_count]]/Table3[[#This Row],[risk_counts]]</f>
        <v>0.4</v>
      </c>
      <c r="X94" s="23">
        <f>COUNTIFS(FMECA[RR], "MODERATE",FMECA[HazardRisk_name],Table3[[#This Row],[HazardRisk_name]])</f>
        <v>2</v>
      </c>
      <c r="Y94" s="22">
        <f>Table3[[#This Row],[m_count]]/Table3[[#This Row],[risk_counts]]</f>
        <v>0.4</v>
      </c>
      <c r="Z94" s="23">
        <f>COUNTIFS(FMECA[RR], "UNDETECTABLE",FMECA[HazardRisk_name],Table3[[#This Row],[HazardRisk_name]])</f>
        <v>1</v>
      </c>
      <c r="AA94" s="22">
        <f>Table3[[#This Row],[l_count]]/Table3[[#This Row],[risk_counts]]</f>
        <v>0.2</v>
      </c>
      <c r="AI94" s="16" t="str">
        <f>VLOOKUP(Table3[[#This Row],[HazardRisk_id]], categories[], 4, FALSE)</f>
        <v>Hazard</v>
      </c>
      <c r="AJ94" s="16">
        <f>(COUNTIFS(FMECA[availability], "Unknown",FMECA[HazardRisk_name],Table3[[#This Row],[HazardRisk_name]]))</f>
        <v>1</v>
      </c>
    </row>
    <row r="95" spans="1:36" ht="17" x14ac:dyDescent="0.2">
      <c r="A95" s="16" t="s">
        <v>2666</v>
      </c>
      <c r="B95" s="13" t="str">
        <f>VLOOKUP(Table3[[#This Row],[HazardRisk_id]], categories[], 5, FALSE)</f>
        <v>Social</v>
      </c>
      <c r="C95" s="14" t="str">
        <f>VLOOKUP(Table3[[#This Row],[HazardRisk_id]], categories[], 2, FALSE)</f>
        <v>Bioaccumulation - human</v>
      </c>
      <c r="D95" s="15">
        <f>VLOOKUP(Table3[[#This Row],[HazardRisk_id]], categories[], 3, FALSE)</f>
        <v>0</v>
      </c>
      <c r="E95" s="15">
        <f>COUNTIFS(FMECA[HazardRisk_name],Table3[[#This Row],[HazardRisk_name]])</f>
        <v>4</v>
      </c>
      <c r="F95" s="15">
        <f>SUMIFS(FMECA[probability_value], FMECA[HazardRisk_name], Table3[[#This Row],[HazardRisk_name]])</f>
        <v>18</v>
      </c>
      <c r="G95" s="15">
        <f>AVERAGEIFS(FMECA[probability_value],FMECA[HazardRisk_name],Table3[[#This Row],[HazardRisk_name]])</f>
        <v>4.5</v>
      </c>
      <c r="H95" s="15" cm="1">
        <f t="array" ref="H95">STDEVP(IF(FMECA[HazardRisk_name]=Table3[[#This Row],[HazardRisk_name]],FMECA[probability_value]))</f>
        <v>0.5</v>
      </c>
      <c r="I95" s="15">
        <f>SUMIFS(FMECA[consequence_value], FMECA[HazardRisk_name], Table3[[#This Row],[HazardRisk_name]])</f>
        <v>19</v>
      </c>
      <c r="J95" s="15">
        <f>AVERAGEIFS(FMECA[consequence_value],FMECA[HazardRisk_name],Table3[[#This Row],[HazardRisk_name]])</f>
        <v>4.75</v>
      </c>
      <c r="K95" s="15" cm="1">
        <f t="array" ref="K95">STDEVP(IF(FMECA[HazardRisk_name]=Table3[[#This Row],[HazardRisk_name]],FMECA[consequence_value]))</f>
        <v>2.4874685927665499</v>
      </c>
      <c r="L95" s="23">
        <f>AVERAGEIFS(FMECA[Score],FMECA[HazardRisk_name],Table3[[#This Row],[HazardRisk_name]])</f>
        <v>22.5</v>
      </c>
      <c r="M95" s="23" cm="1">
        <f t="array" ref="M95">STDEVP(IF(FMECA[HazardRisk_name]=Table3[[#This Row],[HazardRisk_name]],FMECA[Score]))</f>
        <v>13.200378782444085</v>
      </c>
      <c r="N95" s="15">
        <f>COUNTIFS(FMECA_data!P:P, "Theoretical", FMECA_data!I:I,Table3[[#This Row],[HazardRisk_name]])</f>
        <v>1</v>
      </c>
      <c r="O95" s="15">
        <f>COUNTIFS(FMECA_data!P:P, "Observational", FMECA_data!I:I,Table3[[#This Row],[HazardRisk_name]])</f>
        <v>2</v>
      </c>
      <c r="P95" s="15">
        <f>COUNTIFS(FMECA_data!P:P, "Hybrid", FMECA_data!I:I,Table3[[#This Row],[HazardRisk_name]])</f>
        <v>0</v>
      </c>
      <c r="Q95" s="15">
        <f>COUNTIFS(FMECA_data!P:P, "Modelling", FMECA_data!I:I,Table3[[#This Row],[HazardRisk_name]])</f>
        <v>1</v>
      </c>
      <c r="R95" s="23">
        <f>COUNTIFS(FMECA[data_deficient], "Yes",FMECA[HazardRisk_name],Table3[[#This Row],[HazardRisk_name]])</f>
        <v>0</v>
      </c>
      <c r="S95" s="23">
        <f>(COUNTIFS(FMECA[availability], "Yes",FMECA[HazardRisk_name],Table3[[#This Row],[HazardRisk_name]])) + (COUNTIFS(FMECA[availability], "Available",FMECA[HazardRisk_name],Table3[[#This Row],[HazardRisk_name]]))</f>
        <v>2</v>
      </c>
      <c r="T95" s="23">
        <f>COUNTIFS(FMECA[RR], "VERY HIGH",FMECA[HazardRisk_name],Table3[[#This Row],[HazardRisk_name]])</f>
        <v>0</v>
      </c>
      <c r="U95" s="22">
        <f>Table3[[#This Row],[vh_count]]/Table3[[#This Row],[risk_counts]]</f>
        <v>0</v>
      </c>
      <c r="V95" s="23">
        <f>COUNTIFS(FMECA[RR], "HIGH",FMECA[HazardRisk_name],Table3[[#This Row],[HazardRisk_name]])</f>
        <v>2</v>
      </c>
      <c r="W95" s="22">
        <f>Table3[[#This Row],[h_count]]/Table3[[#This Row],[risk_counts]]</f>
        <v>0.5</v>
      </c>
      <c r="X95" s="23">
        <f>COUNTIFS(FMECA[RR], "MODERATE",FMECA[HazardRisk_name],Table3[[#This Row],[HazardRisk_name]])</f>
        <v>1</v>
      </c>
      <c r="Y95" s="22">
        <f>Table3[[#This Row],[m_count]]/Table3[[#This Row],[risk_counts]]</f>
        <v>0.25</v>
      </c>
      <c r="Z95" s="23">
        <f>COUNTIFS(FMECA[RR], "UNDETECTABLE",FMECA[HazardRisk_name],Table3[[#This Row],[HazardRisk_name]])</f>
        <v>1</v>
      </c>
      <c r="AA95" s="22">
        <f>Table3[[#This Row],[l_count]]/Table3[[#This Row],[risk_counts]]</f>
        <v>0.25</v>
      </c>
      <c r="AI95" s="16" t="str">
        <f>VLOOKUP(Table3[[#This Row],[HazardRisk_id]], categories[], 4, FALSE)</f>
        <v>Hazard</v>
      </c>
      <c r="AJ95" s="16">
        <f>(COUNTIFS(FMECA[availability], "Unknown",FMECA[HazardRisk_name],Table3[[#This Row],[HazardRisk_name]]))</f>
        <v>1</v>
      </c>
    </row>
    <row r="96" spans="1:36" ht="34" x14ac:dyDescent="0.2">
      <c r="A96" s="16" t="s">
        <v>2667</v>
      </c>
      <c r="B96" s="13" t="str">
        <f>VLOOKUP(Table3[[#This Row],[HazardRisk_id]], categories[], 5, FALSE)</f>
        <v>Pollutants</v>
      </c>
      <c r="C96" s="14" t="str">
        <f>VLOOKUP(Table3[[#This Row],[HazardRisk_id]], categories[], 2, FALSE)</f>
        <v>Black carbon air emissions</v>
      </c>
      <c r="D96" s="15" t="str">
        <f>VLOOKUP(Table3[[#This Row],[HazardRisk_id]], categories[], 3, FALSE)</f>
        <v>Black Carbon (BC) air emissions are a short-lived and are created through vessel combustion, allowing the vessel to power the vessels engine.</v>
      </c>
      <c r="E96" s="15">
        <f>COUNTIFS(FMECA[HazardRisk_name],Table3[[#This Row],[HazardRisk_name]])</f>
        <v>13</v>
      </c>
      <c r="F96" s="15">
        <f>SUMIFS(FMECA[probability_value], FMECA[HazardRisk_name], Table3[[#This Row],[HazardRisk_name]])</f>
        <v>58</v>
      </c>
      <c r="G96" s="15">
        <f>AVERAGEIFS(FMECA[probability_value],FMECA[HazardRisk_name],Table3[[#This Row],[HazardRisk_name]])</f>
        <v>4.4615384615384617</v>
      </c>
      <c r="H96" s="15" cm="1">
        <f t="array" ref="H96">STDEVP(IF(FMECA[HazardRisk_name]=Table3[[#This Row],[HazardRisk_name]],FMECA[probability_value]))</f>
        <v>0.74579690114097363</v>
      </c>
      <c r="I96" s="15">
        <f>SUMIFS(FMECA[consequence_value], FMECA[HazardRisk_name], Table3[[#This Row],[HazardRisk_name]])</f>
        <v>91</v>
      </c>
      <c r="J96" s="15">
        <f>AVERAGEIFS(FMECA[consequence_value],FMECA[HazardRisk_name],Table3[[#This Row],[HazardRisk_name]])</f>
        <v>7</v>
      </c>
      <c r="K96" s="15" cm="1">
        <f t="array" ref="K96">STDEVP(IF(FMECA[HazardRisk_name]=Table3[[#This Row],[HazardRisk_name]],FMECA[consequence_value]))</f>
        <v>1.6641005886756874</v>
      </c>
      <c r="L96" s="23">
        <f>AVERAGEIFS(FMECA[Score],FMECA[HazardRisk_name],Table3[[#This Row],[HazardRisk_name]])</f>
        <v>31.23076923076923</v>
      </c>
      <c r="M96" s="23" cm="1">
        <f t="array" ref="M96">STDEVP(IF(FMECA[HazardRisk_name]=Table3[[#This Row],[HazardRisk_name]],FMECA[Score]))</f>
        <v>9.1664425290869112</v>
      </c>
      <c r="N96" s="15">
        <f>COUNTIFS(FMECA_data!P:P, "Theoretical", FMECA_data!I:I,Table3[[#This Row],[HazardRisk_name]])</f>
        <v>3</v>
      </c>
      <c r="O96" s="15">
        <f>COUNTIFS(FMECA_data!P:P, "Observational", FMECA_data!I:I,Table3[[#This Row],[HazardRisk_name]])</f>
        <v>4</v>
      </c>
      <c r="P96" s="15">
        <f>COUNTIFS(FMECA_data!P:P, "Hybrid", FMECA_data!I:I,Table3[[#This Row],[HazardRisk_name]])</f>
        <v>4</v>
      </c>
      <c r="Q96" s="15">
        <f>COUNTIFS(FMECA_data!P:P, "Modelling", FMECA_data!I:I,Table3[[#This Row],[HazardRisk_name]])</f>
        <v>2</v>
      </c>
      <c r="R96" s="23">
        <f>COUNTIFS(FMECA[data_deficient], "Yes",FMECA[HazardRisk_name],Table3[[#This Row],[HazardRisk_name]])</f>
        <v>1</v>
      </c>
      <c r="S96" s="23">
        <f>(COUNTIFS(FMECA[availability], "Yes",FMECA[HazardRisk_name],Table3[[#This Row],[HazardRisk_name]])) + (COUNTIFS(FMECA[availability], "Available",FMECA[HazardRisk_name],Table3[[#This Row],[HazardRisk_name]]))</f>
        <v>3</v>
      </c>
      <c r="T96" s="23">
        <f>COUNTIFS(FMECA[RR], "VERY HIGH",FMECA[HazardRisk_name],Table3[[#This Row],[HazardRisk_name]])</f>
        <v>2</v>
      </c>
      <c r="U96" s="22">
        <f>Table3[[#This Row],[vh_count]]/Table3[[#This Row],[risk_counts]]</f>
        <v>0.15384615384615385</v>
      </c>
      <c r="V96" s="23">
        <f>COUNTIFS(FMECA[RR], "HIGH",FMECA[HazardRisk_name],Table3[[#This Row],[HazardRisk_name]])</f>
        <v>7</v>
      </c>
      <c r="W96" s="22">
        <f>Table3[[#This Row],[h_count]]/Table3[[#This Row],[risk_counts]]</f>
        <v>0.53846153846153844</v>
      </c>
      <c r="X96" s="23">
        <f>COUNTIFS(FMECA[RR], "MODERATE",FMECA[HazardRisk_name],Table3[[#This Row],[HazardRisk_name]])</f>
        <v>4</v>
      </c>
      <c r="Y96" s="22">
        <f>Table3[[#This Row],[m_count]]/Table3[[#This Row],[risk_counts]]</f>
        <v>0.30769230769230771</v>
      </c>
      <c r="Z96" s="23">
        <f>COUNTIFS(FMECA[RR], "UNDETECTABLE",FMECA[HazardRisk_name],Table3[[#This Row],[HazardRisk_name]])</f>
        <v>0</v>
      </c>
      <c r="AA96" s="22">
        <f>Table3[[#This Row],[l_count]]/Table3[[#This Row],[risk_counts]]</f>
        <v>0</v>
      </c>
      <c r="AI96" s="16" t="str">
        <f>VLOOKUP(Table3[[#This Row],[HazardRisk_id]], categories[], 4, FALSE)</f>
        <v>Risk</v>
      </c>
      <c r="AJ96" s="16">
        <f>(COUNTIFS(FMECA[availability], "Unknown",FMECA[HazardRisk_name],Table3[[#This Row],[HazardRisk_name]]))</f>
        <v>6</v>
      </c>
    </row>
    <row r="97" spans="1:36" ht="34" x14ac:dyDescent="0.2">
      <c r="A97" s="16" t="s">
        <v>2668</v>
      </c>
      <c r="B97" s="13" t="str">
        <f>VLOOKUP(Table3[[#This Row],[HazardRisk_id]], categories[], 5, FALSE)</f>
        <v>Pollutants</v>
      </c>
      <c r="C97" s="14" t="str">
        <f>VLOOKUP(Table3[[#This Row],[HazardRisk_id]], categories[], 2, FALSE)</f>
        <v>Black carbon land deposition</v>
      </c>
      <c r="D97" s="15" t="str">
        <f>VLOOKUP(Table3[[#This Row],[HazardRisk_id]], categories[], 3, FALSE)</f>
        <v xml:space="preserve">Black carbon (BC) land deposition causes a reduced albedo during sonw and ice deposits, perpetuating regional warming and melting of sea ice. </v>
      </c>
      <c r="E97" s="15">
        <f>COUNTIFS(FMECA[HazardRisk_name],Table3[[#This Row],[HazardRisk_name]])</f>
        <v>4</v>
      </c>
      <c r="F97" s="15">
        <f>SUMIFS(FMECA[probability_value], FMECA[HazardRisk_name], Table3[[#This Row],[HazardRisk_name]])</f>
        <v>17</v>
      </c>
      <c r="G97" s="15">
        <f>AVERAGEIFS(FMECA[probability_value],FMECA[HazardRisk_name],Table3[[#This Row],[HazardRisk_name]])</f>
        <v>4.25</v>
      </c>
      <c r="H97" s="15" cm="1">
        <f t="array" ref="H97">STDEVP(IF(FMECA[HazardRisk_name]=Table3[[#This Row],[HazardRisk_name]],FMECA[probability_value]))</f>
        <v>0.4330127018922193</v>
      </c>
      <c r="I97" s="15">
        <f>SUMIFS(FMECA[consequence_value], FMECA[HazardRisk_name], Table3[[#This Row],[HazardRisk_name]])</f>
        <v>31</v>
      </c>
      <c r="J97" s="15">
        <f>AVERAGEIFS(FMECA[consequence_value],FMECA[HazardRisk_name],Table3[[#This Row],[HazardRisk_name]])</f>
        <v>7.75</v>
      </c>
      <c r="K97" s="15" cm="1">
        <f t="array" ref="K97">STDEVP(IF(FMECA[HazardRisk_name]=Table3[[#This Row],[HazardRisk_name]],FMECA[consequence_value]))</f>
        <v>1.299038105676658</v>
      </c>
      <c r="L97" s="23">
        <f>AVERAGEIFS(FMECA[Score],FMECA[HazardRisk_name],Table3[[#This Row],[HazardRisk_name]])</f>
        <v>33.5</v>
      </c>
      <c r="M97" s="23" cm="1">
        <f t="array" ref="M97">STDEVP(IF(FMECA[HazardRisk_name]=Table3[[#This Row],[HazardRisk_name]],FMECA[Score]))</f>
        <v>9.5262794416288248</v>
      </c>
      <c r="N97" s="15">
        <f>COUNTIFS(FMECA_data!P:P, "Theoretical", FMECA_data!I:I,Table3[[#This Row],[HazardRisk_name]])</f>
        <v>1</v>
      </c>
      <c r="O97" s="15">
        <f>COUNTIFS(FMECA_data!P:P, "Observational", FMECA_data!I:I,Table3[[#This Row],[HazardRisk_name]])</f>
        <v>1</v>
      </c>
      <c r="P97" s="15">
        <f>COUNTIFS(FMECA_data!P:P, "Hybrid", FMECA_data!I:I,Table3[[#This Row],[HazardRisk_name]])</f>
        <v>0</v>
      </c>
      <c r="Q97" s="15">
        <f>COUNTIFS(FMECA_data!P:P, "Modelling", FMECA_data!I:I,Table3[[#This Row],[HazardRisk_name]])</f>
        <v>2</v>
      </c>
      <c r="R97" s="23">
        <f>COUNTIFS(FMECA[data_deficient], "Yes",FMECA[HazardRisk_name],Table3[[#This Row],[HazardRisk_name]])</f>
        <v>0</v>
      </c>
      <c r="S97" s="23">
        <f>(COUNTIFS(FMECA[availability], "Yes",FMECA[HazardRisk_name],Table3[[#This Row],[HazardRisk_name]])) + (COUNTIFS(FMECA[availability], "Available",FMECA[HazardRisk_name],Table3[[#This Row],[HazardRisk_name]]))</f>
        <v>0</v>
      </c>
      <c r="T97" s="23">
        <f>COUNTIFS(FMECA[RR], "VERY HIGH",FMECA[HazardRisk_name],Table3[[#This Row],[HazardRisk_name]])</f>
        <v>1</v>
      </c>
      <c r="U97" s="22">
        <f>Table3[[#This Row],[vh_count]]/Table3[[#This Row],[risk_counts]]</f>
        <v>0.25</v>
      </c>
      <c r="V97" s="23">
        <f>COUNTIFS(FMECA[RR], "HIGH",FMECA[HazardRisk_name],Table3[[#This Row],[HazardRisk_name]])</f>
        <v>3</v>
      </c>
      <c r="W97" s="22">
        <f>Table3[[#This Row],[h_count]]/Table3[[#This Row],[risk_counts]]</f>
        <v>0.75</v>
      </c>
      <c r="X97" s="23">
        <f>COUNTIFS(FMECA[RR], "MODERATE",FMECA[HazardRisk_name],Table3[[#This Row],[HazardRisk_name]])</f>
        <v>0</v>
      </c>
      <c r="Y97" s="22">
        <f>Table3[[#This Row],[m_count]]/Table3[[#This Row],[risk_counts]]</f>
        <v>0</v>
      </c>
      <c r="Z97" s="23">
        <f>COUNTIFS(FMECA[RR], "UNDETECTABLE",FMECA[HazardRisk_name],Table3[[#This Row],[HazardRisk_name]])</f>
        <v>0</v>
      </c>
      <c r="AA97" s="22">
        <f>Table3[[#This Row],[l_count]]/Table3[[#This Row],[risk_counts]]</f>
        <v>0</v>
      </c>
      <c r="AI97" s="16" t="str">
        <f>VLOOKUP(Table3[[#This Row],[HazardRisk_id]], categories[], 4, FALSE)</f>
        <v>Risk</v>
      </c>
      <c r="AJ97" s="16">
        <f>(COUNTIFS(FMECA[availability], "Unknown",FMECA[HazardRisk_name],Table3[[#This Row],[HazardRisk_name]]))</f>
        <v>3</v>
      </c>
    </row>
    <row r="98" spans="1:36" ht="85" x14ac:dyDescent="0.2">
      <c r="A98" s="16" t="s">
        <v>2669</v>
      </c>
      <c r="B98" s="13" t="str">
        <f>VLOOKUP(Table3[[#This Row],[HazardRisk_id]], categories[], 5, FALSE)</f>
        <v>Operational</v>
      </c>
      <c r="C98" s="14" t="str">
        <f>VLOOKUP(Table3[[#This Row],[HazardRisk_id]], categories[], 2, FALSE)</f>
        <v>Bunker connection hose damaged/ruptured</v>
      </c>
      <c r="D98" s="15" t="str">
        <f>VLOOKUP(Table3[[#This Row],[HazardRisk_id]], categories[], 3, FALSE)</f>
        <v>Connection hose during bunkering operations cause spillage of heavy fuel oil overboard. Processes such as bunker baregs drifting apart, weather conditions, and age of the connection hose are the result of this. Depending on the amount of crew engaged in the bunkering operation, this can lead to significant pollution into the natural environment if left unattended.</v>
      </c>
      <c r="E98" s="15">
        <f>COUNTIFS(FMECA[HazardRisk_name],Table3[[#This Row],[HazardRisk_name]])</f>
        <v>1</v>
      </c>
      <c r="F98" s="15">
        <f>SUMIFS(FMECA[probability_value], FMECA[HazardRisk_name], Table3[[#This Row],[HazardRisk_name]])</f>
        <v>1</v>
      </c>
      <c r="G98" s="15">
        <f>AVERAGEIFS(FMECA[probability_value],FMECA[HazardRisk_name],Table3[[#This Row],[HazardRisk_name]])</f>
        <v>1</v>
      </c>
      <c r="H98" s="15" cm="1">
        <f t="array" ref="H98">STDEVP(IF(FMECA[HazardRisk_name]=Table3[[#This Row],[HazardRisk_name]],FMECA[probability_value]))</f>
        <v>0</v>
      </c>
      <c r="I98" s="15">
        <f>SUMIFS(FMECA[consequence_value], FMECA[HazardRisk_name], Table3[[#This Row],[HazardRisk_name]])</f>
        <v>4</v>
      </c>
      <c r="J98" s="15">
        <f>AVERAGEIFS(FMECA[consequence_value],FMECA[HazardRisk_name],Table3[[#This Row],[HazardRisk_name]])</f>
        <v>4</v>
      </c>
      <c r="K98" s="15" cm="1">
        <f t="array" ref="K98">STDEVP(IF(FMECA[HazardRisk_name]=Table3[[#This Row],[HazardRisk_name]],FMECA[consequence_value]))</f>
        <v>0</v>
      </c>
      <c r="L98" s="23">
        <f>AVERAGEIFS(FMECA[Score],FMECA[HazardRisk_name],Table3[[#This Row],[HazardRisk_name]])</f>
        <v>4</v>
      </c>
      <c r="M98" s="23" cm="1">
        <f t="array" ref="M98">STDEVP(IF(FMECA[HazardRisk_name]=Table3[[#This Row],[HazardRisk_name]],FMECA[Score]))</f>
        <v>0</v>
      </c>
      <c r="N98" s="15">
        <f>COUNTIFS(FMECA_data!P:P, "Theoretical", FMECA_data!I:I,Table3[[#This Row],[HazardRisk_name]])</f>
        <v>0</v>
      </c>
      <c r="O98" s="15">
        <f>COUNTIFS(FMECA_data!P:P, "Observational", FMECA_data!I:I,Table3[[#This Row],[HazardRisk_name]])</f>
        <v>0</v>
      </c>
      <c r="P98" s="15">
        <f>COUNTIFS(FMECA_data!P:P, "Hybrid", FMECA_data!I:I,Table3[[#This Row],[HazardRisk_name]])</f>
        <v>1</v>
      </c>
      <c r="Q98" s="15">
        <f>COUNTIFS(FMECA_data!P:P, "Modelling", FMECA_data!I:I,Table3[[#This Row],[HazardRisk_name]])</f>
        <v>0</v>
      </c>
      <c r="R98" s="23">
        <f>COUNTIFS(FMECA[data_deficient], "Yes",FMECA[HazardRisk_name],Table3[[#This Row],[HazardRisk_name]])</f>
        <v>0</v>
      </c>
      <c r="S98" s="23">
        <f>(COUNTIFS(FMECA[availability], "Yes",FMECA[HazardRisk_name],Table3[[#This Row],[HazardRisk_name]])) + (COUNTIFS(FMECA[availability], "Available",FMECA[HazardRisk_name],Table3[[#This Row],[HazardRisk_name]]))</f>
        <v>0</v>
      </c>
      <c r="T98" s="23">
        <f>COUNTIFS(FMECA[RR], "VERY HIGH",FMECA[HazardRisk_name],Table3[[#This Row],[HazardRisk_name]])</f>
        <v>0</v>
      </c>
      <c r="U98" s="22">
        <f>Table3[[#This Row],[vh_count]]/Table3[[#This Row],[risk_counts]]</f>
        <v>0</v>
      </c>
      <c r="V98" s="23">
        <f>COUNTIFS(FMECA[RR], "HIGH",FMECA[HazardRisk_name],Table3[[#This Row],[HazardRisk_name]])</f>
        <v>0</v>
      </c>
      <c r="W98" s="22">
        <f>Table3[[#This Row],[h_count]]/Table3[[#This Row],[risk_counts]]</f>
        <v>0</v>
      </c>
      <c r="X98" s="23">
        <f>COUNTIFS(FMECA[RR], "MODERATE",FMECA[HazardRisk_name],Table3[[#This Row],[HazardRisk_name]])</f>
        <v>0</v>
      </c>
      <c r="Y98" s="22">
        <f>Table3[[#This Row],[m_count]]/Table3[[#This Row],[risk_counts]]</f>
        <v>0</v>
      </c>
      <c r="Z98" s="23">
        <f>COUNTIFS(FMECA[RR], "UNDETECTABLE",FMECA[HazardRisk_name],Table3[[#This Row],[HazardRisk_name]])</f>
        <v>1</v>
      </c>
      <c r="AA98" s="22">
        <f>Table3[[#This Row],[l_count]]/Table3[[#This Row],[risk_counts]]</f>
        <v>1</v>
      </c>
      <c r="AI98" s="16" t="str">
        <f>VLOOKUP(Table3[[#This Row],[HazardRisk_id]], categories[], 4, FALSE)</f>
        <v>Hazard</v>
      </c>
      <c r="AJ98" s="16">
        <f>(COUNTIFS(FMECA[availability], "Unknown",FMECA[HazardRisk_name],Table3[[#This Row],[HazardRisk_name]]))</f>
        <v>1</v>
      </c>
    </row>
    <row r="99" spans="1:36" ht="34" x14ac:dyDescent="0.2">
      <c r="A99" s="16" t="s">
        <v>2670</v>
      </c>
      <c r="B99" s="13" t="str">
        <f>VLOOKUP(Table3[[#This Row],[HazardRisk_id]], categories[], 5, FALSE)</f>
        <v>Operational</v>
      </c>
      <c r="C99" s="14" t="str">
        <f>VLOOKUP(Table3[[#This Row],[HazardRisk_id]], categories[], 2, FALSE)</f>
        <v>Bunkering operations</v>
      </c>
      <c r="D99" s="15" t="str">
        <f>VLOOKUP(Table3[[#This Row],[HazardRisk_id]], categories[], 3, FALSE)</f>
        <v>Bunkering is the process of re-fueling vessels while at sea. Fuels consist of the transfer of heavy fuel oil from one vessel to another.</v>
      </c>
      <c r="E99" s="15">
        <f>COUNTIFS(FMECA[HazardRisk_name],Table3[[#This Row],[HazardRisk_name]])</f>
        <v>1</v>
      </c>
      <c r="F99" s="15">
        <f>SUMIFS(FMECA[probability_value], FMECA[HazardRisk_name], Table3[[#This Row],[HazardRisk_name]])</f>
        <v>1</v>
      </c>
      <c r="G99" s="15">
        <f>AVERAGEIFS(FMECA[probability_value],FMECA[HazardRisk_name],Table3[[#This Row],[HazardRisk_name]])</f>
        <v>1</v>
      </c>
      <c r="H99" s="15" cm="1">
        <f t="array" ref="H99">STDEVP(IF(FMECA[HazardRisk_name]=Table3[[#This Row],[HazardRisk_name]],FMECA[probability_value]))</f>
        <v>0</v>
      </c>
      <c r="I99" s="15">
        <f>SUMIFS(FMECA[consequence_value], FMECA[HazardRisk_name], Table3[[#This Row],[HazardRisk_name]])</f>
        <v>4</v>
      </c>
      <c r="J99" s="15">
        <f>AVERAGEIFS(FMECA[consequence_value],FMECA[HazardRisk_name],Table3[[#This Row],[HazardRisk_name]])</f>
        <v>4</v>
      </c>
      <c r="K99" s="15" cm="1">
        <f t="array" ref="K99">STDEVP(IF(FMECA[HazardRisk_name]=Table3[[#This Row],[HazardRisk_name]],FMECA[consequence_value]))</f>
        <v>0</v>
      </c>
      <c r="L99" s="23">
        <f>AVERAGEIFS(FMECA[Score],FMECA[HazardRisk_name],Table3[[#This Row],[HazardRisk_name]])</f>
        <v>4</v>
      </c>
      <c r="M99" s="23" cm="1">
        <f t="array" ref="M99">STDEVP(IF(FMECA[HazardRisk_name]=Table3[[#This Row],[HazardRisk_name]],FMECA[Score]))</f>
        <v>0</v>
      </c>
      <c r="N99" s="15">
        <f>COUNTIFS(FMECA_data!P:P, "Theoretical", FMECA_data!I:I,Table3[[#This Row],[HazardRisk_name]])</f>
        <v>0</v>
      </c>
      <c r="O99" s="15">
        <f>COUNTIFS(FMECA_data!P:P, "Observational", FMECA_data!I:I,Table3[[#This Row],[HazardRisk_name]])</f>
        <v>0</v>
      </c>
      <c r="P99" s="15">
        <f>COUNTIFS(FMECA_data!P:P, "Hybrid", FMECA_data!I:I,Table3[[#This Row],[HazardRisk_name]])</f>
        <v>1</v>
      </c>
      <c r="Q99" s="15">
        <f>COUNTIFS(FMECA_data!P:P, "Modelling", FMECA_data!I:I,Table3[[#This Row],[HazardRisk_name]])</f>
        <v>0</v>
      </c>
      <c r="R99" s="23">
        <f>COUNTIFS(FMECA[data_deficient], "Yes",FMECA[HazardRisk_name],Table3[[#This Row],[HazardRisk_name]])</f>
        <v>0</v>
      </c>
      <c r="S99" s="23">
        <f>(COUNTIFS(FMECA[availability], "Yes",FMECA[HazardRisk_name],Table3[[#This Row],[HazardRisk_name]])) + (COUNTIFS(FMECA[availability], "Available",FMECA[HazardRisk_name],Table3[[#This Row],[HazardRisk_name]]))</f>
        <v>0</v>
      </c>
      <c r="T99" s="23">
        <f>COUNTIFS(FMECA[RR], "VERY HIGH",FMECA[HazardRisk_name],Table3[[#This Row],[HazardRisk_name]])</f>
        <v>0</v>
      </c>
      <c r="U99" s="22">
        <f>Table3[[#This Row],[vh_count]]/Table3[[#This Row],[risk_counts]]</f>
        <v>0</v>
      </c>
      <c r="V99" s="23">
        <f>COUNTIFS(FMECA[RR], "HIGH",FMECA[HazardRisk_name],Table3[[#This Row],[HazardRisk_name]])</f>
        <v>0</v>
      </c>
      <c r="W99" s="22">
        <f>Table3[[#This Row],[h_count]]/Table3[[#This Row],[risk_counts]]</f>
        <v>0</v>
      </c>
      <c r="X99" s="23">
        <f>COUNTIFS(FMECA[RR], "MODERATE",FMECA[HazardRisk_name],Table3[[#This Row],[HazardRisk_name]])</f>
        <v>0</v>
      </c>
      <c r="Y99" s="22">
        <f>Table3[[#This Row],[m_count]]/Table3[[#This Row],[risk_counts]]</f>
        <v>0</v>
      </c>
      <c r="Z99" s="23">
        <f>COUNTIFS(FMECA[RR], "UNDETECTABLE",FMECA[HazardRisk_name],Table3[[#This Row],[HazardRisk_name]])</f>
        <v>1</v>
      </c>
      <c r="AA99" s="22">
        <f>Table3[[#This Row],[l_count]]/Table3[[#This Row],[risk_counts]]</f>
        <v>1</v>
      </c>
      <c r="AI99" s="16" t="str">
        <f>VLOOKUP(Table3[[#This Row],[HazardRisk_id]], categories[], 4, FALSE)</f>
        <v>Hazard</v>
      </c>
      <c r="AJ99" s="16">
        <f>(COUNTIFS(FMECA[availability], "Unknown",FMECA[HazardRisk_name],Table3[[#This Row],[HazardRisk_name]]))</f>
        <v>1</v>
      </c>
    </row>
    <row r="100" spans="1:36" ht="34" x14ac:dyDescent="0.2">
      <c r="A100" s="16" t="s">
        <v>2671</v>
      </c>
      <c r="B100" s="13" t="str">
        <f>VLOOKUP(Table3[[#This Row],[HazardRisk_id]], categories[], 5, FALSE)</f>
        <v>Pollutants</v>
      </c>
      <c r="C100" s="14" t="str">
        <f>VLOOKUP(Table3[[#This Row],[HazardRisk_id]], categories[], 2, FALSE)</f>
        <v>Chemical pollution due to spills</v>
      </c>
      <c r="D100" s="15" t="str">
        <f>VLOOKUP(Table3[[#This Row],[HazardRisk_id]], categories[], 3, FALSE)</f>
        <v>Chemicals are sent overboard as a result of an oil spill and/or collision, causing a dynamic relationship between oil and sediment.</v>
      </c>
      <c r="E100" s="15">
        <f>COUNTIFS(FMECA[HazardRisk_name],Table3[[#This Row],[HazardRisk_name]])</f>
        <v>3</v>
      </c>
      <c r="F100" s="15">
        <f>SUMIFS(FMECA[probability_value], FMECA[HazardRisk_name], Table3[[#This Row],[HazardRisk_name]])</f>
        <v>8</v>
      </c>
      <c r="G100" s="15">
        <f>AVERAGEIFS(FMECA[probability_value],FMECA[HazardRisk_name],Table3[[#This Row],[HazardRisk_name]])</f>
        <v>2.6666666666666665</v>
      </c>
      <c r="H100" s="15" cm="1">
        <f t="array" ref="H100">STDEVP(IF(FMECA[HazardRisk_name]=Table3[[#This Row],[HazardRisk_name]],FMECA[probability_value]))</f>
        <v>0.94280904158206336</v>
      </c>
      <c r="I100" s="15">
        <f>SUMIFS(FMECA[consequence_value], FMECA[HazardRisk_name], Table3[[#This Row],[HazardRisk_name]])</f>
        <v>24</v>
      </c>
      <c r="J100" s="15">
        <f>AVERAGEIFS(FMECA[consequence_value],FMECA[HazardRisk_name],Table3[[#This Row],[HazardRisk_name]])</f>
        <v>8</v>
      </c>
      <c r="K100" s="15" cm="1">
        <f t="array" ref="K100">STDEVP(IF(FMECA[HazardRisk_name]=Table3[[#This Row],[HazardRisk_name]],FMECA[consequence_value]))</f>
        <v>1.4142135623730951</v>
      </c>
      <c r="L100" s="23">
        <f>AVERAGEIFS(FMECA[Score],FMECA[HazardRisk_name],Table3[[#This Row],[HazardRisk_name]])</f>
        <v>20.666666666666668</v>
      </c>
      <c r="M100" s="23" cm="1">
        <f t="array" ref="M100">STDEVP(IF(FMECA[HazardRisk_name]=Table3[[#This Row],[HazardRisk_name]],FMECA[Score]))</f>
        <v>5.7348835113617511</v>
      </c>
      <c r="N100" s="15">
        <f>COUNTIFS(FMECA_data!P:P, "Theoretical", FMECA_data!I:I,Table3[[#This Row],[HazardRisk_name]])</f>
        <v>0</v>
      </c>
      <c r="O100" s="15">
        <f>COUNTIFS(FMECA_data!P:P, "Observational", FMECA_data!I:I,Table3[[#This Row],[HazardRisk_name]])</f>
        <v>1</v>
      </c>
      <c r="P100" s="15">
        <f>COUNTIFS(FMECA_data!P:P, "Hybrid", FMECA_data!I:I,Table3[[#This Row],[HazardRisk_name]])</f>
        <v>0</v>
      </c>
      <c r="Q100" s="15">
        <f>COUNTIFS(FMECA_data!P:P, "Modelling", FMECA_data!I:I,Table3[[#This Row],[HazardRisk_name]])</f>
        <v>2</v>
      </c>
      <c r="R100" s="23">
        <f>COUNTIFS(FMECA[data_deficient], "Yes",FMECA[HazardRisk_name],Table3[[#This Row],[HazardRisk_name]])</f>
        <v>1</v>
      </c>
      <c r="S100" s="23">
        <f>(COUNTIFS(FMECA[availability], "Yes",FMECA[HazardRisk_name],Table3[[#This Row],[HazardRisk_name]])) + (COUNTIFS(FMECA[availability], "Available",FMECA[HazardRisk_name],Table3[[#This Row],[HazardRisk_name]]))</f>
        <v>2</v>
      </c>
      <c r="T100" s="23">
        <f>COUNTIFS(FMECA[RR], "VERY HIGH",FMECA[HazardRisk_name],Table3[[#This Row],[HazardRisk_name]])</f>
        <v>0</v>
      </c>
      <c r="U100" s="22">
        <f>Table3[[#This Row],[vh_count]]/Table3[[#This Row],[risk_counts]]</f>
        <v>0</v>
      </c>
      <c r="V100" s="23">
        <f>COUNTIFS(FMECA[RR], "HIGH",FMECA[HazardRisk_name],Table3[[#This Row],[HazardRisk_name]])</f>
        <v>1</v>
      </c>
      <c r="W100" s="22">
        <f>Table3[[#This Row],[h_count]]/Table3[[#This Row],[risk_counts]]</f>
        <v>0.33333333333333331</v>
      </c>
      <c r="X100" s="23">
        <f>COUNTIFS(FMECA[RR], "MODERATE",FMECA[HazardRisk_name],Table3[[#This Row],[HazardRisk_name]])</f>
        <v>2</v>
      </c>
      <c r="Y100" s="22">
        <f>Table3[[#This Row],[m_count]]/Table3[[#This Row],[risk_counts]]</f>
        <v>0.66666666666666663</v>
      </c>
      <c r="Z100" s="23">
        <f>COUNTIFS(FMECA[RR], "UNDETECTABLE",FMECA[HazardRisk_name],Table3[[#This Row],[HazardRisk_name]])</f>
        <v>0</v>
      </c>
      <c r="AA100" s="22">
        <f>Table3[[#This Row],[l_count]]/Table3[[#This Row],[risk_counts]]</f>
        <v>0</v>
      </c>
      <c r="AI100" s="16" t="str">
        <f>VLOOKUP(Table3[[#This Row],[HazardRisk_id]], categories[], 4, FALSE)</f>
        <v>Hazard</v>
      </c>
      <c r="AJ100" s="16">
        <f>(COUNTIFS(FMECA[availability], "Unknown",FMECA[HazardRisk_name],Table3[[#This Row],[HazardRisk_name]]))</f>
        <v>1</v>
      </c>
    </row>
    <row r="101" spans="1:36" ht="34" x14ac:dyDescent="0.2">
      <c r="A101" s="16" t="s">
        <v>2672</v>
      </c>
      <c r="B101" s="13" t="str">
        <f>VLOOKUP(Table3[[#This Row],[HazardRisk_id]], categories[], 5, FALSE)</f>
        <v>Environmental</v>
      </c>
      <c r="C101" s="14" t="str">
        <f>VLOOKUP(Table3[[#This Row],[HazardRisk_id]], categories[], 2, FALSE)</f>
        <v>Climate flucuation</v>
      </c>
      <c r="D101" s="15" t="str">
        <f>VLOOKUP(Table3[[#This Row],[HazardRisk_id]], categories[], 3, FALSE)</f>
        <v>Due to the rapid changing cliamte, the weather has become difficult to predict, causing a flucuation in climate prediction models.</v>
      </c>
      <c r="E101" s="15">
        <f>COUNTIFS(FMECA[HazardRisk_name],Table3[[#This Row],[HazardRisk_name]])</f>
        <v>7</v>
      </c>
      <c r="F101" s="15">
        <f>SUMIFS(FMECA[probability_value], FMECA[HazardRisk_name], Table3[[#This Row],[HazardRisk_name]])</f>
        <v>30</v>
      </c>
      <c r="G101" s="15">
        <f>AVERAGEIFS(FMECA[probability_value],FMECA[HazardRisk_name],Table3[[#This Row],[HazardRisk_name]])</f>
        <v>4.2857142857142856</v>
      </c>
      <c r="H101" s="15" cm="1">
        <f t="array" ref="H101">STDEVP(IF(FMECA[HazardRisk_name]=Table3[[#This Row],[HazardRisk_name]],FMECA[probability_value]))</f>
        <v>0.88063057185271088</v>
      </c>
      <c r="I101" s="15">
        <f>SUMIFS(FMECA[consequence_value], FMECA[HazardRisk_name], Table3[[#This Row],[HazardRisk_name]])</f>
        <v>46</v>
      </c>
      <c r="J101" s="15">
        <f>AVERAGEIFS(FMECA[consequence_value],FMECA[HazardRisk_name],Table3[[#This Row],[HazardRisk_name]])</f>
        <v>6.5714285714285712</v>
      </c>
      <c r="K101" s="15" cm="1">
        <f t="array" ref="K101">STDEVP(IF(FMECA[HazardRisk_name]=Table3[[#This Row],[HazardRisk_name]],FMECA[consequence_value]))</f>
        <v>1.9166296949998198</v>
      </c>
      <c r="L101" s="23">
        <f>AVERAGEIFS(FMECA[Score],FMECA[HazardRisk_name],Table3[[#This Row],[HazardRisk_name]])</f>
        <v>28.285714285714285</v>
      </c>
      <c r="M101" s="23" cm="1">
        <f t="array" ref="M101">STDEVP(IF(FMECA[HazardRisk_name]=Table3[[#This Row],[HazardRisk_name]],FMECA[Score]))</f>
        <v>9.2537912804009412</v>
      </c>
      <c r="N101" s="15">
        <f>COUNTIFS(FMECA_data!P:P, "Theoretical", FMECA_data!I:I,Table3[[#This Row],[HazardRisk_name]])</f>
        <v>1</v>
      </c>
      <c r="O101" s="15">
        <f>COUNTIFS(FMECA_data!P:P, "Observational", FMECA_data!I:I,Table3[[#This Row],[HazardRisk_name]])</f>
        <v>4</v>
      </c>
      <c r="P101" s="15">
        <f>COUNTIFS(FMECA_data!P:P, "Hybrid", FMECA_data!I:I,Table3[[#This Row],[HazardRisk_name]])</f>
        <v>1</v>
      </c>
      <c r="Q101" s="15">
        <f>COUNTIFS(FMECA_data!P:P, "Modelling", FMECA_data!I:I,Table3[[#This Row],[HazardRisk_name]])</f>
        <v>1</v>
      </c>
      <c r="R101" s="23">
        <f>COUNTIFS(FMECA[data_deficient], "Yes",FMECA[HazardRisk_name],Table3[[#This Row],[HazardRisk_name]])</f>
        <v>0</v>
      </c>
      <c r="S101" s="23">
        <f>(COUNTIFS(FMECA[availability], "Yes",FMECA[HazardRisk_name],Table3[[#This Row],[HazardRisk_name]])) + (COUNTIFS(FMECA[availability], "Available",FMECA[HazardRisk_name],Table3[[#This Row],[HazardRisk_name]]))</f>
        <v>3</v>
      </c>
      <c r="T101" s="23">
        <f>COUNTIFS(FMECA[RR], "VERY HIGH",FMECA[HazardRisk_name],Table3[[#This Row],[HazardRisk_name]])</f>
        <v>0</v>
      </c>
      <c r="U101" s="22">
        <f>Table3[[#This Row],[vh_count]]/Table3[[#This Row],[risk_counts]]</f>
        <v>0</v>
      </c>
      <c r="V101" s="23">
        <f>COUNTIFS(FMECA[RR], "HIGH",FMECA[HazardRisk_name],Table3[[#This Row],[HazardRisk_name]])</f>
        <v>5</v>
      </c>
      <c r="W101" s="22">
        <f>Table3[[#This Row],[h_count]]/Table3[[#This Row],[risk_counts]]</f>
        <v>0.7142857142857143</v>
      </c>
      <c r="X101" s="23">
        <f>COUNTIFS(FMECA[RR], "MODERATE",FMECA[HazardRisk_name],Table3[[#This Row],[HazardRisk_name]])</f>
        <v>2</v>
      </c>
      <c r="Y101" s="22">
        <f>Table3[[#This Row],[m_count]]/Table3[[#This Row],[risk_counts]]</f>
        <v>0.2857142857142857</v>
      </c>
      <c r="Z101" s="23">
        <f>COUNTIFS(FMECA[RR], "UNDETECTABLE",FMECA[HazardRisk_name],Table3[[#This Row],[HazardRisk_name]])</f>
        <v>0</v>
      </c>
      <c r="AA101" s="22">
        <f>Table3[[#This Row],[l_count]]/Table3[[#This Row],[risk_counts]]</f>
        <v>0</v>
      </c>
      <c r="AI101" s="16" t="str">
        <f>VLOOKUP(Table3[[#This Row],[HazardRisk_id]], categories[], 4, FALSE)</f>
        <v>Hazard</v>
      </c>
      <c r="AJ101" s="16">
        <f>(COUNTIFS(FMECA[availability], "Unknown",FMECA[HazardRisk_name],Table3[[#This Row],[HazardRisk_name]]))</f>
        <v>3</v>
      </c>
    </row>
    <row r="102" spans="1:36" ht="51" x14ac:dyDescent="0.2">
      <c r="A102" s="16" t="s">
        <v>2673</v>
      </c>
      <c r="B102" s="13" t="str">
        <f>VLOOKUP(Table3[[#This Row],[HazardRisk_id]], categories[], 5, FALSE)</f>
        <v>Environmental</v>
      </c>
      <c r="C102" s="14" t="str">
        <f>VLOOKUP(Table3[[#This Row],[HazardRisk_id]], categories[], 2, FALSE)</f>
        <v>Climate impacts</v>
      </c>
      <c r="D102" s="15" t="str">
        <f>VLOOKUP(Table3[[#This Row],[HazardRisk_id]], categories[], 3, FALSE)</f>
        <v>The uncertainty and variablity of climate change within processes such as sea ice decline, ecological systems, and weather patterns increase the navacability during travel.</v>
      </c>
      <c r="E102" s="15">
        <f>COUNTIFS(FMECA[HazardRisk_name],Table3[[#This Row],[HazardRisk_name]])</f>
        <v>3</v>
      </c>
      <c r="F102" s="15">
        <f>SUMIFS(FMECA[probability_value], FMECA[HazardRisk_name], Table3[[#This Row],[HazardRisk_name]])</f>
        <v>11</v>
      </c>
      <c r="G102" s="15">
        <f>AVERAGEIFS(FMECA[probability_value],FMECA[HazardRisk_name],Table3[[#This Row],[HazardRisk_name]])</f>
        <v>3.6666666666666665</v>
      </c>
      <c r="H102" s="15" cm="1">
        <f t="array" ref="H102">STDEVP(IF(FMECA[HazardRisk_name]=Table3[[#This Row],[HazardRisk_name]],FMECA[probability_value]))</f>
        <v>0.47140452079103168</v>
      </c>
      <c r="I102" s="15">
        <f>SUMIFS(FMECA[consequence_value], FMECA[HazardRisk_name], Table3[[#This Row],[HazardRisk_name]])</f>
        <v>21</v>
      </c>
      <c r="J102" s="15">
        <f>AVERAGEIFS(FMECA[consequence_value],FMECA[HazardRisk_name],Table3[[#This Row],[HazardRisk_name]])</f>
        <v>7</v>
      </c>
      <c r="K102" s="15" cm="1">
        <f t="array" ref="K102">STDEVP(IF(FMECA[HazardRisk_name]=Table3[[#This Row],[HazardRisk_name]],FMECA[consequence_value]))</f>
        <v>2.4494897427831779</v>
      </c>
      <c r="L102" s="23">
        <f>AVERAGEIFS(FMECA[Score],FMECA[HazardRisk_name],Table3[[#This Row],[HazardRisk_name]])</f>
        <v>26.666666666666668</v>
      </c>
      <c r="M102" s="23" cm="1">
        <f t="array" ref="M102">STDEVP(IF(FMECA[HazardRisk_name]=Table3[[#This Row],[HazardRisk_name]],FMECA[Score]))</f>
        <v>11.469767022723502</v>
      </c>
      <c r="N102" s="15">
        <f>COUNTIFS(FMECA_data!P:P, "Theoretical", FMECA_data!I:I,Table3[[#This Row],[HazardRisk_name]])</f>
        <v>1</v>
      </c>
      <c r="O102" s="15">
        <f>COUNTIFS(FMECA_data!P:P, "Observational", FMECA_data!I:I,Table3[[#This Row],[HazardRisk_name]])</f>
        <v>1</v>
      </c>
      <c r="P102" s="15">
        <f>COUNTIFS(FMECA_data!P:P, "Hybrid", FMECA_data!I:I,Table3[[#This Row],[HazardRisk_name]])</f>
        <v>1</v>
      </c>
      <c r="Q102" s="15">
        <f>COUNTIFS(FMECA_data!P:P, "Modelling", FMECA_data!I:I,Table3[[#This Row],[HazardRisk_name]])</f>
        <v>0</v>
      </c>
      <c r="R102" s="23">
        <f>COUNTIFS(FMECA[data_deficient], "Yes",FMECA[HazardRisk_name],Table3[[#This Row],[HazardRisk_name]])</f>
        <v>0</v>
      </c>
      <c r="S102" s="23">
        <f>(COUNTIFS(FMECA[availability], "Yes",FMECA[HazardRisk_name],Table3[[#This Row],[HazardRisk_name]])) + (COUNTIFS(FMECA[availability], "Available",FMECA[HazardRisk_name],Table3[[#This Row],[HazardRisk_name]]))</f>
        <v>1</v>
      </c>
      <c r="T102" s="23">
        <f>COUNTIFS(FMECA[RR], "VERY HIGH",FMECA[HazardRisk_name],Table3[[#This Row],[HazardRisk_name]])</f>
        <v>1</v>
      </c>
      <c r="U102" s="22">
        <f>Table3[[#This Row],[vh_count]]/Table3[[#This Row],[risk_counts]]</f>
        <v>0.33333333333333331</v>
      </c>
      <c r="V102" s="23">
        <f>COUNTIFS(FMECA[RR], "HIGH",FMECA[HazardRisk_name],Table3[[#This Row],[HazardRisk_name]])</f>
        <v>1</v>
      </c>
      <c r="W102" s="22">
        <f>Table3[[#This Row],[h_count]]/Table3[[#This Row],[risk_counts]]</f>
        <v>0.33333333333333331</v>
      </c>
      <c r="X102" s="23">
        <f>COUNTIFS(FMECA[RR], "MODERATE",FMECA[HazardRisk_name],Table3[[#This Row],[HazardRisk_name]])</f>
        <v>1</v>
      </c>
      <c r="Y102" s="22">
        <f>Table3[[#This Row],[m_count]]/Table3[[#This Row],[risk_counts]]</f>
        <v>0.33333333333333331</v>
      </c>
      <c r="Z102" s="23">
        <f>COUNTIFS(FMECA[RR], "UNDETECTABLE",FMECA[HazardRisk_name],Table3[[#This Row],[HazardRisk_name]])</f>
        <v>0</v>
      </c>
      <c r="AA102" s="22">
        <f>Table3[[#This Row],[l_count]]/Table3[[#This Row],[risk_counts]]</f>
        <v>0</v>
      </c>
      <c r="AI102" s="16" t="str">
        <f>VLOOKUP(Table3[[#This Row],[HazardRisk_id]], categories[], 4, FALSE)</f>
        <v>Hazard</v>
      </c>
      <c r="AJ102" s="16">
        <f>(COUNTIFS(FMECA[availability], "Unknown",FMECA[HazardRisk_name],Table3[[#This Row],[HazardRisk_name]]))</f>
        <v>2</v>
      </c>
    </row>
    <row r="103" spans="1:36" ht="51" x14ac:dyDescent="0.2">
      <c r="A103" s="16" t="s">
        <v>2674</v>
      </c>
      <c r="B103" s="13" t="str">
        <f>VLOOKUP(Table3[[#This Row],[HazardRisk_id]], categories[], 5, FALSE)</f>
        <v>Human</v>
      </c>
      <c r="C103" s="14" t="str">
        <f>VLOOKUP(Table3[[#This Row],[HazardRisk_id]], categories[], 2, FALSE)</f>
        <v>Crew fatigue</v>
      </c>
      <c r="D103" s="15" t="str">
        <f>VLOOKUP(Table3[[#This Row],[HazardRisk_id]], categories[], 3, FALSE)</f>
        <v>Reduced mental and/or physical performance of crew member(s) due to sleep loss, exteneded periods of wakefulness, or increased workload impede on facilitating safe working conditions.</v>
      </c>
      <c r="E103" s="15">
        <f>COUNTIFS(FMECA[HazardRisk_name],Table3[[#This Row],[HazardRisk_name]])</f>
        <v>1</v>
      </c>
      <c r="F103" s="15">
        <f>SUMIFS(FMECA[probability_value], FMECA[HazardRisk_name], Table3[[#This Row],[HazardRisk_name]])</f>
        <v>2</v>
      </c>
      <c r="G103" s="15">
        <f>AVERAGEIFS(FMECA[probability_value],FMECA[HazardRisk_name],Table3[[#This Row],[HazardRisk_name]])</f>
        <v>2</v>
      </c>
      <c r="H103" s="15" cm="1">
        <f t="array" ref="H103">STDEVP(IF(FMECA[HazardRisk_name]=Table3[[#This Row],[HazardRisk_name]],FMECA[probability_value]))</f>
        <v>0</v>
      </c>
      <c r="I103" s="15">
        <f>SUMIFS(FMECA[consequence_value], FMECA[HazardRisk_name], Table3[[#This Row],[HazardRisk_name]])</f>
        <v>7</v>
      </c>
      <c r="J103" s="15">
        <f>AVERAGEIFS(FMECA[consequence_value],FMECA[HazardRisk_name],Table3[[#This Row],[HazardRisk_name]])</f>
        <v>7</v>
      </c>
      <c r="K103" s="15" cm="1">
        <f t="array" ref="K103">STDEVP(IF(FMECA[HazardRisk_name]=Table3[[#This Row],[HazardRisk_name]],FMECA[consequence_value]))</f>
        <v>0</v>
      </c>
      <c r="L103" s="23">
        <f>AVERAGEIFS(FMECA[Score],FMECA[HazardRisk_name],Table3[[#This Row],[HazardRisk_name]])</f>
        <v>14</v>
      </c>
      <c r="M103" s="23" cm="1">
        <f t="array" ref="M103">STDEVP(IF(FMECA[HazardRisk_name]=Table3[[#This Row],[HazardRisk_name]],FMECA[Score]))</f>
        <v>0</v>
      </c>
      <c r="N103" s="15">
        <f>COUNTIFS(FMECA_data!P:P, "Theoretical", FMECA_data!I:I,Table3[[#This Row],[HazardRisk_name]])</f>
        <v>0</v>
      </c>
      <c r="O103" s="15">
        <f>COUNTIFS(FMECA_data!P:P, "Observational", FMECA_data!I:I,Table3[[#This Row],[HazardRisk_name]])</f>
        <v>0</v>
      </c>
      <c r="P103" s="15">
        <f>COUNTIFS(FMECA_data!P:P, "Hybrid", FMECA_data!I:I,Table3[[#This Row],[HazardRisk_name]])</f>
        <v>1</v>
      </c>
      <c r="Q103" s="15">
        <f>COUNTIFS(FMECA_data!P:P, "Modelling", FMECA_data!I:I,Table3[[#This Row],[HazardRisk_name]])</f>
        <v>0</v>
      </c>
      <c r="R103" s="23">
        <f>COUNTIFS(FMECA[data_deficient], "Yes",FMECA[HazardRisk_name],Table3[[#This Row],[HazardRisk_name]])</f>
        <v>0</v>
      </c>
      <c r="S103" s="23">
        <f>(COUNTIFS(FMECA[availability], "Yes",FMECA[HazardRisk_name],Table3[[#This Row],[HazardRisk_name]])) + (COUNTIFS(FMECA[availability], "Available",FMECA[HazardRisk_name],Table3[[#This Row],[HazardRisk_name]]))</f>
        <v>0</v>
      </c>
      <c r="T103" s="23">
        <f>COUNTIFS(FMECA[RR], "VERY HIGH",FMECA[HazardRisk_name],Table3[[#This Row],[HazardRisk_name]])</f>
        <v>0</v>
      </c>
      <c r="U103" s="22">
        <f>Table3[[#This Row],[vh_count]]/Table3[[#This Row],[risk_counts]]</f>
        <v>0</v>
      </c>
      <c r="V103" s="23">
        <f>COUNTIFS(FMECA[RR], "HIGH",FMECA[HazardRisk_name],Table3[[#This Row],[HazardRisk_name]])</f>
        <v>0</v>
      </c>
      <c r="W103" s="22">
        <f>Table3[[#This Row],[h_count]]/Table3[[#This Row],[risk_counts]]</f>
        <v>0</v>
      </c>
      <c r="X103" s="23">
        <f>COUNTIFS(FMECA[RR], "MODERATE",FMECA[HazardRisk_name],Table3[[#This Row],[HazardRisk_name]])</f>
        <v>1</v>
      </c>
      <c r="Y103" s="22">
        <f>Table3[[#This Row],[m_count]]/Table3[[#This Row],[risk_counts]]</f>
        <v>1</v>
      </c>
      <c r="Z103" s="23">
        <f>COUNTIFS(FMECA[RR], "UNDETECTABLE",FMECA[HazardRisk_name],Table3[[#This Row],[HazardRisk_name]])</f>
        <v>0</v>
      </c>
      <c r="AA103" s="22">
        <f>Table3[[#This Row],[l_count]]/Table3[[#This Row],[risk_counts]]</f>
        <v>0</v>
      </c>
      <c r="AI103" s="16" t="str">
        <f>VLOOKUP(Table3[[#This Row],[HazardRisk_id]], categories[], 4, FALSE)</f>
        <v>Hazard</v>
      </c>
      <c r="AJ103" s="16">
        <f>(COUNTIFS(FMECA[availability], "Unknown",FMECA[HazardRisk_name],Table3[[#This Row],[HazardRisk_name]]))</f>
        <v>1</v>
      </c>
    </row>
    <row r="104" spans="1:36" ht="34" x14ac:dyDescent="0.2">
      <c r="A104" s="16" t="s">
        <v>2675</v>
      </c>
      <c r="B104" s="13" t="str">
        <f>VLOOKUP(Table3[[#This Row],[HazardRisk_id]], categories[], 5, FALSE)</f>
        <v>Operational</v>
      </c>
      <c r="C104" s="14" t="str">
        <f>VLOOKUP(Table3[[#This Row],[HazardRisk_id]], categories[], 2, FALSE)</f>
        <v>Crew inexperience</v>
      </c>
      <c r="D104" s="15" t="str">
        <f>VLOOKUP(Table3[[#This Row],[HazardRisk_id]], categories[], 3, FALSE)</f>
        <v>Vessels are manned with insufficiently trained and experienced employees, being forced to operate in harsh conditions whist being focused for long periods of time.</v>
      </c>
      <c r="E104" s="15">
        <f>COUNTIFS(FMECA[HazardRisk_name],Table3[[#This Row],[HazardRisk_name]])</f>
        <v>7</v>
      </c>
      <c r="F104" s="15">
        <f>SUMIFS(FMECA[probability_value], FMECA[HazardRisk_name], Table3[[#This Row],[HazardRisk_name]])</f>
        <v>28</v>
      </c>
      <c r="G104" s="15">
        <f>AVERAGEIFS(FMECA[probability_value],FMECA[HazardRisk_name],Table3[[#This Row],[HazardRisk_name]])</f>
        <v>4</v>
      </c>
      <c r="H104" s="15" cm="1">
        <f t="array" ref="H104">STDEVP(IF(FMECA[HazardRisk_name]=Table3[[#This Row],[HazardRisk_name]],FMECA[probability_value]))</f>
        <v>0.53452248382484879</v>
      </c>
      <c r="I104" s="15">
        <f>SUMIFS(FMECA[consequence_value], FMECA[HazardRisk_name], Table3[[#This Row],[HazardRisk_name]])</f>
        <v>43</v>
      </c>
      <c r="J104" s="15">
        <f>AVERAGEIFS(FMECA[consequence_value],FMECA[HazardRisk_name],Table3[[#This Row],[HazardRisk_name]])</f>
        <v>6.1428571428571432</v>
      </c>
      <c r="K104" s="15" cm="1">
        <f t="array" ref="K104">STDEVP(IF(FMECA[HazardRisk_name]=Table3[[#This Row],[HazardRisk_name]],FMECA[consequence_value]))</f>
        <v>2.0995626366712954</v>
      </c>
      <c r="L104" s="23">
        <f>AVERAGEIFS(FMECA[Score],FMECA[HazardRisk_name],Table3[[#This Row],[HazardRisk_name]])</f>
        <v>24.571428571428573</v>
      </c>
      <c r="M104" s="23" cm="1">
        <f t="array" ref="M104">STDEVP(IF(FMECA[HazardRisk_name]=Table3[[#This Row],[HazardRisk_name]],FMECA[Score]))</f>
        <v>9.1940530912594767</v>
      </c>
      <c r="N104" s="15">
        <f>COUNTIFS(FMECA_data!P:P, "Theoretical", FMECA_data!I:I,Table3[[#This Row],[HazardRisk_name]])</f>
        <v>1</v>
      </c>
      <c r="O104" s="15">
        <f>COUNTIFS(FMECA_data!P:P, "Observational", FMECA_data!I:I,Table3[[#This Row],[HazardRisk_name]])</f>
        <v>3</v>
      </c>
      <c r="P104" s="15">
        <f>COUNTIFS(FMECA_data!P:P, "Hybrid", FMECA_data!I:I,Table3[[#This Row],[HazardRisk_name]])</f>
        <v>3</v>
      </c>
      <c r="Q104" s="15">
        <f>COUNTIFS(FMECA_data!P:P, "Modelling", FMECA_data!I:I,Table3[[#This Row],[HazardRisk_name]])</f>
        <v>0</v>
      </c>
      <c r="R104" s="23">
        <f>COUNTIFS(FMECA[data_deficient], "Yes",FMECA[HazardRisk_name],Table3[[#This Row],[HazardRisk_name]])</f>
        <v>0</v>
      </c>
      <c r="S104" s="23">
        <f>(COUNTIFS(FMECA[availability], "Yes",FMECA[HazardRisk_name],Table3[[#This Row],[HazardRisk_name]])) + (COUNTIFS(FMECA[availability], "Available",FMECA[HazardRisk_name],Table3[[#This Row],[HazardRisk_name]]))</f>
        <v>3</v>
      </c>
      <c r="T104" s="23">
        <f>COUNTIFS(FMECA[RR], "VERY HIGH",FMECA[HazardRisk_name],Table3[[#This Row],[HazardRisk_name]])</f>
        <v>1</v>
      </c>
      <c r="U104" s="22">
        <f>Table3[[#This Row],[vh_count]]/Table3[[#This Row],[risk_counts]]</f>
        <v>0.14285714285714285</v>
      </c>
      <c r="V104" s="23">
        <f>COUNTIFS(FMECA[RR], "HIGH",FMECA[HazardRisk_name],Table3[[#This Row],[HazardRisk_name]])</f>
        <v>2</v>
      </c>
      <c r="W104" s="22">
        <f>Table3[[#This Row],[h_count]]/Table3[[#This Row],[risk_counts]]</f>
        <v>0.2857142857142857</v>
      </c>
      <c r="X104" s="23">
        <f>COUNTIFS(FMECA[RR], "MODERATE",FMECA[HazardRisk_name],Table3[[#This Row],[HazardRisk_name]])</f>
        <v>4</v>
      </c>
      <c r="Y104" s="22">
        <f>Table3[[#This Row],[m_count]]/Table3[[#This Row],[risk_counts]]</f>
        <v>0.5714285714285714</v>
      </c>
      <c r="Z104" s="23">
        <f>COUNTIFS(FMECA[RR], "UNDETECTABLE",FMECA[HazardRisk_name],Table3[[#This Row],[HazardRisk_name]])</f>
        <v>0</v>
      </c>
      <c r="AA104" s="22">
        <f>Table3[[#This Row],[l_count]]/Table3[[#This Row],[risk_counts]]</f>
        <v>0</v>
      </c>
      <c r="AI104" s="16" t="str">
        <f>VLOOKUP(Table3[[#This Row],[HazardRisk_id]], categories[], 4, FALSE)</f>
        <v>Hazard</v>
      </c>
      <c r="AJ104" s="16">
        <f>(COUNTIFS(FMECA[availability], "Unknown",FMECA[HazardRisk_name],Table3[[#This Row],[HazardRisk_name]]))</f>
        <v>3</v>
      </c>
    </row>
    <row r="105" spans="1:36" ht="51" x14ac:dyDescent="0.2">
      <c r="A105" s="16" t="s">
        <v>2676</v>
      </c>
      <c r="B105" s="13" t="str">
        <f>VLOOKUP(Table3[[#This Row],[HazardRisk_id]], categories[], 5, FALSE)</f>
        <v>Technological</v>
      </c>
      <c r="C105" s="14" t="str">
        <f>VLOOKUP(Table3[[#This Row],[HazardRisk_id]], categories[], 2, FALSE)</f>
        <v>Engine failure</v>
      </c>
      <c r="D105" s="15" t="str">
        <f>VLOOKUP(Table3[[#This Row],[HazardRisk_id]], categories[], 3, FALSE)</f>
        <v>The failure of a vessels engine's electrical, fuel delivery, emissions control, or any other mechanical parts or systems that aid in the engine being able to function normally.</v>
      </c>
      <c r="E105" s="15">
        <f>COUNTIFS(FMECA[HazardRisk_name],Table3[[#This Row],[HazardRisk_name]])</f>
        <v>4</v>
      </c>
      <c r="F105" s="15">
        <f>SUMIFS(FMECA[probability_value], FMECA[HazardRisk_name], Table3[[#This Row],[HazardRisk_name]])</f>
        <v>10</v>
      </c>
      <c r="G105" s="15">
        <f>AVERAGEIFS(FMECA[probability_value],FMECA[HazardRisk_name],Table3[[#This Row],[HazardRisk_name]])</f>
        <v>2.5</v>
      </c>
      <c r="H105" s="15" cm="1">
        <f t="array" ref="H105">STDEVP(IF(FMECA[HazardRisk_name]=Table3[[#This Row],[HazardRisk_name]],FMECA[probability_value]))</f>
        <v>1.1180339887498949</v>
      </c>
      <c r="I105" s="15">
        <f>SUMIFS(FMECA[consequence_value], FMECA[HazardRisk_name], Table3[[#This Row],[HazardRisk_name]])</f>
        <v>25</v>
      </c>
      <c r="J105" s="15">
        <f>AVERAGEIFS(FMECA[consequence_value],FMECA[HazardRisk_name],Table3[[#This Row],[HazardRisk_name]])</f>
        <v>6.25</v>
      </c>
      <c r="K105" s="15" cm="1">
        <f t="array" ref="K105">STDEVP(IF(FMECA[HazardRisk_name]=Table3[[#This Row],[HazardRisk_name]],FMECA[consequence_value]))</f>
        <v>1.299038105676658</v>
      </c>
      <c r="L105" s="23">
        <f>AVERAGEIFS(FMECA[Score],FMECA[HazardRisk_name],Table3[[#This Row],[HazardRisk_name]])</f>
        <v>16.75</v>
      </c>
      <c r="M105" s="23" cm="1">
        <f t="array" ref="M105">STDEVP(IF(FMECA[HazardRisk_name]=Table3[[#This Row],[HazardRisk_name]],FMECA[Score]))</f>
        <v>8.8705974996050863</v>
      </c>
      <c r="N105" s="15">
        <f>COUNTIFS(FMECA_data!P:P, "Theoretical", FMECA_data!I:I,Table3[[#This Row],[HazardRisk_name]])</f>
        <v>0</v>
      </c>
      <c r="O105" s="15">
        <f>COUNTIFS(FMECA_data!P:P, "Observational", FMECA_data!I:I,Table3[[#This Row],[HazardRisk_name]])</f>
        <v>2</v>
      </c>
      <c r="P105" s="15">
        <f>COUNTIFS(FMECA_data!P:P, "Hybrid", FMECA_data!I:I,Table3[[#This Row],[HazardRisk_name]])</f>
        <v>1</v>
      </c>
      <c r="Q105" s="15">
        <f>COUNTIFS(FMECA_data!P:P, "Modelling", FMECA_data!I:I,Table3[[#This Row],[HazardRisk_name]])</f>
        <v>1</v>
      </c>
      <c r="R105" s="23">
        <f>COUNTIFS(FMECA[data_deficient], "Yes",FMECA[HazardRisk_name],Table3[[#This Row],[HazardRisk_name]])</f>
        <v>0</v>
      </c>
      <c r="S105" s="23">
        <f>(COUNTIFS(FMECA[availability], "Yes",FMECA[HazardRisk_name],Table3[[#This Row],[HazardRisk_name]])) + (COUNTIFS(FMECA[availability], "Available",FMECA[HazardRisk_name],Table3[[#This Row],[HazardRisk_name]]))</f>
        <v>1</v>
      </c>
      <c r="T105" s="23">
        <f>COUNTIFS(FMECA[RR], "VERY HIGH",FMECA[HazardRisk_name],Table3[[#This Row],[HazardRisk_name]])</f>
        <v>0</v>
      </c>
      <c r="U105" s="22">
        <f>Table3[[#This Row],[vh_count]]/Table3[[#This Row],[risk_counts]]</f>
        <v>0</v>
      </c>
      <c r="V105" s="23">
        <f>COUNTIFS(FMECA[RR], "HIGH",FMECA[HazardRisk_name],Table3[[#This Row],[HazardRisk_name]])</f>
        <v>1</v>
      </c>
      <c r="W105" s="22">
        <f>Table3[[#This Row],[h_count]]/Table3[[#This Row],[risk_counts]]</f>
        <v>0.25</v>
      </c>
      <c r="X105" s="23">
        <f>COUNTIFS(FMECA[RR], "MODERATE",FMECA[HazardRisk_name],Table3[[#This Row],[HazardRisk_name]])</f>
        <v>2</v>
      </c>
      <c r="Y105" s="22">
        <f>Table3[[#This Row],[m_count]]/Table3[[#This Row],[risk_counts]]</f>
        <v>0.5</v>
      </c>
      <c r="Z105" s="23">
        <f>COUNTIFS(FMECA[RR], "UNDETECTABLE",FMECA[HazardRisk_name],Table3[[#This Row],[HazardRisk_name]])</f>
        <v>1</v>
      </c>
      <c r="AA105" s="22">
        <f>Table3[[#This Row],[l_count]]/Table3[[#This Row],[risk_counts]]</f>
        <v>0.25</v>
      </c>
      <c r="AI105" s="16" t="str">
        <f>VLOOKUP(Table3[[#This Row],[HazardRisk_id]], categories[], 4, FALSE)</f>
        <v>Hazard</v>
      </c>
      <c r="AJ105" s="16">
        <f>(COUNTIFS(FMECA[availability], "Unknown",FMECA[HazardRisk_name],Table3[[#This Row],[HazardRisk_name]]))</f>
        <v>3</v>
      </c>
    </row>
    <row r="106" spans="1:36" ht="51" x14ac:dyDescent="0.2">
      <c r="A106" s="16" t="s">
        <v>2677</v>
      </c>
      <c r="B106" s="13" t="str">
        <f>VLOOKUP(Table3[[#This Row],[HazardRisk_id]], categories[], 5, FALSE)</f>
        <v>Operational</v>
      </c>
      <c r="C106" s="14" t="str">
        <f>VLOOKUP(Table3[[#This Row],[HazardRisk_id]], categories[], 2, FALSE)</f>
        <v>Excessive ice accumulation on vessels</v>
      </c>
      <c r="D106" s="15" t="str">
        <f>VLOOKUP(Table3[[#This Row],[HazardRisk_id]], categories[], 3, FALSE)</f>
        <v>Exsessive ice accumulation is the total amount of ice built up on a vessel's exterior surface, creating vulnerabilities of external vessel parts, systems, and features that aid the vessel functioning normally.</v>
      </c>
      <c r="E106" s="15">
        <f>COUNTIFS(FMECA[HazardRisk_name],Table3[[#This Row],[HazardRisk_name]])</f>
        <v>5</v>
      </c>
      <c r="F106" s="15">
        <f>SUMIFS(FMECA[probability_value], FMECA[HazardRisk_name], Table3[[#This Row],[HazardRisk_name]])</f>
        <v>19</v>
      </c>
      <c r="G106" s="15">
        <f>AVERAGEIFS(FMECA[probability_value],FMECA[HazardRisk_name],Table3[[#This Row],[HazardRisk_name]])</f>
        <v>3.8</v>
      </c>
      <c r="H106" s="15" cm="1">
        <f t="array" ref="H106">STDEVP(IF(FMECA[HazardRisk_name]=Table3[[#This Row],[HazardRisk_name]],FMECA[probability_value]))</f>
        <v>0.9797958971132712</v>
      </c>
      <c r="I106" s="15">
        <f>SUMIFS(FMECA[consequence_value], FMECA[HazardRisk_name], Table3[[#This Row],[HazardRisk_name]])</f>
        <v>26</v>
      </c>
      <c r="J106" s="15">
        <f>AVERAGEIFS(FMECA[consequence_value],FMECA[HazardRisk_name],Table3[[#This Row],[HazardRisk_name]])</f>
        <v>5.2</v>
      </c>
      <c r="K106" s="15" cm="1">
        <f t="array" ref="K106">STDEVP(IF(FMECA[HazardRisk_name]=Table3[[#This Row],[HazardRisk_name]],FMECA[consequence_value]))</f>
        <v>1.4696938456699069</v>
      </c>
      <c r="L106" s="23">
        <f>AVERAGEIFS(FMECA[Score],FMECA[HazardRisk_name],Table3[[#This Row],[HazardRisk_name]])</f>
        <v>20</v>
      </c>
      <c r="M106" s="23" cm="1">
        <f t="array" ref="M106">STDEVP(IF(FMECA[HazardRisk_name]=Table3[[#This Row],[HazardRisk_name]],FMECA[Score]))</f>
        <v>8.4142735871850522</v>
      </c>
      <c r="N106" s="15">
        <f>COUNTIFS(FMECA_data!P:P, "Theoretical", FMECA_data!I:I,Table3[[#This Row],[HazardRisk_name]])</f>
        <v>3</v>
      </c>
      <c r="O106" s="15">
        <f>COUNTIFS(FMECA_data!P:P, "Observational", FMECA_data!I:I,Table3[[#This Row],[HazardRisk_name]])</f>
        <v>2</v>
      </c>
      <c r="P106" s="15">
        <f>COUNTIFS(FMECA_data!P:P, "Hybrid", FMECA_data!I:I,Table3[[#This Row],[HazardRisk_name]])</f>
        <v>0</v>
      </c>
      <c r="Q106" s="15">
        <f>COUNTIFS(FMECA_data!P:P, "Modelling", FMECA_data!I:I,Table3[[#This Row],[HazardRisk_name]])</f>
        <v>0</v>
      </c>
      <c r="R106" s="23">
        <f>COUNTIFS(FMECA[data_deficient], "Yes",FMECA[HazardRisk_name],Table3[[#This Row],[HazardRisk_name]])</f>
        <v>0</v>
      </c>
      <c r="S106" s="23">
        <f>(COUNTIFS(FMECA[availability], "Yes",FMECA[HazardRisk_name],Table3[[#This Row],[HazardRisk_name]])) + (COUNTIFS(FMECA[availability], "Available",FMECA[HazardRisk_name],Table3[[#This Row],[HazardRisk_name]]))</f>
        <v>1</v>
      </c>
      <c r="T106" s="23">
        <f>COUNTIFS(FMECA[RR], "VERY HIGH",FMECA[HazardRisk_name],Table3[[#This Row],[HazardRisk_name]])</f>
        <v>0</v>
      </c>
      <c r="U106" s="22">
        <f>Table3[[#This Row],[vh_count]]/Table3[[#This Row],[risk_counts]]</f>
        <v>0</v>
      </c>
      <c r="V106" s="23">
        <f>COUNTIFS(FMECA[RR], "HIGH",FMECA[HazardRisk_name],Table3[[#This Row],[HazardRisk_name]])</f>
        <v>1</v>
      </c>
      <c r="W106" s="22">
        <f>Table3[[#This Row],[h_count]]/Table3[[#This Row],[risk_counts]]</f>
        <v>0.2</v>
      </c>
      <c r="X106" s="23">
        <f>COUNTIFS(FMECA[RR], "MODERATE",FMECA[HazardRisk_name],Table3[[#This Row],[HazardRisk_name]])</f>
        <v>4</v>
      </c>
      <c r="Y106" s="22">
        <f>Table3[[#This Row],[m_count]]/Table3[[#This Row],[risk_counts]]</f>
        <v>0.8</v>
      </c>
      <c r="Z106" s="23">
        <f>COUNTIFS(FMECA[RR], "UNDETECTABLE",FMECA[HazardRisk_name],Table3[[#This Row],[HazardRisk_name]])</f>
        <v>0</v>
      </c>
      <c r="AA106" s="22">
        <f>Table3[[#This Row],[l_count]]/Table3[[#This Row],[risk_counts]]</f>
        <v>0</v>
      </c>
      <c r="AI106" s="16" t="str">
        <f>VLOOKUP(Table3[[#This Row],[HazardRisk_id]], categories[], 4, FALSE)</f>
        <v>Hazard</v>
      </c>
      <c r="AJ106" s="16">
        <f>(COUNTIFS(FMECA[availability], "Unknown",FMECA[HazardRisk_name],Table3[[#This Row],[HazardRisk_name]]))</f>
        <v>1</v>
      </c>
    </row>
    <row r="107" spans="1:36" ht="34" x14ac:dyDescent="0.2">
      <c r="A107" s="16" t="s">
        <v>2678</v>
      </c>
      <c r="B107" s="13" t="str">
        <f>VLOOKUP(Table3[[#This Row],[HazardRisk_id]], categories[], 5, FALSE)</f>
        <v>Environmental</v>
      </c>
      <c r="C107" s="14" t="str">
        <f>VLOOKUP(Table3[[#This Row],[HazardRisk_id]], categories[], 2, FALSE)</f>
        <v>Expolitation of natural reserves</v>
      </c>
      <c r="D107" s="15" t="str">
        <f>VLOOKUP(Table3[[#This Row],[HazardRisk_id]], categories[], 3, FALSE)</f>
        <v>Process of extracting natural resources such as oil, natural gas, and other resources during passage through the region.</v>
      </c>
      <c r="E107" s="15">
        <f>COUNTIFS(FMECA[HazardRisk_name],Table3[[#This Row],[HazardRisk_name]])</f>
        <v>17</v>
      </c>
      <c r="F107" s="15">
        <f>SUMIFS(FMECA[probability_value], FMECA[HazardRisk_name], Table3[[#This Row],[HazardRisk_name]])</f>
        <v>64</v>
      </c>
      <c r="G107" s="15">
        <f>AVERAGEIFS(FMECA[probability_value],FMECA[HazardRisk_name],Table3[[#This Row],[HazardRisk_name]])</f>
        <v>3.7647058823529411</v>
      </c>
      <c r="H107" s="15" cm="1">
        <f t="array" ref="H107">STDEVP(IF(FMECA[HazardRisk_name]=Table3[[#This Row],[HazardRisk_name]],FMECA[probability_value]))</f>
        <v>0.42418250299576343</v>
      </c>
      <c r="I107" s="15">
        <f>SUMIFS(FMECA[consequence_value], FMECA[HazardRisk_name], Table3[[#This Row],[HazardRisk_name]])</f>
        <v>138</v>
      </c>
      <c r="J107" s="15">
        <f>AVERAGEIFS(FMECA[consequence_value],FMECA[HazardRisk_name],Table3[[#This Row],[HazardRisk_name]])</f>
        <v>8.117647058823529</v>
      </c>
      <c r="K107" s="15" cm="1">
        <f t="array" ref="K107">STDEVP(IF(FMECA[HazardRisk_name]=Table3[[#This Row],[HazardRisk_name]],FMECA[consequence_value]))</f>
        <v>1.6407441977625121</v>
      </c>
      <c r="L107" s="23">
        <f>AVERAGEIFS(FMECA[Score],FMECA[HazardRisk_name],Table3[[#This Row],[HazardRisk_name]])</f>
        <v>30.294117647058822</v>
      </c>
      <c r="M107" s="23" cm="1">
        <f t="array" ref="M107">STDEVP(IF(FMECA[HazardRisk_name]=Table3[[#This Row],[HazardRisk_name]],FMECA[Score]))</f>
        <v>5.9976927513086515</v>
      </c>
      <c r="N107" s="15">
        <f>COUNTIFS(FMECA_data!P:P, "Theoretical", FMECA_data!I:I,Table3[[#This Row],[HazardRisk_name]])</f>
        <v>6</v>
      </c>
      <c r="O107" s="15">
        <f>COUNTIFS(FMECA_data!P:P, "Observational", FMECA_data!I:I,Table3[[#This Row],[HazardRisk_name]])</f>
        <v>7</v>
      </c>
      <c r="P107" s="15">
        <f>COUNTIFS(FMECA_data!P:P, "Hybrid", FMECA_data!I:I,Table3[[#This Row],[HazardRisk_name]])</f>
        <v>3</v>
      </c>
      <c r="Q107" s="15">
        <f>COUNTIFS(FMECA_data!P:P, "Modelling", FMECA_data!I:I,Table3[[#This Row],[HazardRisk_name]])</f>
        <v>1</v>
      </c>
      <c r="R107" s="23">
        <f>COUNTIFS(FMECA[data_deficient], "Yes",FMECA[HazardRisk_name],Table3[[#This Row],[HazardRisk_name]])</f>
        <v>3</v>
      </c>
      <c r="S107" s="23">
        <f>(COUNTIFS(FMECA[availability], "Yes",FMECA[HazardRisk_name],Table3[[#This Row],[HazardRisk_name]])) + (COUNTIFS(FMECA[availability], "Available",FMECA[HazardRisk_name],Table3[[#This Row],[HazardRisk_name]]))</f>
        <v>6</v>
      </c>
      <c r="T107" s="23">
        <f>COUNTIFS(FMECA[RR], "VERY HIGH",FMECA[HazardRisk_name],Table3[[#This Row],[HazardRisk_name]])</f>
        <v>4</v>
      </c>
      <c r="U107" s="22">
        <f>Table3[[#This Row],[vh_count]]/Table3[[#This Row],[risk_counts]]</f>
        <v>0.23529411764705882</v>
      </c>
      <c r="V107" s="23">
        <f>COUNTIFS(FMECA[RR], "HIGH",FMECA[HazardRisk_name],Table3[[#This Row],[HazardRisk_name]])</f>
        <v>11</v>
      </c>
      <c r="W107" s="22">
        <f>Table3[[#This Row],[h_count]]/Table3[[#This Row],[risk_counts]]</f>
        <v>0.6470588235294118</v>
      </c>
      <c r="X107" s="23">
        <f>COUNTIFS(FMECA[RR], "MODERATE",FMECA[HazardRisk_name],Table3[[#This Row],[HazardRisk_name]])</f>
        <v>2</v>
      </c>
      <c r="Y107" s="22">
        <f>Table3[[#This Row],[m_count]]/Table3[[#This Row],[risk_counts]]</f>
        <v>0.11764705882352941</v>
      </c>
      <c r="Z107" s="23">
        <f>COUNTIFS(FMECA[RR], "UNDETECTABLE",FMECA[HazardRisk_name],Table3[[#This Row],[HazardRisk_name]])</f>
        <v>0</v>
      </c>
      <c r="AA107" s="22">
        <f>Table3[[#This Row],[l_count]]/Table3[[#This Row],[risk_counts]]</f>
        <v>0</v>
      </c>
      <c r="AI107" s="16" t="str">
        <f>VLOOKUP(Table3[[#This Row],[HazardRisk_id]], categories[], 4, FALSE)</f>
        <v>Risk</v>
      </c>
      <c r="AJ107" s="16">
        <f>(COUNTIFS(FMECA[availability], "Unknown",FMECA[HazardRisk_name],Table3[[#This Row],[HazardRisk_name]]))</f>
        <v>3</v>
      </c>
    </row>
    <row r="108" spans="1:36" ht="34" x14ac:dyDescent="0.2">
      <c r="A108" s="16" t="s">
        <v>2679</v>
      </c>
      <c r="B108" s="13" t="str">
        <f>VLOOKUP(Table3[[#This Row],[HazardRisk_id]], categories[], 5, FALSE)</f>
        <v>Environmental</v>
      </c>
      <c r="C108" s="14" t="str">
        <f>VLOOKUP(Table3[[#This Row],[HazardRisk_id]], categories[], 2, FALSE)</f>
        <v>Extreme winter conditions</v>
      </c>
      <c r="D108" s="15" t="str">
        <f>VLOOKUP(Table3[[#This Row],[HazardRisk_id]], categories[], 3, FALSE)</f>
        <v>Harsh winter conditions of the Arctic (extreme air temperature lows, hurricanes, polar vortexes) increase difficulty of navigation within the Northwest Passage (NWP).</v>
      </c>
      <c r="E108" s="15">
        <f>COUNTIFS(FMECA[HazardRisk_name],Table3[[#This Row],[HazardRisk_name]])</f>
        <v>6</v>
      </c>
      <c r="F108" s="15">
        <f>SUMIFS(FMECA[probability_value], FMECA[HazardRisk_name], Table3[[#This Row],[HazardRisk_name]])</f>
        <v>23</v>
      </c>
      <c r="G108" s="15">
        <f>AVERAGEIFS(FMECA[probability_value],FMECA[HazardRisk_name],Table3[[#This Row],[HazardRisk_name]])</f>
        <v>3.8333333333333335</v>
      </c>
      <c r="H108" s="15" cm="1">
        <f t="array" ref="H108">STDEVP(IF(FMECA[HazardRisk_name]=Table3[[#This Row],[HazardRisk_name]],FMECA[probability_value]))</f>
        <v>0.68718427093627676</v>
      </c>
      <c r="I108" s="15">
        <f>SUMIFS(FMECA[consequence_value], FMECA[HazardRisk_name], Table3[[#This Row],[HazardRisk_name]])</f>
        <v>42</v>
      </c>
      <c r="J108" s="15">
        <f>AVERAGEIFS(FMECA[consequence_value],FMECA[HazardRisk_name],Table3[[#This Row],[HazardRisk_name]])</f>
        <v>7</v>
      </c>
      <c r="K108" s="15" cm="1">
        <f t="array" ref="K108">STDEVP(IF(FMECA[HazardRisk_name]=Table3[[#This Row],[HazardRisk_name]],FMECA[consequence_value]))</f>
        <v>1.7320508075688772</v>
      </c>
      <c r="L108" s="23">
        <f>AVERAGEIFS(FMECA[Score],FMECA[HazardRisk_name],Table3[[#This Row],[HazardRisk_name]])</f>
        <v>27.833333333333332</v>
      </c>
      <c r="M108" s="23" cm="1">
        <f t="array" ref="M108">STDEVP(IF(FMECA[HazardRisk_name]=Table3[[#This Row],[HazardRisk_name]],FMECA[Score]))</f>
        <v>11.466133708544577</v>
      </c>
      <c r="N108" s="15">
        <f>COUNTIFS(FMECA_data!P:P, "Theoretical", FMECA_data!I:I,Table3[[#This Row],[HazardRisk_name]])</f>
        <v>4</v>
      </c>
      <c r="O108" s="15">
        <f>COUNTIFS(FMECA_data!P:P, "Observational", FMECA_data!I:I,Table3[[#This Row],[HazardRisk_name]])</f>
        <v>1</v>
      </c>
      <c r="P108" s="15">
        <f>COUNTIFS(FMECA_data!P:P, "Hybrid", FMECA_data!I:I,Table3[[#This Row],[HazardRisk_name]])</f>
        <v>0</v>
      </c>
      <c r="Q108" s="15">
        <f>COUNTIFS(FMECA_data!P:P, "Modelling", FMECA_data!I:I,Table3[[#This Row],[HazardRisk_name]])</f>
        <v>1</v>
      </c>
      <c r="R108" s="23">
        <f>COUNTIFS(FMECA[data_deficient], "Yes",FMECA[HazardRisk_name],Table3[[#This Row],[HazardRisk_name]])</f>
        <v>3</v>
      </c>
      <c r="S108" s="23">
        <f>(COUNTIFS(FMECA[availability], "Yes",FMECA[HazardRisk_name],Table3[[#This Row],[HazardRisk_name]])) + (COUNTIFS(FMECA[availability], "Available",FMECA[HazardRisk_name],Table3[[#This Row],[HazardRisk_name]]))</f>
        <v>1</v>
      </c>
      <c r="T108" s="23">
        <f>COUNTIFS(FMECA[RR], "VERY HIGH",FMECA[HazardRisk_name],Table3[[#This Row],[HazardRisk_name]])</f>
        <v>1</v>
      </c>
      <c r="U108" s="22">
        <f>Table3[[#This Row],[vh_count]]/Table3[[#This Row],[risk_counts]]</f>
        <v>0.16666666666666666</v>
      </c>
      <c r="V108" s="23">
        <f>COUNTIFS(FMECA[RR], "HIGH",FMECA[HazardRisk_name],Table3[[#This Row],[HazardRisk_name]])</f>
        <v>3</v>
      </c>
      <c r="W108" s="22">
        <f>Table3[[#This Row],[h_count]]/Table3[[#This Row],[risk_counts]]</f>
        <v>0.5</v>
      </c>
      <c r="X108" s="23">
        <f>COUNTIFS(FMECA[RR], "MODERATE",FMECA[HazardRisk_name],Table3[[#This Row],[HazardRisk_name]])</f>
        <v>2</v>
      </c>
      <c r="Y108" s="22">
        <f>Table3[[#This Row],[m_count]]/Table3[[#This Row],[risk_counts]]</f>
        <v>0.33333333333333331</v>
      </c>
      <c r="Z108" s="23">
        <f>COUNTIFS(FMECA[RR], "UNDETECTABLE",FMECA[HazardRisk_name],Table3[[#This Row],[HazardRisk_name]])</f>
        <v>0</v>
      </c>
      <c r="AA108" s="22">
        <f>Table3[[#This Row],[l_count]]/Table3[[#This Row],[risk_counts]]</f>
        <v>0</v>
      </c>
      <c r="AI108" s="16" t="str">
        <f>VLOOKUP(Table3[[#This Row],[HazardRisk_id]], categories[], 4, FALSE)</f>
        <v>Hazard</v>
      </c>
      <c r="AJ108" s="16">
        <f>(COUNTIFS(FMECA[availability], "Unknown",FMECA[HazardRisk_name],Table3[[#This Row],[HazardRisk_name]]))</f>
        <v>1</v>
      </c>
    </row>
    <row r="109" spans="1:36" ht="34" x14ac:dyDescent="0.2">
      <c r="A109" s="16" t="s">
        <v>2680</v>
      </c>
      <c r="B109" s="13" t="str">
        <f>VLOOKUP(Table3[[#This Row],[HazardRisk_id]], categories[], 5, FALSE)</f>
        <v>Operational</v>
      </c>
      <c r="C109" s="14" t="str">
        <f>VLOOKUP(Table3[[#This Row],[HazardRisk_id]], categories[], 2, FALSE)</f>
        <v>Fire onboard</v>
      </c>
      <c r="D109" s="15" t="str">
        <f>VLOOKUP(Table3[[#This Row],[HazardRisk_id]], categories[], 3, FALSE)</f>
        <v>Ignition of flammable materials, human negligence, or a malfunction in a vessels operating system on board will create opputunities for fires to occur.</v>
      </c>
      <c r="E109" s="15">
        <f>COUNTIFS(FMECA[HazardRisk_name],Table3[[#This Row],[HazardRisk_name]])</f>
        <v>4</v>
      </c>
      <c r="F109" s="15">
        <f>SUMIFS(FMECA[probability_value], FMECA[HazardRisk_name], Table3[[#This Row],[HazardRisk_name]])</f>
        <v>12</v>
      </c>
      <c r="G109" s="15">
        <f>AVERAGEIFS(FMECA[probability_value],FMECA[HazardRisk_name],Table3[[#This Row],[HazardRisk_name]])</f>
        <v>3</v>
      </c>
      <c r="H109" s="15" cm="1">
        <f t="array" ref="H109">STDEVP(IF(FMECA[HazardRisk_name]=Table3[[#This Row],[HazardRisk_name]],FMECA[probability_value]))</f>
        <v>0.70710678118654757</v>
      </c>
      <c r="I109" s="15">
        <f>SUMIFS(FMECA[consequence_value], FMECA[HazardRisk_name], Table3[[#This Row],[HazardRisk_name]])</f>
        <v>37</v>
      </c>
      <c r="J109" s="15">
        <f>AVERAGEIFS(FMECA[consequence_value],FMECA[HazardRisk_name],Table3[[#This Row],[HazardRisk_name]])</f>
        <v>9.25</v>
      </c>
      <c r="K109" s="15" cm="1">
        <f t="array" ref="K109">STDEVP(IF(FMECA[HazardRisk_name]=Table3[[#This Row],[HazardRisk_name]],FMECA[consequence_value]))</f>
        <v>1.299038105676658</v>
      </c>
      <c r="L109" s="23">
        <f>AVERAGEIFS(FMECA[Score],FMECA[HazardRisk_name],Table3[[#This Row],[HazardRisk_name]])</f>
        <v>27</v>
      </c>
      <c r="M109" s="23" cm="1">
        <f t="array" ref="M109">STDEVP(IF(FMECA[HazardRisk_name]=Table3[[#This Row],[HazardRisk_name]],FMECA[Score]))</f>
        <v>4.1231056256176606</v>
      </c>
      <c r="N109" s="15">
        <f>COUNTIFS(FMECA_data!P:P, "Theoretical", FMECA_data!I:I,Table3[[#This Row],[HazardRisk_name]])</f>
        <v>0</v>
      </c>
      <c r="O109" s="15">
        <f>COUNTIFS(FMECA_data!P:P, "Observational", FMECA_data!I:I,Table3[[#This Row],[HazardRisk_name]])</f>
        <v>3</v>
      </c>
      <c r="P109" s="15">
        <f>COUNTIFS(FMECA_data!P:P, "Hybrid", FMECA_data!I:I,Table3[[#This Row],[HazardRisk_name]])</f>
        <v>1</v>
      </c>
      <c r="Q109" s="15">
        <f>COUNTIFS(FMECA_data!P:P, "Modelling", FMECA_data!I:I,Table3[[#This Row],[HazardRisk_name]])</f>
        <v>0</v>
      </c>
      <c r="R109" s="23">
        <f>COUNTIFS(FMECA[data_deficient], "Yes",FMECA[HazardRisk_name],Table3[[#This Row],[HazardRisk_name]])</f>
        <v>0</v>
      </c>
      <c r="S109" s="23">
        <f>(COUNTIFS(FMECA[availability], "Yes",FMECA[HazardRisk_name],Table3[[#This Row],[HazardRisk_name]])) + (COUNTIFS(FMECA[availability], "Available",FMECA[HazardRisk_name],Table3[[#This Row],[HazardRisk_name]]))</f>
        <v>2</v>
      </c>
      <c r="T109" s="23">
        <f>COUNTIFS(FMECA[RR], "VERY HIGH",FMECA[HazardRisk_name],Table3[[#This Row],[HazardRisk_name]])</f>
        <v>0</v>
      </c>
      <c r="U109" s="22">
        <f>Table3[[#This Row],[vh_count]]/Table3[[#This Row],[risk_counts]]</f>
        <v>0</v>
      </c>
      <c r="V109" s="23">
        <f>COUNTIFS(FMECA[RR], "HIGH",FMECA[HazardRisk_name],Table3[[#This Row],[HazardRisk_name]])</f>
        <v>3</v>
      </c>
      <c r="W109" s="22">
        <f>Table3[[#This Row],[h_count]]/Table3[[#This Row],[risk_counts]]</f>
        <v>0.75</v>
      </c>
      <c r="X109" s="23">
        <f>COUNTIFS(FMECA[RR], "MODERATE",FMECA[HazardRisk_name],Table3[[#This Row],[HazardRisk_name]])</f>
        <v>1</v>
      </c>
      <c r="Y109" s="22">
        <f>Table3[[#This Row],[m_count]]/Table3[[#This Row],[risk_counts]]</f>
        <v>0.25</v>
      </c>
      <c r="Z109" s="23">
        <f>COUNTIFS(FMECA[RR], "UNDETECTABLE",FMECA[HazardRisk_name],Table3[[#This Row],[HazardRisk_name]])</f>
        <v>0</v>
      </c>
      <c r="AA109" s="22">
        <f>Table3[[#This Row],[l_count]]/Table3[[#This Row],[risk_counts]]</f>
        <v>0</v>
      </c>
      <c r="AI109" s="16" t="str">
        <f>VLOOKUP(Table3[[#This Row],[HazardRisk_id]], categories[], 4, FALSE)</f>
        <v>Hazard</v>
      </c>
      <c r="AJ109" s="16">
        <f>(COUNTIFS(FMECA[availability], "Unknown",FMECA[HazardRisk_name],Table3[[#This Row],[HazardRisk_name]]))</f>
        <v>2</v>
      </c>
    </row>
    <row r="110" spans="1:36" ht="51" x14ac:dyDescent="0.2">
      <c r="A110" s="16" t="s">
        <v>2681</v>
      </c>
      <c r="B110" s="13" t="str">
        <f>VLOOKUP(Table3[[#This Row],[HazardRisk_id]], categories[], 5, FALSE)</f>
        <v>Sea Ice</v>
      </c>
      <c r="C110" s="14" t="str">
        <f>VLOOKUP(Table3[[#This Row],[HazardRisk_id]], categories[], 2, FALSE)</f>
        <v>First-year sea ice</v>
      </c>
      <c r="D110" s="15" t="str">
        <f>VLOOKUP(Table3[[#This Row],[HazardRisk_id]], categories[], 3, FALSE)</f>
        <v>First-year sea ice is formed during the winter season and thicker than 30 centimeters (11.8 in), though has not survived the summer melt season in open waters creating difficulties for low ice class vessels when travelling through Arctic waters.</v>
      </c>
      <c r="E110" s="15">
        <f>COUNTIFS(FMECA[HazardRisk_name],Table3[[#This Row],[HazardRisk_name]])</f>
        <v>4</v>
      </c>
      <c r="F110" s="15">
        <f>SUMIFS(FMECA[probability_value], FMECA[HazardRisk_name], Table3[[#This Row],[HazardRisk_name]])</f>
        <v>17</v>
      </c>
      <c r="G110" s="15">
        <f>AVERAGEIFS(FMECA[probability_value],FMECA[HazardRisk_name],Table3[[#This Row],[HazardRisk_name]])</f>
        <v>4.25</v>
      </c>
      <c r="H110" s="15" cm="1">
        <f t="array" ref="H110">STDEVP(IF(FMECA[HazardRisk_name]=Table3[[#This Row],[HazardRisk_name]],FMECA[probability_value]))</f>
        <v>0.4330127018922193</v>
      </c>
      <c r="I110" s="15">
        <f>SUMIFS(FMECA[consequence_value], FMECA[HazardRisk_name], Table3[[#This Row],[HazardRisk_name]])</f>
        <v>25</v>
      </c>
      <c r="J110" s="15">
        <f>AVERAGEIFS(FMECA[consequence_value],FMECA[HazardRisk_name],Table3[[#This Row],[HazardRisk_name]])</f>
        <v>6.25</v>
      </c>
      <c r="K110" s="15" cm="1">
        <f t="array" ref="K110">STDEVP(IF(FMECA[HazardRisk_name]=Table3[[#This Row],[HazardRisk_name]],FMECA[consequence_value]))</f>
        <v>1.299038105676658</v>
      </c>
      <c r="L110" s="23">
        <f>AVERAGEIFS(FMECA[Score],FMECA[HazardRisk_name],Table3[[#This Row],[HazardRisk_name]])</f>
        <v>26.75</v>
      </c>
      <c r="M110" s="23" cm="1">
        <f t="array" ref="M110">STDEVP(IF(FMECA[HazardRisk_name]=Table3[[#This Row],[HazardRisk_name]],FMECA[Score]))</f>
        <v>6.8328251843582244</v>
      </c>
      <c r="N110" s="15">
        <f>COUNTIFS(FMECA_data!P:P, "Theoretical", FMECA_data!I:I,Table3[[#This Row],[HazardRisk_name]])</f>
        <v>0</v>
      </c>
      <c r="O110" s="15">
        <f>COUNTIFS(FMECA_data!P:P, "Observational", FMECA_data!I:I,Table3[[#This Row],[HazardRisk_name]])</f>
        <v>4</v>
      </c>
      <c r="P110" s="15">
        <f>COUNTIFS(FMECA_data!P:P, "Hybrid", FMECA_data!I:I,Table3[[#This Row],[HazardRisk_name]])</f>
        <v>0</v>
      </c>
      <c r="Q110" s="15">
        <f>COUNTIFS(FMECA_data!P:P, "Modelling", FMECA_data!I:I,Table3[[#This Row],[HazardRisk_name]])</f>
        <v>0</v>
      </c>
      <c r="R110" s="23">
        <f>COUNTIFS(FMECA[data_deficient], "Yes",FMECA[HazardRisk_name],Table3[[#This Row],[HazardRisk_name]])</f>
        <v>0</v>
      </c>
      <c r="S110" s="23">
        <f>(COUNTIFS(FMECA[availability], "Yes",FMECA[HazardRisk_name],Table3[[#This Row],[HazardRisk_name]])) + (COUNTIFS(FMECA[availability], "Available",FMECA[HazardRisk_name],Table3[[#This Row],[HazardRisk_name]]))</f>
        <v>3</v>
      </c>
      <c r="T110" s="23">
        <f>COUNTIFS(FMECA[RR], "VERY HIGH",FMECA[HazardRisk_name],Table3[[#This Row],[HazardRisk_name]])</f>
        <v>0</v>
      </c>
      <c r="U110" s="22">
        <f>Table3[[#This Row],[vh_count]]/Table3[[#This Row],[risk_counts]]</f>
        <v>0</v>
      </c>
      <c r="V110" s="23">
        <f>COUNTIFS(FMECA[RR], "HIGH",FMECA[HazardRisk_name],Table3[[#This Row],[HazardRisk_name]])</f>
        <v>3</v>
      </c>
      <c r="W110" s="22">
        <f>Table3[[#This Row],[h_count]]/Table3[[#This Row],[risk_counts]]</f>
        <v>0.75</v>
      </c>
      <c r="X110" s="23">
        <f>COUNTIFS(FMECA[RR], "MODERATE",FMECA[HazardRisk_name],Table3[[#This Row],[HazardRisk_name]])</f>
        <v>1</v>
      </c>
      <c r="Y110" s="22">
        <f>Table3[[#This Row],[m_count]]/Table3[[#This Row],[risk_counts]]</f>
        <v>0.25</v>
      </c>
      <c r="Z110" s="23">
        <f>COUNTIFS(FMECA[RR], "UNDETECTABLE",FMECA[HazardRisk_name],Table3[[#This Row],[HazardRisk_name]])</f>
        <v>0</v>
      </c>
      <c r="AA110" s="22">
        <f>Table3[[#This Row],[l_count]]/Table3[[#This Row],[risk_counts]]</f>
        <v>0</v>
      </c>
      <c r="AI110" s="16" t="str">
        <f>VLOOKUP(Table3[[#This Row],[HazardRisk_id]], categories[], 4, FALSE)</f>
        <v>Hazard</v>
      </c>
      <c r="AJ110" s="16">
        <f>(COUNTIFS(FMECA[availability], "Unknown",FMECA[HazardRisk_name],Table3[[#This Row],[HazardRisk_name]]))</f>
        <v>1</v>
      </c>
    </row>
    <row r="111" spans="1:36" ht="51" x14ac:dyDescent="0.2">
      <c r="A111" s="16" t="s">
        <v>2682</v>
      </c>
      <c r="B111" s="13" t="str">
        <f>VLOOKUP(Table3[[#This Row],[HazardRisk_id]], categories[], 5, FALSE)</f>
        <v>Pollutants</v>
      </c>
      <c r="C111" s="14" t="str">
        <f>VLOOKUP(Table3[[#This Row],[HazardRisk_id]], categories[], 2, FALSE)</f>
        <v>HFO carriage and transport</v>
      </c>
      <c r="D111" s="15" t="str">
        <f>VLOOKUP(Table3[[#This Row],[HazardRisk_id]], categories[], 3, FALSE)</f>
        <v>The transportation of hazardous resources is a significant threat where an unexpected spill will cause significant environmental damage while also causing operational and financial stress.</v>
      </c>
      <c r="E111" s="15">
        <f>COUNTIFS(FMECA[HazardRisk_name],Table3[[#This Row],[HazardRisk_name]])</f>
        <v>6</v>
      </c>
      <c r="F111" s="15">
        <f>SUMIFS(FMECA[probability_value], FMECA[HazardRisk_name], Table3[[#This Row],[HazardRisk_name]])</f>
        <v>28</v>
      </c>
      <c r="G111" s="15">
        <f>AVERAGEIFS(FMECA[probability_value],FMECA[HazardRisk_name],Table3[[#This Row],[HazardRisk_name]])</f>
        <v>4.666666666666667</v>
      </c>
      <c r="H111" s="15" cm="1">
        <f t="array" ref="H111">STDEVP(IF(FMECA[HazardRisk_name]=Table3[[#This Row],[HazardRisk_name]],FMECA[probability_value]))</f>
        <v>0.7453559924999299</v>
      </c>
      <c r="I111" s="15">
        <f>SUMIFS(FMECA[consequence_value], FMECA[HazardRisk_name], Table3[[#This Row],[HazardRisk_name]])</f>
        <v>45</v>
      </c>
      <c r="J111" s="15">
        <f>AVERAGEIFS(FMECA[consequence_value],FMECA[HazardRisk_name],Table3[[#This Row],[HazardRisk_name]])</f>
        <v>7.5</v>
      </c>
      <c r="K111" s="15" cm="1">
        <f t="array" ref="K111">STDEVP(IF(FMECA[HazardRisk_name]=Table3[[#This Row],[HazardRisk_name]],FMECA[consequence_value]))</f>
        <v>2.6925824035672519</v>
      </c>
      <c r="L111" s="23">
        <f>AVERAGEIFS(FMECA[Score],FMECA[HazardRisk_name],Table3[[#This Row],[HazardRisk_name]])</f>
        <v>36.166666666666664</v>
      </c>
      <c r="M111" s="23" cm="1">
        <f t="array" ref="M111">STDEVP(IF(FMECA[HazardRisk_name]=Table3[[#This Row],[HazardRisk_name]],FMECA[Score]))</f>
        <v>15.388487760516156</v>
      </c>
      <c r="N111" s="15">
        <f>COUNTIFS(FMECA_data!P:P, "Theoretical", FMECA_data!I:I,Table3[[#This Row],[HazardRisk_name]])</f>
        <v>3</v>
      </c>
      <c r="O111" s="15">
        <f>COUNTIFS(FMECA_data!P:P, "Observational", FMECA_data!I:I,Table3[[#This Row],[HazardRisk_name]])</f>
        <v>2</v>
      </c>
      <c r="P111" s="15">
        <f>COUNTIFS(FMECA_data!P:P, "Hybrid", FMECA_data!I:I,Table3[[#This Row],[HazardRisk_name]])</f>
        <v>0</v>
      </c>
      <c r="Q111" s="15">
        <f>COUNTIFS(FMECA_data!P:P, "Modelling", FMECA_data!I:I,Table3[[#This Row],[HazardRisk_name]])</f>
        <v>1</v>
      </c>
      <c r="R111" s="23">
        <f>COUNTIFS(FMECA[data_deficient], "Yes",FMECA[HazardRisk_name],Table3[[#This Row],[HazardRisk_name]])</f>
        <v>1</v>
      </c>
      <c r="S111" s="23">
        <f>(COUNTIFS(FMECA[availability], "Yes",FMECA[HazardRisk_name],Table3[[#This Row],[HazardRisk_name]])) + (COUNTIFS(FMECA[availability], "Available",FMECA[HazardRisk_name],Table3[[#This Row],[HazardRisk_name]]))</f>
        <v>1</v>
      </c>
      <c r="T111" s="23">
        <f>COUNTIFS(FMECA[RR], "VERY HIGH",FMECA[HazardRisk_name],Table3[[#This Row],[HazardRisk_name]])</f>
        <v>3</v>
      </c>
      <c r="U111" s="22">
        <f>Table3[[#This Row],[vh_count]]/Table3[[#This Row],[risk_counts]]</f>
        <v>0.5</v>
      </c>
      <c r="V111" s="23">
        <f>COUNTIFS(FMECA[RR], "HIGH",FMECA[HazardRisk_name],Table3[[#This Row],[HazardRisk_name]])</f>
        <v>1</v>
      </c>
      <c r="W111" s="22">
        <f>Table3[[#This Row],[h_count]]/Table3[[#This Row],[risk_counts]]</f>
        <v>0.16666666666666666</v>
      </c>
      <c r="X111" s="23">
        <f>COUNTIFS(FMECA[RR], "MODERATE",FMECA[HazardRisk_name],Table3[[#This Row],[HazardRisk_name]])</f>
        <v>2</v>
      </c>
      <c r="Y111" s="22">
        <f>Table3[[#This Row],[m_count]]/Table3[[#This Row],[risk_counts]]</f>
        <v>0.33333333333333331</v>
      </c>
      <c r="Z111" s="23">
        <f>COUNTIFS(FMECA[RR], "UNDETECTABLE",FMECA[HazardRisk_name],Table3[[#This Row],[HazardRisk_name]])</f>
        <v>0</v>
      </c>
      <c r="AA111" s="22">
        <f>Table3[[#This Row],[l_count]]/Table3[[#This Row],[risk_counts]]</f>
        <v>0</v>
      </c>
      <c r="AI111" s="16" t="str">
        <f>VLOOKUP(Table3[[#This Row],[HazardRisk_id]], categories[], 4, FALSE)</f>
        <v>Hazard</v>
      </c>
      <c r="AJ111" s="16">
        <f>(COUNTIFS(FMECA[availability], "Unknown",FMECA[HazardRisk_name],Table3[[#This Row],[HazardRisk_name]]))</f>
        <v>2</v>
      </c>
    </row>
    <row r="112" spans="1:36" ht="34" x14ac:dyDescent="0.2">
      <c r="A112" s="16" t="s">
        <v>2683</v>
      </c>
      <c r="B112" s="13" t="str">
        <f>VLOOKUP(Table3[[#This Row],[HazardRisk_id]], categories[], 5, FALSE)</f>
        <v>Environmental</v>
      </c>
      <c r="C112" s="14" t="str">
        <f>VLOOKUP(Table3[[#This Row],[HazardRisk_id]], categories[], 2, FALSE)</f>
        <v>High wind speeds</v>
      </c>
      <c r="D112" s="15" t="str">
        <f>VLOOKUP(Table3[[#This Row],[HazardRisk_id]], categories[], 3, FALSE)</f>
        <v>Wind intensity has the ability to negativily impact the vessels ability to stay afloat during operations as well as influences the sea conditions during navigation.</v>
      </c>
      <c r="E112" s="15">
        <f>COUNTIFS(FMECA[HazardRisk_name],Table3[[#This Row],[HazardRisk_name]])</f>
        <v>8</v>
      </c>
      <c r="F112" s="15">
        <f>SUMIFS(FMECA[probability_value], FMECA[HazardRisk_name], Table3[[#This Row],[HazardRisk_name]])</f>
        <v>30</v>
      </c>
      <c r="G112" s="15">
        <f>AVERAGEIFS(FMECA[probability_value],FMECA[HazardRisk_name],Table3[[#This Row],[HazardRisk_name]])</f>
        <v>3.75</v>
      </c>
      <c r="H112" s="15" cm="1">
        <f t="array" ref="H112">STDEVP(IF(FMECA[HazardRisk_name]=Table3[[#This Row],[HazardRisk_name]],FMECA[probability_value]))</f>
        <v>0.66143782776614768</v>
      </c>
      <c r="I112" s="15">
        <f>SUMIFS(FMECA[consequence_value], FMECA[HazardRisk_name], Table3[[#This Row],[HazardRisk_name]])</f>
        <v>44</v>
      </c>
      <c r="J112" s="15">
        <f>AVERAGEIFS(FMECA[consequence_value],FMECA[HazardRisk_name],Table3[[#This Row],[HazardRisk_name]])</f>
        <v>5.5</v>
      </c>
      <c r="K112" s="15" cm="1">
        <f t="array" ref="K112">STDEVP(IF(FMECA[HazardRisk_name]=Table3[[#This Row],[HazardRisk_name]],FMECA[consequence_value]))</f>
        <v>1.5</v>
      </c>
      <c r="L112" s="23">
        <f>AVERAGEIFS(FMECA[Score],FMECA[HazardRisk_name],Table3[[#This Row],[HazardRisk_name]])</f>
        <v>21</v>
      </c>
      <c r="M112" s="23" cm="1">
        <f t="array" ref="M112">STDEVP(IF(FMECA[HazardRisk_name]=Table3[[#This Row],[HazardRisk_name]],FMECA[Score]))</f>
        <v>7.416198487095663</v>
      </c>
      <c r="N112" s="15">
        <f>COUNTIFS(FMECA_data!P:P, "Theoretical", FMECA_data!I:I,Table3[[#This Row],[HazardRisk_name]])</f>
        <v>1</v>
      </c>
      <c r="O112" s="15">
        <f>COUNTIFS(FMECA_data!P:P, "Observational", FMECA_data!I:I,Table3[[#This Row],[HazardRisk_name]])</f>
        <v>6</v>
      </c>
      <c r="P112" s="15">
        <f>COUNTIFS(FMECA_data!P:P, "Hybrid", FMECA_data!I:I,Table3[[#This Row],[HazardRisk_name]])</f>
        <v>1</v>
      </c>
      <c r="Q112" s="15">
        <f>COUNTIFS(FMECA_data!P:P, "Modelling", FMECA_data!I:I,Table3[[#This Row],[HazardRisk_name]])</f>
        <v>0</v>
      </c>
      <c r="R112" s="23">
        <f>COUNTIFS(FMECA[data_deficient], "Yes",FMECA[HazardRisk_name],Table3[[#This Row],[HazardRisk_name]])</f>
        <v>1</v>
      </c>
      <c r="S112" s="23">
        <f>(COUNTIFS(FMECA[availability], "Yes",FMECA[HazardRisk_name],Table3[[#This Row],[HazardRisk_name]])) + (COUNTIFS(FMECA[availability], "Available",FMECA[HazardRisk_name],Table3[[#This Row],[HazardRisk_name]]))</f>
        <v>3</v>
      </c>
      <c r="T112" s="23">
        <f>COUNTIFS(FMECA[RR], "VERY HIGH",FMECA[HazardRisk_name],Table3[[#This Row],[HazardRisk_name]])</f>
        <v>0</v>
      </c>
      <c r="U112" s="22">
        <f>Table3[[#This Row],[vh_count]]/Table3[[#This Row],[risk_counts]]</f>
        <v>0</v>
      </c>
      <c r="V112" s="23">
        <f>COUNTIFS(FMECA[RR], "HIGH",FMECA[HazardRisk_name],Table3[[#This Row],[HazardRisk_name]])</f>
        <v>4</v>
      </c>
      <c r="W112" s="22">
        <f>Table3[[#This Row],[h_count]]/Table3[[#This Row],[risk_counts]]</f>
        <v>0.5</v>
      </c>
      <c r="X112" s="23">
        <f>COUNTIFS(FMECA[RR], "MODERATE",FMECA[HazardRisk_name],Table3[[#This Row],[HazardRisk_name]])</f>
        <v>4</v>
      </c>
      <c r="Y112" s="22">
        <f>Table3[[#This Row],[m_count]]/Table3[[#This Row],[risk_counts]]</f>
        <v>0.5</v>
      </c>
      <c r="Z112" s="23">
        <f>COUNTIFS(FMECA[RR], "UNDETECTABLE",FMECA[HazardRisk_name],Table3[[#This Row],[HazardRisk_name]])</f>
        <v>0</v>
      </c>
      <c r="AA112" s="22">
        <f>Table3[[#This Row],[l_count]]/Table3[[#This Row],[risk_counts]]</f>
        <v>0</v>
      </c>
      <c r="AI112" s="16" t="str">
        <f>VLOOKUP(Table3[[#This Row],[HazardRisk_id]], categories[], 4, FALSE)</f>
        <v>Hazard</v>
      </c>
      <c r="AJ112" s="16">
        <f>(COUNTIFS(FMECA[availability], "Unknown",FMECA[HazardRisk_name],Table3[[#This Row],[HazardRisk_name]]))</f>
        <v>4</v>
      </c>
    </row>
    <row r="113" spans="1:36" ht="68" x14ac:dyDescent="0.2">
      <c r="A113" s="16" t="s">
        <v>2684</v>
      </c>
      <c r="B113" s="13" t="str">
        <f>VLOOKUP(Table3[[#This Row],[HazardRisk_id]], categories[], 5, FALSE)</f>
        <v>Human</v>
      </c>
      <c r="C113" s="14" t="str">
        <f>VLOOKUP(Table3[[#This Row],[HazardRisk_id]], categories[], 2, FALSE)</f>
        <v>Human error</v>
      </c>
      <c r="D113" s="15" t="str">
        <f>VLOOKUP(Table3[[#This Row],[HazardRisk_id]], categories[], 3, FALSE)</f>
        <v>Acts that are taken through individual judgement that are genuine or accidental to achieve a desired positive outcome, though fail and caused error by a human. This may occur during any point within the vessel operation and cause a vesel accident, injury, or fatalities to occur.</v>
      </c>
      <c r="E113" s="15">
        <f>COUNTIFS(FMECA[HazardRisk_name],Table3[[#This Row],[HazardRisk_name]])</f>
        <v>5</v>
      </c>
      <c r="F113" s="15">
        <f>SUMIFS(FMECA[probability_value], FMECA[HazardRisk_name], Table3[[#This Row],[HazardRisk_name]])</f>
        <v>16</v>
      </c>
      <c r="G113" s="15">
        <f>AVERAGEIFS(FMECA[probability_value],FMECA[HazardRisk_name],Table3[[#This Row],[HazardRisk_name]])</f>
        <v>3.2</v>
      </c>
      <c r="H113" s="15" cm="1">
        <f t="array" ref="H113">STDEVP(IF(FMECA[HazardRisk_name]=Table3[[#This Row],[HazardRisk_name]],FMECA[probability_value]))</f>
        <v>1.4696938456699069</v>
      </c>
      <c r="I113" s="15">
        <f>SUMIFS(FMECA[consequence_value], FMECA[HazardRisk_name], Table3[[#This Row],[HazardRisk_name]])</f>
        <v>35</v>
      </c>
      <c r="J113" s="15">
        <f>AVERAGEIFS(FMECA[consequence_value],FMECA[HazardRisk_name],Table3[[#This Row],[HazardRisk_name]])</f>
        <v>7</v>
      </c>
      <c r="K113" s="15" cm="1">
        <f t="array" ref="K113">STDEVP(IF(FMECA[HazardRisk_name]=Table3[[#This Row],[HazardRisk_name]],FMECA[consequence_value]))</f>
        <v>1.8973665961010275</v>
      </c>
      <c r="L113" s="23">
        <f>AVERAGEIFS(FMECA[Score],FMECA[HazardRisk_name],Table3[[#This Row],[HazardRisk_name]])</f>
        <v>21.8</v>
      </c>
      <c r="M113" s="23" cm="1">
        <f t="array" ref="M113">STDEVP(IF(FMECA[HazardRisk_name]=Table3[[#This Row],[HazardRisk_name]],FMECA[Score]))</f>
        <v>10.777754868245983</v>
      </c>
      <c r="N113" s="15">
        <f>COUNTIFS(FMECA_data!P:P, "Theoretical", FMECA_data!I:I,Table3[[#This Row],[HazardRisk_name]])</f>
        <v>0</v>
      </c>
      <c r="O113" s="15">
        <f>COUNTIFS(FMECA_data!P:P, "Observational", FMECA_data!I:I,Table3[[#This Row],[HazardRisk_name]])</f>
        <v>4</v>
      </c>
      <c r="P113" s="15">
        <f>COUNTIFS(FMECA_data!P:P, "Hybrid", FMECA_data!I:I,Table3[[#This Row],[HazardRisk_name]])</f>
        <v>1</v>
      </c>
      <c r="Q113" s="15">
        <f>COUNTIFS(FMECA_data!P:P, "Modelling", FMECA_data!I:I,Table3[[#This Row],[HazardRisk_name]])</f>
        <v>0</v>
      </c>
      <c r="R113" s="23">
        <f>COUNTIFS(FMECA[data_deficient], "Yes",FMECA[HazardRisk_name],Table3[[#This Row],[HazardRisk_name]])</f>
        <v>0</v>
      </c>
      <c r="S113" s="23">
        <f>(COUNTIFS(FMECA[availability], "Yes",FMECA[HazardRisk_name],Table3[[#This Row],[HazardRisk_name]])) + (COUNTIFS(FMECA[availability], "Available",FMECA[HazardRisk_name],Table3[[#This Row],[HazardRisk_name]]))</f>
        <v>2</v>
      </c>
      <c r="T113" s="23">
        <f>COUNTIFS(FMECA[RR], "VERY HIGH",FMECA[HazardRisk_name],Table3[[#This Row],[HazardRisk_name]])</f>
        <v>0</v>
      </c>
      <c r="U113" s="22">
        <f>Table3[[#This Row],[vh_count]]/Table3[[#This Row],[risk_counts]]</f>
        <v>0</v>
      </c>
      <c r="V113" s="23">
        <f>COUNTIFS(FMECA[RR], "HIGH",FMECA[HazardRisk_name],Table3[[#This Row],[HazardRisk_name]])</f>
        <v>3</v>
      </c>
      <c r="W113" s="22">
        <f>Table3[[#This Row],[h_count]]/Table3[[#This Row],[risk_counts]]</f>
        <v>0.6</v>
      </c>
      <c r="X113" s="23">
        <f>COUNTIFS(FMECA[RR], "MODERATE",FMECA[HazardRisk_name],Table3[[#This Row],[HazardRisk_name]])</f>
        <v>1</v>
      </c>
      <c r="Y113" s="22">
        <f>Table3[[#This Row],[m_count]]/Table3[[#This Row],[risk_counts]]</f>
        <v>0.2</v>
      </c>
      <c r="Z113" s="23">
        <f>COUNTIFS(FMECA[RR], "UNDETECTABLE",FMECA[HazardRisk_name],Table3[[#This Row],[HazardRisk_name]])</f>
        <v>1</v>
      </c>
      <c r="AA113" s="22">
        <f>Table3[[#This Row],[l_count]]/Table3[[#This Row],[risk_counts]]</f>
        <v>0.2</v>
      </c>
      <c r="AI113" s="16" t="str">
        <f>VLOOKUP(Table3[[#This Row],[HazardRisk_id]], categories[], 4, FALSE)</f>
        <v>Hazard</v>
      </c>
      <c r="AJ113" s="16">
        <f>(COUNTIFS(FMECA[availability], "Unknown",FMECA[HazardRisk_name],Table3[[#This Row],[HazardRisk_name]]))</f>
        <v>3</v>
      </c>
    </row>
    <row r="114" spans="1:36" ht="34" x14ac:dyDescent="0.2">
      <c r="A114" s="16" t="s">
        <v>2685</v>
      </c>
      <c r="B114" s="13" t="str">
        <f>VLOOKUP(Table3[[#This Row],[HazardRisk_id]], categories[], 5, FALSE)</f>
        <v>Human</v>
      </c>
      <c r="C114" s="14" t="str">
        <f>VLOOKUP(Table3[[#This Row],[HazardRisk_id]], categories[], 2, FALSE)</f>
        <v>Human negligence</v>
      </c>
      <c r="D114" s="15" t="str">
        <f>VLOOKUP(Table3[[#This Row],[HazardRisk_id]], categories[], 3, FALSE)</f>
        <v>Failure to exersise a degree of care expected of a vessel operator or crew member to protect and prevent accidents from occuring.</v>
      </c>
      <c r="E114" s="15">
        <f>COUNTIFS(FMECA[HazardRisk_name],Table3[[#This Row],[HazardRisk_name]])</f>
        <v>3</v>
      </c>
      <c r="F114" s="15">
        <f>SUMIFS(FMECA[probability_value], FMECA[HazardRisk_name], Table3[[#This Row],[HazardRisk_name]])</f>
        <v>8</v>
      </c>
      <c r="G114" s="15">
        <f>AVERAGEIFS(FMECA[probability_value],FMECA[HazardRisk_name],Table3[[#This Row],[HazardRisk_name]])</f>
        <v>2.6666666666666665</v>
      </c>
      <c r="H114" s="15" cm="1">
        <f t="array" ref="H114">STDEVP(IF(FMECA[HazardRisk_name]=Table3[[#This Row],[HazardRisk_name]],FMECA[probability_value]))</f>
        <v>1.247219128924647</v>
      </c>
      <c r="I114" s="15">
        <f>SUMIFS(FMECA[consequence_value], FMECA[HazardRisk_name], Table3[[#This Row],[HazardRisk_name]])</f>
        <v>21</v>
      </c>
      <c r="J114" s="15">
        <f>AVERAGEIFS(FMECA[consequence_value],FMECA[HazardRisk_name],Table3[[#This Row],[HazardRisk_name]])</f>
        <v>7</v>
      </c>
      <c r="K114" s="15" cm="1">
        <f t="array" ref="K114">STDEVP(IF(FMECA[HazardRisk_name]=Table3[[#This Row],[HazardRisk_name]],FMECA[consequence_value]))</f>
        <v>2.4494897427831779</v>
      </c>
      <c r="L114" s="23">
        <f>AVERAGEIFS(FMECA[Score],FMECA[HazardRisk_name],Table3[[#This Row],[HazardRisk_name]])</f>
        <v>16.666666666666668</v>
      </c>
      <c r="M114" s="23" cm="1">
        <f t="array" ref="M114">STDEVP(IF(FMECA[HazardRisk_name]=Table3[[#This Row],[HazardRisk_name]],FMECA[Score]))</f>
        <v>8.055363982396381</v>
      </c>
      <c r="N114" s="15">
        <f>COUNTIFS(FMECA_data!P:P, "Theoretical", FMECA_data!I:I,Table3[[#This Row],[HazardRisk_name]])</f>
        <v>0</v>
      </c>
      <c r="O114" s="15">
        <f>COUNTIFS(FMECA_data!P:P, "Observational", FMECA_data!I:I,Table3[[#This Row],[HazardRisk_name]])</f>
        <v>3</v>
      </c>
      <c r="P114" s="15">
        <f>COUNTIFS(FMECA_data!P:P, "Hybrid", FMECA_data!I:I,Table3[[#This Row],[HazardRisk_name]])</f>
        <v>0</v>
      </c>
      <c r="Q114" s="15">
        <f>COUNTIFS(FMECA_data!P:P, "Modelling", FMECA_data!I:I,Table3[[#This Row],[HazardRisk_name]])</f>
        <v>0</v>
      </c>
      <c r="R114" s="23">
        <f>COUNTIFS(FMECA[data_deficient], "Yes",FMECA[HazardRisk_name],Table3[[#This Row],[HazardRisk_name]])</f>
        <v>0</v>
      </c>
      <c r="S114" s="23">
        <f>(COUNTIFS(FMECA[availability], "Yes",FMECA[HazardRisk_name],Table3[[#This Row],[HazardRisk_name]])) + (COUNTIFS(FMECA[availability], "Available",FMECA[HazardRisk_name],Table3[[#This Row],[HazardRisk_name]]))</f>
        <v>1</v>
      </c>
      <c r="T114" s="23">
        <f>COUNTIFS(FMECA[RR], "VERY HIGH",FMECA[HazardRisk_name],Table3[[#This Row],[HazardRisk_name]])</f>
        <v>0</v>
      </c>
      <c r="U114" s="22">
        <f>Table3[[#This Row],[vh_count]]/Table3[[#This Row],[risk_counts]]</f>
        <v>0</v>
      </c>
      <c r="V114" s="23">
        <f>COUNTIFS(FMECA[RR], "HIGH",FMECA[HazardRisk_name],Table3[[#This Row],[HazardRisk_name]])</f>
        <v>1</v>
      </c>
      <c r="W114" s="22">
        <f>Table3[[#This Row],[h_count]]/Table3[[#This Row],[risk_counts]]</f>
        <v>0.33333333333333331</v>
      </c>
      <c r="X114" s="23">
        <f>COUNTIFS(FMECA[RR], "MODERATE",FMECA[HazardRisk_name],Table3[[#This Row],[HazardRisk_name]])</f>
        <v>2</v>
      </c>
      <c r="Y114" s="22">
        <f>Table3[[#This Row],[m_count]]/Table3[[#This Row],[risk_counts]]</f>
        <v>0.66666666666666663</v>
      </c>
      <c r="Z114" s="23">
        <f>COUNTIFS(FMECA[RR], "UNDETECTABLE",FMECA[HazardRisk_name],Table3[[#This Row],[HazardRisk_name]])</f>
        <v>0</v>
      </c>
      <c r="AA114" s="22">
        <f>Table3[[#This Row],[l_count]]/Table3[[#This Row],[risk_counts]]</f>
        <v>0</v>
      </c>
      <c r="AI114" s="16" t="str">
        <f>VLOOKUP(Table3[[#This Row],[HazardRisk_id]], categories[], 4, FALSE)</f>
        <v>Hazard</v>
      </c>
      <c r="AJ114" s="16">
        <f>(COUNTIFS(FMECA[availability], "Unknown",FMECA[HazardRisk_name],Table3[[#This Row],[HazardRisk_name]]))</f>
        <v>2</v>
      </c>
    </row>
    <row r="115" spans="1:36" ht="17" x14ac:dyDescent="0.2">
      <c r="A115" s="16" t="s">
        <v>2686</v>
      </c>
      <c r="B115" s="13" t="str">
        <f>VLOOKUP(Table3[[#This Row],[HazardRisk_id]], categories[], 5, FALSE)</f>
        <v>Pollutants</v>
      </c>
      <c r="C115" s="14" t="str">
        <f>VLOOKUP(Table3[[#This Row],[HazardRisk_id]], categories[], 2, FALSE)</f>
        <v>Hydrocarbon release</v>
      </c>
      <c r="D115" s="15">
        <f>VLOOKUP(Table3[[#This Row],[HazardRisk_id]], categories[], 3, FALSE)</f>
        <v>0</v>
      </c>
      <c r="E115" s="15">
        <f>COUNTIFS(FMECA[HazardRisk_name],Table3[[#This Row],[HazardRisk_name]])</f>
        <v>2</v>
      </c>
      <c r="F115" s="15">
        <f>SUMIFS(FMECA[probability_value], FMECA[HazardRisk_name], Table3[[#This Row],[HazardRisk_name]])</f>
        <v>9</v>
      </c>
      <c r="G115" s="15">
        <f>AVERAGEIFS(FMECA[probability_value],FMECA[HazardRisk_name],Table3[[#This Row],[HazardRisk_name]])</f>
        <v>4.5</v>
      </c>
      <c r="H115" s="15" cm="1">
        <f t="array" ref="H115">STDEVP(IF(FMECA[HazardRisk_name]=Table3[[#This Row],[HazardRisk_name]],FMECA[probability_value]))</f>
        <v>0.5</v>
      </c>
      <c r="I115" s="15">
        <f>SUMIFS(FMECA[consequence_value], FMECA[HazardRisk_name], Table3[[#This Row],[HazardRisk_name]])</f>
        <v>20</v>
      </c>
      <c r="J115" s="15">
        <f>AVERAGEIFS(FMECA[consequence_value],FMECA[HazardRisk_name],Table3[[#This Row],[HazardRisk_name]])</f>
        <v>10</v>
      </c>
      <c r="K115" s="15" cm="1">
        <f t="array" ref="K115">STDEVP(IF(FMECA[HazardRisk_name]=Table3[[#This Row],[HazardRisk_name]],FMECA[consequence_value]))</f>
        <v>0</v>
      </c>
      <c r="L115" s="23">
        <f>AVERAGEIFS(FMECA[Score],FMECA[HazardRisk_name],Table3[[#This Row],[HazardRisk_name]])</f>
        <v>45</v>
      </c>
      <c r="M115" s="23" cm="1">
        <f t="array" ref="M115">STDEVP(IF(FMECA[HazardRisk_name]=Table3[[#This Row],[HazardRisk_name]],FMECA[Score]))</f>
        <v>5</v>
      </c>
      <c r="N115" s="15">
        <f>COUNTIFS(FMECA_data!P:P, "Theoretical", FMECA_data!I:I,Table3[[#This Row],[HazardRisk_name]])</f>
        <v>1</v>
      </c>
      <c r="O115" s="15">
        <f>COUNTIFS(FMECA_data!P:P, "Observational", FMECA_data!I:I,Table3[[#This Row],[HazardRisk_name]])</f>
        <v>1</v>
      </c>
      <c r="P115" s="15">
        <f>COUNTIFS(FMECA_data!P:P, "Hybrid", FMECA_data!I:I,Table3[[#This Row],[HazardRisk_name]])</f>
        <v>0</v>
      </c>
      <c r="Q115" s="15">
        <f>COUNTIFS(FMECA_data!P:P, "Modelling", FMECA_data!I:I,Table3[[#This Row],[HazardRisk_name]])</f>
        <v>0</v>
      </c>
      <c r="R115" s="23">
        <f>COUNTIFS(FMECA[data_deficient], "Yes",FMECA[HazardRisk_name],Table3[[#This Row],[HazardRisk_name]])</f>
        <v>0</v>
      </c>
      <c r="S115" s="23">
        <f>(COUNTIFS(FMECA[availability], "Yes",FMECA[HazardRisk_name],Table3[[#This Row],[HazardRisk_name]])) + (COUNTIFS(FMECA[availability], "Available",FMECA[HazardRisk_name],Table3[[#This Row],[HazardRisk_name]]))</f>
        <v>1</v>
      </c>
      <c r="T115" s="23">
        <f>COUNTIFS(FMECA[RR], "VERY HIGH",FMECA[HazardRisk_name],Table3[[#This Row],[HazardRisk_name]])</f>
        <v>2</v>
      </c>
      <c r="U115" s="22">
        <f>Table3[[#This Row],[vh_count]]/Table3[[#This Row],[risk_counts]]</f>
        <v>1</v>
      </c>
      <c r="V115" s="23">
        <f>COUNTIFS(FMECA[RR], "HIGH",FMECA[HazardRisk_name],Table3[[#This Row],[HazardRisk_name]])</f>
        <v>0</v>
      </c>
      <c r="W115" s="22">
        <f>Table3[[#This Row],[h_count]]/Table3[[#This Row],[risk_counts]]</f>
        <v>0</v>
      </c>
      <c r="X115" s="23">
        <f>COUNTIFS(FMECA[RR], "MODERATE",FMECA[HazardRisk_name],Table3[[#This Row],[HazardRisk_name]])</f>
        <v>0</v>
      </c>
      <c r="Y115" s="22">
        <f>Table3[[#This Row],[m_count]]/Table3[[#This Row],[risk_counts]]</f>
        <v>0</v>
      </c>
      <c r="Z115" s="23">
        <f>COUNTIFS(FMECA[RR], "UNDETECTABLE",FMECA[HazardRisk_name],Table3[[#This Row],[HazardRisk_name]])</f>
        <v>0</v>
      </c>
      <c r="AA115" s="22">
        <f>Table3[[#This Row],[l_count]]/Table3[[#This Row],[risk_counts]]</f>
        <v>0</v>
      </c>
      <c r="AI115" s="16" t="str">
        <f>VLOOKUP(Table3[[#This Row],[HazardRisk_id]], categories[], 4, FALSE)</f>
        <v>Risk</v>
      </c>
      <c r="AJ115" s="16">
        <f>(COUNTIFS(FMECA[availability], "Unknown",FMECA[HazardRisk_name],Table3[[#This Row],[HazardRisk_name]]))</f>
        <v>0</v>
      </c>
    </row>
    <row r="116" spans="1:36" ht="51" x14ac:dyDescent="0.2">
      <c r="A116" s="16" t="s">
        <v>2687</v>
      </c>
      <c r="B116" s="13" t="str">
        <f>VLOOKUP(Table3[[#This Row],[HazardRisk_id]], categories[], 5, FALSE)</f>
        <v>Sea Ice</v>
      </c>
      <c r="C116" s="14" t="str">
        <f>VLOOKUP(Table3[[#This Row],[HazardRisk_id]], categories[], 2, FALSE)</f>
        <v>Ice thickness</v>
      </c>
      <c r="D116" s="15" t="str">
        <f>VLOOKUP(Table3[[#This Row],[HazardRisk_id]], categories[], 3, FALSE)</f>
        <v>Variations of sea ice thickness throughout the Northwest Passage can be seen as a significant threat due to the uncertainty and inconsistency of sea ice thickness, increasing difficulties in regards to naviagtion.</v>
      </c>
      <c r="E116" s="15">
        <f>COUNTIFS(FMECA[HazardRisk_name],Table3[[#This Row],[HazardRisk_name]])</f>
        <v>3</v>
      </c>
      <c r="F116" s="15">
        <f>SUMIFS(FMECA[probability_value], FMECA[HazardRisk_name], Table3[[#This Row],[HazardRisk_name]])</f>
        <v>12</v>
      </c>
      <c r="G116" s="15">
        <f>AVERAGEIFS(FMECA[probability_value],FMECA[HazardRisk_name],Table3[[#This Row],[HazardRisk_name]])</f>
        <v>4</v>
      </c>
      <c r="H116" s="15" cm="1">
        <f t="array" ref="H116">STDEVP(IF(FMECA[HazardRisk_name]=Table3[[#This Row],[HazardRisk_name]],FMECA[probability_value]))</f>
        <v>0.81649658092772603</v>
      </c>
      <c r="I116" s="15">
        <f>SUMIFS(FMECA[consequence_value], FMECA[HazardRisk_name], Table3[[#This Row],[HazardRisk_name]])</f>
        <v>21</v>
      </c>
      <c r="J116" s="15">
        <f>AVERAGEIFS(FMECA[consequence_value],FMECA[HazardRisk_name],Table3[[#This Row],[HazardRisk_name]])</f>
        <v>7</v>
      </c>
      <c r="K116" s="15" cm="1">
        <f t="array" ref="K116">STDEVP(IF(FMECA[HazardRisk_name]=Table3[[#This Row],[HazardRisk_name]],FMECA[consequence_value]))</f>
        <v>2.4494897427831779</v>
      </c>
      <c r="L116" s="23">
        <f>AVERAGEIFS(FMECA[Score],FMECA[HazardRisk_name],Table3[[#This Row],[HazardRisk_name]])</f>
        <v>29</v>
      </c>
      <c r="M116" s="23" cm="1">
        <f t="array" ref="M116">STDEVP(IF(FMECA[HazardRisk_name]=Table3[[#This Row],[HazardRisk_name]],FMECA[Score]))</f>
        <v>12.192894105447921</v>
      </c>
      <c r="N116" s="15">
        <f>COUNTIFS(FMECA_data!P:P, "Theoretical", FMECA_data!I:I,Table3[[#This Row],[HazardRisk_name]])</f>
        <v>0</v>
      </c>
      <c r="O116" s="15">
        <f>COUNTIFS(FMECA_data!P:P, "Observational", FMECA_data!I:I,Table3[[#This Row],[HazardRisk_name]])</f>
        <v>3</v>
      </c>
      <c r="P116" s="15">
        <f>COUNTIFS(FMECA_data!P:P, "Hybrid", FMECA_data!I:I,Table3[[#This Row],[HazardRisk_name]])</f>
        <v>0</v>
      </c>
      <c r="Q116" s="15">
        <f>COUNTIFS(FMECA_data!P:P, "Modelling", FMECA_data!I:I,Table3[[#This Row],[HazardRisk_name]])</f>
        <v>0</v>
      </c>
      <c r="R116" s="23">
        <f>COUNTIFS(FMECA[data_deficient], "Yes",FMECA[HazardRisk_name],Table3[[#This Row],[HazardRisk_name]])</f>
        <v>0</v>
      </c>
      <c r="S116" s="23">
        <f>(COUNTIFS(FMECA[availability], "Yes",FMECA[HazardRisk_name],Table3[[#This Row],[HazardRisk_name]])) + (COUNTIFS(FMECA[availability], "Available",FMECA[HazardRisk_name],Table3[[#This Row],[HazardRisk_name]]))</f>
        <v>2</v>
      </c>
      <c r="T116" s="23">
        <f>COUNTIFS(FMECA[RR], "VERY HIGH",FMECA[HazardRisk_name],Table3[[#This Row],[HazardRisk_name]])</f>
        <v>1</v>
      </c>
      <c r="U116" s="22">
        <f>Table3[[#This Row],[vh_count]]/Table3[[#This Row],[risk_counts]]</f>
        <v>0.33333333333333331</v>
      </c>
      <c r="V116" s="23">
        <f>COUNTIFS(FMECA[RR], "HIGH",FMECA[HazardRisk_name],Table3[[#This Row],[HazardRisk_name]])</f>
        <v>1</v>
      </c>
      <c r="W116" s="22">
        <f>Table3[[#This Row],[h_count]]/Table3[[#This Row],[risk_counts]]</f>
        <v>0.33333333333333331</v>
      </c>
      <c r="X116" s="23">
        <f>COUNTIFS(FMECA[RR], "MODERATE",FMECA[HazardRisk_name],Table3[[#This Row],[HazardRisk_name]])</f>
        <v>1</v>
      </c>
      <c r="Y116" s="22">
        <f>Table3[[#This Row],[m_count]]/Table3[[#This Row],[risk_counts]]</f>
        <v>0.33333333333333331</v>
      </c>
      <c r="Z116" s="23">
        <f>COUNTIFS(FMECA[RR], "UNDETECTABLE",FMECA[HazardRisk_name],Table3[[#This Row],[HazardRisk_name]])</f>
        <v>0</v>
      </c>
      <c r="AA116" s="22">
        <f>Table3[[#This Row],[l_count]]/Table3[[#This Row],[risk_counts]]</f>
        <v>0</v>
      </c>
      <c r="AI116" s="16" t="str">
        <f>VLOOKUP(Table3[[#This Row],[HazardRisk_id]], categories[], 4, FALSE)</f>
        <v>Hazard</v>
      </c>
      <c r="AJ116" s="16">
        <f>(COUNTIFS(FMECA[availability], "Unknown",FMECA[HazardRisk_name],Table3[[#This Row],[HazardRisk_name]]))</f>
        <v>1</v>
      </c>
    </row>
    <row r="117" spans="1:36" ht="51" x14ac:dyDescent="0.2">
      <c r="A117" s="16" t="s">
        <v>2688</v>
      </c>
      <c r="B117" s="13" t="str">
        <f>VLOOKUP(Table3[[#This Row],[HazardRisk_id]], categories[], 5, FALSE)</f>
        <v>Navigational</v>
      </c>
      <c r="C117" s="14" t="str">
        <f>VLOOKUP(Table3[[#This Row],[HazardRisk_id]], categories[], 2, FALSE)</f>
        <v>Iceburg collision</v>
      </c>
      <c r="D117" s="15" t="str">
        <f>VLOOKUP(Table3[[#This Row],[HazardRisk_id]], categories[], 3, FALSE)</f>
        <v>A vessel collides directly or indirectly during voyage. This increasing probability of the ship sinking, the uncontrolled release of chemicals and goods, and possibly loss of life.</v>
      </c>
      <c r="E117" s="15">
        <f>COUNTIFS(FMECA[HazardRisk_name],Table3[[#This Row],[HazardRisk_name]])</f>
        <v>7</v>
      </c>
      <c r="F117" s="15">
        <f>SUMIFS(FMECA[probability_value], FMECA[HazardRisk_name], Table3[[#This Row],[HazardRisk_name]])</f>
        <v>19</v>
      </c>
      <c r="G117" s="15">
        <f>AVERAGEIFS(FMECA[probability_value],FMECA[HazardRisk_name],Table3[[#This Row],[HazardRisk_name]])</f>
        <v>2.7142857142857144</v>
      </c>
      <c r="H117" s="15" cm="1">
        <f t="array" ref="H117">STDEVP(IF(FMECA[HazardRisk_name]=Table3[[#This Row],[HazardRisk_name]],FMECA[probability_value]))</f>
        <v>0.88063057185271088</v>
      </c>
      <c r="I117" s="15">
        <f>SUMIFS(FMECA[consequence_value], FMECA[HazardRisk_name], Table3[[#This Row],[HazardRisk_name]])</f>
        <v>50</v>
      </c>
      <c r="J117" s="15">
        <f>AVERAGEIFS(FMECA[consequence_value],FMECA[HazardRisk_name],Table3[[#This Row],[HazardRisk_name]])</f>
        <v>7.1428571428571432</v>
      </c>
      <c r="K117" s="15" cm="1">
        <f t="array" ref="K117">STDEVP(IF(FMECA[HazardRisk_name]=Table3[[#This Row],[HazardRisk_name]],FMECA[consequence_value]))</f>
        <v>1.3552618543578769</v>
      </c>
      <c r="L117" s="23">
        <f>AVERAGEIFS(FMECA[Score],FMECA[HazardRisk_name],Table3[[#This Row],[HazardRisk_name]])</f>
        <v>18.571428571428573</v>
      </c>
      <c r="M117" s="23" cm="1">
        <f t="array" ref="M117">STDEVP(IF(FMECA[HazardRisk_name]=Table3[[#This Row],[HazardRisk_name]],FMECA[Score]))</f>
        <v>5.5254513159467757</v>
      </c>
      <c r="N117" s="15">
        <f>COUNTIFS(FMECA_data!P:P, "Theoretical", FMECA_data!I:I,Table3[[#This Row],[HazardRisk_name]])</f>
        <v>1</v>
      </c>
      <c r="O117" s="15">
        <f>COUNTIFS(FMECA_data!P:P, "Observational", FMECA_data!I:I,Table3[[#This Row],[HazardRisk_name]])</f>
        <v>5</v>
      </c>
      <c r="P117" s="15">
        <f>COUNTIFS(FMECA_data!P:P, "Hybrid", FMECA_data!I:I,Table3[[#This Row],[HazardRisk_name]])</f>
        <v>0</v>
      </c>
      <c r="Q117" s="15">
        <f>COUNTIFS(FMECA_data!P:P, "Modelling", FMECA_data!I:I,Table3[[#This Row],[HazardRisk_name]])</f>
        <v>1</v>
      </c>
      <c r="R117" s="23">
        <f>COUNTIFS(FMECA[data_deficient], "Yes",FMECA[HazardRisk_name],Table3[[#This Row],[HazardRisk_name]])</f>
        <v>0</v>
      </c>
      <c r="S117" s="23">
        <f>(COUNTIFS(FMECA[availability], "Yes",FMECA[HazardRisk_name],Table3[[#This Row],[HazardRisk_name]])) + (COUNTIFS(FMECA[availability], "Available",FMECA[HazardRisk_name],Table3[[#This Row],[HazardRisk_name]]))</f>
        <v>2</v>
      </c>
      <c r="T117" s="23">
        <f>COUNTIFS(FMECA[RR], "VERY HIGH",FMECA[HazardRisk_name],Table3[[#This Row],[HazardRisk_name]])</f>
        <v>0</v>
      </c>
      <c r="U117" s="22">
        <f>Table3[[#This Row],[vh_count]]/Table3[[#This Row],[risk_counts]]</f>
        <v>0</v>
      </c>
      <c r="V117" s="23">
        <f>COUNTIFS(FMECA[RR], "HIGH",FMECA[HazardRisk_name],Table3[[#This Row],[HazardRisk_name]])</f>
        <v>1</v>
      </c>
      <c r="W117" s="22">
        <f>Table3[[#This Row],[h_count]]/Table3[[#This Row],[risk_counts]]</f>
        <v>0.14285714285714285</v>
      </c>
      <c r="X117" s="23">
        <f>COUNTIFS(FMECA[RR], "MODERATE",FMECA[HazardRisk_name],Table3[[#This Row],[HazardRisk_name]])</f>
        <v>6</v>
      </c>
      <c r="Y117" s="22">
        <f>Table3[[#This Row],[m_count]]/Table3[[#This Row],[risk_counts]]</f>
        <v>0.8571428571428571</v>
      </c>
      <c r="Z117" s="23">
        <f>COUNTIFS(FMECA[RR], "UNDETECTABLE",FMECA[HazardRisk_name],Table3[[#This Row],[HazardRisk_name]])</f>
        <v>0</v>
      </c>
      <c r="AA117" s="22">
        <f>Table3[[#This Row],[l_count]]/Table3[[#This Row],[risk_counts]]</f>
        <v>0</v>
      </c>
      <c r="AI117" s="16" t="str">
        <f>VLOOKUP(Table3[[#This Row],[HazardRisk_id]], categories[], 4, FALSE)</f>
        <v>Risk</v>
      </c>
      <c r="AJ117" s="16">
        <f>(COUNTIFS(FMECA[availability], "Unknown",FMECA[HazardRisk_name],Table3[[#This Row],[HazardRisk_name]]))</f>
        <v>4</v>
      </c>
    </row>
    <row r="118" spans="1:36" ht="34" x14ac:dyDescent="0.2">
      <c r="A118" s="16" t="s">
        <v>2689</v>
      </c>
      <c r="B118" s="13" t="str">
        <f>VLOOKUP(Table3[[#This Row],[HazardRisk_id]], categories[], 5, FALSE)</f>
        <v>Sea Ice</v>
      </c>
      <c r="C118" s="14" t="str">
        <f>VLOOKUP(Table3[[#This Row],[HazardRisk_id]], categories[], 2, FALSE)</f>
        <v>Iceburg presence</v>
      </c>
      <c r="D118" s="15" t="str">
        <f>VLOOKUP(Table3[[#This Row],[HazardRisk_id]], categories[], 3, FALSE)</f>
        <v>The presence of sea ice is continuously a threat to Arctic shipping because most of the iceberg is subsurface, creating difficulty in detection and size.</v>
      </c>
      <c r="E118" s="15">
        <f>COUNTIFS(FMECA[HazardRisk_name],Table3[[#This Row],[HazardRisk_name]])</f>
        <v>3</v>
      </c>
      <c r="F118" s="15">
        <f>SUMIFS(FMECA[probability_value], FMECA[HazardRisk_name], Table3[[#This Row],[HazardRisk_name]])</f>
        <v>11</v>
      </c>
      <c r="G118" s="15">
        <f>AVERAGEIFS(FMECA[probability_value],FMECA[HazardRisk_name],Table3[[#This Row],[HazardRisk_name]])</f>
        <v>3.6666666666666665</v>
      </c>
      <c r="H118" s="15" cm="1">
        <f t="array" ref="H118">STDEVP(IF(FMECA[HazardRisk_name]=Table3[[#This Row],[HazardRisk_name]],FMECA[probability_value]))</f>
        <v>0.47140452079103168</v>
      </c>
      <c r="I118" s="15">
        <f>SUMIFS(FMECA[consequence_value], FMECA[HazardRisk_name], Table3[[#This Row],[HazardRisk_name]])</f>
        <v>27</v>
      </c>
      <c r="J118" s="15">
        <f>AVERAGEIFS(FMECA[consequence_value],FMECA[HazardRisk_name],Table3[[#This Row],[HazardRisk_name]])</f>
        <v>9</v>
      </c>
      <c r="K118" s="15" cm="1">
        <f t="array" ref="K118">STDEVP(IF(FMECA[HazardRisk_name]=Table3[[#This Row],[HazardRisk_name]],FMECA[consequence_value]))</f>
        <v>1.4142135623730951</v>
      </c>
      <c r="L118" s="23">
        <f>AVERAGEIFS(FMECA[Score],FMECA[HazardRisk_name],Table3[[#This Row],[HazardRisk_name]])</f>
        <v>33.666666666666664</v>
      </c>
      <c r="M118" s="23" cm="1">
        <f t="array" ref="M118">STDEVP(IF(FMECA[HazardRisk_name]=Table3[[#This Row],[HazardRisk_name]],FMECA[Score]))</f>
        <v>8.9566858950296027</v>
      </c>
      <c r="N118" s="15">
        <f>COUNTIFS(FMECA_data!P:P, "Theoretical", FMECA_data!I:I,Table3[[#This Row],[HazardRisk_name]])</f>
        <v>1</v>
      </c>
      <c r="O118" s="15">
        <f>COUNTIFS(FMECA_data!P:P, "Observational", FMECA_data!I:I,Table3[[#This Row],[HazardRisk_name]])</f>
        <v>2</v>
      </c>
      <c r="P118" s="15">
        <f>COUNTIFS(FMECA_data!P:P, "Hybrid", FMECA_data!I:I,Table3[[#This Row],[HazardRisk_name]])</f>
        <v>0</v>
      </c>
      <c r="Q118" s="15">
        <f>COUNTIFS(FMECA_data!P:P, "Modelling", FMECA_data!I:I,Table3[[#This Row],[HazardRisk_name]])</f>
        <v>0</v>
      </c>
      <c r="R118" s="23">
        <f>COUNTIFS(FMECA[data_deficient], "Yes",FMECA[HazardRisk_name],Table3[[#This Row],[HazardRisk_name]])</f>
        <v>0</v>
      </c>
      <c r="S118" s="23">
        <f>(COUNTIFS(FMECA[availability], "Yes",FMECA[HazardRisk_name],Table3[[#This Row],[HazardRisk_name]])) + (COUNTIFS(FMECA[availability], "Available",FMECA[HazardRisk_name],Table3[[#This Row],[HazardRisk_name]]))</f>
        <v>0</v>
      </c>
      <c r="T118" s="23">
        <f>COUNTIFS(FMECA[RR], "VERY HIGH",FMECA[HazardRisk_name],Table3[[#This Row],[HazardRisk_name]])</f>
        <v>2</v>
      </c>
      <c r="U118" s="22">
        <f>Table3[[#This Row],[vh_count]]/Table3[[#This Row],[risk_counts]]</f>
        <v>0.66666666666666663</v>
      </c>
      <c r="V118" s="23">
        <f>COUNTIFS(FMECA[RR], "HIGH",FMECA[HazardRisk_name],Table3[[#This Row],[HazardRisk_name]])</f>
        <v>0</v>
      </c>
      <c r="W118" s="22">
        <f>Table3[[#This Row],[h_count]]/Table3[[#This Row],[risk_counts]]</f>
        <v>0</v>
      </c>
      <c r="X118" s="23">
        <f>COUNTIFS(FMECA[RR], "MODERATE",FMECA[HazardRisk_name],Table3[[#This Row],[HazardRisk_name]])</f>
        <v>1</v>
      </c>
      <c r="Y118" s="22">
        <f>Table3[[#This Row],[m_count]]/Table3[[#This Row],[risk_counts]]</f>
        <v>0.33333333333333331</v>
      </c>
      <c r="Z118" s="23">
        <f>COUNTIFS(FMECA[RR], "UNDETECTABLE",FMECA[HazardRisk_name],Table3[[#This Row],[HazardRisk_name]])</f>
        <v>0</v>
      </c>
      <c r="AA118" s="22">
        <f>Table3[[#This Row],[l_count]]/Table3[[#This Row],[risk_counts]]</f>
        <v>0</v>
      </c>
      <c r="AI118" s="16" t="str">
        <f>VLOOKUP(Table3[[#This Row],[HazardRisk_id]], categories[], 4, FALSE)</f>
        <v>Hazard</v>
      </c>
      <c r="AJ118" s="16">
        <f>(COUNTIFS(FMECA[availability], "Unknown",FMECA[HazardRisk_name],Table3[[#This Row],[HazardRisk_name]]))</f>
        <v>2</v>
      </c>
    </row>
    <row r="119" spans="1:36" ht="68" x14ac:dyDescent="0.2">
      <c r="A119" s="16" t="s">
        <v>2690</v>
      </c>
      <c r="B119" s="13" t="str">
        <f>VLOOKUP(Table3[[#This Row],[HazardRisk_id]], categories[], 5, FALSE)</f>
        <v>Navigational</v>
      </c>
      <c r="C119" s="14" t="str">
        <f>VLOOKUP(Table3[[#This Row],[HazardRisk_id]], categories[], 2, FALSE)</f>
        <v>Impact from other vessels</v>
      </c>
      <c r="D119" s="15" t="str">
        <f>VLOOKUP(Table3[[#This Row],[HazardRisk_id]], categories[], 3, FALSE)</f>
        <v>A vessel collides directly or indirectly with another vessel during voyage increases with the rise in shipping within Arctic waters. Sea and weather conditions influence this greatly where it can increaseprobability of larger issues such as multiple fatalities, vessels sinking, and/or exposions occuring.</v>
      </c>
      <c r="E119" s="15">
        <f>COUNTIFS(FMECA[HazardRisk_name],Table3[[#This Row],[HazardRisk_name]])</f>
        <v>2</v>
      </c>
      <c r="F119" s="15">
        <f>SUMIFS(FMECA[probability_value], FMECA[HazardRisk_name], Table3[[#This Row],[HazardRisk_name]])</f>
        <v>5</v>
      </c>
      <c r="G119" s="15">
        <f>AVERAGEIFS(FMECA[probability_value],FMECA[HazardRisk_name],Table3[[#This Row],[HazardRisk_name]])</f>
        <v>2.5</v>
      </c>
      <c r="H119" s="15" cm="1">
        <f t="array" ref="H119">STDEVP(IF(FMECA[HazardRisk_name]=Table3[[#This Row],[HazardRisk_name]],FMECA[probability_value]))</f>
        <v>1.5</v>
      </c>
      <c r="I119" s="15">
        <f>SUMIFS(FMECA[consequence_value], FMECA[HazardRisk_name], Table3[[#This Row],[HazardRisk_name]])</f>
        <v>12</v>
      </c>
      <c r="J119" s="15">
        <f>AVERAGEIFS(FMECA[consequence_value],FMECA[HazardRisk_name],Table3[[#This Row],[HazardRisk_name]])</f>
        <v>6</v>
      </c>
      <c r="K119" s="15" cm="1">
        <f t="array" ref="K119">STDEVP(IF(FMECA[HazardRisk_name]=Table3[[#This Row],[HazardRisk_name]],FMECA[consequence_value]))</f>
        <v>1</v>
      </c>
      <c r="L119" s="23">
        <f>AVERAGEIFS(FMECA[Score],FMECA[HazardRisk_name],Table3[[#This Row],[HazardRisk_name]])</f>
        <v>13.5</v>
      </c>
      <c r="M119" s="23" cm="1">
        <f t="array" ref="M119">STDEVP(IF(FMECA[HazardRisk_name]=Table3[[#This Row],[HazardRisk_name]],FMECA[Score]))</f>
        <v>6.5</v>
      </c>
      <c r="N119" s="15">
        <f>COUNTIFS(FMECA_data!P:P, "Theoretical", FMECA_data!I:I,Table3[[#This Row],[HazardRisk_name]])</f>
        <v>0</v>
      </c>
      <c r="O119" s="15">
        <f>COUNTIFS(FMECA_data!P:P, "Observational", FMECA_data!I:I,Table3[[#This Row],[HazardRisk_name]])</f>
        <v>2</v>
      </c>
      <c r="P119" s="15">
        <f>COUNTIFS(FMECA_data!P:P, "Hybrid", FMECA_data!I:I,Table3[[#This Row],[HazardRisk_name]])</f>
        <v>0</v>
      </c>
      <c r="Q119" s="15">
        <f>COUNTIFS(FMECA_data!P:P, "Modelling", FMECA_data!I:I,Table3[[#This Row],[HazardRisk_name]])</f>
        <v>0</v>
      </c>
      <c r="R119" s="23">
        <f>COUNTIFS(FMECA[data_deficient], "Yes",FMECA[HazardRisk_name],Table3[[#This Row],[HazardRisk_name]])</f>
        <v>0</v>
      </c>
      <c r="S119" s="23">
        <f>(COUNTIFS(FMECA[availability], "Yes",FMECA[HazardRisk_name],Table3[[#This Row],[HazardRisk_name]])) + (COUNTIFS(FMECA[availability], "Available",FMECA[HazardRisk_name],Table3[[#This Row],[HazardRisk_name]]))</f>
        <v>0</v>
      </c>
      <c r="T119" s="23">
        <f>COUNTIFS(FMECA[RR], "VERY HIGH",FMECA[HazardRisk_name],Table3[[#This Row],[HazardRisk_name]])</f>
        <v>0</v>
      </c>
      <c r="U119" s="22">
        <f>Table3[[#This Row],[vh_count]]/Table3[[#This Row],[risk_counts]]</f>
        <v>0</v>
      </c>
      <c r="V119" s="23">
        <f>COUNTIFS(FMECA[RR], "HIGH",FMECA[HazardRisk_name],Table3[[#This Row],[HazardRisk_name]])</f>
        <v>0</v>
      </c>
      <c r="W119" s="22">
        <f>Table3[[#This Row],[h_count]]/Table3[[#This Row],[risk_counts]]</f>
        <v>0</v>
      </c>
      <c r="X119" s="23">
        <f>COUNTIFS(FMECA[RR], "MODERATE",FMECA[HazardRisk_name],Table3[[#This Row],[HazardRisk_name]])</f>
        <v>1</v>
      </c>
      <c r="Y119" s="22">
        <f>Table3[[#This Row],[m_count]]/Table3[[#This Row],[risk_counts]]</f>
        <v>0.5</v>
      </c>
      <c r="Z119" s="23">
        <f>COUNTIFS(FMECA[RR], "UNDETECTABLE",FMECA[HazardRisk_name],Table3[[#This Row],[HazardRisk_name]])</f>
        <v>1</v>
      </c>
      <c r="AA119" s="22">
        <f>Table3[[#This Row],[l_count]]/Table3[[#This Row],[risk_counts]]</f>
        <v>0.5</v>
      </c>
      <c r="AI119" s="16" t="str">
        <f>VLOOKUP(Table3[[#This Row],[HazardRisk_id]], categories[], 4, FALSE)</f>
        <v>Hazard</v>
      </c>
      <c r="AJ119" s="16">
        <f>(COUNTIFS(FMECA[availability], "Unknown",FMECA[HazardRisk_name],Table3[[#This Row],[HazardRisk_name]]))</f>
        <v>2</v>
      </c>
    </row>
    <row r="120" spans="1:36" ht="51" x14ac:dyDescent="0.2">
      <c r="A120" s="16" t="s">
        <v>2691</v>
      </c>
      <c r="B120" s="13" t="str">
        <f>VLOOKUP(Table3[[#This Row],[HazardRisk_id]], categories[], 5, FALSE)</f>
        <v>Human</v>
      </c>
      <c r="C120" s="14" t="str">
        <f>VLOOKUP(Table3[[#This Row],[HazardRisk_id]], categories[], 2, FALSE)</f>
        <v>Inadequate vessel maintenance</v>
      </c>
      <c r="D120" s="15" t="str">
        <f>VLOOKUP(Table3[[#This Row],[HazardRisk_id]], categories[], 3, FALSE)</f>
        <v>Neglecting maintence standards in place during voyagesmay result in an uncontrolled rease of substances or accidents due to mechanical failures. Neglecting standards exasterbates concerns such as vessel reliability and the safety of the crew onboard.</v>
      </c>
      <c r="E120" s="15">
        <f>COUNTIFS(FMECA[HazardRisk_name],Table3[[#This Row],[HazardRisk_name]])</f>
        <v>1</v>
      </c>
      <c r="F120" s="15">
        <f>SUMIFS(FMECA[probability_value], FMECA[HazardRisk_name], Table3[[#This Row],[HazardRisk_name]])</f>
        <v>3</v>
      </c>
      <c r="G120" s="15">
        <f>AVERAGEIFS(FMECA[probability_value],FMECA[HazardRisk_name],Table3[[#This Row],[HazardRisk_name]])</f>
        <v>3</v>
      </c>
      <c r="H120" s="15" cm="1">
        <f t="array" ref="H120">STDEVP(IF(FMECA[HazardRisk_name]=Table3[[#This Row],[HazardRisk_name]],FMECA[probability_value]))</f>
        <v>0</v>
      </c>
      <c r="I120" s="15">
        <f>SUMIFS(FMECA[consequence_value], FMECA[HazardRisk_name], Table3[[#This Row],[HazardRisk_name]])</f>
        <v>7</v>
      </c>
      <c r="J120" s="15">
        <f>AVERAGEIFS(FMECA[consequence_value],FMECA[HazardRisk_name],Table3[[#This Row],[HazardRisk_name]])</f>
        <v>7</v>
      </c>
      <c r="K120" s="15" cm="1">
        <f t="array" ref="K120">STDEVP(IF(FMECA[HazardRisk_name]=Table3[[#This Row],[HazardRisk_name]],FMECA[consequence_value]))</f>
        <v>0</v>
      </c>
      <c r="L120" s="23">
        <f>AVERAGEIFS(FMECA[Score],FMECA[HazardRisk_name],Table3[[#This Row],[HazardRisk_name]])</f>
        <v>21</v>
      </c>
      <c r="M120" s="23" cm="1">
        <f t="array" ref="M120">STDEVP(IF(FMECA[HazardRisk_name]=Table3[[#This Row],[HazardRisk_name]],FMECA[Score]))</f>
        <v>0</v>
      </c>
      <c r="N120" s="15">
        <f>COUNTIFS(FMECA_data!P:P, "Theoretical", FMECA_data!I:I,Table3[[#This Row],[HazardRisk_name]])</f>
        <v>0</v>
      </c>
      <c r="O120" s="15">
        <f>COUNTIFS(FMECA_data!P:P, "Observational", FMECA_data!I:I,Table3[[#This Row],[HazardRisk_name]])</f>
        <v>1</v>
      </c>
      <c r="P120" s="15">
        <f>COUNTIFS(FMECA_data!P:P, "Hybrid", FMECA_data!I:I,Table3[[#This Row],[HazardRisk_name]])</f>
        <v>0</v>
      </c>
      <c r="Q120" s="15">
        <f>COUNTIFS(FMECA_data!P:P, "Modelling", FMECA_data!I:I,Table3[[#This Row],[HazardRisk_name]])</f>
        <v>0</v>
      </c>
      <c r="R120" s="23">
        <f>COUNTIFS(FMECA[data_deficient], "Yes",FMECA[HazardRisk_name],Table3[[#This Row],[HazardRisk_name]])</f>
        <v>0</v>
      </c>
      <c r="S120" s="23">
        <f>(COUNTIFS(FMECA[availability], "Yes",FMECA[HazardRisk_name],Table3[[#This Row],[HazardRisk_name]])) + (COUNTIFS(FMECA[availability], "Available",FMECA[HazardRisk_name],Table3[[#This Row],[HazardRisk_name]]))</f>
        <v>0</v>
      </c>
      <c r="T120" s="23">
        <f>COUNTIFS(FMECA[RR], "VERY HIGH",FMECA[HazardRisk_name],Table3[[#This Row],[HazardRisk_name]])</f>
        <v>0</v>
      </c>
      <c r="U120" s="22">
        <f>Table3[[#This Row],[vh_count]]/Table3[[#This Row],[risk_counts]]</f>
        <v>0</v>
      </c>
      <c r="V120" s="23">
        <f>COUNTIFS(FMECA[RR], "HIGH",FMECA[HazardRisk_name],Table3[[#This Row],[HazardRisk_name]])</f>
        <v>0</v>
      </c>
      <c r="W120" s="22">
        <f>Table3[[#This Row],[h_count]]/Table3[[#This Row],[risk_counts]]</f>
        <v>0</v>
      </c>
      <c r="X120" s="23">
        <f>COUNTIFS(FMECA[RR], "MODERATE",FMECA[HazardRisk_name],Table3[[#This Row],[HazardRisk_name]])</f>
        <v>1</v>
      </c>
      <c r="Y120" s="22">
        <f>Table3[[#This Row],[m_count]]/Table3[[#This Row],[risk_counts]]</f>
        <v>1</v>
      </c>
      <c r="Z120" s="23">
        <f>COUNTIFS(FMECA[RR], "UNDETECTABLE",FMECA[HazardRisk_name],Table3[[#This Row],[HazardRisk_name]])</f>
        <v>0</v>
      </c>
      <c r="AA120" s="22">
        <f>Table3[[#This Row],[l_count]]/Table3[[#This Row],[risk_counts]]</f>
        <v>0</v>
      </c>
      <c r="AI120" s="16" t="str">
        <f>VLOOKUP(Table3[[#This Row],[HazardRisk_id]], categories[], 4, FALSE)</f>
        <v>Hazard</v>
      </c>
      <c r="AJ120" s="16">
        <f>(COUNTIFS(FMECA[availability], "Unknown",FMECA[HazardRisk_name],Table3[[#This Row],[HazardRisk_name]]))</f>
        <v>1</v>
      </c>
    </row>
    <row r="121" spans="1:36" ht="51" x14ac:dyDescent="0.2">
      <c r="A121" s="16" t="s">
        <v>2692</v>
      </c>
      <c r="B121" s="13" t="str">
        <f>VLOOKUP(Table3[[#This Row],[HazardRisk_id]], categories[], 5, FALSE)</f>
        <v>Social</v>
      </c>
      <c r="C121" s="14" t="str">
        <f>VLOOKUP(Table3[[#This Row],[HazardRisk_id]], categories[], 2, FALSE)</f>
        <v>Innaproporeate tourist behavior</v>
      </c>
      <c r="D121" s="15" t="str">
        <f>VLOOKUP(Table3[[#This Row],[HazardRisk_id]], categories[], 3, FALSE)</f>
        <v>Tourist activites may create disruption ot both local residents and the natural environment, creating potential conflicts with indigenous communities, legal concerns, and local environmental damage.</v>
      </c>
      <c r="E121" s="15">
        <f>COUNTIFS(FMECA[HazardRisk_name],Table3[[#This Row],[HazardRisk_name]])</f>
        <v>2</v>
      </c>
      <c r="F121" s="15">
        <f>SUMIFS(FMECA[probability_value], FMECA[HazardRisk_name], Table3[[#This Row],[HazardRisk_name]])</f>
        <v>8</v>
      </c>
      <c r="G121" s="15">
        <f>AVERAGEIFS(FMECA[probability_value],FMECA[HazardRisk_name],Table3[[#This Row],[HazardRisk_name]])</f>
        <v>4</v>
      </c>
      <c r="H121" s="15" cm="1">
        <f t="array" ref="H121">STDEVP(IF(FMECA[HazardRisk_name]=Table3[[#This Row],[HazardRisk_name]],FMECA[probability_value]))</f>
        <v>0</v>
      </c>
      <c r="I121" s="15">
        <f>SUMIFS(FMECA[consequence_value], FMECA[HazardRisk_name], Table3[[#This Row],[HazardRisk_name]])</f>
        <v>11</v>
      </c>
      <c r="J121" s="15">
        <f>AVERAGEIFS(FMECA[consequence_value],FMECA[HazardRisk_name],Table3[[#This Row],[HazardRisk_name]])</f>
        <v>5.5</v>
      </c>
      <c r="K121" s="15" cm="1">
        <f t="array" ref="K121">STDEVP(IF(FMECA[HazardRisk_name]=Table3[[#This Row],[HazardRisk_name]],FMECA[consequence_value]))</f>
        <v>1.5</v>
      </c>
      <c r="L121" s="23">
        <f>AVERAGEIFS(FMECA[Score],FMECA[HazardRisk_name],Table3[[#This Row],[HazardRisk_name]])</f>
        <v>22</v>
      </c>
      <c r="M121" s="23" cm="1">
        <f t="array" ref="M121">STDEVP(IF(FMECA[HazardRisk_name]=Table3[[#This Row],[HazardRisk_name]],FMECA[Score]))</f>
        <v>6</v>
      </c>
      <c r="N121" s="15">
        <f>COUNTIFS(FMECA_data!P:P, "Theoretical", FMECA_data!I:I,Table3[[#This Row],[HazardRisk_name]])</f>
        <v>0</v>
      </c>
      <c r="O121" s="15">
        <f>COUNTIFS(FMECA_data!P:P, "Observational", FMECA_data!I:I,Table3[[#This Row],[HazardRisk_name]])</f>
        <v>1</v>
      </c>
      <c r="P121" s="15">
        <f>COUNTIFS(FMECA_data!P:P, "Hybrid", FMECA_data!I:I,Table3[[#This Row],[HazardRisk_name]])</f>
        <v>1</v>
      </c>
      <c r="Q121" s="15">
        <f>COUNTIFS(FMECA_data!P:P, "Modelling", FMECA_data!I:I,Table3[[#This Row],[HazardRisk_name]])</f>
        <v>0</v>
      </c>
      <c r="R121" s="23">
        <f>COUNTIFS(FMECA[data_deficient], "Yes",FMECA[HazardRisk_name],Table3[[#This Row],[HazardRisk_name]])</f>
        <v>0</v>
      </c>
      <c r="S121" s="23">
        <f>(COUNTIFS(FMECA[availability], "Yes",FMECA[HazardRisk_name],Table3[[#This Row],[HazardRisk_name]])) + (COUNTIFS(FMECA[availability], "Available",FMECA[HazardRisk_name],Table3[[#This Row],[HazardRisk_name]]))</f>
        <v>2</v>
      </c>
      <c r="T121" s="23">
        <f>COUNTIFS(FMECA[RR], "VERY HIGH",FMECA[HazardRisk_name],Table3[[#This Row],[HazardRisk_name]])</f>
        <v>0</v>
      </c>
      <c r="U121" s="22">
        <f>Table3[[#This Row],[vh_count]]/Table3[[#This Row],[risk_counts]]</f>
        <v>0</v>
      </c>
      <c r="V121" s="23">
        <f>COUNTIFS(FMECA[RR], "HIGH",FMECA[HazardRisk_name],Table3[[#This Row],[HazardRisk_name]])</f>
        <v>1</v>
      </c>
      <c r="W121" s="22">
        <f>Table3[[#This Row],[h_count]]/Table3[[#This Row],[risk_counts]]</f>
        <v>0.5</v>
      </c>
      <c r="X121" s="23">
        <f>COUNTIFS(FMECA[RR], "MODERATE",FMECA[HazardRisk_name],Table3[[#This Row],[HazardRisk_name]])</f>
        <v>1</v>
      </c>
      <c r="Y121" s="22">
        <f>Table3[[#This Row],[m_count]]/Table3[[#This Row],[risk_counts]]</f>
        <v>0.5</v>
      </c>
      <c r="Z121" s="23">
        <f>COUNTIFS(FMECA[RR], "UNDETECTABLE",FMECA[HazardRisk_name],Table3[[#This Row],[HazardRisk_name]])</f>
        <v>0</v>
      </c>
      <c r="AA121" s="22">
        <f>Table3[[#This Row],[l_count]]/Table3[[#This Row],[risk_counts]]</f>
        <v>0</v>
      </c>
      <c r="AI121" s="16" t="str">
        <f>VLOOKUP(Table3[[#This Row],[HazardRisk_id]], categories[], 4, FALSE)</f>
        <v>Hazard</v>
      </c>
      <c r="AJ121" s="16">
        <f>(COUNTIFS(FMECA[availability], "Unknown",FMECA[HazardRisk_name],Table3[[#This Row],[HazardRisk_name]]))</f>
        <v>0</v>
      </c>
    </row>
    <row r="122" spans="1:36" ht="51" x14ac:dyDescent="0.2">
      <c r="A122" s="16" t="s">
        <v>2693</v>
      </c>
      <c r="B122" s="13" t="str">
        <f>VLOOKUP(Table3[[#This Row],[HazardRisk_id]], categories[], 5, FALSE)</f>
        <v>Operational</v>
      </c>
      <c r="C122" s="14" t="str">
        <f>VLOOKUP(Table3[[#This Row],[HazardRisk_id]], categories[], 2, FALSE)</f>
        <v>Lack of icebreaking capability</v>
      </c>
      <c r="D122" s="15" t="str">
        <f>VLOOKUP(Table3[[#This Row],[HazardRisk_id]], categories[], 3, FALSE)</f>
        <v>The icebreaker lacks the power to move forward due to the limited ability to break through the ice, creating a sudden brake in the current environment, this will create delays and blockages within the navigational pathway.</v>
      </c>
      <c r="E122" s="15">
        <f>COUNTIFS(FMECA[HazardRisk_name],Table3[[#This Row],[HazardRisk_name]])</f>
        <v>4</v>
      </c>
      <c r="F122" s="15">
        <f>SUMIFS(FMECA[probability_value], FMECA[HazardRisk_name], Table3[[#This Row],[HazardRisk_name]])</f>
        <v>16</v>
      </c>
      <c r="G122" s="15">
        <f>AVERAGEIFS(FMECA[probability_value],FMECA[HazardRisk_name],Table3[[#This Row],[HazardRisk_name]])</f>
        <v>4</v>
      </c>
      <c r="H122" s="15" cm="1">
        <f t="array" ref="H122">STDEVP(IF(FMECA[HazardRisk_name]=Table3[[#This Row],[HazardRisk_name]],FMECA[probability_value]))</f>
        <v>0</v>
      </c>
      <c r="I122" s="15">
        <f>SUMIFS(FMECA[consequence_value], FMECA[HazardRisk_name], Table3[[#This Row],[HazardRisk_name]])</f>
        <v>31</v>
      </c>
      <c r="J122" s="15">
        <f>AVERAGEIFS(FMECA[consequence_value],FMECA[HazardRisk_name],Table3[[#This Row],[HazardRisk_name]])</f>
        <v>7.75</v>
      </c>
      <c r="K122" s="15" cm="1">
        <f t="array" ref="K122">STDEVP(IF(FMECA[HazardRisk_name]=Table3[[#This Row],[HazardRisk_name]],FMECA[consequence_value]))</f>
        <v>1.299038105676658</v>
      </c>
      <c r="L122" s="23">
        <f>AVERAGEIFS(FMECA[Score],FMECA[HazardRisk_name],Table3[[#This Row],[HazardRisk_name]])</f>
        <v>31</v>
      </c>
      <c r="M122" s="23" cm="1">
        <f t="array" ref="M122">STDEVP(IF(FMECA[HazardRisk_name]=Table3[[#This Row],[HazardRisk_name]],FMECA[Score]))</f>
        <v>5.196152422706632</v>
      </c>
      <c r="N122" s="15">
        <f>COUNTIFS(FMECA_data!P:P, "Theoretical", FMECA_data!I:I,Table3[[#This Row],[HazardRisk_name]])</f>
        <v>0</v>
      </c>
      <c r="O122" s="15">
        <f>COUNTIFS(FMECA_data!P:P, "Observational", FMECA_data!I:I,Table3[[#This Row],[HazardRisk_name]])</f>
        <v>2</v>
      </c>
      <c r="P122" s="15">
        <f>COUNTIFS(FMECA_data!P:P, "Hybrid", FMECA_data!I:I,Table3[[#This Row],[HazardRisk_name]])</f>
        <v>2</v>
      </c>
      <c r="Q122" s="15">
        <f>COUNTIFS(FMECA_data!P:P, "Modelling", FMECA_data!I:I,Table3[[#This Row],[HazardRisk_name]])</f>
        <v>0</v>
      </c>
      <c r="R122" s="23">
        <f>COUNTIFS(FMECA[data_deficient], "Yes",FMECA[HazardRisk_name],Table3[[#This Row],[HazardRisk_name]])</f>
        <v>0</v>
      </c>
      <c r="S122" s="23">
        <f>(COUNTIFS(FMECA[availability], "Yes",FMECA[HazardRisk_name],Table3[[#This Row],[HazardRisk_name]])) + (COUNTIFS(FMECA[availability], "Available",FMECA[HazardRisk_name],Table3[[#This Row],[HazardRisk_name]]))</f>
        <v>1</v>
      </c>
      <c r="T122" s="23">
        <f>COUNTIFS(FMECA[RR], "VERY HIGH",FMECA[HazardRisk_name],Table3[[#This Row],[HazardRisk_name]])</f>
        <v>1</v>
      </c>
      <c r="U122" s="22">
        <f>Table3[[#This Row],[vh_count]]/Table3[[#This Row],[risk_counts]]</f>
        <v>0.25</v>
      </c>
      <c r="V122" s="23">
        <f>COUNTIFS(FMECA[RR], "HIGH",FMECA[HazardRisk_name],Table3[[#This Row],[HazardRisk_name]])</f>
        <v>3</v>
      </c>
      <c r="W122" s="22">
        <f>Table3[[#This Row],[h_count]]/Table3[[#This Row],[risk_counts]]</f>
        <v>0.75</v>
      </c>
      <c r="X122" s="23">
        <f>COUNTIFS(FMECA[RR], "MODERATE",FMECA[HazardRisk_name],Table3[[#This Row],[HazardRisk_name]])</f>
        <v>0</v>
      </c>
      <c r="Y122" s="22">
        <f>Table3[[#This Row],[m_count]]/Table3[[#This Row],[risk_counts]]</f>
        <v>0</v>
      </c>
      <c r="Z122" s="23">
        <f>COUNTIFS(FMECA[RR], "UNDETECTABLE",FMECA[HazardRisk_name],Table3[[#This Row],[HazardRisk_name]])</f>
        <v>0</v>
      </c>
      <c r="AA122" s="22">
        <f>Table3[[#This Row],[l_count]]/Table3[[#This Row],[risk_counts]]</f>
        <v>0</v>
      </c>
      <c r="AI122" s="16" t="str">
        <f>VLOOKUP(Table3[[#This Row],[HazardRisk_id]], categories[], 4, FALSE)</f>
        <v>Hazard</v>
      </c>
      <c r="AJ122" s="16">
        <f>(COUNTIFS(FMECA[availability], "Unknown",FMECA[HazardRisk_name],Table3[[#This Row],[HazardRisk_name]]))</f>
        <v>3</v>
      </c>
    </row>
    <row r="123" spans="1:36" ht="51" x14ac:dyDescent="0.2">
      <c r="A123" s="16" t="s">
        <v>2694</v>
      </c>
      <c r="B123" s="13" t="str">
        <f>VLOOKUP(Table3[[#This Row],[HazardRisk_id]], categories[], 5, FALSE)</f>
        <v>Environmental</v>
      </c>
      <c r="C123" s="14" t="str">
        <f>VLOOKUP(Table3[[#This Row],[HazardRisk_id]], categories[], 2, FALSE)</f>
        <v>Low air temperature</v>
      </c>
      <c r="D123" s="15" t="str">
        <f>VLOOKUP(Table3[[#This Row],[HazardRisk_id]], categories[], 3, FALSE)</f>
        <v>Low air temperatures create environmets that exasterbate icy conditions and lowering efficiency by creating ideal conditions for engine failure, icing, and safety concerns for crew onboard.</v>
      </c>
      <c r="E123" s="15">
        <f>COUNTIFS(FMECA[HazardRisk_name],Table3[[#This Row],[HazardRisk_name]])</f>
        <v>4</v>
      </c>
      <c r="F123" s="15">
        <f>SUMIFS(FMECA[probability_value], FMECA[HazardRisk_name], Table3[[#This Row],[HazardRisk_name]])</f>
        <v>15</v>
      </c>
      <c r="G123" s="15">
        <f>AVERAGEIFS(FMECA[probability_value],FMECA[HazardRisk_name],Table3[[#This Row],[HazardRisk_name]])</f>
        <v>3.75</v>
      </c>
      <c r="H123" s="15" cm="1">
        <f t="array" ref="H123">STDEVP(IF(FMECA[HazardRisk_name]=Table3[[#This Row],[HazardRisk_name]],FMECA[probability_value]))</f>
        <v>0.4330127018922193</v>
      </c>
      <c r="I123" s="15">
        <f>SUMIFS(FMECA[consequence_value], FMECA[HazardRisk_name], Table3[[#This Row],[HazardRisk_name]])</f>
        <v>28</v>
      </c>
      <c r="J123" s="15">
        <f>AVERAGEIFS(FMECA[consequence_value],FMECA[HazardRisk_name],Table3[[#This Row],[HazardRisk_name]])</f>
        <v>7</v>
      </c>
      <c r="K123" s="15" cm="1">
        <f t="array" ref="K123">STDEVP(IF(FMECA[HazardRisk_name]=Table3[[#This Row],[HazardRisk_name]],FMECA[consequence_value]))</f>
        <v>0</v>
      </c>
      <c r="L123" s="23">
        <f>AVERAGEIFS(FMECA[Score],FMECA[HazardRisk_name],Table3[[#This Row],[HazardRisk_name]])</f>
        <v>26.25</v>
      </c>
      <c r="M123" s="23" cm="1">
        <f t="array" ref="M123">STDEVP(IF(FMECA[HazardRisk_name]=Table3[[#This Row],[HazardRisk_name]],FMECA[Score]))</f>
        <v>3.0310889132455352</v>
      </c>
      <c r="N123" s="15">
        <f>COUNTIFS(FMECA_data!P:P, "Theoretical", FMECA_data!I:I,Table3[[#This Row],[HazardRisk_name]])</f>
        <v>0</v>
      </c>
      <c r="O123" s="15">
        <f>COUNTIFS(FMECA_data!P:P, "Observational", FMECA_data!I:I,Table3[[#This Row],[HazardRisk_name]])</f>
        <v>3</v>
      </c>
      <c r="P123" s="15">
        <f>COUNTIFS(FMECA_data!P:P, "Hybrid", FMECA_data!I:I,Table3[[#This Row],[HazardRisk_name]])</f>
        <v>1</v>
      </c>
      <c r="Q123" s="15">
        <f>COUNTIFS(FMECA_data!P:P, "Modelling", FMECA_data!I:I,Table3[[#This Row],[HazardRisk_name]])</f>
        <v>0</v>
      </c>
      <c r="R123" s="23">
        <f>COUNTIFS(FMECA[data_deficient], "Yes",FMECA[HazardRisk_name],Table3[[#This Row],[HazardRisk_name]])</f>
        <v>0</v>
      </c>
      <c r="S123" s="23">
        <f>(COUNTIFS(FMECA[availability], "Yes",FMECA[HazardRisk_name],Table3[[#This Row],[HazardRisk_name]])) + (COUNTIFS(FMECA[availability], "Available",FMECA[HazardRisk_name],Table3[[#This Row],[HazardRisk_name]]))</f>
        <v>2</v>
      </c>
      <c r="T123" s="23">
        <f>COUNTIFS(FMECA[RR], "VERY HIGH",FMECA[HazardRisk_name],Table3[[#This Row],[HazardRisk_name]])</f>
        <v>0</v>
      </c>
      <c r="U123" s="22">
        <f>Table3[[#This Row],[vh_count]]/Table3[[#This Row],[risk_counts]]</f>
        <v>0</v>
      </c>
      <c r="V123" s="23">
        <f>COUNTIFS(FMECA[RR], "HIGH",FMECA[HazardRisk_name],Table3[[#This Row],[HazardRisk_name]])</f>
        <v>3</v>
      </c>
      <c r="W123" s="22">
        <f>Table3[[#This Row],[h_count]]/Table3[[#This Row],[risk_counts]]</f>
        <v>0.75</v>
      </c>
      <c r="X123" s="23">
        <f>COUNTIFS(FMECA[RR], "MODERATE",FMECA[HazardRisk_name],Table3[[#This Row],[HazardRisk_name]])</f>
        <v>1</v>
      </c>
      <c r="Y123" s="22">
        <f>Table3[[#This Row],[m_count]]/Table3[[#This Row],[risk_counts]]</f>
        <v>0.25</v>
      </c>
      <c r="Z123" s="23">
        <f>COUNTIFS(FMECA[RR], "UNDETECTABLE",FMECA[HazardRisk_name],Table3[[#This Row],[HazardRisk_name]])</f>
        <v>0</v>
      </c>
      <c r="AA123" s="22">
        <f>Table3[[#This Row],[l_count]]/Table3[[#This Row],[risk_counts]]</f>
        <v>0</v>
      </c>
      <c r="AI123" s="16" t="str">
        <f>VLOOKUP(Table3[[#This Row],[HazardRisk_id]], categories[], 4, FALSE)</f>
        <v>Hazard</v>
      </c>
      <c r="AJ123" s="16">
        <f>(COUNTIFS(FMECA[availability], "Unknown",FMECA[HazardRisk_name],Table3[[#This Row],[HazardRisk_name]]))</f>
        <v>2</v>
      </c>
    </row>
    <row r="124" spans="1:36" ht="51" x14ac:dyDescent="0.2">
      <c r="A124" s="16" t="s">
        <v>2695</v>
      </c>
      <c r="B124" s="13" t="str">
        <f>VLOOKUP(Table3[[#This Row],[HazardRisk_id]], categories[], 5, FALSE)</f>
        <v>Environmental</v>
      </c>
      <c r="C124" s="14" t="str">
        <f>VLOOKUP(Table3[[#This Row],[HazardRisk_id]], categories[], 2, FALSE)</f>
        <v>Low visibility</v>
      </c>
      <c r="D124" s="15" t="str">
        <f>VLOOKUP(Table3[[#This Row],[HazardRisk_id]], categories[], 3, FALSE)</f>
        <v>Environmental conditions such as fog and snowy conditions create conditions for low visibility, increasing the risk of accidents such as collisions, groundings, and navigation errors to occur.</v>
      </c>
      <c r="E124" s="15">
        <f>COUNTIFS(FMECA[HazardRisk_name],Table3[[#This Row],[HazardRisk_name]])</f>
        <v>8</v>
      </c>
      <c r="F124" s="15">
        <f>SUMIFS(FMECA[probability_value], FMECA[HazardRisk_name], Table3[[#This Row],[HazardRisk_name]])</f>
        <v>33</v>
      </c>
      <c r="G124" s="15">
        <f>AVERAGEIFS(FMECA[probability_value],FMECA[HazardRisk_name],Table3[[#This Row],[HazardRisk_name]])</f>
        <v>4.125</v>
      </c>
      <c r="H124" s="15" cm="1">
        <f t="array" ref="H124">STDEVP(IF(FMECA[HazardRisk_name]=Table3[[#This Row],[HazardRisk_name]],FMECA[probability_value]))</f>
        <v>0.92702481088695787</v>
      </c>
      <c r="I124" s="15">
        <f>SUMIFS(FMECA[consequence_value], FMECA[HazardRisk_name], Table3[[#This Row],[HazardRisk_name]])</f>
        <v>44</v>
      </c>
      <c r="J124" s="15">
        <f>AVERAGEIFS(FMECA[consequence_value],FMECA[HazardRisk_name],Table3[[#This Row],[HazardRisk_name]])</f>
        <v>5.5</v>
      </c>
      <c r="K124" s="15" cm="1">
        <f t="array" ref="K124">STDEVP(IF(FMECA[HazardRisk_name]=Table3[[#This Row],[HazardRisk_name]],FMECA[consequence_value]))</f>
        <v>1.5</v>
      </c>
      <c r="L124" s="23">
        <f>AVERAGEIFS(FMECA[Score],FMECA[HazardRisk_name],Table3[[#This Row],[HazardRisk_name]])</f>
        <v>22.5</v>
      </c>
      <c r="M124" s="23" cm="1">
        <f t="array" ref="M124">STDEVP(IF(FMECA[HazardRisk_name]=Table3[[#This Row],[HazardRisk_name]],FMECA[Score]))</f>
        <v>7.7620873481300121</v>
      </c>
      <c r="N124" s="15">
        <f>COUNTIFS(FMECA_data!P:P, "Theoretical", FMECA_data!I:I,Table3[[#This Row],[HazardRisk_name]])</f>
        <v>0</v>
      </c>
      <c r="O124" s="15">
        <f>COUNTIFS(FMECA_data!P:P, "Observational", FMECA_data!I:I,Table3[[#This Row],[HazardRisk_name]])</f>
        <v>6</v>
      </c>
      <c r="P124" s="15">
        <f>COUNTIFS(FMECA_data!P:P, "Hybrid", FMECA_data!I:I,Table3[[#This Row],[HazardRisk_name]])</f>
        <v>2</v>
      </c>
      <c r="Q124" s="15">
        <f>COUNTIFS(FMECA_data!P:P, "Modelling", FMECA_data!I:I,Table3[[#This Row],[HazardRisk_name]])</f>
        <v>0</v>
      </c>
      <c r="R124" s="23">
        <f>COUNTIFS(FMECA[data_deficient], "Yes",FMECA[HazardRisk_name],Table3[[#This Row],[HazardRisk_name]])</f>
        <v>0</v>
      </c>
      <c r="S124" s="23">
        <f>(COUNTIFS(FMECA[availability], "Yes",FMECA[HazardRisk_name],Table3[[#This Row],[HazardRisk_name]])) + (COUNTIFS(FMECA[availability], "Available",FMECA[HazardRisk_name],Table3[[#This Row],[HazardRisk_name]]))</f>
        <v>3</v>
      </c>
      <c r="T124" s="23">
        <f>COUNTIFS(FMECA[RR], "VERY HIGH",FMECA[HazardRisk_name],Table3[[#This Row],[HazardRisk_name]])</f>
        <v>0</v>
      </c>
      <c r="U124" s="22">
        <f>Table3[[#This Row],[vh_count]]/Table3[[#This Row],[risk_counts]]</f>
        <v>0</v>
      </c>
      <c r="V124" s="23">
        <f>COUNTIFS(FMECA[RR], "HIGH",FMECA[HazardRisk_name],Table3[[#This Row],[HazardRisk_name]])</f>
        <v>2</v>
      </c>
      <c r="W124" s="22">
        <f>Table3[[#This Row],[h_count]]/Table3[[#This Row],[risk_counts]]</f>
        <v>0.25</v>
      </c>
      <c r="X124" s="23">
        <f>COUNTIFS(FMECA[RR], "MODERATE",FMECA[HazardRisk_name],Table3[[#This Row],[HazardRisk_name]])</f>
        <v>6</v>
      </c>
      <c r="Y124" s="22">
        <f>Table3[[#This Row],[m_count]]/Table3[[#This Row],[risk_counts]]</f>
        <v>0.75</v>
      </c>
      <c r="Z124" s="23">
        <f>COUNTIFS(FMECA[RR], "UNDETECTABLE",FMECA[HazardRisk_name],Table3[[#This Row],[HazardRisk_name]])</f>
        <v>0</v>
      </c>
      <c r="AA124" s="22">
        <f>Table3[[#This Row],[l_count]]/Table3[[#This Row],[risk_counts]]</f>
        <v>0</v>
      </c>
      <c r="AI124" s="16" t="str">
        <f>VLOOKUP(Table3[[#This Row],[HazardRisk_id]], categories[], 4, FALSE)</f>
        <v>Hazard</v>
      </c>
      <c r="AJ124" s="16">
        <f>(COUNTIFS(FMECA[availability], "Unknown",FMECA[HazardRisk_name],Table3[[#This Row],[HazardRisk_name]]))</f>
        <v>5</v>
      </c>
    </row>
    <row r="125" spans="1:36" ht="68" x14ac:dyDescent="0.2">
      <c r="A125" s="16" t="s">
        <v>2696</v>
      </c>
      <c r="B125" s="13" t="str">
        <f>VLOOKUP(Table3[[#This Row],[HazardRisk_id]], categories[], 5, FALSE)</f>
        <v>Environmental</v>
      </c>
      <c r="C125" s="14" t="str">
        <f>VLOOKUP(Table3[[#This Row],[HazardRisk_id]], categories[], 2, FALSE)</f>
        <v>Marine mammal displacement due to noise</v>
      </c>
      <c r="D125" s="15" t="str">
        <f>VLOOKUP(Table3[[#This Row],[HazardRisk_id]], categories[], 3, FALSE)</f>
        <v>Underwater noise pollution emitted by vessels cause ecological disruption to marine species that communicate with underwater noise. This could pose threats of non-compliance due to ecological harms through deafing or damaging communication for marine species.</v>
      </c>
      <c r="E125" s="15">
        <f>COUNTIFS(FMECA[HazardRisk_name],Table3[[#This Row],[HazardRisk_name]])</f>
        <v>1</v>
      </c>
      <c r="F125" s="15">
        <f>SUMIFS(FMECA[probability_value], FMECA[HazardRisk_name], Table3[[#This Row],[HazardRisk_name]])</f>
        <v>3</v>
      </c>
      <c r="G125" s="15">
        <f>AVERAGEIFS(FMECA[probability_value],FMECA[HazardRisk_name],Table3[[#This Row],[HazardRisk_name]])</f>
        <v>3</v>
      </c>
      <c r="H125" s="15" cm="1">
        <f t="array" ref="H125">STDEVP(IF(FMECA[HazardRisk_name]=Table3[[#This Row],[HazardRisk_name]],FMECA[probability_value]))</f>
        <v>0</v>
      </c>
      <c r="I125" s="15">
        <f>SUMIFS(FMECA[consequence_value], FMECA[HazardRisk_name], Table3[[#This Row],[HazardRisk_name]])</f>
        <v>5</v>
      </c>
      <c r="J125" s="15">
        <f>AVERAGEIFS(FMECA[consequence_value],FMECA[HazardRisk_name],Table3[[#This Row],[HazardRisk_name]])</f>
        <v>5</v>
      </c>
      <c r="K125" s="15" cm="1">
        <f t="array" ref="K125">STDEVP(IF(FMECA[HazardRisk_name]=Table3[[#This Row],[HazardRisk_name]],FMECA[consequence_value]))</f>
        <v>0</v>
      </c>
      <c r="L125" s="23">
        <f>AVERAGEIFS(FMECA[Score],FMECA[HazardRisk_name],Table3[[#This Row],[HazardRisk_name]])</f>
        <v>15</v>
      </c>
      <c r="M125" s="23" cm="1">
        <f t="array" ref="M125">STDEVP(IF(FMECA[HazardRisk_name]=Table3[[#This Row],[HazardRisk_name]],FMECA[Score]))</f>
        <v>0</v>
      </c>
      <c r="N125" s="15">
        <f>COUNTIFS(FMECA_data!P:P, "Theoretical", FMECA_data!I:I,Table3[[#This Row],[HazardRisk_name]])</f>
        <v>1</v>
      </c>
      <c r="O125" s="15">
        <f>COUNTIFS(FMECA_data!P:P, "Observational", FMECA_data!I:I,Table3[[#This Row],[HazardRisk_name]])</f>
        <v>0</v>
      </c>
      <c r="P125" s="15">
        <f>COUNTIFS(FMECA_data!P:P, "Hybrid", FMECA_data!I:I,Table3[[#This Row],[HazardRisk_name]])</f>
        <v>0</v>
      </c>
      <c r="Q125" s="15">
        <f>COUNTIFS(FMECA_data!P:P, "Modelling", FMECA_data!I:I,Table3[[#This Row],[HazardRisk_name]])</f>
        <v>0</v>
      </c>
      <c r="R125" s="23">
        <f>COUNTIFS(FMECA[data_deficient], "Yes",FMECA[HazardRisk_name],Table3[[#This Row],[HazardRisk_name]])</f>
        <v>0</v>
      </c>
      <c r="S125" s="23">
        <f>(COUNTIFS(FMECA[availability], "Yes",FMECA[HazardRisk_name],Table3[[#This Row],[HazardRisk_name]])) + (COUNTIFS(FMECA[availability], "Available",FMECA[HazardRisk_name],Table3[[#This Row],[HazardRisk_name]]))</f>
        <v>0</v>
      </c>
      <c r="T125" s="23">
        <f>COUNTIFS(FMECA[RR], "VERY HIGH",FMECA[HazardRisk_name],Table3[[#This Row],[HazardRisk_name]])</f>
        <v>0</v>
      </c>
      <c r="U125" s="22">
        <f>Table3[[#This Row],[vh_count]]/Table3[[#This Row],[risk_counts]]</f>
        <v>0</v>
      </c>
      <c r="V125" s="23">
        <f>COUNTIFS(FMECA[RR], "HIGH",FMECA[HazardRisk_name],Table3[[#This Row],[HazardRisk_name]])</f>
        <v>0</v>
      </c>
      <c r="W125" s="22">
        <f>Table3[[#This Row],[h_count]]/Table3[[#This Row],[risk_counts]]</f>
        <v>0</v>
      </c>
      <c r="X125" s="23">
        <f>COUNTIFS(FMECA[RR], "MODERATE",FMECA[HazardRisk_name],Table3[[#This Row],[HazardRisk_name]])</f>
        <v>1</v>
      </c>
      <c r="Y125" s="22">
        <f>Table3[[#This Row],[m_count]]/Table3[[#This Row],[risk_counts]]</f>
        <v>1</v>
      </c>
      <c r="Z125" s="23">
        <f>COUNTIFS(FMECA[RR], "UNDETECTABLE",FMECA[HazardRisk_name],Table3[[#This Row],[HazardRisk_name]])</f>
        <v>0</v>
      </c>
      <c r="AA125" s="22">
        <f>Table3[[#This Row],[l_count]]/Table3[[#This Row],[risk_counts]]</f>
        <v>0</v>
      </c>
      <c r="AI125" s="16" t="str">
        <f>VLOOKUP(Table3[[#This Row],[HazardRisk_id]], categories[], 4, FALSE)</f>
        <v>Hazard</v>
      </c>
      <c r="AJ125" s="16">
        <f>(COUNTIFS(FMECA[availability], "Unknown",FMECA[HazardRisk_name],Table3[[#This Row],[HazardRisk_name]]))</f>
        <v>0</v>
      </c>
    </row>
    <row r="126" spans="1:36" ht="51" x14ac:dyDescent="0.2">
      <c r="A126" s="16" t="s">
        <v>2697</v>
      </c>
      <c r="B126" s="13" t="str">
        <f>VLOOKUP(Table3[[#This Row],[HazardRisk_id]], categories[], 5, FALSE)</f>
        <v>Operational</v>
      </c>
      <c r="C126" s="14" t="str">
        <f>VLOOKUP(Table3[[#This Row],[HazardRisk_id]], categories[], 2, FALSE)</f>
        <v>Mechanical failure</v>
      </c>
      <c r="D126" s="15" t="str">
        <f>VLOOKUP(Table3[[#This Row],[HazardRisk_id]], categories[], 3, FALSE)</f>
        <v>Mechanical failure due related to the control of the course (i.e. steering), anti-collision (i.e. features suc as ECDIS, ARPA), communicational aids, or other vessel features that aid in successfully powering the vessel.</v>
      </c>
      <c r="E126" s="15">
        <f>COUNTIFS(FMECA[HazardRisk_name],Table3[[#This Row],[HazardRisk_name]])</f>
        <v>5</v>
      </c>
      <c r="F126" s="15">
        <f>SUMIFS(FMECA[probability_value], FMECA[HazardRisk_name], Table3[[#This Row],[HazardRisk_name]])</f>
        <v>14</v>
      </c>
      <c r="G126" s="15">
        <f>AVERAGEIFS(FMECA[probability_value],FMECA[HazardRisk_name],Table3[[#This Row],[HazardRisk_name]])</f>
        <v>2.8</v>
      </c>
      <c r="H126" s="15" cm="1">
        <f t="array" ref="H126">STDEVP(IF(FMECA[HazardRisk_name]=Table3[[#This Row],[HazardRisk_name]],FMECA[probability_value]))</f>
        <v>1.6</v>
      </c>
      <c r="I126" s="15">
        <f>SUMIFS(FMECA[consequence_value], FMECA[HazardRisk_name], Table3[[#This Row],[HazardRisk_name]])</f>
        <v>35</v>
      </c>
      <c r="J126" s="15">
        <f>AVERAGEIFS(FMECA[consequence_value],FMECA[HazardRisk_name],Table3[[#This Row],[HazardRisk_name]])</f>
        <v>7</v>
      </c>
      <c r="K126" s="15" cm="1">
        <f t="array" ref="K126">STDEVP(IF(FMECA[HazardRisk_name]=Table3[[#This Row],[HazardRisk_name]],FMECA[consequence_value]))</f>
        <v>2.6832815729997477</v>
      </c>
      <c r="L126" s="23">
        <f>AVERAGEIFS(FMECA[Score],FMECA[HazardRisk_name],Table3[[#This Row],[HazardRisk_name]])</f>
        <v>16.600000000000001</v>
      </c>
      <c r="M126" s="23" cm="1">
        <f t="array" ref="M126">STDEVP(IF(FMECA[HazardRisk_name]=Table3[[#This Row],[HazardRisk_name]],FMECA[Score]))</f>
        <v>9.4572723340295113</v>
      </c>
      <c r="N126" s="15">
        <f>COUNTIFS(FMECA_data!P:P, "Theoretical", FMECA_data!I:I,Table3[[#This Row],[HazardRisk_name]])</f>
        <v>1</v>
      </c>
      <c r="O126" s="15">
        <f>COUNTIFS(FMECA_data!P:P, "Observational", FMECA_data!I:I,Table3[[#This Row],[HazardRisk_name]])</f>
        <v>3</v>
      </c>
      <c r="P126" s="15">
        <f>COUNTIFS(FMECA_data!P:P, "Hybrid", FMECA_data!I:I,Table3[[#This Row],[HazardRisk_name]])</f>
        <v>1</v>
      </c>
      <c r="Q126" s="15">
        <f>COUNTIFS(FMECA_data!P:P, "Modelling", FMECA_data!I:I,Table3[[#This Row],[HazardRisk_name]])</f>
        <v>0</v>
      </c>
      <c r="R126" s="23">
        <f>COUNTIFS(FMECA[data_deficient], "Yes",FMECA[HazardRisk_name],Table3[[#This Row],[HazardRisk_name]])</f>
        <v>0</v>
      </c>
      <c r="S126" s="23">
        <f>(COUNTIFS(FMECA[availability], "Yes",FMECA[HazardRisk_name],Table3[[#This Row],[HazardRisk_name]])) + (COUNTIFS(FMECA[availability], "Available",FMECA[HazardRisk_name],Table3[[#This Row],[HazardRisk_name]]))</f>
        <v>1</v>
      </c>
      <c r="T126" s="23">
        <f>COUNTIFS(FMECA[RR], "VERY HIGH",FMECA[HazardRisk_name],Table3[[#This Row],[HazardRisk_name]])</f>
        <v>0</v>
      </c>
      <c r="U126" s="22">
        <f>Table3[[#This Row],[vh_count]]/Table3[[#This Row],[risk_counts]]</f>
        <v>0</v>
      </c>
      <c r="V126" s="23">
        <f>COUNTIFS(FMECA[RR], "HIGH",FMECA[HazardRisk_name],Table3[[#This Row],[HazardRisk_name]])</f>
        <v>1</v>
      </c>
      <c r="W126" s="22">
        <f>Table3[[#This Row],[h_count]]/Table3[[#This Row],[risk_counts]]</f>
        <v>0.2</v>
      </c>
      <c r="X126" s="23">
        <f>COUNTIFS(FMECA[RR], "MODERATE",FMECA[HazardRisk_name],Table3[[#This Row],[HazardRisk_name]])</f>
        <v>4</v>
      </c>
      <c r="Y126" s="22">
        <f>Table3[[#This Row],[m_count]]/Table3[[#This Row],[risk_counts]]</f>
        <v>0.8</v>
      </c>
      <c r="Z126" s="23">
        <f>COUNTIFS(FMECA[RR], "UNDETECTABLE",FMECA[HazardRisk_name],Table3[[#This Row],[HazardRisk_name]])</f>
        <v>0</v>
      </c>
      <c r="AA126" s="22">
        <f>Table3[[#This Row],[l_count]]/Table3[[#This Row],[risk_counts]]</f>
        <v>0</v>
      </c>
      <c r="AI126" s="16" t="str">
        <f>VLOOKUP(Table3[[#This Row],[HazardRisk_id]], categories[], 4, FALSE)</f>
        <v>Hazard</v>
      </c>
      <c r="AJ126" s="16">
        <f>(COUNTIFS(FMECA[availability], "Unknown",FMECA[HazardRisk_name],Table3[[#This Row],[HazardRisk_name]]))</f>
        <v>3</v>
      </c>
    </row>
    <row r="127" spans="1:36" ht="34" x14ac:dyDescent="0.2">
      <c r="A127" s="16" t="s">
        <v>2698</v>
      </c>
      <c r="B127" s="13" t="str">
        <f>VLOOKUP(Table3[[#This Row],[HazardRisk_id]], categories[], 5, FALSE)</f>
        <v>Pollutants</v>
      </c>
      <c r="C127" s="14" t="str">
        <f>VLOOKUP(Table3[[#This Row],[HazardRisk_id]], categories[], 2, FALSE)</f>
        <v>Methane emissions</v>
      </c>
      <c r="D127" s="15" t="str">
        <f>VLOOKUP(Table3[[#This Row],[HazardRisk_id]], categories[], 3, FALSE)</f>
        <v>Vessels that emit methane during travel perpetuate cliamte change and ecological degration of the Arctic environment.</v>
      </c>
      <c r="E127" s="15">
        <f>COUNTIFS(FMECA[HazardRisk_name],Table3[[#This Row],[HazardRisk_name]])</f>
        <v>3</v>
      </c>
      <c r="F127" s="15">
        <f>SUMIFS(FMECA[probability_value], FMECA[HazardRisk_name], Table3[[#This Row],[HazardRisk_name]])</f>
        <v>10</v>
      </c>
      <c r="G127" s="15">
        <f>AVERAGEIFS(FMECA[probability_value],FMECA[HazardRisk_name],Table3[[#This Row],[HazardRisk_name]])</f>
        <v>3.3333333333333335</v>
      </c>
      <c r="H127" s="15" cm="1">
        <f t="array" ref="H127">STDEVP(IF(FMECA[HazardRisk_name]=Table3[[#This Row],[HazardRisk_name]],FMECA[probability_value]))</f>
        <v>0.47140452079103168</v>
      </c>
      <c r="I127" s="15">
        <f>SUMIFS(FMECA[consequence_value], FMECA[HazardRisk_name], Table3[[#This Row],[HazardRisk_name]])</f>
        <v>27</v>
      </c>
      <c r="J127" s="15">
        <f>AVERAGEIFS(FMECA[consequence_value],FMECA[HazardRisk_name],Table3[[#This Row],[HazardRisk_name]])</f>
        <v>9</v>
      </c>
      <c r="K127" s="15" cm="1">
        <f t="array" ref="K127">STDEVP(IF(FMECA[HazardRisk_name]=Table3[[#This Row],[HazardRisk_name]],FMECA[consequence_value]))</f>
        <v>1.4142135623730951</v>
      </c>
      <c r="L127" s="23">
        <f>AVERAGEIFS(FMECA[Score],FMECA[HazardRisk_name],Table3[[#This Row],[HazardRisk_name]])</f>
        <v>30.333333333333332</v>
      </c>
      <c r="M127" s="23" cm="1">
        <f t="array" ref="M127">STDEVP(IF(FMECA[HazardRisk_name]=Table3[[#This Row],[HazardRisk_name]],FMECA[Score]))</f>
        <v>7.7602978178818773</v>
      </c>
      <c r="N127" s="15">
        <f>COUNTIFS(FMECA_data!P:P, "Theoretical", FMECA_data!I:I,Table3[[#This Row],[HazardRisk_name]])</f>
        <v>1</v>
      </c>
      <c r="O127" s="15">
        <f>COUNTIFS(FMECA_data!P:P, "Observational", FMECA_data!I:I,Table3[[#This Row],[HazardRisk_name]])</f>
        <v>1</v>
      </c>
      <c r="P127" s="15">
        <f>COUNTIFS(FMECA_data!P:P, "Hybrid", FMECA_data!I:I,Table3[[#This Row],[HazardRisk_name]])</f>
        <v>1</v>
      </c>
      <c r="Q127" s="15">
        <f>COUNTIFS(FMECA_data!P:P, "Modelling", FMECA_data!I:I,Table3[[#This Row],[HazardRisk_name]])</f>
        <v>0</v>
      </c>
      <c r="R127" s="23">
        <f>COUNTIFS(FMECA[data_deficient], "Yes",FMECA[HazardRisk_name],Table3[[#This Row],[HazardRisk_name]])</f>
        <v>1</v>
      </c>
      <c r="S127" s="23">
        <f>(COUNTIFS(FMECA[availability], "Yes",FMECA[HazardRisk_name],Table3[[#This Row],[HazardRisk_name]])) + (COUNTIFS(FMECA[availability], "Available",FMECA[HazardRisk_name],Table3[[#This Row],[HazardRisk_name]]))</f>
        <v>1</v>
      </c>
      <c r="T127" s="23">
        <f>COUNTIFS(FMECA[RR], "VERY HIGH",FMECA[HazardRisk_name],Table3[[#This Row],[HazardRisk_name]])</f>
        <v>1</v>
      </c>
      <c r="U127" s="22">
        <f>Table3[[#This Row],[vh_count]]/Table3[[#This Row],[risk_counts]]</f>
        <v>0.33333333333333331</v>
      </c>
      <c r="V127" s="23">
        <f>COUNTIFS(FMECA[RR], "HIGH",FMECA[HazardRisk_name],Table3[[#This Row],[HazardRisk_name]])</f>
        <v>1</v>
      </c>
      <c r="W127" s="22">
        <f>Table3[[#This Row],[h_count]]/Table3[[#This Row],[risk_counts]]</f>
        <v>0.33333333333333331</v>
      </c>
      <c r="X127" s="23">
        <f>COUNTIFS(FMECA[RR], "MODERATE",FMECA[HazardRisk_name],Table3[[#This Row],[HazardRisk_name]])</f>
        <v>1</v>
      </c>
      <c r="Y127" s="22">
        <f>Table3[[#This Row],[m_count]]/Table3[[#This Row],[risk_counts]]</f>
        <v>0.33333333333333331</v>
      </c>
      <c r="Z127" s="23">
        <f>COUNTIFS(FMECA[RR], "UNDETECTABLE",FMECA[HazardRisk_name],Table3[[#This Row],[HazardRisk_name]])</f>
        <v>0</v>
      </c>
      <c r="AA127" s="22">
        <f>Table3[[#This Row],[l_count]]/Table3[[#This Row],[risk_counts]]</f>
        <v>0</v>
      </c>
      <c r="AI127" s="16" t="str">
        <f>VLOOKUP(Table3[[#This Row],[HazardRisk_id]], categories[], 4, FALSE)</f>
        <v>Hazard</v>
      </c>
      <c r="AJ127" s="16">
        <f>(COUNTIFS(FMECA[availability], "Unknown",FMECA[HazardRisk_name],Table3[[#This Row],[HazardRisk_name]]))</f>
        <v>1</v>
      </c>
    </row>
    <row r="128" spans="1:36" ht="34" x14ac:dyDescent="0.2">
      <c r="A128" s="16" t="s">
        <v>2699</v>
      </c>
      <c r="B128" s="13" t="str">
        <f>VLOOKUP(Table3[[#This Row],[HazardRisk_id]], categories[], 5, FALSE)</f>
        <v>Sea Ice</v>
      </c>
      <c r="C128" s="14" t="str">
        <f>VLOOKUP(Table3[[#This Row],[HazardRisk_id]], categories[], 2, FALSE)</f>
        <v>Multi-year sea ice</v>
      </c>
      <c r="D128" s="15" t="str">
        <f>VLOOKUP(Table3[[#This Row],[HazardRisk_id]], categories[], 3, FALSE)</f>
        <v>Multi-year sea ice is thicker than first-year sea ice, being a minimum of 2 meters in thickness.</v>
      </c>
      <c r="E128" s="15">
        <f>COUNTIFS(FMECA[HazardRisk_name],Table3[[#This Row],[HazardRisk_name]])</f>
        <v>13</v>
      </c>
      <c r="F128" s="15">
        <f>SUMIFS(FMECA[probability_value], FMECA[HazardRisk_name], Table3[[#This Row],[HazardRisk_name]])</f>
        <v>52</v>
      </c>
      <c r="G128" s="15">
        <f>AVERAGEIFS(FMECA[probability_value],FMECA[HazardRisk_name],Table3[[#This Row],[HazardRisk_name]])</f>
        <v>4</v>
      </c>
      <c r="H128" s="15" cm="1">
        <f t="array" ref="H128">STDEVP(IF(FMECA[HazardRisk_name]=Table3[[#This Row],[HazardRisk_name]],FMECA[probability_value]))</f>
        <v>0.67936622048675743</v>
      </c>
      <c r="I128" s="15">
        <f>SUMIFS(FMECA[consequence_value], FMECA[HazardRisk_name], Table3[[#This Row],[HazardRisk_name]])</f>
        <v>118</v>
      </c>
      <c r="J128" s="15">
        <f>AVERAGEIFS(FMECA[consequence_value],FMECA[HazardRisk_name],Table3[[#This Row],[HazardRisk_name]])</f>
        <v>9.0769230769230766</v>
      </c>
      <c r="K128" s="15" cm="1">
        <f t="array" ref="K128">STDEVP(IF(FMECA[HazardRisk_name]=Table3[[#This Row],[HazardRisk_name]],FMECA[consequence_value]))</f>
        <v>1.3846153846153846</v>
      </c>
      <c r="L128" s="23">
        <f>AVERAGEIFS(FMECA[Score],FMECA[HazardRisk_name],Table3[[#This Row],[HazardRisk_name]])</f>
        <v>36.07692307692308</v>
      </c>
      <c r="M128" s="23" cm="1">
        <f t="array" ref="M128">STDEVP(IF(FMECA[HazardRisk_name]=Table3[[#This Row],[HazardRisk_name]],FMECA[Score]))</f>
        <v>7.6305210877767662</v>
      </c>
      <c r="N128" s="15">
        <f>COUNTIFS(FMECA_data!P:P, "Theoretical", FMECA_data!I:I,Table3[[#This Row],[HazardRisk_name]])</f>
        <v>1</v>
      </c>
      <c r="O128" s="15">
        <f>COUNTIFS(FMECA_data!P:P, "Observational", FMECA_data!I:I,Table3[[#This Row],[HazardRisk_name]])</f>
        <v>9</v>
      </c>
      <c r="P128" s="15">
        <f>COUNTIFS(FMECA_data!P:P, "Hybrid", FMECA_data!I:I,Table3[[#This Row],[HazardRisk_name]])</f>
        <v>1</v>
      </c>
      <c r="Q128" s="15">
        <f>COUNTIFS(FMECA_data!P:P, "Modelling", FMECA_data!I:I,Table3[[#This Row],[HazardRisk_name]])</f>
        <v>2</v>
      </c>
      <c r="R128" s="23">
        <f>COUNTIFS(FMECA[data_deficient], "Yes",FMECA[HazardRisk_name],Table3[[#This Row],[HazardRisk_name]])</f>
        <v>0</v>
      </c>
      <c r="S128" s="23">
        <f>(COUNTIFS(FMECA[availability], "Yes",FMECA[HazardRisk_name],Table3[[#This Row],[HazardRisk_name]])) + (COUNTIFS(FMECA[availability], "Available",FMECA[HazardRisk_name],Table3[[#This Row],[HazardRisk_name]]))</f>
        <v>8</v>
      </c>
      <c r="T128" s="23">
        <f>COUNTIFS(FMECA[RR], "VERY HIGH",FMECA[HazardRisk_name],Table3[[#This Row],[HazardRisk_name]])</f>
        <v>6</v>
      </c>
      <c r="U128" s="22">
        <f>Table3[[#This Row],[vh_count]]/Table3[[#This Row],[risk_counts]]</f>
        <v>0.46153846153846156</v>
      </c>
      <c r="V128" s="23">
        <f>COUNTIFS(FMECA[RR], "HIGH",FMECA[HazardRisk_name],Table3[[#This Row],[HazardRisk_name]])</f>
        <v>7</v>
      </c>
      <c r="W128" s="22">
        <f>Table3[[#This Row],[h_count]]/Table3[[#This Row],[risk_counts]]</f>
        <v>0.53846153846153844</v>
      </c>
      <c r="X128" s="23">
        <f>COUNTIFS(FMECA[RR], "MODERATE",FMECA[HazardRisk_name],Table3[[#This Row],[HazardRisk_name]])</f>
        <v>0</v>
      </c>
      <c r="Y128" s="22">
        <f>Table3[[#This Row],[m_count]]/Table3[[#This Row],[risk_counts]]</f>
        <v>0</v>
      </c>
      <c r="Z128" s="23">
        <f>COUNTIFS(FMECA[RR], "UNDETECTABLE",FMECA[HazardRisk_name],Table3[[#This Row],[HazardRisk_name]])</f>
        <v>0</v>
      </c>
      <c r="AA128" s="22">
        <f>Table3[[#This Row],[l_count]]/Table3[[#This Row],[risk_counts]]</f>
        <v>0</v>
      </c>
      <c r="AI128" s="16" t="str">
        <f>VLOOKUP(Table3[[#This Row],[HazardRisk_id]], categories[], 4, FALSE)</f>
        <v>Hazard</v>
      </c>
      <c r="AJ128" s="16">
        <f>(COUNTIFS(FMECA[availability], "Unknown",FMECA[HazardRisk_name],Table3[[#This Row],[HazardRisk_name]]))</f>
        <v>4</v>
      </c>
    </row>
    <row r="129" spans="1:36" ht="51" x14ac:dyDescent="0.2">
      <c r="A129" s="16" t="s">
        <v>2700</v>
      </c>
      <c r="B129" s="13" t="str">
        <f>VLOOKUP(Table3[[#This Row],[HazardRisk_id]], categories[], 5, FALSE)</f>
        <v>Technological</v>
      </c>
      <c r="C129" s="14" t="str">
        <f>VLOOKUP(Table3[[#This Row],[HazardRisk_id]], categories[], 2, FALSE)</f>
        <v>Navigational aids failure or error</v>
      </c>
      <c r="D129" s="15" t="str">
        <f>VLOOKUP(Table3[[#This Row],[HazardRisk_id]], categories[], 3, FALSE)</f>
        <v>Mechanical failure of communicational or navigational aids such as GPS and or mapping softwares have limitations such that they are unable to detect real-time threats and navigational challenges vessels may encounter.</v>
      </c>
      <c r="E129" s="15">
        <f>COUNTIFS(FMECA[HazardRisk_name],Table3[[#This Row],[HazardRisk_name]])</f>
        <v>12</v>
      </c>
      <c r="F129" s="15">
        <f>SUMIFS(FMECA[probability_value], FMECA[HazardRisk_name], Table3[[#This Row],[HazardRisk_name]])</f>
        <v>43</v>
      </c>
      <c r="G129" s="15">
        <f>AVERAGEIFS(FMECA[probability_value],FMECA[HazardRisk_name],Table3[[#This Row],[HazardRisk_name]])</f>
        <v>3.5833333333333335</v>
      </c>
      <c r="H129" s="15" cm="1">
        <f t="array" ref="H129">STDEVP(IF(FMECA[HazardRisk_name]=Table3[[#This Row],[HazardRisk_name]],FMECA[probability_value]))</f>
        <v>1.3202482931462383</v>
      </c>
      <c r="I129" s="15">
        <f>SUMIFS(FMECA[consequence_value], FMECA[HazardRisk_name], Table3[[#This Row],[HazardRisk_name]])</f>
        <v>79</v>
      </c>
      <c r="J129" s="15">
        <f>AVERAGEIFS(FMECA[consequence_value],FMECA[HazardRisk_name],Table3[[#This Row],[HazardRisk_name]])</f>
        <v>6.583333333333333</v>
      </c>
      <c r="K129" s="15" cm="1">
        <f t="array" ref="K129">STDEVP(IF(FMECA[HazardRisk_name]=Table3[[#This Row],[HazardRisk_name]],FMECA[consequence_value]))</f>
        <v>2.3258809561588105</v>
      </c>
      <c r="L129" s="23">
        <f>AVERAGEIFS(FMECA[Score],FMECA[HazardRisk_name],Table3[[#This Row],[HazardRisk_name]])</f>
        <v>23.083333333333332</v>
      </c>
      <c r="M129" s="23" cm="1">
        <f t="array" ref="M129">STDEVP(IF(FMECA[HazardRisk_name]=Table3[[#This Row],[HazardRisk_name]],FMECA[Score]))</f>
        <v>10.942717009753819</v>
      </c>
      <c r="N129" s="15">
        <f>COUNTIFS(FMECA_data!P:P, "Theoretical", FMECA_data!I:I,Table3[[#This Row],[HazardRisk_name]])</f>
        <v>1</v>
      </c>
      <c r="O129" s="15">
        <f>COUNTIFS(FMECA_data!P:P, "Observational", FMECA_data!I:I,Table3[[#This Row],[HazardRisk_name]])</f>
        <v>7</v>
      </c>
      <c r="P129" s="15">
        <f>COUNTIFS(FMECA_data!P:P, "Hybrid", FMECA_data!I:I,Table3[[#This Row],[HazardRisk_name]])</f>
        <v>3</v>
      </c>
      <c r="Q129" s="15">
        <f>COUNTIFS(FMECA_data!P:P, "Modelling", FMECA_data!I:I,Table3[[#This Row],[HazardRisk_name]])</f>
        <v>1</v>
      </c>
      <c r="R129" s="23">
        <f>COUNTIFS(FMECA[data_deficient], "Yes",FMECA[HazardRisk_name],Table3[[#This Row],[HazardRisk_name]])</f>
        <v>1</v>
      </c>
      <c r="S129" s="23">
        <f>(COUNTIFS(FMECA[availability], "Yes",FMECA[HazardRisk_name],Table3[[#This Row],[HazardRisk_name]])) + (COUNTIFS(FMECA[availability], "Available",FMECA[HazardRisk_name],Table3[[#This Row],[HazardRisk_name]]))</f>
        <v>5</v>
      </c>
      <c r="T129" s="23">
        <f>COUNTIFS(FMECA[RR], "VERY HIGH",FMECA[HazardRisk_name],Table3[[#This Row],[HazardRisk_name]])</f>
        <v>2</v>
      </c>
      <c r="U129" s="22">
        <f>Table3[[#This Row],[vh_count]]/Table3[[#This Row],[risk_counts]]</f>
        <v>0.16666666666666666</v>
      </c>
      <c r="V129" s="23">
        <f>COUNTIFS(FMECA[RR], "HIGH",FMECA[HazardRisk_name],Table3[[#This Row],[HazardRisk_name]])</f>
        <v>3</v>
      </c>
      <c r="W129" s="22">
        <f>Table3[[#This Row],[h_count]]/Table3[[#This Row],[risk_counts]]</f>
        <v>0.25</v>
      </c>
      <c r="X129" s="23">
        <f>COUNTIFS(FMECA[RR], "MODERATE",FMECA[HazardRisk_name],Table3[[#This Row],[HazardRisk_name]])</f>
        <v>6</v>
      </c>
      <c r="Y129" s="22">
        <f>Table3[[#This Row],[m_count]]/Table3[[#This Row],[risk_counts]]</f>
        <v>0.5</v>
      </c>
      <c r="Z129" s="23">
        <f>COUNTIFS(FMECA[RR], "UNDETECTABLE",FMECA[HazardRisk_name],Table3[[#This Row],[HazardRisk_name]])</f>
        <v>1</v>
      </c>
      <c r="AA129" s="22">
        <f>Table3[[#This Row],[l_count]]/Table3[[#This Row],[risk_counts]]</f>
        <v>8.3333333333333329E-2</v>
      </c>
      <c r="AI129" s="16" t="str">
        <f>VLOOKUP(Table3[[#This Row],[HazardRisk_id]], categories[], 4, FALSE)</f>
        <v>Hazard</v>
      </c>
      <c r="AJ129" s="16">
        <f>(COUNTIFS(FMECA[availability], "Unknown",FMECA[HazardRisk_name],Table3[[#This Row],[HazardRisk_name]]))</f>
        <v>6</v>
      </c>
    </row>
    <row r="130" spans="1:36" ht="34" x14ac:dyDescent="0.2">
      <c r="A130" s="16" t="s">
        <v>2701</v>
      </c>
      <c r="B130" s="13" t="str">
        <f>VLOOKUP(Table3[[#This Row],[HazardRisk_id]], categories[], 5, FALSE)</f>
        <v>Navigational</v>
      </c>
      <c r="C130" s="14" t="str">
        <f>VLOOKUP(Table3[[#This Row],[HazardRisk_id]], categories[], 2, FALSE)</f>
        <v>Navigational obstacles</v>
      </c>
      <c r="D130" s="15" t="str">
        <f>VLOOKUP(Table3[[#This Row],[HazardRisk_id]], categories[], 3, FALSE)</f>
        <v>Increased naviagational obstacles can create increased vessel accidents in the form of collisions, accidnts, and/or groundings causing enefficienies in Arctic travel.</v>
      </c>
      <c r="E130" s="15">
        <f>COUNTIFS(FMECA[HazardRisk_name],Table3[[#This Row],[HazardRisk_name]])</f>
        <v>5</v>
      </c>
      <c r="F130" s="15">
        <f>SUMIFS(FMECA[probability_value], FMECA[HazardRisk_name], Table3[[#This Row],[HazardRisk_name]])</f>
        <v>20</v>
      </c>
      <c r="G130" s="15">
        <f>AVERAGEIFS(FMECA[probability_value],FMECA[HazardRisk_name],Table3[[#This Row],[HazardRisk_name]])</f>
        <v>4</v>
      </c>
      <c r="H130" s="15" cm="1">
        <f t="array" ref="H130">STDEVP(IF(FMECA[HazardRisk_name]=Table3[[#This Row],[HazardRisk_name]],FMECA[probability_value]))</f>
        <v>0.63245553203367588</v>
      </c>
      <c r="I130" s="15">
        <f>SUMIFS(FMECA[consequence_value], FMECA[HazardRisk_name], Table3[[#This Row],[HazardRisk_name]])</f>
        <v>38</v>
      </c>
      <c r="J130" s="15">
        <f>AVERAGEIFS(FMECA[consequence_value],FMECA[HazardRisk_name],Table3[[#This Row],[HazardRisk_name]])</f>
        <v>7.6</v>
      </c>
      <c r="K130" s="15" cm="1">
        <f t="array" ref="K130">STDEVP(IF(FMECA[HazardRisk_name]=Table3[[#This Row],[HazardRisk_name]],FMECA[consequence_value]))</f>
        <v>2.2449944320643649</v>
      </c>
      <c r="L130" s="23">
        <f>AVERAGEIFS(FMECA[Score],FMECA[HazardRisk_name],Table3[[#This Row],[HazardRisk_name]])</f>
        <v>29.8</v>
      </c>
      <c r="M130" s="23" cm="1">
        <f t="array" ref="M130">STDEVP(IF(FMECA[HazardRisk_name]=Table3[[#This Row],[HazardRisk_name]],FMECA[Score]))</f>
        <v>8.7726848797845225</v>
      </c>
      <c r="N130" s="15">
        <f>COUNTIFS(FMECA_data!P:P, "Theoretical", FMECA_data!I:I,Table3[[#This Row],[HazardRisk_name]])</f>
        <v>0</v>
      </c>
      <c r="O130" s="15">
        <f>COUNTIFS(FMECA_data!P:P, "Observational", FMECA_data!I:I,Table3[[#This Row],[HazardRisk_name]])</f>
        <v>3</v>
      </c>
      <c r="P130" s="15">
        <f>COUNTIFS(FMECA_data!P:P, "Hybrid", FMECA_data!I:I,Table3[[#This Row],[HazardRisk_name]])</f>
        <v>2</v>
      </c>
      <c r="Q130" s="15">
        <f>COUNTIFS(FMECA_data!P:P, "Modelling", FMECA_data!I:I,Table3[[#This Row],[HazardRisk_name]])</f>
        <v>0</v>
      </c>
      <c r="R130" s="23">
        <f>COUNTIFS(FMECA[data_deficient], "Yes",FMECA[HazardRisk_name],Table3[[#This Row],[HazardRisk_name]])</f>
        <v>0</v>
      </c>
      <c r="S130" s="23">
        <f>(COUNTIFS(FMECA[availability], "Yes",FMECA[HazardRisk_name],Table3[[#This Row],[HazardRisk_name]])) + (COUNTIFS(FMECA[availability], "Available",FMECA[HazardRisk_name],Table3[[#This Row],[HazardRisk_name]]))</f>
        <v>4</v>
      </c>
      <c r="T130" s="23">
        <f>COUNTIFS(FMECA[RR], "VERY HIGH",FMECA[HazardRisk_name],Table3[[#This Row],[HazardRisk_name]])</f>
        <v>2</v>
      </c>
      <c r="U130" s="22">
        <f>Table3[[#This Row],[vh_count]]/Table3[[#This Row],[risk_counts]]</f>
        <v>0.4</v>
      </c>
      <c r="V130" s="23">
        <f>COUNTIFS(FMECA[RR], "HIGH",FMECA[HazardRisk_name],Table3[[#This Row],[HazardRisk_name]])</f>
        <v>1</v>
      </c>
      <c r="W130" s="22">
        <f>Table3[[#This Row],[h_count]]/Table3[[#This Row],[risk_counts]]</f>
        <v>0.2</v>
      </c>
      <c r="X130" s="23">
        <f>COUNTIFS(FMECA[RR], "MODERATE",FMECA[HazardRisk_name],Table3[[#This Row],[HazardRisk_name]])</f>
        <v>2</v>
      </c>
      <c r="Y130" s="22">
        <f>Table3[[#This Row],[m_count]]/Table3[[#This Row],[risk_counts]]</f>
        <v>0.4</v>
      </c>
      <c r="Z130" s="23">
        <f>COUNTIFS(FMECA[RR], "UNDETECTABLE",FMECA[HazardRisk_name],Table3[[#This Row],[HazardRisk_name]])</f>
        <v>0</v>
      </c>
      <c r="AA130" s="22">
        <f>Table3[[#This Row],[l_count]]/Table3[[#This Row],[risk_counts]]</f>
        <v>0</v>
      </c>
      <c r="AI130" s="16" t="str">
        <f>VLOOKUP(Table3[[#This Row],[HazardRisk_id]], categories[], 4, FALSE)</f>
        <v>Hazard</v>
      </c>
      <c r="AJ130" s="16">
        <f>(COUNTIFS(FMECA[availability], "Unknown",FMECA[HazardRisk_name],Table3[[#This Row],[HazardRisk_name]]))</f>
        <v>1</v>
      </c>
    </row>
    <row r="131" spans="1:36" ht="34" x14ac:dyDescent="0.2">
      <c r="A131" s="16" t="s">
        <v>2702</v>
      </c>
      <c r="B131" s="13" t="str">
        <f>VLOOKUP(Table3[[#This Row],[HazardRisk_id]], categories[], 5, FALSE)</f>
        <v>Pollutants</v>
      </c>
      <c r="C131" s="14" t="str">
        <f>VLOOKUP(Table3[[#This Row],[HazardRisk_id]], categories[], 2, FALSE)</f>
        <v>Oil spill (HFO)</v>
      </c>
      <c r="D131" s="15" t="str">
        <f>VLOOKUP(Table3[[#This Row],[HazardRisk_id]], categories[], 3, FALSE)</f>
        <v>An oil spill is the uncontrolled release of heavy fuel oil in a liquid state being deposited into the natural environment.</v>
      </c>
      <c r="E131" s="15">
        <f>COUNTIFS(FMECA[HazardRisk_name],Table3[[#This Row],[HazardRisk_name]])</f>
        <v>17</v>
      </c>
      <c r="F131" s="15">
        <f>SUMIFS(FMECA[probability_value], FMECA[HazardRisk_name], Table3[[#This Row],[HazardRisk_name]])</f>
        <v>44</v>
      </c>
      <c r="G131" s="15">
        <f>AVERAGEIFS(FMECA[probability_value],FMECA[HazardRisk_name],Table3[[#This Row],[HazardRisk_name]])</f>
        <v>2.75</v>
      </c>
      <c r="H131" s="15" cm="1">
        <f t="array" ref="H131">STDEVP(IF(FMECA[HazardRisk_name]=Table3[[#This Row],[HazardRisk_name]],FMECA[probability_value]))</f>
        <v>1.0323487514578966</v>
      </c>
      <c r="I131" s="15">
        <f>SUMIFS(FMECA[consequence_value], FMECA[HazardRisk_name], Table3[[#This Row],[HazardRisk_name]])</f>
        <v>145</v>
      </c>
      <c r="J131" s="15">
        <f>AVERAGEIFS(FMECA[consequence_value],FMECA[HazardRisk_name],Table3[[#This Row],[HazardRisk_name]])</f>
        <v>9.0625</v>
      </c>
      <c r="K131" s="15" cm="1">
        <f t="array" ref="K131">STDEVP(IF(FMECA[HazardRisk_name]=Table3[[#This Row],[HazardRisk_name]],FMECA[consequence_value]))</f>
        <v>2.5232483046502607</v>
      </c>
      <c r="L131" s="23">
        <f>AVERAGEIFS(FMECA[Score],FMECA[HazardRisk_name],Table3[[#This Row],[HazardRisk_name]])</f>
        <v>23.764705882352942</v>
      </c>
      <c r="M131" s="23" cm="1">
        <f t="array" ref="M131">STDEVP(IF(FMECA[HazardRisk_name]=Table3[[#This Row],[HazardRisk_name]],FMECA[Score]))</f>
        <v>10.756827718270552</v>
      </c>
      <c r="N131" s="15">
        <f>COUNTIFS(FMECA_data!P:P, "Theoretical", FMECA_data!I:I,Table3[[#This Row],[HazardRisk_name]])</f>
        <v>7</v>
      </c>
      <c r="O131" s="15">
        <f>COUNTIFS(FMECA_data!P:P, "Observational", FMECA_data!I:I,Table3[[#This Row],[HazardRisk_name]])</f>
        <v>6</v>
      </c>
      <c r="P131" s="15">
        <f>COUNTIFS(FMECA_data!P:P, "Hybrid", FMECA_data!I:I,Table3[[#This Row],[HazardRisk_name]])</f>
        <v>2</v>
      </c>
      <c r="Q131" s="15">
        <f>COUNTIFS(FMECA_data!P:P, "Modelling", FMECA_data!I:I,Table3[[#This Row],[HazardRisk_name]])</f>
        <v>2</v>
      </c>
      <c r="R131" s="23">
        <f>COUNTIFS(FMECA[data_deficient], "Yes",FMECA[HazardRisk_name],Table3[[#This Row],[HazardRisk_name]])</f>
        <v>3</v>
      </c>
      <c r="S131" s="23">
        <f>(COUNTIFS(FMECA[availability], "Yes",FMECA[HazardRisk_name],Table3[[#This Row],[HazardRisk_name]])) + (COUNTIFS(FMECA[availability], "Available",FMECA[HazardRisk_name],Table3[[#This Row],[HazardRisk_name]]))</f>
        <v>3</v>
      </c>
      <c r="T131" s="23">
        <f>COUNTIFS(FMECA[RR], "VERY HIGH",FMECA[HazardRisk_name],Table3[[#This Row],[HazardRisk_name]])</f>
        <v>1</v>
      </c>
      <c r="U131" s="22">
        <f>Table3[[#This Row],[vh_count]]/Table3[[#This Row],[risk_counts]]</f>
        <v>5.8823529411764705E-2</v>
      </c>
      <c r="V131" s="23">
        <f>COUNTIFS(FMECA[RR], "HIGH",FMECA[HazardRisk_name],Table3[[#This Row],[HazardRisk_name]])</f>
        <v>7</v>
      </c>
      <c r="W131" s="22">
        <f>Table3[[#This Row],[h_count]]/Table3[[#This Row],[risk_counts]]</f>
        <v>0.41176470588235292</v>
      </c>
      <c r="X131" s="23">
        <f>COUNTIFS(FMECA[RR], "MODERATE",FMECA[HazardRisk_name],Table3[[#This Row],[HazardRisk_name]])</f>
        <v>7</v>
      </c>
      <c r="Y131" s="22">
        <f>Table3[[#This Row],[m_count]]/Table3[[#This Row],[risk_counts]]</f>
        <v>0.41176470588235292</v>
      </c>
      <c r="Z131" s="23">
        <f>COUNTIFS(FMECA[RR], "UNDETECTABLE",FMECA[HazardRisk_name],Table3[[#This Row],[HazardRisk_name]])</f>
        <v>2</v>
      </c>
      <c r="AA131" s="22">
        <f>Table3[[#This Row],[l_count]]/Table3[[#This Row],[risk_counts]]</f>
        <v>0.11764705882352941</v>
      </c>
      <c r="AI131" s="16" t="str">
        <f>VLOOKUP(Table3[[#This Row],[HazardRisk_id]], categories[], 4, FALSE)</f>
        <v>Risk</v>
      </c>
      <c r="AJ131" s="16">
        <f>(COUNTIFS(FMECA[availability], "Unknown",FMECA[HazardRisk_name],Table3[[#This Row],[HazardRisk_name]]))</f>
        <v>7</v>
      </c>
    </row>
    <row r="132" spans="1:36" ht="51" x14ac:dyDescent="0.2">
      <c r="A132" s="16" t="s">
        <v>2703</v>
      </c>
      <c r="B132" s="13" t="str">
        <f>VLOOKUP(Table3[[#This Row],[HazardRisk_id]], categories[], 5, FALSE)</f>
        <v>Pollutants</v>
      </c>
      <c r="C132" s="14" t="str">
        <f>VLOOKUP(Table3[[#This Row],[HazardRisk_id]], categories[], 2, FALSE)</f>
        <v>Oil spills on ice</v>
      </c>
      <c r="D132" s="15" t="str">
        <f>VLOOKUP(Table3[[#This Row],[HazardRisk_id]], categories[], 3, FALSE)</f>
        <v>Oil spills on sea ice is a complex issue regarding cleanup and monitoring of ecological systems. Since sea ice constantly move, this increases monitoring difficulties, creating long-term damages to the environment.</v>
      </c>
      <c r="E132" s="15">
        <f>COUNTIFS(FMECA[HazardRisk_name],Table3[[#This Row],[HazardRisk_name]])</f>
        <v>2</v>
      </c>
      <c r="F132" s="15">
        <f>SUMIFS(FMECA[probability_value], FMECA[HazardRisk_name], Table3[[#This Row],[HazardRisk_name]])</f>
        <v>6</v>
      </c>
      <c r="G132" s="15">
        <f>AVERAGEIFS(FMECA[probability_value],FMECA[HazardRisk_name],Table3[[#This Row],[HazardRisk_name]])</f>
        <v>3</v>
      </c>
      <c r="H132" s="15" cm="1">
        <f t="array" ref="H132">STDEVP(IF(FMECA[HazardRisk_name]=Table3[[#This Row],[HazardRisk_name]],FMECA[probability_value]))</f>
        <v>1</v>
      </c>
      <c r="I132" s="15">
        <f>SUMIFS(FMECA[consequence_value], FMECA[HazardRisk_name], Table3[[#This Row],[HazardRisk_name]])</f>
        <v>17</v>
      </c>
      <c r="J132" s="15">
        <f>AVERAGEIFS(FMECA[consequence_value],FMECA[HazardRisk_name],Table3[[#This Row],[HazardRisk_name]])</f>
        <v>8.5</v>
      </c>
      <c r="K132" s="15" cm="1">
        <f t="array" ref="K132">STDEVP(IF(FMECA[HazardRisk_name]=Table3[[#This Row],[HazardRisk_name]],FMECA[consequence_value]))</f>
        <v>1.5</v>
      </c>
      <c r="L132" s="23">
        <f>AVERAGEIFS(FMECA[Score],FMECA[HazardRisk_name],Table3[[#This Row],[HazardRisk_name]])</f>
        <v>24</v>
      </c>
      <c r="M132" s="23" cm="1">
        <f t="array" ref="M132">STDEVP(IF(FMECA[HazardRisk_name]=Table3[[#This Row],[HazardRisk_name]],FMECA[Score]))</f>
        <v>4</v>
      </c>
      <c r="N132" s="15">
        <f>COUNTIFS(FMECA_data!P:P, "Theoretical", FMECA_data!I:I,Table3[[#This Row],[HazardRisk_name]])</f>
        <v>1</v>
      </c>
      <c r="O132" s="15">
        <f>COUNTIFS(FMECA_data!P:P, "Observational", FMECA_data!I:I,Table3[[#This Row],[HazardRisk_name]])</f>
        <v>1</v>
      </c>
      <c r="P132" s="15">
        <f>COUNTIFS(FMECA_data!P:P, "Hybrid", FMECA_data!I:I,Table3[[#This Row],[HazardRisk_name]])</f>
        <v>0</v>
      </c>
      <c r="Q132" s="15">
        <f>COUNTIFS(FMECA_data!P:P, "Modelling", FMECA_data!I:I,Table3[[#This Row],[HazardRisk_name]])</f>
        <v>0</v>
      </c>
      <c r="R132" s="23">
        <f>COUNTIFS(FMECA[data_deficient], "Yes",FMECA[HazardRisk_name],Table3[[#This Row],[HazardRisk_name]])</f>
        <v>1</v>
      </c>
      <c r="S132" s="23">
        <f>(COUNTIFS(FMECA[availability], "Yes",FMECA[HazardRisk_name],Table3[[#This Row],[HazardRisk_name]])) + (COUNTIFS(FMECA[availability], "Available",FMECA[HazardRisk_name],Table3[[#This Row],[HazardRisk_name]]))</f>
        <v>0</v>
      </c>
      <c r="T132" s="23">
        <f>COUNTIFS(FMECA[RR], "VERY HIGH",FMECA[HazardRisk_name],Table3[[#This Row],[HazardRisk_name]])</f>
        <v>0</v>
      </c>
      <c r="U132" s="22">
        <f>Table3[[#This Row],[vh_count]]/Table3[[#This Row],[risk_counts]]</f>
        <v>0</v>
      </c>
      <c r="V132" s="23">
        <f>COUNTIFS(FMECA[RR], "HIGH",FMECA[HazardRisk_name],Table3[[#This Row],[HazardRisk_name]])</f>
        <v>1</v>
      </c>
      <c r="W132" s="22">
        <f>Table3[[#This Row],[h_count]]/Table3[[#This Row],[risk_counts]]</f>
        <v>0.5</v>
      </c>
      <c r="X132" s="23">
        <f>COUNTIFS(FMECA[RR], "MODERATE",FMECA[HazardRisk_name],Table3[[#This Row],[HazardRisk_name]])</f>
        <v>1</v>
      </c>
      <c r="Y132" s="22">
        <f>Table3[[#This Row],[m_count]]/Table3[[#This Row],[risk_counts]]</f>
        <v>0.5</v>
      </c>
      <c r="Z132" s="23">
        <f>COUNTIFS(FMECA[RR], "UNDETECTABLE",FMECA[HazardRisk_name],Table3[[#This Row],[HazardRisk_name]])</f>
        <v>0</v>
      </c>
      <c r="AA132" s="22">
        <f>Table3[[#This Row],[l_count]]/Table3[[#This Row],[risk_counts]]</f>
        <v>0</v>
      </c>
      <c r="AI132" s="16" t="str">
        <f>VLOOKUP(Table3[[#This Row],[HazardRisk_id]], categories[], 4, FALSE)</f>
        <v>Risk</v>
      </c>
      <c r="AJ132" s="16">
        <f>(COUNTIFS(FMECA[availability], "Unknown",FMECA[HazardRisk_name],Table3[[#This Row],[HazardRisk_name]]))</f>
        <v>1</v>
      </c>
    </row>
    <row r="133" spans="1:36" ht="51" x14ac:dyDescent="0.2">
      <c r="A133" s="16" t="s">
        <v>2704</v>
      </c>
      <c r="B133" s="13" t="str">
        <f>VLOOKUP(Table3[[#This Row],[HazardRisk_id]], categories[], 5, FALSE)</f>
        <v>Navigational</v>
      </c>
      <c r="C133" s="14" t="str">
        <f>VLOOKUP(Table3[[#This Row],[HazardRisk_id]], categories[], 2, FALSE)</f>
        <v>Operating in shallow waters</v>
      </c>
      <c r="D133" s="15" t="str">
        <f>VLOOKUP(Table3[[#This Row],[HazardRisk_id]], categories[], 3, FALSE)</f>
        <v>Operating vessels in shallow waters allow the oppurtunities of unintentional grounding to occur. This also increases the ability to collide with marine species where it may be difficult for the species or vessel to avoid colliding.</v>
      </c>
      <c r="E133" s="15">
        <f>COUNTIFS(FMECA[HazardRisk_name],Table3[[#This Row],[HazardRisk_name]])</f>
        <v>8</v>
      </c>
      <c r="F133" s="15">
        <f>SUMIFS(FMECA[probability_value], FMECA[HazardRisk_name], Table3[[#This Row],[HazardRisk_name]])</f>
        <v>33</v>
      </c>
      <c r="G133" s="15">
        <f>AVERAGEIFS(FMECA[probability_value],FMECA[HazardRisk_name],Table3[[#This Row],[HazardRisk_name]])</f>
        <v>4.125</v>
      </c>
      <c r="H133" s="15" cm="1">
        <f t="array" ref="H133">STDEVP(IF(FMECA[HazardRisk_name]=Table3[[#This Row],[HazardRisk_name]],FMECA[probability_value]))</f>
        <v>0.92702481088695787</v>
      </c>
      <c r="I133" s="15">
        <f>SUMIFS(FMECA[consequence_value], FMECA[HazardRisk_name], Table3[[#This Row],[HazardRisk_name]])</f>
        <v>56</v>
      </c>
      <c r="J133" s="15">
        <f>AVERAGEIFS(FMECA[consequence_value],FMECA[HazardRisk_name],Table3[[#This Row],[HazardRisk_name]])</f>
        <v>7</v>
      </c>
      <c r="K133" s="15" cm="1">
        <f t="array" ref="K133">STDEVP(IF(FMECA[HazardRisk_name]=Table3[[#This Row],[HazardRisk_name]],FMECA[consequence_value]))</f>
        <v>1.5</v>
      </c>
      <c r="L133" s="23">
        <f>AVERAGEIFS(FMECA[Score],FMECA[HazardRisk_name],Table3[[#This Row],[HazardRisk_name]])</f>
        <v>27.75</v>
      </c>
      <c r="M133" s="23" cm="1">
        <f t="array" ref="M133">STDEVP(IF(FMECA[HazardRisk_name]=Table3[[#This Row],[HazardRisk_name]],FMECA[Score]))</f>
        <v>5.3091901453988255</v>
      </c>
      <c r="N133" s="15">
        <f>COUNTIFS(FMECA_data!P:P, "Theoretical", FMECA_data!I:I,Table3[[#This Row],[HazardRisk_name]])</f>
        <v>2</v>
      </c>
      <c r="O133" s="15">
        <f>COUNTIFS(FMECA_data!P:P, "Observational", FMECA_data!I:I,Table3[[#This Row],[HazardRisk_name]])</f>
        <v>4</v>
      </c>
      <c r="P133" s="15">
        <f>COUNTIFS(FMECA_data!P:P, "Hybrid", FMECA_data!I:I,Table3[[#This Row],[HazardRisk_name]])</f>
        <v>1</v>
      </c>
      <c r="Q133" s="15">
        <f>COUNTIFS(FMECA_data!P:P, "Modelling", FMECA_data!I:I,Table3[[#This Row],[HazardRisk_name]])</f>
        <v>1</v>
      </c>
      <c r="R133" s="23">
        <f>COUNTIFS(FMECA[data_deficient], "Yes",FMECA[HazardRisk_name],Table3[[#This Row],[HazardRisk_name]])</f>
        <v>0</v>
      </c>
      <c r="S133" s="23">
        <f>(COUNTIFS(FMECA[availability], "Yes",FMECA[HazardRisk_name],Table3[[#This Row],[HazardRisk_name]])) + (COUNTIFS(FMECA[availability], "Available",FMECA[HazardRisk_name],Table3[[#This Row],[HazardRisk_name]]))</f>
        <v>3</v>
      </c>
      <c r="T133" s="23">
        <f>COUNTIFS(FMECA[RR], "VERY HIGH",FMECA[HazardRisk_name],Table3[[#This Row],[HazardRisk_name]])</f>
        <v>0</v>
      </c>
      <c r="U133" s="22">
        <f>Table3[[#This Row],[vh_count]]/Table3[[#This Row],[risk_counts]]</f>
        <v>0</v>
      </c>
      <c r="V133" s="23">
        <f>COUNTIFS(FMECA[RR], "HIGH",FMECA[HazardRisk_name],Table3[[#This Row],[HazardRisk_name]])</f>
        <v>6</v>
      </c>
      <c r="W133" s="22">
        <f>Table3[[#This Row],[h_count]]/Table3[[#This Row],[risk_counts]]</f>
        <v>0.75</v>
      </c>
      <c r="X133" s="23">
        <f>COUNTIFS(FMECA[RR], "MODERATE",FMECA[HazardRisk_name],Table3[[#This Row],[HazardRisk_name]])</f>
        <v>2</v>
      </c>
      <c r="Y133" s="22">
        <f>Table3[[#This Row],[m_count]]/Table3[[#This Row],[risk_counts]]</f>
        <v>0.25</v>
      </c>
      <c r="Z133" s="23">
        <f>COUNTIFS(FMECA[RR], "UNDETECTABLE",FMECA[HazardRisk_name],Table3[[#This Row],[HazardRisk_name]])</f>
        <v>0</v>
      </c>
      <c r="AA133" s="22">
        <f>Table3[[#This Row],[l_count]]/Table3[[#This Row],[risk_counts]]</f>
        <v>0</v>
      </c>
      <c r="AI133" s="16" t="str">
        <f>VLOOKUP(Table3[[#This Row],[HazardRisk_id]], categories[], 4, FALSE)</f>
        <v>Hazard</v>
      </c>
      <c r="AJ133" s="16">
        <f>(COUNTIFS(FMECA[availability], "Unknown",FMECA[HazardRisk_name],Table3[[#This Row],[HazardRisk_name]]))</f>
        <v>3</v>
      </c>
    </row>
    <row r="134" spans="1:36" ht="51" x14ac:dyDescent="0.2">
      <c r="A134" s="16" t="s">
        <v>2705</v>
      </c>
      <c r="B134" s="13" t="str">
        <f>VLOOKUP(Table3[[#This Row],[HazardRisk_id]], categories[], 5, FALSE)</f>
        <v>Environmental</v>
      </c>
      <c r="C134" s="14" t="str">
        <f>VLOOKUP(Table3[[#This Row],[HazardRisk_id]], categories[], 2, FALSE)</f>
        <v>Operational discharges</v>
      </c>
      <c r="D134" s="15" t="str">
        <f>VLOOKUP(Table3[[#This Row],[HazardRisk_id]], categories[], 3, FALSE)</f>
        <v>During operations, vessels pollute and discharge various substances from automatic and intentional discharges of oil and other substances, such as grey water/sewage, into open waters without any filtration.</v>
      </c>
      <c r="E134" s="15">
        <f>COUNTIFS(FMECA[HazardRisk_name],Table3[[#This Row],[HazardRisk_name]])</f>
        <v>11</v>
      </c>
      <c r="F134" s="15">
        <f>SUMIFS(FMECA[probability_value], FMECA[HazardRisk_name], Table3[[#This Row],[HazardRisk_name]])</f>
        <v>47</v>
      </c>
      <c r="G134" s="15">
        <f>AVERAGEIFS(FMECA[probability_value],FMECA[HazardRisk_name],Table3[[#This Row],[HazardRisk_name]])</f>
        <v>4.2727272727272725</v>
      </c>
      <c r="H134" s="15" cm="1">
        <f t="array" ref="H134">STDEVP(IF(FMECA[HazardRisk_name]=Table3[[#This Row],[HazardRisk_name]],FMECA[probability_value]))</f>
        <v>0.61657545301138805</v>
      </c>
      <c r="I134" s="15">
        <f>SUMIFS(FMECA[consequence_value], FMECA[HazardRisk_name], Table3[[#This Row],[HazardRisk_name]])</f>
        <v>86</v>
      </c>
      <c r="J134" s="15">
        <f>AVERAGEIFS(FMECA[consequence_value],FMECA[HazardRisk_name],Table3[[#This Row],[HazardRisk_name]])</f>
        <v>7.8181818181818183</v>
      </c>
      <c r="K134" s="15" cm="1">
        <f t="array" ref="K134">STDEVP(IF(FMECA[HazardRisk_name]=Table3[[#This Row],[HazardRisk_name]],FMECA[consequence_value]))</f>
        <v>1.8497263590341642</v>
      </c>
      <c r="L134" s="23">
        <f>AVERAGEIFS(FMECA[Score],FMECA[HazardRisk_name],Table3[[#This Row],[HazardRisk_name]])</f>
        <v>32.636363636363633</v>
      </c>
      <c r="M134" s="23" cm="1">
        <f t="array" ref="M134">STDEVP(IF(FMECA[HazardRisk_name]=Table3[[#This Row],[HazardRisk_name]],FMECA[Score]))</f>
        <v>6.1091991332405247</v>
      </c>
      <c r="N134" s="15">
        <f>COUNTIFS(FMECA_data!P:P, "Theoretical", FMECA_data!I:I,Table3[[#This Row],[HazardRisk_name]])</f>
        <v>5</v>
      </c>
      <c r="O134" s="15">
        <f>COUNTIFS(FMECA_data!P:P, "Observational", FMECA_data!I:I,Table3[[#This Row],[HazardRisk_name]])</f>
        <v>4</v>
      </c>
      <c r="P134" s="15">
        <f>COUNTIFS(FMECA_data!P:P, "Hybrid", FMECA_data!I:I,Table3[[#This Row],[HazardRisk_name]])</f>
        <v>1</v>
      </c>
      <c r="Q134" s="15">
        <f>COUNTIFS(FMECA_data!P:P, "Modelling", FMECA_data!I:I,Table3[[#This Row],[HazardRisk_name]])</f>
        <v>1</v>
      </c>
      <c r="R134" s="23">
        <f>COUNTIFS(FMECA[data_deficient], "Yes",FMECA[HazardRisk_name],Table3[[#This Row],[HazardRisk_name]])</f>
        <v>1</v>
      </c>
      <c r="S134" s="23">
        <f>(COUNTIFS(FMECA[availability], "Yes",FMECA[HazardRisk_name],Table3[[#This Row],[HazardRisk_name]])) + (COUNTIFS(FMECA[availability], "Available",FMECA[HazardRisk_name],Table3[[#This Row],[HazardRisk_name]]))</f>
        <v>5</v>
      </c>
      <c r="T134" s="23">
        <f>COUNTIFS(FMECA[RR], "VERY HIGH",FMECA[HazardRisk_name],Table3[[#This Row],[HazardRisk_name]])</f>
        <v>3</v>
      </c>
      <c r="U134" s="22">
        <f>Table3[[#This Row],[vh_count]]/Table3[[#This Row],[risk_counts]]</f>
        <v>0.27272727272727271</v>
      </c>
      <c r="V134" s="23">
        <f>COUNTIFS(FMECA[RR], "HIGH",FMECA[HazardRisk_name],Table3[[#This Row],[HazardRisk_name]])</f>
        <v>7</v>
      </c>
      <c r="W134" s="22">
        <f>Table3[[#This Row],[h_count]]/Table3[[#This Row],[risk_counts]]</f>
        <v>0.63636363636363635</v>
      </c>
      <c r="X134" s="23">
        <f>COUNTIFS(FMECA[RR], "MODERATE",FMECA[HazardRisk_name],Table3[[#This Row],[HazardRisk_name]])</f>
        <v>1</v>
      </c>
      <c r="Y134" s="22">
        <f>Table3[[#This Row],[m_count]]/Table3[[#This Row],[risk_counts]]</f>
        <v>9.0909090909090912E-2</v>
      </c>
      <c r="Z134" s="23">
        <f>COUNTIFS(FMECA[RR], "UNDETECTABLE",FMECA[HazardRisk_name],Table3[[#This Row],[HazardRisk_name]])</f>
        <v>0</v>
      </c>
      <c r="AA134" s="22">
        <f>Table3[[#This Row],[l_count]]/Table3[[#This Row],[risk_counts]]</f>
        <v>0</v>
      </c>
      <c r="AI134" s="16" t="str">
        <f>VLOOKUP(Table3[[#This Row],[HazardRisk_id]], categories[], 4, FALSE)</f>
        <v>Risk</v>
      </c>
      <c r="AJ134" s="16">
        <f>(COUNTIFS(FMECA[availability], "Unknown",FMECA[HazardRisk_name],Table3[[#This Row],[HazardRisk_name]]))</f>
        <v>1</v>
      </c>
    </row>
    <row r="135" spans="1:36" ht="51" x14ac:dyDescent="0.2">
      <c r="A135" s="16" t="s">
        <v>2706</v>
      </c>
      <c r="B135" s="13" t="str">
        <f>VLOOKUP(Table3[[#This Row],[HazardRisk_id]], categories[], 5, FALSE)</f>
        <v>Environmental</v>
      </c>
      <c r="C135" s="14" t="str">
        <f>VLOOKUP(Table3[[#This Row],[HazardRisk_id]], categories[], 2, FALSE)</f>
        <v>Pollutant harms to marine life</v>
      </c>
      <c r="D135" s="15" t="str">
        <f>VLOOKUP(Table3[[#This Row],[HazardRisk_id]], categories[], 3, FALSE)</f>
        <v>Oil spills negatively impact marine species through habitat degration, consumption of toxic chemicals, and bioaccumulation of prey species. The oil spills also poses many regualtory and legal regarding compliance.</v>
      </c>
      <c r="E135" s="15">
        <f>COUNTIFS(FMECA[HazardRisk_name],Table3[[#This Row],[HazardRisk_name]])</f>
        <v>4</v>
      </c>
      <c r="F135" s="15">
        <f>SUMIFS(FMECA[probability_value], FMECA[HazardRisk_name], Table3[[#This Row],[HazardRisk_name]])</f>
        <v>17</v>
      </c>
      <c r="G135" s="15">
        <f>AVERAGEIFS(FMECA[probability_value],FMECA[HazardRisk_name],Table3[[#This Row],[HazardRisk_name]])</f>
        <v>4.25</v>
      </c>
      <c r="H135" s="15" cm="1">
        <f t="array" ref="H135">STDEVP(IF(FMECA[HazardRisk_name]=Table3[[#This Row],[HazardRisk_name]],FMECA[probability_value]))</f>
        <v>0.4330127018922193</v>
      </c>
      <c r="I135" s="15">
        <f>SUMIFS(FMECA[consequence_value], FMECA[HazardRisk_name], Table3[[#This Row],[HazardRisk_name]])</f>
        <v>28</v>
      </c>
      <c r="J135" s="15">
        <f>AVERAGEIFS(FMECA[consequence_value],FMECA[HazardRisk_name],Table3[[#This Row],[HazardRisk_name]])</f>
        <v>7</v>
      </c>
      <c r="K135" s="15" cm="1">
        <f t="array" ref="K135">STDEVP(IF(FMECA[HazardRisk_name]=Table3[[#This Row],[HazardRisk_name]],FMECA[consequence_value]))</f>
        <v>2.1213203435596424</v>
      </c>
      <c r="L135" s="23">
        <f>AVERAGEIFS(FMECA[Score],FMECA[HazardRisk_name],Table3[[#This Row],[HazardRisk_name]])</f>
        <v>29.75</v>
      </c>
      <c r="M135" s="23" cm="1">
        <f t="array" ref="M135">STDEVP(IF(FMECA[HazardRisk_name]=Table3[[#This Row],[HazardRisk_name]],FMECA[Score]))</f>
        <v>9.0104106454700492</v>
      </c>
      <c r="N135" s="15">
        <f>COUNTIFS(FMECA_data!P:P, "Theoretical", FMECA_data!I:I,Table3[[#This Row],[HazardRisk_name]])</f>
        <v>1</v>
      </c>
      <c r="O135" s="15">
        <f>COUNTIFS(FMECA_data!P:P, "Observational", FMECA_data!I:I,Table3[[#This Row],[HazardRisk_name]])</f>
        <v>2</v>
      </c>
      <c r="P135" s="15">
        <f>COUNTIFS(FMECA_data!P:P, "Hybrid", FMECA_data!I:I,Table3[[#This Row],[HazardRisk_name]])</f>
        <v>0</v>
      </c>
      <c r="Q135" s="15">
        <f>COUNTIFS(FMECA_data!P:P, "Modelling", FMECA_data!I:I,Table3[[#This Row],[HazardRisk_name]])</f>
        <v>1</v>
      </c>
      <c r="R135" s="23">
        <f>COUNTIFS(FMECA[data_deficient], "Yes",FMECA[HazardRisk_name],Table3[[#This Row],[HazardRisk_name]])</f>
        <v>0</v>
      </c>
      <c r="S135" s="23">
        <f>(COUNTIFS(FMECA[availability], "Yes",FMECA[HazardRisk_name],Table3[[#This Row],[HazardRisk_name]])) + (COUNTIFS(FMECA[availability], "Available",FMECA[HazardRisk_name],Table3[[#This Row],[HazardRisk_name]]))</f>
        <v>2</v>
      </c>
      <c r="T135" s="23">
        <f>COUNTIFS(FMECA[RR], "VERY HIGH",FMECA[HazardRisk_name],Table3[[#This Row],[HazardRisk_name]])</f>
        <v>1</v>
      </c>
      <c r="U135" s="22">
        <f>Table3[[#This Row],[vh_count]]/Table3[[#This Row],[risk_counts]]</f>
        <v>0.25</v>
      </c>
      <c r="V135" s="23">
        <f>COUNTIFS(FMECA[RR], "HIGH",FMECA[HazardRisk_name],Table3[[#This Row],[HazardRisk_name]])</f>
        <v>2</v>
      </c>
      <c r="W135" s="22">
        <f>Table3[[#This Row],[h_count]]/Table3[[#This Row],[risk_counts]]</f>
        <v>0.5</v>
      </c>
      <c r="X135" s="23">
        <f>COUNTIFS(FMECA[RR], "MODERATE",FMECA[HazardRisk_name],Table3[[#This Row],[HazardRisk_name]])</f>
        <v>1</v>
      </c>
      <c r="Y135" s="22">
        <f>Table3[[#This Row],[m_count]]/Table3[[#This Row],[risk_counts]]</f>
        <v>0.25</v>
      </c>
      <c r="Z135" s="23">
        <f>COUNTIFS(FMECA[RR], "UNDETECTABLE",FMECA[HazardRisk_name],Table3[[#This Row],[HazardRisk_name]])</f>
        <v>0</v>
      </c>
      <c r="AA135" s="22">
        <f>Table3[[#This Row],[l_count]]/Table3[[#This Row],[risk_counts]]</f>
        <v>0</v>
      </c>
      <c r="AI135" s="16" t="str">
        <f>VLOOKUP(Table3[[#This Row],[HazardRisk_id]], categories[], 4, FALSE)</f>
        <v>Hazard</v>
      </c>
      <c r="AJ135" s="16">
        <f>(COUNTIFS(FMECA[availability], "Unknown",FMECA[HazardRisk_name],Table3[[#This Row],[HazardRisk_name]]))</f>
        <v>1</v>
      </c>
    </row>
    <row r="136" spans="1:36" ht="51" x14ac:dyDescent="0.2">
      <c r="A136" s="16" t="s">
        <v>2707</v>
      </c>
      <c r="B136" s="13" t="str">
        <f>VLOOKUP(Table3[[#This Row],[HazardRisk_id]], categories[], 5, FALSE)</f>
        <v>Social</v>
      </c>
      <c r="C136" s="14" t="str">
        <f>VLOOKUP(Table3[[#This Row],[HazardRisk_id]], categories[], 2, FALSE)</f>
        <v>Priacy</v>
      </c>
      <c r="D136" s="15" t="str">
        <f>VLOOKUP(Table3[[#This Row],[HazardRisk_id]], categories[], 3, FALSE)</f>
        <v>Piracy can present security conserns to crew and materials aboard the vessel. This may cause vessels to navigating through different various routes to avoid intruders damaging goods and the vessel.</v>
      </c>
      <c r="E136" s="15">
        <f>COUNTIFS(FMECA[HazardRisk_name],Table3[[#This Row],[HazardRisk_name]])</f>
        <v>1</v>
      </c>
      <c r="F136" s="15">
        <f>SUMIFS(FMECA[probability_value], FMECA[HazardRisk_name], Table3[[#This Row],[HazardRisk_name]])</f>
        <v>2</v>
      </c>
      <c r="G136" s="15">
        <f>AVERAGEIFS(FMECA[probability_value],FMECA[HazardRisk_name],Table3[[#This Row],[HazardRisk_name]])</f>
        <v>2</v>
      </c>
      <c r="H136" s="15" cm="1">
        <f t="array" ref="H136">STDEVP(IF(FMECA[HazardRisk_name]=Table3[[#This Row],[HazardRisk_name]],FMECA[probability_value]))</f>
        <v>0</v>
      </c>
      <c r="I136" s="15">
        <f>SUMIFS(FMECA[consequence_value], FMECA[HazardRisk_name], Table3[[#This Row],[HazardRisk_name]])</f>
        <v>4</v>
      </c>
      <c r="J136" s="15">
        <f>AVERAGEIFS(FMECA[consequence_value],FMECA[HazardRisk_name],Table3[[#This Row],[HazardRisk_name]])</f>
        <v>4</v>
      </c>
      <c r="K136" s="15" cm="1">
        <f t="array" ref="K136">STDEVP(IF(FMECA[HazardRisk_name]=Table3[[#This Row],[HazardRisk_name]],FMECA[consequence_value]))</f>
        <v>0</v>
      </c>
      <c r="L136" s="23">
        <f>AVERAGEIFS(FMECA[Score],FMECA[HazardRisk_name],Table3[[#This Row],[HazardRisk_name]])</f>
        <v>8</v>
      </c>
      <c r="M136" s="23" cm="1">
        <f t="array" ref="M136">STDEVP(IF(FMECA[HazardRisk_name]=Table3[[#This Row],[HazardRisk_name]],FMECA[Score]))</f>
        <v>0</v>
      </c>
      <c r="N136" s="15">
        <f>COUNTIFS(FMECA_data!P:P, "Theoretical", FMECA_data!I:I,Table3[[#This Row],[HazardRisk_name]])</f>
        <v>0</v>
      </c>
      <c r="O136" s="15">
        <f>COUNTIFS(FMECA_data!P:P, "Observational", FMECA_data!I:I,Table3[[#This Row],[HazardRisk_name]])</f>
        <v>1</v>
      </c>
      <c r="P136" s="15">
        <f>COUNTIFS(FMECA_data!P:P, "Hybrid", FMECA_data!I:I,Table3[[#This Row],[HazardRisk_name]])</f>
        <v>0</v>
      </c>
      <c r="Q136" s="15">
        <f>COUNTIFS(FMECA_data!P:P, "Modelling", FMECA_data!I:I,Table3[[#This Row],[HazardRisk_name]])</f>
        <v>0</v>
      </c>
      <c r="R136" s="23">
        <f>COUNTIFS(FMECA[data_deficient], "Yes",FMECA[HazardRisk_name],Table3[[#This Row],[HazardRisk_name]])</f>
        <v>0</v>
      </c>
      <c r="S136" s="23">
        <f>(COUNTIFS(FMECA[availability], "Yes",FMECA[HazardRisk_name],Table3[[#This Row],[HazardRisk_name]])) + (COUNTIFS(FMECA[availability], "Available",FMECA[HazardRisk_name],Table3[[#This Row],[HazardRisk_name]]))</f>
        <v>0</v>
      </c>
      <c r="T136" s="23">
        <f>COUNTIFS(FMECA[RR], "VERY HIGH",FMECA[HazardRisk_name],Table3[[#This Row],[HazardRisk_name]])</f>
        <v>0</v>
      </c>
      <c r="U136" s="22">
        <f>Table3[[#This Row],[vh_count]]/Table3[[#This Row],[risk_counts]]</f>
        <v>0</v>
      </c>
      <c r="V136" s="23">
        <f>COUNTIFS(FMECA[RR], "HIGH",FMECA[HazardRisk_name],Table3[[#This Row],[HazardRisk_name]])</f>
        <v>0</v>
      </c>
      <c r="W136" s="22">
        <f>Table3[[#This Row],[h_count]]/Table3[[#This Row],[risk_counts]]</f>
        <v>0</v>
      </c>
      <c r="X136" s="23">
        <f>COUNTIFS(FMECA[RR], "MODERATE",FMECA[HazardRisk_name],Table3[[#This Row],[HazardRisk_name]])</f>
        <v>0</v>
      </c>
      <c r="Y136" s="22">
        <f>Table3[[#This Row],[m_count]]/Table3[[#This Row],[risk_counts]]</f>
        <v>0</v>
      </c>
      <c r="Z136" s="23">
        <f>COUNTIFS(FMECA[RR], "UNDETECTABLE",FMECA[HazardRisk_name],Table3[[#This Row],[HazardRisk_name]])</f>
        <v>1</v>
      </c>
      <c r="AA136" s="22">
        <f>Table3[[#This Row],[l_count]]/Table3[[#This Row],[risk_counts]]</f>
        <v>1</v>
      </c>
      <c r="AI136" s="16" t="str">
        <f>VLOOKUP(Table3[[#This Row],[HazardRisk_id]], categories[], 4, FALSE)</f>
        <v>Hazard</v>
      </c>
      <c r="AJ136" s="16">
        <f>(COUNTIFS(FMECA[availability], "Unknown",FMECA[HazardRisk_name],Table3[[#This Row],[HazardRisk_name]]))</f>
        <v>1</v>
      </c>
    </row>
    <row r="137" spans="1:36" ht="68" x14ac:dyDescent="0.2">
      <c r="A137" s="16" t="s">
        <v>2708</v>
      </c>
      <c r="B137" s="13" t="str">
        <f>VLOOKUP(Table3[[#This Row],[HazardRisk_id]], categories[], 5, FALSE)</f>
        <v>Environmental</v>
      </c>
      <c r="C137" s="14" t="str">
        <f>VLOOKUP(Table3[[#This Row],[HazardRisk_id]], categories[], 2, FALSE)</f>
        <v>Pysical disturbance to wildlife</v>
      </c>
      <c r="D137" s="15" t="str">
        <f>VLOOKUP(Table3[[#This Row],[HazardRisk_id]], categories[], 3, FALSE)</f>
        <v xml:space="preserve">Any form of physical disturbance to wildlife such as the impact or collisions into vessels can decrease the quality of life for marine mammals. Ecological degration due to physical desturbance of wildlife create challenges with regulatory guidelines regarding migratory birds and species at-risk. </v>
      </c>
      <c r="E137" s="15">
        <f>COUNTIFS(FMECA[HazardRisk_name],Table3[[#This Row],[HazardRisk_name]])</f>
        <v>2</v>
      </c>
      <c r="F137" s="15">
        <f>SUMIFS(FMECA[probability_value], FMECA[HazardRisk_name], Table3[[#This Row],[HazardRisk_name]])</f>
        <v>6</v>
      </c>
      <c r="G137" s="15">
        <f>AVERAGEIFS(FMECA[probability_value],FMECA[HazardRisk_name],Table3[[#This Row],[HazardRisk_name]])</f>
        <v>3</v>
      </c>
      <c r="H137" s="15" cm="1">
        <f t="array" ref="H137">STDEVP(IF(FMECA[HazardRisk_name]=Table3[[#This Row],[HazardRisk_name]],FMECA[probability_value]))</f>
        <v>0</v>
      </c>
      <c r="I137" s="15">
        <f>SUMIFS(FMECA[consequence_value], FMECA[HazardRisk_name], Table3[[#This Row],[HazardRisk_name]])</f>
        <v>17</v>
      </c>
      <c r="J137" s="15">
        <f>AVERAGEIFS(FMECA[consequence_value],FMECA[HazardRisk_name],Table3[[#This Row],[HazardRisk_name]])</f>
        <v>8.5</v>
      </c>
      <c r="K137" s="15" cm="1">
        <f t="array" ref="K137">STDEVP(IF(FMECA[HazardRisk_name]=Table3[[#This Row],[HazardRisk_name]],FMECA[consequence_value]))</f>
        <v>1.5</v>
      </c>
      <c r="L137" s="23">
        <f>AVERAGEIFS(FMECA[Score],FMECA[HazardRisk_name],Table3[[#This Row],[HazardRisk_name]])</f>
        <v>25.5</v>
      </c>
      <c r="M137" s="23" cm="1">
        <f t="array" ref="M137">STDEVP(IF(FMECA[HazardRisk_name]=Table3[[#This Row],[HazardRisk_name]],FMECA[Score]))</f>
        <v>4.5</v>
      </c>
      <c r="N137" s="15">
        <f>COUNTIFS(FMECA_data!P:P, "Theoretical", FMECA_data!I:I,Table3[[#This Row],[HazardRisk_name]])</f>
        <v>1</v>
      </c>
      <c r="O137" s="15">
        <f>COUNTIFS(FMECA_data!P:P, "Observational", FMECA_data!I:I,Table3[[#This Row],[HazardRisk_name]])</f>
        <v>1</v>
      </c>
      <c r="P137" s="15">
        <f>COUNTIFS(FMECA_data!P:P, "Hybrid", FMECA_data!I:I,Table3[[#This Row],[HazardRisk_name]])</f>
        <v>0</v>
      </c>
      <c r="Q137" s="15">
        <f>COUNTIFS(FMECA_data!P:P, "Modelling", FMECA_data!I:I,Table3[[#This Row],[HazardRisk_name]])</f>
        <v>0</v>
      </c>
      <c r="R137" s="23">
        <f>COUNTIFS(FMECA[data_deficient], "Yes",FMECA[HazardRisk_name],Table3[[#This Row],[HazardRisk_name]])</f>
        <v>1</v>
      </c>
      <c r="S137" s="23">
        <f>(COUNTIFS(FMECA[availability], "Yes",FMECA[HazardRisk_name],Table3[[#This Row],[HazardRisk_name]])) + (COUNTIFS(FMECA[availability], "Available",FMECA[HazardRisk_name],Table3[[#This Row],[HazardRisk_name]]))</f>
        <v>1</v>
      </c>
      <c r="T137" s="23">
        <f>COUNTIFS(FMECA[RR], "VERY HIGH",FMECA[HazardRisk_name],Table3[[#This Row],[HazardRisk_name]])</f>
        <v>0</v>
      </c>
      <c r="U137" s="22">
        <f>Table3[[#This Row],[vh_count]]/Table3[[#This Row],[risk_counts]]</f>
        <v>0</v>
      </c>
      <c r="V137" s="23">
        <f>COUNTIFS(FMECA[RR], "HIGH",FMECA[HazardRisk_name],Table3[[#This Row],[HazardRisk_name]])</f>
        <v>1</v>
      </c>
      <c r="W137" s="22">
        <f>Table3[[#This Row],[h_count]]/Table3[[#This Row],[risk_counts]]</f>
        <v>0.5</v>
      </c>
      <c r="X137" s="23">
        <f>COUNTIFS(FMECA[RR], "MODERATE",FMECA[HazardRisk_name],Table3[[#This Row],[HazardRisk_name]])</f>
        <v>1</v>
      </c>
      <c r="Y137" s="22">
        <f>Table3[[#This Row],[m_count]]/Table3[[#This Row],[risk_counts]]</f>
        <v>0.5</v>
      </c>
      <c r="Z137" s="23">
        <f>COUNTIFS(FMECA[RR], "UNDETECTABLE",FMECA[HazardRisk_name],Table3[[#This Row],[HazardRisk_name]])</f>
        <v>0</v>
      </c>
      <c r="AA137" s="22">
        <f>Table3[[#This Row],[l_count]]/Table3[[#This Row],[risk_counts]]</f>
        <v>0</v>
      </c>
      <c r="AI137" s="16" t="str">
        <f>VLOOKUP(Table3[[#This Row],[HazardRisk_id]], categories[], 4, FALSE)</f>
        <v>Hazard</v>
      </c>
      <c r="AJ137" s="16">
        <f>(COUNTIFS(FMECA[availability], "Unknown",FMECA[HazardRisk_name],Table3[[#This Row],[HazardRisk_name]]))</f>
        <v>0</v>
      </c>
    </row>
    <row r="138" spans="1:36" ht="51" x14ac:dyDescent="0.2">
      <c r="A138" s="16" t="s">
        <v>2709</v>
      </c>
      <c r="B138" s="13" t="str">
        <f>VLOOKUP(Table3[[#This Row],[HazardRisk_id]], categories[], 5, FALSE)</f>
        <v>Navigational</v>
      </c>
      <c r="C138" s="14" t="str">
        <f>VLOOKUP(Table3[[#This Row],[HazardRisk_id]], categories[], 2, FALSE)</f>
        <v>Reduced vessel ice strengthening</v>
      </c>
      <c r="D138" s="15" t="str">
        <f>VLOOKUP(Table3[[#This Row],[HazardRisk_id]], categories[], 3, FALSE)</f>
        <v>The reduced requirements of ice classification creates unsafe environments for vessels of lower ice classification as they are more prone to damages and accidents while navigating the Arctc.</v>
      </c>
      <c r="E138" s="15">
        <f>COUNTIFS(FMECA[HazardRisk_name],Table3[[#This Row],[HazardRisk_name]])</f>
        <v>1</v>
      </c>
      <c r="F138" s="15">
        <f>SUMIFS(FMECA[probability_value], FMECA[HazardRisk_name], Table3[[#This Row],[HazardRisk_name]])</f>
        <v>2</v>
      </c>
      <c r="G138" s="15">
        <f>AVERAGEIFS(FMECA[probability_value],FMECA[HazardRisk_name],Table3[[#This Row],[HazardRisk_name]])</f>
        <v>2</v>
      </c>
      <c r="H138" s="15" cm="1">
        <f t="array" ref="H138">STDEVP(IF(FMECA[HazardRisk_name]=Table3[[#This Row],[HazardRisk_name]],FMECA[probability_value]))</f>
        <v>0</v>
      </c>
      <c r="I138" s="15">
        <f>SUMIFS(FMECA[consequence_value], FMECA[HazardRisk_name], Table3[[#This Row],[HazardRisk_name]])</f>
        <v>7</v>
      </c>
      <c r="J138" s="15">
        <f>AVERAGEIFS(FMECA[consequence_value],FMECA[HazardRisk_name],Table3[[#This Row],[HazardRisk_name]])</f>
        <v>7</v>
      </c>
      <c r="K138" s="15" cm="1">
        <f t="array" ref="K138">STDEVP(IF(FMECA[HazardRisk_name]=Table3[[#This Row],[HazardRisk_name]],FMECA[consequence_value]))</f>
        <v>0</v>
      </c>
      <c r="L138" s="23">
        <f>AVERAGEIFS(FMECA[Score],FMECA[HazardRisk_name],Table3[[#This Row],[HazardRisk_name]])</f>
        <v>14</v>
      </c>
      <c r="M138" s="23" cm="1">
        <f t="array" ref="M138">STDEVP(IF(FMECA[HazardRisk_name]=Table3[[#This Row],[HazardRisk_name]],FMECA[Score]))</f>
        <v>0</v>
      </c>
      <c r="N138" s="15">
        <f>COUNTIFS(FMECA_data!P:P, "Theoretical", FMECA_data!I:I,Table3[[#This Row],[HazardRisk_name]])</f>
        <v>0</v>
      </c>
      <c r="O138" s="15">
        <f>COUNTIFS(FMECA_data!P:P, "Observational", FMECA_data!I:I,Table3[[#This Row],[HazardRisk_name]])</f>
        <v>1</v>
      </c>
      <c r="P138" s="15">
        <f>COUNTIFS(FMECA_data!P:P, "Hybrid", FMECA_data!I:I,Table3[[#This Row],[HazardRisk_name]])</f>
        <v>0</v>
      </c>
      <c r="Q138" s="15">
        <f>COUNTIFS(FMECA_data!P:P, "Modelling", FMECA_data!I:I,Table3[[#This Row],[HazardRisk_name]])</f>
        <v>0</v>
      </c>
      <c r="R138" s="23">
        <f>COUNTIFS(FMECA[data_deficient], "Yes",FMECA[HazardRisk_name],Table3[[#This Row],[HazardRisk_name]])</f>
        <v>0</v>
      </c>
      <c r="S138" s="23">
        <f>(COUNTIFS(FMECA[availability], "Yes",FMECA[HazardRisk_name],Table3[[#This Row],[HazardRisk_name]])) + (COUNTIFS(FMECA[availability], "Available",FMECA[HazardRisk_name],Table3[[#This Row],[HazardRisk_name]]))</f>
        <v>1</v>
      </c>
      <c r="T138" s="23">
        <f>COUNTIFS(FMECA[RR], "VERY HIGH",FMECA[HazardRisk_name],Table3[[#This Row],[HazardRisk_name]])</f>
        <v>0</v>
      </c>
      <c r="U138" s="22">
        <f>Table3[[#This Row],[vh_count]]/Table3[[#This Row],[risk_counts]]</f>
        <v>0</v>
      </c>
      <c r="V138" s="23">
        <f>COUNTIFS(FMECA[RR], "HIGH",FMECA[HazardRisk_name],Table3[[#This Row],[HazardRisk_name]])</f>
        <v>0</v>
      </c>
      <c r="W138" s="22">
        <f>Table3[[#This Row],[h_count]]/Table3[[#This Row],[risk_counts]]</f>
        <v>0</v>
      </c>
      <c r="X138" s="23">
        <f>COUNTIFS(FMECA[RR], "MODERATE",FMECA[HazardRisk_name],Table3[[#This Row],[HazardRisk_name]])</f>
        <v>1</v>
      </c>
      <c r="Y138" s="22">
        <f>Table3[[#This Row],[m_count]]/Table3[[#This Row],[risk_counts]]</f>
        <v>1</v>
      </c>
      <c r="Z138" s="23">
        <f>COUNTIFS(FMECA[RR], "UNDETECTABLE",FMECA[HazardRisk_name],Table3[[#This Row],[HazardRisk_name]])</f>
        <v>0</v>
      </c>
      <c r="AA138" s="22">
        <f>Table3[[#This Row],[l_count]]/Table3[[#This Row],[risk_counts]]</f>
        <v>0</v>
      </c>
      <c r="AI138" s="16" t="str">
        <f>VLOOKUP(Table3[[#This Row],[HazardRisk_id]], categories[], 4, FALSE)</f>
        <v>Hazard</v>
      </c>
      <c r="AJ138" s="16">
        <f>(COUNTIFS(FMECA[availability], "Unknown",FMECA[HazardRisk_name],Table3[[#This Row],[HazardRisk_name]]))</f>
        <v>0</v>
      </c>
    </row>
    <row r="139" spans="1:36" ht="68" x14ac:dyDescent="0.2">
      <c r="A139" s="16" t="s">
        <v>2710</v>
      </c>
      <c r="B139" s="13" t="str">
        <f>VLOOKUP(Table3[[#This Row],[HazardRisk_id]], categories[], 5, FALSE)</f>
        <v>Environmental</v>
      </c>
      <c r="C139" s="14" t="str">
        <f>VLOOKUP(Table3[[#This Row],[HazardRisk_id]], categories[], 2, FALSE)</f>
        <v>Sea conditions</v>
      </c>
      <c r="D139" s="15" t="str">
        <f>VLOOKUP(Table3[[#This Row],[HazardRisk_id]], categories[], 3, FALSE)</f>
        <v>Sea conditions such as wave height, ocean temperature, and ocean salinity are crucial in determining safe operationg conditions. During the beginning and ending of shipping seasons, vessels vulnerable due to the unpredictable change in ice conditions within open waters.</v>
      </c>
      <c r="E139" s="15">
        <f>COUNTIFS(FMECA[HazardRisk_name],Table3[[#This Row],[HazardRisk_name]])</f>
        <v>12</v>
      </c>
      <c r="F139" s="15">
        <f>SUMIFS(FMECA[probability_value], FMECA[HazardRisk_name], Table3[[#This Row],[HazardRisk_name]])</f>
        <v>38</v>
      </c>
      <c r="G139" s="15">
        <f>AVERAGEIFS(FMECA[probability_value],FMECA[HazardRisk_name],Table3[[#This Row],[HazardRisk_name]])</f>
        <v>3.1666666666666665</v>
      </c>
      <c r="H139" s="15" cm="1">
        <f t="array" ref="H139">STDEVP(IF(FMECA[HazardRisk_name]=Table3[[#This Row],[HazardRisk_name]],FMECA[probability_value]))</f>
        <v>1.0671873729054748</v>
      </c>
      <c r="I139" s="15">
        <f>SUMIFS(FMECA[consequence_value], FMECA[HazardRisk_name], Table3[[#This Row],[HazardRisk_name]])</f>
        <v>72</v>
      </c>
      <c r="J139" s="15">
        <f>AVERAGEIFS(FMECA[consequence_value],FMECA[HazardRisk_name],Table3[[#This Row],[HazardRisk_name]])</f>
        <v>6</v>
      </c>
      <c r="K139" s="15" cm="1">
        <f t="array" ref="K139">STDEVP(IF(FMECA[HazardRisk_name]=Table3[[#This Row],[HazardRisk_name]],FMECA[consequence_value]))</f>
        <v>1.8708286933869707</v>
      </c>
      <c r="L139" s="23">
        <f>AVERAGEIFS(FMECA[Score],FMECA[HazardRisk_name],Table3[[#This Row],[HazardRisk_name]])</f>
        <v>19.166666666666668</v>
      </c>
      <c r="M139" s="23" cm="1">
        <f t="array" ref="M139">STDEVP(IF(FMECA[HazardRisk_name]=Table3[[#This Row],[HazardRisk_name]],FMECA[Score]))</f>
        <v>8.8207457482661606</v>
      </c>
      <c r="N139" s="15">
        <f>COUNTIFS(FMECA_data!P:P, "Theoretical", FMECA_data!I:I,Table3[[#This Row],[HazardRisk_name]])</f>
        <v>0</v>
      </c>
      <c r="O139" s="15">
        <f>COUNTIFS(FMECA_data!P:P, "Observational", FMECA_data!I:I,Table3[[#This Row],[HazardRisk_name]])</f>
        <v>10</v>
      </c>
      <c r="P139" s="15">
        <f>COUNTIFS(FMECA_data!P:P, "Hybrid", FMECA_data!I:I,Table3[[#This Row],[HazardRisk_name]])</f>
        <v>2</v>
      </c>
      <c r="Q139" s="15">
        <f>COUNTIFS(FMECA_data!P:P, "Modelling", FMECA_data!I:I,Table3[[#This Row],[HazardRisk_name]])</f>
        <v>0</v>
      </c>
      <c r="R139" s="15">
        <f>COUNTIFS(FMECA[data_deficient], "Yes",FMECA[HazardRisk_name],Table3[[#This Row],[HazardRisk_name]])</f>
        <v>0</v>
      </c>
      <c r="S139" s="23">
        <f>(COUNTIFS(FMECA[availability], "Yes",FMECA[HazardRisk_name],Table3[[#This Row],[HazardRisk_name]])) + (COUNTIFS(FMECA[availability], "Available",FMECA[HazardRisk_name],Table3[[#This Row],[HazardRisk_name]]))</f>
        <v>6</v>
      </c>
      <c r="T139" s="23">
        <f>COUNTIFS(FMECA[RR], "VERY HIGH",FMECA[HazardRisk_name],Table3[[#This Row],[HazardRisk_name]])</f>
        <v>0</v>
      </c>
      <c r="U139" s="22">
        <f>Table3[[#This Row],[vh_count]]/Table3[[#This Row],[risk_counts]]</f>
        <v>0</v>
      </c>
      <c r="V139" s="23">
        <f>COUNTIFS(FMECA[RR], "HIGH",FMECA[HazardRisk_name],Table3[[#This Row],[HazardRisk_name]])</f>
        <v>4</v>
      </c>
      <c r="W139" s="22">
        <f>Table3[[#This Row],[h_count]]/Table3[[#This Row],[risk_counts]]</f>
        <v>0.33333333333333331</v>
      </c>
      <c r="X139" s="23">
        <f>COUNTIFS(FMECA[RR], "MODERATE",FMECA[HazardRisk_name],Table3[[#This Row],[HazardRisk_name]])</f>
        <v>7</v>
      </c>
      <c r="Y139" s="22">
        <f>Table3[[#This Row],[m_count]]/Table3[[#This Row],[risk_counts]]</f>
        <v>0.58333333333333337</v>
      </c>
      <c r="Z139" s="23">
        <f>COUNTIFS(FMECA[RR], "UNDETECTABLE",FMECA[HazardRisk_name],Table3[[#This Row],[HazardRisk_name]])</f>
        <v>1</v>
      </c>
      <c r="AA139" s="22">
        <f>Table3[[#This Row],[l_count]]/Table3[[#This Row],[risk_counts]]</f>
        <v>8.3333333333333329E-2</v>
      </c>
      <c r="AI139" s="16" t="str">
        <f>VLOOKUP(Table3[[#This Row],[HazardRisk_id]], categories[], 4, FALSE)</f>
        <v>Hazard</v>
      </c>
      <c r="AJ139" s="16">
        <f>(COUNTIFS(FMECA[availability], "Unknown",FMECA[HazardRisk_name],Table3[[#This Row],[HazardRisk_name]]))</f>
        <v>6</v>
      </c>
    </row>
    <row r="140" spans="1:36" ht="34" x14ac:dyDescent="0.2">
      <c r="A140" s="16" t="s">
        <v>2711</v>
      </c>
      <c r="B140" s="13" t="str">
        <f>VLOOKUP(Table3[[#This Row],[HazardRisk_id]], categories[], 5, FALSE)</f>
        <v>Sea Ice</v>
      </c>
      <c r="C140" s="14" t="str">
        <f>VLOOKUP(Table3[[#This Row],[HazardRisk_id]], categories[], 2, FALSE)</f>
        <v>Sea ice consentration</v>
      </c>
      <c r="D140" s="15" t="str">
        <f>VLOOKUP(Table3[[#This Row],[HazardRisk_id]], categories[], 3, FALSE)</f>
        <v>The consentration of sea ice present causeing operators with lower ice classificaitons to be of increased risk of iceberg collisions and ships sinking.</v>
      </c>
      <c r="E140" s="15">
        <f>COUNTIFS(FMECA[HazardRisk_name],Table3[[#This Row],[HazardRisk_name]])</f>
        <v>18</v>
      </c>
      <c r="F140" s="15">
        <f>SUMIFS(FMECA[probability_value], FMECA[HazardRisk_name], Table3[[#This Row],[HazardRisk_name]])</f>
        <v>69</v>
      </c>
      <c r="G140" s="15">
        <f>AVERAGEIFS(FMECA[probability_value],FMECA[HazardRisk_name],Table3[[#This Row],[HazardRisk_name]])</f>
        <v>3.8333333333333335</v>
      </c>
      <c r="H140" s="15" cm="1">
        <f t="array" ref="H140">STDEVP(IF(FMECA[HazardRisk_name]=Table3[[#This Row],[HazardRisk_name]],FMECA[probability_value]))</f>
        <v>0.89752746785575066</v>
      </c>
      <c r="I140" s="15">
        <f>SUMIFS(FMECA[consequence_value], FMECA[HazardRisk_name], Table3[[#This Row],[HazardRisk_name]])</f>
        <v>128</v>
      </c>
      <c r="J140" s="15">
        <f>AVERAGEIFS(FMECA[consequence_value],FMECA[HazardRisk_name],Table3[[#This Row],[HazardRisk_name]])</f>
        <v>7.1111111111111107</v>
      </c>
      <c r="K140" s="15" cm="1">
        <f t="array" ref="K140">STDEVP(IF(FMECA[HazardRisk_name]=Table3[[#This Row],[HazardRisk_name]],FMECA[consequence_value]))</f>
        <v>1.5595187608464667</v>
      </c>
      <c r="L140" s="23">
        <f>AVERAGEIFS(FMECA[Score],FMECA[HazardRisk_name],Table3[[#This Row],[HazardRisk_name]])</f>
        <v>27.611111111111111</v>
      </c>
      <c r="M140" s="23" cm="1">
        <f t="array" ref="M140">STDEVP(IF(FMECA[HazardRisk_name]=Table3[[#This Row],[HazardRisk_name]],FMECA[Score]))</f>
        <v>9.3162873440305187</v>
      </c>
      <c r="N140" s="15">
        <f>COUNTIFS(FMECA_data!P:P, "Theoretical", FMECA_data!I:I,Table3[[#This Row],[HazardRisk_name]])</f>
        <v>4</v>
      </c>
      <c r="O140" s="15">
        <f>COUNTIFS(FMECA_data!P:P, "Observational", FMECA_data!I:I,Table3[[#This Row],[HazardRisk_name]])</f>
        <v>10</v>
      </c>
      <c r="P140" s="15">
        <f>COUNTIFS(FMECA_data!P:P, "Hybrid", FMECA_data!I:I,Table3[[#This Row],[HazardRisk_name]])</f>
        <v>2</v>
      </c>
      <c r="Q140" s="15">
        <f>COUNTIFS(FMECA_data!P:P, "Modelling", FMECA_data!I:I,Table3[[#This Row],[HazardRisk_name]])</f>
        <v>2</v>
      </c>
      <c r="R140" s="15">
        <f>COUNTIFS(FMECA[data_deficient], "Yes",FMECA[HazardRisk_name],Table3[[#This Row],[HazardRisk_name]])</f>
        <v>0</v>
      </c>
      <c r="S140" s="23">
        <f>(COUNTIFS(FMECA[availability], "Yes",FMECA[HazardRisk_name],Table3[[#This Row],[HazardRisk_name]])) + (COUNTIFS(FMECA[availability], "Available",FMECA[HazardRisk_name],Table3[[#This Row],[HazardRisk_name]]))</f>
        <v>9</v>
      </c>
      <c r="T140" s="23">
        <f>COUNTIFS(FMECA[RR], "VERY HIGH",FMECA[HazardRisk_name],Table3[[#This Row],[HazardRisk_name]])</f>
        <v>2</v>
      </c>
      <c r="U140" s="22">
        <f>Table3[[#This Row],[vh_count]]/Table3[[#This Row],[risk_counts]]</f>
        <v>0.1111111111111111</v>
      </c>
      <c r="V140" s="23">
        <f>COUNTIFS(FMECA[RR], "HIGH",FMECA[HazardRisk_name],Table3[[#This Row],[HazardRisk_name]])</f>
        <v>11</v>
      </c>
      <c r="W140" s="22">
        <f>Table3[[#This Row],[h_count]]/Table3[[#This Row],[risk_counts]]</f>
        <v>0.61111111111111116</v>
      </c>
      <c r="X140" s="23">
        <f>COUNTIFS(FMECA[RR], "MODERATE",FMECA[HazardRisk_name],Table3[[#This Row],[HazardRisk_name]])</f>
        <v>4</v>
      </c>
      <c r="Y140" s="22">
        <f>Table3[[#This Row],[m_count]]/Table3[[#This Row],[risk_counts]]</f>
        <v>0.22222222222222221</v>
      </c>
      <c r="Z140" s="23">
        <f>COUNTIFS(FMECA[RR], "UNDETECTABLE",FMECA[HazardRisk_name],Table3[[#This Row],[HazardRisk_name]])</f>
        <v>1</v>
      </c>
      <c r="AA140" s="22">
        <f>Table3[[#This Row],[l_count]]/Table3[[#This Row],[risk_counts]]</f>
        <v>5.5555555555555552E-2</v>
      </c>
      <c r="AI140" s="16" t="str">
        <f>VLOOKUP(Table3[[#This Row],[HazardRisk_id]], categories[], 4, FALSE)</f>
        <v>Hazard</v>
      </c>
      <c r="AJ140" s="16">
        <f>(COUNTIFS(FMECA[availability], "Unknown",FMECA[HazardRisk_name],Table3[[#This Row],[HazardRisk_name]]))</f>
        <v>6</v>
      </c>
    </row>
    <row r="141" spans="1:36" ht="51" x14ac:dyDescent="0.2">
      <c r="A141" s="16" t="s">
        <v>2712</v>
      </c>
      <c r="B141" s="13" t="str">
        <f>VLOOKUP(Table3[[#This Row],[HazardRisk_id]], categories[], 5, FALSE)</f>
        <v>Sea Ice</v>
      </c>
      <c r="C141" s="14" t="str">
        <f>VLOOKUP(Table3[[#This Row],[HazardRisk_id]], categories[], 2, FALSE)</f>
        <v>Sea ice melt</v>
      </c>
      <c r="D141" s="15" t="str">
        <f>VLOOKUP(Table3[[#This Row],[HazardRisk_id]], categories[], 3, FALSE)</f>
        <v>Climate change and the inpridictability of increased temperatures has caused environments that allow for sea ice to melt.This modifies the environment of Arctic waters, making it impredictable and difficult to navigate Arctic waters.</v>
      </c>
      <c r="E141" s="15">
        <f>COUNTIFS(FMECA[HazardRisk_name],Table3[[#This Row],[HazardRisk_name]])</f>
        <v>28</v>
      </c>
      <c r="F141" s="15">
        <f>SUMIFS(FMECA[probability_value], FMECA[HazardRisk_name], Table3[[#This Row],[HazardRisk_name]])</f>
        <v>119</v>
      </c>
      <c r="G141" s="15">
        <f>AVERAGEIFS(FMECA[probability_value],FMECA[HazardRisk_name],Table3[[#This Row],[HazardRisk_name]])</f>
        <v>4.25</v>
      </c>
      <c r="H141" s="15" cm="1">
        <f t="array" ref="H141">STDEVP(IF(FMECA[HazardRisk_name]=Table3[[#This Row],[HazardRisk_name]],FMECA[probability_value]))</f>
        <v>0.57476703355111003</v>
      </c>
      <c r="I141" s="15">
        <f>SUMIFS(FMECA[consequence_value], FMECA[HazardRisk_name], Table3[[#This Row],[HazardRisk_name]])</f>
        <v>198</v>
      </c>
      <c r="J141" s="15">
        <f>AVERAGEIFS(FMECA[consequence_value],FMECA[HazardRisk_name],Table3[[#This Row],[HazardRisk_name]])</f>
        <v>7.0714285714285712</v>
      </c>
      <c r="K141" s="15" cm="1">
        <f t="array" ref="K141">STDEVP(IF(FMECA[HazardRisk_name]=Table3[[#This Row],[HazardRisk_name]],FMECA[consequence_value]))</f>
        <v>1.486332289048915</v>
      </c>
      <c r="L141" s="23">
        <f>AVERAGEIFS(FMECA[Score],FMECA[HazardRisk_name],Table3[[#This Row],[HazardRisk_name]])</f>
        <v>30.178571428571427</v>
      </c>
      <c r="M141" s="23" cm="1">
        <f t="array" ref="M141">STDEVP(IF(FMECA[HazardRisk_name]=Table3[[#This Row],[HazardRisk_name]],FMECA[Score]))</f>
        <v>7.7277494941863871</v>
      </c>
      <c r="N141" s="15">
        <f>COUNTIFS(FMECA_data!P:P, "Theoretical", FMECA_data!I:I,Table3[[#This Row],[HazardRisk_name]])</f>
        <v>7</v>
      </c>
      <c r="O141" s="15">
        <f>COUNTIFS(FMECA_data!P:P, "Observational", FMECA_data!I:I,Table3[[#This Row],[HazardRisk_name]])</f>
        <v>13</v>
      </c>
      <c r="P141" s="15">
        <f>COUNTIFS(FMECA_data!P:P, "Hybrid", FMECA_data!I:I,Table3[[#This Row],[HazardRisk_name]])</f>
        <v>6</v>
      </c>
      <c r="Q141" s="15">
        <f>COUNTIFS(FMECA_data!P:P, "Modelling", FMECA_data!I:I,Table3[[#This Row],[HazardRisk_name]])</f>
        <v>2</v>
      </c>
      <c r="R141" s="15">
        <f>COUNTIFS(FMECA[data_deficient], "Yes",FMECA[HazardRisk_name],Table3[[#This Row],[HazardRisk_name]])</f>
        <v>3</v>
      </c>
      <c r="S141" s="23">
        <f>(COUNTIFS(FMECA[availability], "Yes",FMECA[HazardRisk_name],Table3[[#This Row],[HazardRisk_name]])) + (COUNTIFS(FMECA[availability], "Available",FMECA[HazardRisk_name],Table3[[#This Row],[HazardRisk_name]]))</f>
        <v>10</v>
      </c>
      <c r="T141" s="218">
        <f>COUNTIFS(FMECA[RR], "VERY HIGH",FMECA[HazardRisk_name],Table3[[#This Row],[HazardRisk_name]])</f>
        <v>4</v>
      </c>
      <c r="U141" s="22">
        <f>Table3[[#This Row],[vh_count]]/Table3[[#This Row],[risk_counts]]</f>
        <v>0.14285714285714285</v>
      </c>
      <c r="V141" s="218">
        <f>COUNTIFS(FMECA[RR], "HIGH",FMECA[HazardRisk_name],Table3[[#This Row],[HazardRisk_name]])</f>
        <v>20</v>
      </c>
      <c r="W141" s="22">
        <f>Table3[[#This Row],[h_count]]/Table3[[#This Row],[risk_counts]]</f>
        <v>0.7142857142857143</v>
      </c>
      <c r="X141" s="218">
        <f>COUNTIFS(FMECA[RR], "MODERATE",FMECA[HazardRisk_name],Table3[[#This Row],[HazardRisk_name]])</f>
        <v>4</v>
      </c>
      <c r="Y141" s="22">
        <f>Table3[[#This Row],[m_count]]/Table3[[#This Row],[risk_counts]]</f>
        <v>0.14285714285714285</v>
      </c>
      <c r="Z141" s="218">
        <f>COUNTIFS(FMECA[RR], "UNDETECTABLE",FMECA[HazardRisk_name],Table3[[#This Row],[HazardRisk_name]])</f>
        <v>0</v>
      </c>
      <c r="AA141" s="22">
        <f>Table3[[#This Row],[l_count]]/Table3[[#This Row],[risk_counts]]</f>
        <v>0</v>
      </c>
      <c r="AI141" s="16" t="str">
        <f>VLOOKUP(Table3[[#This Row],[HazardRisk_id]], categories[], 4, FALSE)</f>
        <v>Hazard</v>
      </c>
      <c r="AJ141" s="16">
        <f>(COUNTIFS(FMECA[availability], "Unknown",FMECA[HazardRisk_name],Table3[[#This Row],[HazardRisk_name]]))</f>
        <v>9</v>
      </c>
    </row>
    <row r="142" spans="1:36" ht="34" x14ac:dyDescent="0.2">
      <c r="A142" s="16" t="s">
        <v>2713</v>
      </c>
      <c r="B142" s="13" t="str">
        <f>VLOOKUP(Table3[[#This Row],[HazardRisk_id]], categories[], 5, FALSE)</f>
        <v>Environmental</v>
      </c>
      <c r="C142" s="14" t="str">
        <f>VLOOKUP(Table3[[#This Row],[HazardRisk_id]], categories[], 2, FALSE)</f>
        <v>Severe weather</v>
      </c>
      <c r="D142" s="15" t="str">
        <f>VLOOKUP(Table3[[#This Row],[HazardRisk_id]], categories[], 3, FALSE)</f>
        <v>Harsh environmental conditions such as strong winds, heavy snow, and extreme low temperatures become difficult for navigation.</v>
      </c>
      <c r="E142" s="15">
        <f>COUNTIFS(FMECA[HazardRisk_name],Table3[[#This Row],[HazardRisk_name]])</f>
        <v>12</v>
      </c>
      <c r="F142" s="15">
        <f>SUMIFS(FMECA[probability_value], FMECA[HazardRisk_name], Table3[[#This Row],[HazardRisk_name]])</f>
        <v>44</v>
      </c>
      <c r="G142" s="15">
        <f>AVERAGEIFS(FMECA[probability_value],FMECA[HazardRisk_name],Table3[[#This Row],[HazardRisk_name]])</f>
        <v>3.6666666666666665</v>
      </c>
      <c r="H142" s="15" cm="1">
        <f t="array" ref="H142">STDEVP(IF(FMECA[HazardRisk_name]=Table3[[#This Row],[HazardRisk_name]],FMECA[probability_value]))</f>
        <v>0.84983658559879749</v>
      </c>
      <c r="I142" s="15">
        <f>SUMIFS(FMECA[consequence_value], FMECA[HazardRisk_name], Table3[[#This Row],[HazardRisk_name]])</f>
        <v>87</v>
      </c>
      <c r="J142" s="15">
        <f>AVERAGEIFS(FMECA[consequence_value],FMECA[HazardRisk_name],Table3[[#This Row],[HazardRisk_name]])</f>
        <v>7.25</v>
      </c>
      <c r="K142" s="15" cm="1">
        <f t="array" ref="K142">STDEVP(IF(FMECA[HazardRisk_name]=Table3[[#This Row],[HazardRisk_name]],FMECA[consequence_value]))</f>
        <v>1.479019945774904</v>
      </c>
      <c r="L142" s="23">
        <f>AVERAGEIFS(FMECA[Score],FMECA[HazardRisk_name],Table3[[#This Row],[HazardRisk_name]])</f>
        <v>27.166666666666668</v>
      </c>
      <c r="M142" s="23" cm="1">
        <f t="array" ref="M142">STDEVP(IF(FMECA[HazardRisk_name]=Table3[[#This Row],[HazardRisk_name]],FMECA[Score]))</f>
        <v>9.4677816244825213</v>
      </c>
      <c r="N142" s="15">
        <f>COUNTIFS(FMECA_data!P:P, "Theoretical", FMECA_data!I:I,Table3[[#This Row],[HazardRisk_name]])</f>
        <v>2</v>
      </c>
      <c r="O142" s="15">
        <f>COUNTIFS(FMECA_data!P:P, "Observational", FMECA_data!I:I,Table3[[#This Row],[HazardRisk_name]])</f>
        <v>5</v>
      </c>
      <c r="P142" s="15">
        <f>COUNTIFS(FMECA_data!P:P, "Hybrid", FMECA_data!I:I,Table3[[#This Row],[HazardRisk_name]])</f>
        <v>3</v>
      </c>
      <c r="Q142" s="15">
        <f>COUNTIFS(FMECA_data!P:P, "Modelling", FMECA_data!I:I,Table3[[#This Row],[HazardRisk_name]])</f>
        <v>2</v>
      </c>
      <c r="R142" s="15">
        <f>COUNTIFS(FMECA[data_deficient], "Yes",FMECA[HazardRisk_name],Table3[[#This Row],[HazardRisk_name]])</f>
        <v>2</v>
      </c>
      <c r="S142" s="23">
        <f>(COUNTIFS(FMECA[availability], "Yes",FMECA[HazardRisk_name],Table3[[#This Row],[HazardRisk_name]])) + (COUNTIFS(FMECA[availability], "Available",FMECA[HazardRisk_name],Table3[[#This Row],[HazardRisk_name]]))</f>
        <v>6</v>
      </c>
      <c r="T142" s="218">
        <f>COUNTIFS(FMECA[RR], "VERY HIGH",FMECA[HazardRisk_name],Table3[[#This Row],[HazardRisk_name]])</f>
        <v>1</v>
      </c>
      <c r="U142" s="22">
        <f>Table3[[#This Row],[vh_count]]/Table3[[#This Row],[risk_counts]]</f>
        <v>8.3333333333333329E-2</v>
      </c>
      <c r="V142" s="218">
        <f>COUNTIFS(FMECA[RR], "HIGH",FMECA[HazardRisk_name],Table3[[#This Row],[HazardRisk_name]])</f>
        <v>7</v>
      </c>
      <c r="W142" s="22">
        <f>Table3[[#This Row],[h_count]]/Table3[[#This Row],[risk_counts]]</f>
        <v>0.58333333333333337</v>
      </c>
      <c r="X142" s="218">
        <f>COUNTIFS(FMECA[RR], "MODERATE",FMECA[HazardRisk_name],Table3[[#This Row],[HazardRisk_name]])</f>
        <v>3</v>
      </c>
      <c r="Y142" s="22">
        <f>Table3[[#This Row],[m_count]]/Table3[[#This Row],[risk_counts]]</f>
        <v>0.25</v>
      </c>
      <c r="Z142" s="218">
        <f>COUNTIFS(FMECA[RR], "UNDETECTABLE",FMECA[HazardRisk_name],Table3[[#This Row],[HazardRisk_name]])</f>
        <v>1</v>
      </c>
      <c r="AA142" s="22">
        <f>Table3[[#This Row],[l_count]]/Table3[[#This Row],[risk_counts]]</f>
        <v>8.3333333333333329E-2</v>
      </c>
      <c r="AI142" s="16" t="str">
        <f>VLOOKUP(Table3[[#This Row],[HazardRisk_id]], categories[], 4, FALSE)</f>
        <v>Hazard</v>
      </c>
      <c r="AJ142" s="16">
        <f>(COUNTIFS(FMECA[availability], "Unknown",FMECA[HazardRisk_name],Table3[[#This Row],[HazardRisk_name]]))</f>
        <v>5</v>
      </c>
    </row>
    <row r="143" spans="1:36" ht="68" x14ac:dyDescent="0.2">
      <c r="A143" s="16" t="s">
        <v>2714</v>
      </c>
      <c r="B143" s="13" t="str">
        <f>VLOOKUP(Table3[[#This Row],[HazardRisk_id]], categories[], 5, FALSE)</f>
        <v>Navigational</v>
      </c>
      <c r="C143" s="14" t="str">
        <f>VLOOKUP(Table3[[#This Row],[HazardRisk_id]], categories[], 2, FALSE)</f>
        <v>Ship speeding</v>
      </c>
      <c r="D143" s="15" t="str">
        <f>VLOOKUP(Table3[[#This Row],[HazardRisk_id]], categories[], 3, FALSE)</f>
        <v>The safety speed is exeeded or at the maxiumum speed when the hull and machine acnnot be damagedby ice or another form of collision when navigationg. This can also occur if a vessel were to be traveling too fast that the assisted ship cannot stop in a short distance.</v>
      </c>
      <c r="E143" s="15">
        <f>COUNTIFS(FMECA[HazardRisk_name],Table3[[#This Row],[HazardRisk_name]])</f>
        <v>14</v>
      </c>
      <c r="F143" s="15">
        <f>SUMIFS(FMECA[probability_value], FMECA[HazardRisk_name], Table3[[#This Row],[HazardRisk_name]])</f>
        <v>56</v>
      </c>
      <c r="G143" s="15">
        <f>AVERAGEIFS(FMECA[probability_value],FMECA[HazardRisk_name],Table3[[#This Row],[HazardRisk_name]])</f>
        <v>4</v>
      </c>
      <c r="H143" s="15" cm="1">
        <f t="array" ref="H143">STDEVP(IF(FMECA[HazardRisk_name]=Table3[[#This Row],[HazardRisk_name]],FMECA[probability_value]))</f>
        <v>0.7559289460184544</v>
      </c>
      <c r="I143" s="15">
        <f>SUMIFS(FMECA[consequence_value], FMECA[HazardRisk_name], Table3[[#This Row],[HazardRisk_name]])</f>
        <v>80</v>
      </c>
      <c r="J143" s="15">
        <f>AVERAGEIFS(FMECA[consequence_value],FMECA[HazardRisk_name],Table3[[#This Row],[HazardRisk_name]])</f>
        <v>5.7142857142857144</v>
      </c>
      <c r="K143" s="15" cm="1">
        <f t="array" ref="K143">STDEVP(IF(FMECA[HazardRisk_name]=Table3[[#This Row],[HazardRisk_name]],FMECA[consequence_value]))</f>
        <v>1.4846149779161804</v>
      </c>
      <c r="L143" s="23">
        <f>AVERAGEIFS(FMECA[Score],FMECA[HazardRisk_name],Table3[[#This Row],[HazardRisk_name]])</f>
        <v>22.214285714285715</v>
      </c>
      <c r="M143" s="23" cm="1">
        <f t="array" ref="M143">STDEVP(IF(FMECA[HazardRisk_name]=Table3[[#This Row],[HazardRisk_name]],FMECA[Score]))</f>
        <v>5.3476105669270835</v>
      </c>
      <c r="N143" s="15">
        <f>COUNTIFS(FMECA_data!P:P, "Theoretical", FMECA_data!I:I,Table3[[#This Row],[HazardRisk_name]])</f>
        <v>0</v>
      </c>
      <c r="O143" s="15">
        <f>COUNTIFS(FMECA_data!P:P, "Observational", FMECA_data!I:I,Table3[[#This Row],[HazardRisk_name]])</f>
        <v>11</v>
      </c>
      <c r="P143" s="15">
        <f>COUNTIFS(FMECA_data!P:P, "Hybrid", FMECA_data!I:I,Table3[[#This Row],[HazardRisk_name]])</f>
        <v>2</v>
      </c>
      <c r="Q143" s="15">
        <f>COUNTIFS(FMECA_data!P:P, "Modelling", FMECA_data!I:I,Table3[[#This Row],[HazardRisk_name]])</f>
        <v>1</v>
      </c>
      <c r="R143" s="15">
        <f>COUNTIFS(FMECA[data_deficient], "Yes",FMECA[HazardRisk_name],Table3[[#This Row],[HazardRisk_name]])</f>
        <v>1</v>
      </c>
      <c r="S143" s="23">
        <f>(COUNTIFS(FMECA[availability], "Yes",FMECA[HazardRisk_name],Table3[[#This Row],[HazardRisk_name]])) + (COUNTIFS(FMECA[availability], "Available",FMECA[HazardRisk_name],Table3[[#This Row],[HazardRisk_name]]))</f>
        <v>7</v>
      </c>
      <c r="T143" s="218">
        <f>COUNTIFS(FMECA[RR], "VERY HIGH",FMECA[HazardRisk_name],Table3[[#This Row],[HazardRisk_name]])</f>
        <v>0</v>
      </c>
      <c r="U143" s="22">
        <f>Table3[[#This Row],[vh_count]]/Table3[[#This Row],[risk_counts]]</f>
        <v>0</v>
      </c>
      <c r="V143" s="218">
        <f>COUNTIFS(FMECA[RR], "HIGH",FMECA[HazardRisk_name],Table3[[#This Row],[HazardRisk_name]])</f>
        <v>4</v>
      </c>
      <c r="W143" s="22">
        <f>Table3[[#This Row],[h_count]]/Table3[[#This Row],[risk_counts]]</f>
        <v>0.2857142857142857</v>
      </c>
      <c r="X143" s="218">
        <f>COUNTIFS(FMECA[RR], "MODERATE",FMECA[HazardRisk_name],Table3[[#This Row],[HazardRisk_name]])</f>
        <v>10</v>
      </c>
      <c r="Y143" s="22">
        <f>Table3[[#This Row],[m_count]]/Table3[[#This Row],[risk_counts]]</f>
        <v>0.7142857142857143</v>
      </c>
      <c r="Z143" s="218">
        <f>COUNTIFS(FMECA[RR], "UNDETECTABLE",FMECA[HazardRisk_name],Table3[[#This Row],[HazardRisk_name]])</f>
        <v>0</v>
      </c>
      <c r="AA143" s="22">
        <f>Table3[[#This Row],[l_count]]/Table3[[#This Row],[risk_counts]]</f>
        <v>0</v>
      </c>
      <c r="AI143" s="16" t="str">
        <f>VLOOKUP(Table3[[#This Row],[HazardRisk_id]], categories[], 4, FALSE)</f>
        <v>Hazard</v>
      </c>
      <c r="AJ143" s="16">
        <f>(COUNTIFS(FMECA[availability], "Unknown",FMECA[HazardRisk_name],Table3[[#This Row],[HazardRisk_name]]))</f>
        <v>6</v>
      </c>
    </row>
    <row r="144" spans="1:36" ht="51" x14ac:dyDescent="0.2">
      <c r="A144" s="16" t="s">
        <v>2715</v>
      </c>
      <c r="B144" s="13" t="str">
        <f>VLOOKUP(Table3[[#This Row],[HazardRisk_id]], categories[], 5, FALSE)</f>
        <v>Navigational</v>
      </c>
      <c r="C144" s="14" t="str">
        <f>VLOOKUP(Table3[[#This Row],[HazardRisk_id]], categories[], 2, FALSE)</f>
        <v>Ship stuck in ice</v>
      </c>
      <c r="D144" s="15" t="str">
        <f>VLOOKUP(Table3[[#This Row],[HazardRisk_id]], categories[], 3, FALSE)</f>
        <v>If a vessel becomes stuck in ice, this creates significant threats to the crew and environment. This would result in high-costing actions where search and rescue teams would retrieve crew members and aid in uncontrolled substance clean up.</v>
      </c>
      <c r="E144" s="15">
        <f>COUNTIFS(FMECA[HazardRisk_name],Table3[[#This Row],[HazardRisk_name]])</f>
        <v>6</v>
      </c>
      <c r="F144" s="15">
        <f>SUMIFS(FMECA[probability_value], FMECA[HazardRisk_name], Table3[[#This Row],[HazardRisk_name]])</f>
        <v>13</v>
      </c>
      <c r="G144" s="15">
        <f>AVERAGEIFS(FMECA[probability_value],FMECA[HazardRisk_name],Table3[[#This Row],[HazardRisk_name]])</f>
        <v>2.1666666666666665</v>
      </c>
      <c r="H144" s="15" cm="1">
        <f t="array" ref="H144">STDEVP(IF(FMECA[HazardRisk_name]=Table3[[#This Row],[HazardRisk_name]],FMECA[probability_value]))</f>
        <v>0.89752746785575066</v>
      </c>
      <c r="I144" s="15">
        <f>SUMIFS(FMECA[consequence_value], FMECA[HazardRisk_name], Table3[[#This Row],[HazardRisk_name]])</f>
        <v>44</v>
      </c>
      <c r="J144" s="15">
        <f>AVERAGEIFS(FMECA[consequence_value],FMECA[HazardRisk_name],Table3[[#This Row],[HazardRisk_name]])</f>
        <v>7.333333333333333</v>
      </c>
      <c r="K144" s="15" cm="1">
        <f t="array" ref="K144">STDEVP(IF(FMECA[HazardRisk_name]=Table3[[#This Row],[HazardRisk_name]],FMECA[consequence_value]))</f>
        <v>2.0548046676563256</v>
      </c>
      <c r="L144" s="23">
        <f>AVERAGEIFS(FMECA[Score],FMECA[HazardRisk_name],Table3[[#This Row],[HazardRisk_name]])</f>
        <v>14.166666666666666</v>
      </c>
      <c r="M144" s="23" cm="1">
        <f t="array" ref="M144">STDEVP(IF(FMECA[HazardRisk_name]=Table3[[#This Row],[HazardRisk_name]],FMECA[Score]))</f>
        <v>3.7155828016013257</v>
      </c>
      <c r="N144" s="15">
        <f>COUNTIFS(FMECA_data!P:P, "Theoretical", FMECA_data!I:I,Table3[[#This Row],[HazardRisk_name]])</f>
        <v>0</v>
      </c>
      <c r="O144" s="15">
        <f>COUNTIFS(FMECA_data!P:P, "Observational", FMECA_data!I:I,Table3[[#This Row],[HazardRisk_name]])</f>
        <v>5</v>
      </c>
      <c r="P144" s="15">
        <f>COUNTIFS(FMECA_data!P:P, "Hybrid", FMECA_data!I:I,Table3[[#This Row],[HazardRisk_name]])</f>
        <v>1</v>
      </c>
      <c r="Q144" s="15">
        <f>COUNTIFS(FMECA_data!P:P, "Modelling", FMECA_data!I:I,Table3[[#This Row],[HazardRisk_name]])</f>
        <v>0</v>
      </c>
      <c r="R144" s="15">
        <f>COUNTIFS(FMECA[data_deficient], "Yes",FMECA[HazardRisk_name],Table3[[#This Row],[HazardRisk_name]])</f>
        <v>0</v>
      </c>
      <c r="S144" s="23">
        <f>(COUNTIFS(FMECA[availability], "Yes",FMECA[HazardRisk_name],Table3[[#This Row],[HazardRisk_name]])) + (COUNTIFS(FMECA[availability], "Available",FMECA[HazardRisk_name],Table3[[#This Row],[HazardRisk_name]]))</f>
        <v>2</v>
      </c>
      <c r="T144" s="218">
        <f>COUNTIFS(FMECA[RR], "VERY HIGH",FMECA[HazardRisk_name],Table3[[#This Row],[HazardRisk_name]])</f>
        <v>0</v>
      </c>
      <c r="U144" s="22">
        <f>Table3[[#This Row],[vh_count]]/Table3[[#This Row],[risk_counts]]</f>
        <v>0</v>
      </c>
      <c r="V144" s="218">
        <f>COUNTIFS(FMECA[RR], "HIGH",FMECA[HazardRisk_name],Table3[[#This Row],[HazardRisk_name]])</f>
        <v>0</v>
      </c>
      <c r="W144" s="22">
        <f>Table3[[#This Row],[h_count]]/Table3[[#This Row],[risk_counts]]</f>
        <v>0</v>
      </c>
      <c r="X144" s="218">
        <f>COUNTIFS(FMECA[RR], "MODERATE",FMECA[HazardRisk_name],Table3[[#This Row],[HazardRisk_name]])</f>
        <v>6</v>
      </c>
      <c r="Y144" s="22">
        <f>Table3[[#This Row],[m_count]]/Table3[[#This Row],[risk_counts]]</f>
        <v>1</v>
      </c>
      <c r="Z144" s="218">
        <f>COUNTIFS(FMECA[RR], "UNDETECTABLE",FMECA[HazardRisk_name],Table3[[#This Row],[HazardRisk_name]])</f>
        <v>0</v>
      </c>
      <c r="AA144" s="22">
        <f>Table3[[#This Row],[l_count]]/Table3[[#This Row],[risk_counts]]</f>
        <v>0</v>
      </c>
      <c r="AI144" s="16" t="str">
        <f>VLOOKUP(Table3[[#This Row],[HazardRisk_id]], categories[], 4, FALSE)</f>
        <v>Risk</v>
      </c>
      <c r="AJ144" s="16">
        <f>(COUNTIFS(FMECA[availability], "Unknown",FMECA[HazardRisk_name],Table3[[#This Row],[HazardRisk_name]]))</f>
        <v>4</v>
      </c>
    </row>
    <row r="145" spans="1:36" ht="68" x14ac:dyDescent="0.2">
      <c r="A145" s="16" t="s">
        <v>2716</v>
      </c>
      <c r="B145" s="13" t="str">
        <f>VLOOKUP(Table3[[#This Row],[HazardRisk_id]], categories[], 5, FALSE)</f>
        <v>Navigational</v>
      </c>
      <c r="C145" s="14" t="str">
        <f>VLOOKUP(Table3[[#This Row],[HazardRisk_id]], categories[], 2, FALSE)</f>
        <v>Sinking vessel</v>
      </c>
      <c r="D145" s="15" t="str">
        <f>VLOOKUP(Table3[[#This Row],[HazardRisk_id]], categories[], 3, FALSE)</f>
        <v>If a vessel were to collide with another vessel, mammal, sea ice, or land, the vessel sinking would be costlu to remediate due to possible releases of toxic substances. A sinking vessel would also have risks of exhibiting numerous casialties of crew members or marine mammal species.</v>
      </c>
      <c r="E145" s="15">
        <f>COUNTIFS(FMECA[HazardRisk_name],Table3[[#This Row],[HazardRisk_name]])</f>
        <v>3</v>
      </c>
      <c r="F145" s="15">
        <f>SUMIFS(FMECA[probability_value], FMECA[HazardRisk_name], Table3[[#This Row],[HazardRisk_name]])</f>
        <v>7</v>
      </c>
      <c r="G145" s="15">
        <f>AVERAGEIFS(FMECA[probability_value],FMECA[HazardRisk_name],Table3[[#This Row],[HazardRisk_name]])</f>
        <v>2.3333333333333335</v>
      </c>
      <c r="H145" s="15" cm="1">
        <f t="array" ref="H145">STDEVP(IF(FMECA[HazardRisk_name]=Table3[[#This Row],[HazardRisk_name]],FMECA[probability_value]))</f>
        <v>0.47140452079103168</v>
      </c>
      <c r="I145" s="15">
        <f>SUMIFS(FMECA[consequence_value], FMECA[HazardRisk_name], Table3[[#This Row],[HazardRisk_name]])</f>
        <v>24</v>
      </c>
      <c r="J145" s="15">
        <f>AVERAGEIFS(FMECA[consequence_value],FMECA[HazardRisk_name],Table3[[#This Row],[HazardRisk_name]])</f>
        <v>8</v>
      </c>
      <c r="K145" s="15" cm="1">
        <f t="array" ref="K145">STDEVP(IF(FMECA[HazardRisk_name]=Table3[[#This Row],[HazardRisk_name]],FMECA[consequence_value]))</f>
        <v>1.4142135623730951</v>
      </c>
      <c r="L145" s="23">
        <f>AVERAGEIFS(FMECA[Score],FMECA[HazardRisk_name],Table3[[#This Row],[HazardRisk_name]])</f>
        <v>18.333333333333332</v>
      </c>
      <c r="M145" s="23" cm="1">
        <f t="array" ref="M145">STDEVP(IF(FMECA[HazardRisk_name]=Table3[[#This Row],[HazardRisk_name]],FMECA[Score]))</f>
        <v>3.0912061651652345</v>
      </c>
      <c r="N145" s="15">
        <f>COUNTIFS(FMECA_data!P:P, "Theoretical", FMECA_data!I:I,Table3[[#This Row],[HazardRisk_name]])</f>
        <v>0</v>
      </c>
      <c r="O145" s="15">
        <f>COUNTIFS(FMECA_data!P:P, "Observational", FMECA_data!I:I,Table3[[#This Row],[HazardRisk_name]])</f>
        <v>1</v>
      </c>
      <c r="P145" s="15">
        <f>COUNTIFS(FMECA_data!P:P, "Hybrid", FMECA_data!I:I,Table3[[#This Row],[HazardRisk_name]])</f>
        <v>2</v>
      </c>
      <c r="Q145" s="15">
        <f>COUNTIFS(FMECA_data!P:P, "Modelling", FMECA_data!I:I,Table3[[#This Row],[HazardRisk_name]])</f>
        <v>0</v>
      </c>
      <c r="R145" s="15">
        <f>COUNTIFS(FMECA[data_deficient], "Yes",FMECA[HazardRisk_name],Table3[[#This Row],[HazardRisk_name]])</f>
        <v>0</v>
      </c>
      <c r="S145" s="23">
        <f>(COUNTIFS(FMECA[availability], "Yes",FMECA[HazardRisk_name],Table3[[#This Row],[HazardRisk_name]])) + (COUNTIFS(FMECA[availability], "Available",FMECA[HazardRisk_name],Table3[[#This Row],[HazardRisk_name]]))</f>
        <v>2</v>
      </c>
      <c r="T145" s="218">
        <f>COUNTIFS(FMECA[RR], "VERY HIGH",FMECA[HazardRisk_name],Table3[[#This Row],[HazardRisk_name]])</f>
        <v>0</v>
      </c>
      <c r="U145" s="22">
        <f>Table3[[#This Row],[vh_count]]/Table3[[#This Row],[risk_counts]]</f>
        <v>0</v>
      </c>
      <c r="V145" s="218">
        <f>COUNTIFS(FMECA[RR], "HIGH",FMECA[HazardRisk_name],Table3[[#This Row],[HazardRisk_name]])</f>
        <v>0</v>
      </c>
      <c r="W145" s="22">
        <f>Table3[[#This Row],[h_count]]/Table3[[#This Row],[risk_counts]]</f>
        <v>0</v>
      </c>
      <c r="X145" s="218">
        <f>COUNTIFS(FMECA[RR], "MODERATE",FMECA[HazardRisk_name],Table3[[#This Row],[HazardRisk_name]])</f>
        <v>3</v>
      </c>
      <c r="Y145" s="22">
        <f>Table3[[#This Row],[m_count]]/Table3[[#This Row],[risk_counts]]</f>
        <v>1</v>
      </c>
      <c r="Z145" s="218">
        <f>COUNTIFS(FMECA[RR], "UNDETECTABLE",FMECA[HazardRisk_name],Table3[[#This Row],[HazardRisk_name]])</f>
        <v>0</v>
      </c>
      <c r="AA145" s="22">
        <f>Table3[[#This Row],[l_count]]/Table3[[#This Row],[risk_counts]]</f>
        <v>0</v>
      </c>
      <c r="AI145" s="16" t="str">
        <f>VLOOKUP(Table3[[#This Row],[HazardRisk_id]], categories[], 4, FALSE)</f>
        <v>Risk</v>
      </c>
      <c r="AJ145" s="16">
        <f>(COUNTIFS(FMECA[availability], "Unknown",FMECA[HazardRisk_name],Table3[[#This Row],[HazardRisk_name]]))</f>
        <v>1</v>
      </c>
    </row>
    <row r="146" spans="1:36" ht="17" x14ac:dyDescent="0.2">
      <c r="A146" s="16" t="s">
        <v>2717</v>
      </c>
      <c r="B146" s="13" t="str">
        <f>VLOOKUP(Table3[[#This Row],[HazardRisk_id]], categories[], 5, FALSE)</f>
        <v>Operational</v>
      </c>
      <c r="C146" s="14" t="str">
        <f>VLOOKUP(Table3[[#This Row],[HazardRisk_id]], categories[], 2, FALSE)</f>
        <v>Steering gear failure</v>
      </c>
      <c r="D146" s="15">
        <f>VLOOKUP(Table3[[#This Row],[HazardRisk_id]], categories[], 3, FALSE)</f>
        <v>0</v>
      </c>
      <c r="E146" s="15">
        <f>COUNTIFS(FMECA[HazardRisk_name],Table3[[#This Row],[HazardRisk_name]])</f>
        <v>1</v>
      </c>
      <c r="F146" s="15">
        <f>SUMIFS(FMECA[probability_value], FMECA[HazardRisk_name], Table3[[#This Row],[HazardRisk_name]])</f>
        <v>1</v>
      </c>
      <c r="G146" s="15">
        <f>AVERAGEIFS(FMECA[probability_value],FMECA[HazardRisk_name],Table3[[#This Row],[HazardRisk_name]])</f>
        <v>1</v>
      </c>
      <c r="H146" s="15" cm="1">
        <f t="array" ref="H146">STDEVP(IF(FMECA[HazardRisk_name]=Table3[[#This Row],[HazardRisk_name]],FMECA[probability_value]))</f>
        <v>0</v>
      </c>
      <c r="I146" s="15">
        <f>SUMIFS(FMECA[consequence_value], FMECA[HazardRisk_name], Table3[[#This Row],[HazardRisk_name]])</f>
        <v>10</v>
      </c>
      <c r="J146" s="15">
        <f>AVERAGEIFS(FMECA[consequence_value],FMECA[HazardRisk_name],Table3[[#This Row],[HazardRisk_name]])</f>
        <v>10</v>
      </c>
      <c r="K146" s="15" cm="1">
        <f t="array" ref="K146">STDEVP(IF(FMECA[HazardRisk_name]=Table3[[#This Row],[HazardRisk_name]],FMECA[consequence_value]))</f>
        <v>0</v>
      </c>
      <c r="L146" s="23">
        <f>AVERAGEIFS(FMECA[Score],FMECA[HazardRisk_name],Table3[[#This Row],[HazardRisk_name]])</f>
        <v>10</v>
      </c>
      <c r="M146" s="23" cm="1">
        <f t="array" ref="M146">STDEVP(IF(FMECA[HazardRisk_name]=Table3[[#This Row],[HazardRisk_name]],FMECA[Score]))</f>
        <v>0</v>
      </c>
      <c r="N146" s="15">
        <f>COUNTIFS(FMECA_data!P:P, "Theoretical", FMECA_data!I:I,Table3[[#This Row],[HazardRisk_name]])</f>
        <v>0</v>
      </c>
      <c r="O146" s="15">
        <f>COUNTIFS(FMECA_data!P:P, "Observational", FMECA_data!I:I,Table3[[#This Row],[HazardRisk_name]])</f>
        <v>1</v>
      </c>
      <c r="P146" s="15">
        <f>COUNTIFS(FMECA_data!P:P, "Hybrid", FMECA_data!I:I,Table3[[#This Row],[HazardRisk_name]])</f>
        <v>0</v>
      </c>
      <c r="Q146" s="15">
        <f>COUNTIFS(FMECA_data!P:P, "Modelling", FMECA_data!I:I,Table3[[#This Row],[HazardRisk_name]])</f>
        <v>0</v>
      </c>
      <c r="R146" s="15">
        <f>COUNTIFS(FMECA[data_deficient], "Yes",FMECA[HazardRisk_name],Table3[[#This Row],[HazardRisk_name]])</f>
        <v>0</v>
      </c>
      <c r="S146" s="23">
        <f>(COUNTIFS(FMECA[availability], "Yes",FMECA[HazardRisk_name],Table3[[#This Row],[HazardRisk_name]])) + (COUNTIFS(FMECA[availability], "Available",FMECA[HazardRisk_name],Table3[[#This Row],[HazardRisk_name]]))</f>
        <v>0</v>
      </c>
      <c r="T146" s="218">
        <f>COUNTIFS(FMECA[RR], "VERY HIGH",FMECA[HazardRisk_name],Table3[[#This Row],[HazardRisk_name]])</f>
        <v>0</v>
      </c>
      <c r="U146" s="22">
        <f>Table3[[#This Row],[vh_count]]/Table3[[#This Row],[risk_counts]]</f>
        <v>0</v>
      </c>
      <c r="V146" s="218">
        <f>COUNTIFS(FMECA[RR], "HIGH",FMECA[HazardRisk_name],Table3[[#This Row],[HazardRisk_name]])</f>
        <v>0</v>
      </c>
      <c r="W146" s="22">
        <f>Table3[[#This Row],[h_count]]/Table3[[#This Row],[risk_counts]]</f>
        <v>0</v>
      </c>
      <c r="X146" s="218">
        <f>COUNTIFS(FMECA[RR], "MODERATE",FMECA[HazardRisk_name],Table3[[#This Row],[HazardRisk_name]])</f>
        <v>1</v>
      </c>
      <c r="Y146" s="22">
        <f>Table3[[#This Row],[m_count]]/Table3[[#This Row],[risk_counts]]</f>
        <v>1</v>
      </c>
      <c r="Z146" s="218">
        <f>COUNTIFS(FMECA[RR], "UNDETECTABLE",FMECA[HazardRisk_name],Table3[[#This Row],[HazardRisk_name]])</f>
        <v>0</v>
      </c>
      <c r="AA146" s="22">
        <f>Table3[[#This Row],[l_count]]/Table3[[#This Row],[risk_counts]]</f>
        <v>0</v>
      </c>
      <c r="AI146" s="16" t="str">
        <f>VLOOKUP(Table3[[#This Row],[HazardRisk_id]], categories[], 4, FALSE)</f>
        <v>Hazard</v>
      </c>
      <c r="AJ146" s="16">
        <f>(COUNTIFS(FMECA[availability], "Unknown",FMECA[HazardRisk_name],Table3[[#This Row],[HazardRisk_name]]))</f>
        <v>1</v>
      </c>
    </row>
    <row r="147" spans="1:36" ht="68" x14ac:dyDescent="0.2">
      <c r="A147" s="16" t="s">
        <v>2718</v>
      </c>
      <c r="B147" s="13" t="str">
        <f>VLOOKUP(Table3[[#This Row],[HazardRisk_id]], categories[], 5, FALSE)</f>
        <v>Social</v>
      </c>
      <c r="C147" s="14" t="str">
        <f>VLOOKUP(Table3[[#This Row],[HazardRisk_id]], categories[], 2, FALSE)</f>
        <v>Tourism</v>
      </c>
      <c r="D147" s="15" t="str">
        <f>VLOOKUP(Table3[[#This Row],[HazardRisk_id]], categories[], 3, FALSE)</f>
        <v xml:space="preserve">Due to increased demands and  "Last Chance tourism", this creates negative adverse impacts on Arctic wildlife and surrounding indigenous heritage. Increased tourism stimulates resource use, increasing their ecological footprints within northern communities. </v>
      </c>
      <c r="E147" s="15">
        <f>COUNTIFS(FMECA[HazardRisk_name],Table3[[#This Row],[HazardRisk_name]])</f>
        <v>6</v>
      </c>
      <c r="F147" s="15">
        <f>SUMIFS(FMECA[probability_value], FMECA[HazardRisk_name], Table3[[#This Row],[HazardRisk_name]])</f>
        <v>24</v>
      </c>
      <c r="G147" s="15">
        <f>AVERAGEIFS(FMECA[probability_value],FMECA[HazardRisk_name],Table3[[#This Row],[HazardRisk_name]])</f>
        <v>4</v>
      </c>
      <c r="H147" s="15" cm="1">
        <f t="array" ref="H147">STDEVP(IF(FMECA[HazardRisk_name]=Table3[[#This Row],[HazardRisk_name]],FMECA[probability_value]))</f>
        <v>0.57735026918962573</v>
      </c>
      <c r="I147" s="15">
        <f>SUMIFS(FMECA[consequence_value], FMECA[HazardRisk_name], Table3[[#This Row],[HazardRisk_name]])</f>
        <v>36</v>
      </c>
      <c r="J147" s="15">
        <f>AVERAGEIFS(FMECA[consequence_value],FMECA[HazardRisk_name],Table3[[#This Row],[HazardRisk_name]])</f>
        <v>6</v>
      </c>
      <c r="K147" s="15" cm="1">
        <f t="array" ref="K147">STDEVP(IF(FMECA[HazardRisk_name]=Table3[[#This Row],[HazardRisk_name]],FMECA[consequence_value]))</f>
        <v>1.4142135623730951</v>
      </c>
      <c r="L147" s="23">
        <f>AVERAGEIFS(FMECA[Score],FMECA[HazardRisk_name],Table3[[#This Row],[HazardRisk_name]])</f>
        <v>24</v>
      </c>
      <c r="M147" s="23" cm="1">
        <f t="array" ref="M147">STDEVP(IF(FMECA[HazardRisk_name]=Table3[[#This Row],[HazardRisk_name]],FMECA[Score]))</f>
        <v>6.9522178715380702</v>
      </c>
      <c r="N147" s="15">
        <f>COUNTIFS(FMECA_data!P:P, "Theoretical", FMECA_data!I:I,Table3[[#This Row],[HazardRisk_name]])</f>
        <v>1</v>
      </c>
      <c r="O147" s="15">
        <f>COUNTIFS(FMECA_data!P:P, "Observational", FMECA_data!I:I,Table3[[#This Row],[HazardRisk_name]])</f>
        <v>2</v>
      </c>
      <c r="P147" s="15">
        <f>COUNTIFS(FMECA_data!P:P, "Hybrid", FMECA_data!I:I,Table3[[#This Row],[HazardRisk_name]])</f>
        <v>3</v>
      </c>
      <c r="Q147" s="15">
        <f>COUNTIFS(FMECA_data!P:P, "Modelling", FMECA_data!I:I,Table3[[#This Row],[HazardRisk_name]])</f>
        <v>0</v>
      </c>
      <c r="R147" s="15">
        <f>COUNTIFS(FMECA[data_deficient], "Yes",FMECA[HazardRisk_name],Table3[[#This Row],[HazardRisk_name]])</f>
        <v>1</v>
      </c>
      <c r="S147" s="23">
        <f>(COUNTIFS(FMECA[availability], "Yes",FMECA[HazardRisk_name],Table3[[#This Row],[HazardRisk_name]])) + (COUNTIFS(FMECA[availability], "Available",FMECA[HazardRisk_name],Table3[[#This Row],[HazardRisk_name]]))</f>
        <v>3</v>
      </c>
      <c r="T147" s="218">
        <f>COUNTIFS(FMECA[RR], "VERY HIGH",FMECA[HazardRisk_name],Table3[[#This Row],[HazardRisk_name]])</f>
        <v>0</v>
      </c>
      <c r="U147" s="22">
        <f>Table3[[#This Row],[vh_count]]/Table3[[#This Row],[risk_counts]]</f>
        <v>0</v>
      </c>
      <c r="V147" s="218">
        <f>COUNTIFS(FMECA[RR], "HIGH",FMECA[HazardRisk_name],Table3[[#This Row],[HazardRisk_name]])</f>
        <v>3</v>
      </c>
      <c r="W147" s="22">
        <f>Table3[[#This Row],[h_count]]/Table3[[#This Row],[risk_counts]]</f>
        <v>0.5</v>
      </c>
      <c r="X147" s="218">
        <f>COUNTIFS(FMECA[RR], "MODERATE",FMECA[HazardRisk_name],Table3[[#This Row],[HazardRisk_name]])</f>
        <v>3</v>
      </c>
      <c r="Y147" s="22">
        <f>Table3[[#This Row],[m_count]]/Table3[[#This Row],[risk_counts]]</f>
        <v>0.5</v>
      </c>
      <c r="Z147" s="218">
        <f>COUNTIFS(FMECA[RR], "UNDETECTABLE",FMECA[HazardRisk_name],Table3[[#This Row],[HazardRisk_name]])</f>
        <v>0</v>
      </c>
      <c r="AA147" s="22">
        <f>Table3[[#This Row],[l_count]]/Table3[[#This Row],[risk_counts]]</f>
        <v>0</v>
      </c>
      <c r="AI147" s="16" t="str">
        <f>VLOOKUP(Table3[[#This Row],[HazardRisk_id]], categories[], 4, FALSE)</f>
        <v>Risk</v>
      </c>
      <c r="AJ147" s="16">
        <f>(COUNTIFS(FMECA[availability], "Unknown",FMECA[HazardRisk_name],Table3[[#This Row],[HazardRisk_name]]))</f>
        <v>0</v>
      </c>
    </row>
    <row r="148" spans="1:36" ht="17" x14ac:dyDescent="0.2">
      <c r="A148" s="16" t="s">
        <v>2719</v>
      </c>
      <c r="B148" s="13" t="str">
        <f>VLOOKUP(Table3[[#This Row],[HazardRisk_id]], categories[], 5, FALSE)</f>
        <v>Operational</v>
      </c>
      <c r="C148" s="14" t="str">
        <f>VLOOKUP(Table3[[#This Row],[HazardRisk_id]], categories[], 2, FALSE)</f>
        <v>Transportation of dangerous goods</v>
      </c>
      <c r="D148" s="15">
        <f>VLOOKUP(Table3[[#This Row],[HazardRisk_id]], categories[], 3, FALSE)</f>
        <v>0</v>
      </c>
      <c r="E148" s="15">
        <f>COUNTIFS(FMECA[HazardRisk_name],Table3[[#This Row],[HazardRisk_name]])</f>
        <v>5</v>
      </c>
      <c r="F148" s="15">
        <f>SUMIFS(FMECA[probability_value], FMECA[HazardRisk_name], Table3[[#This Row],[HazardRisk_name]])</f>
        <v>22</v>
      </c>
      <c r="G148" s="15">
        <f>AVERAGEIFS(FMECA[probability_value],FMECA[HazardRisk_name],Table3[[#This Row],[HazardRisk_name]])</f>
        <v>4.4000000000000004</v>
      </c>
      <c r="H148" s="15" cm="1">
        <f t="array" ref="H148">STDEVP(IF(FMECA[HazardRisk_name]=Table3[[#This Row],[HazardRisk_name]],FMECA[probability_value]))</f>
        <v>0.8</v>
      </c>
      <c r="I148" s="15">
        <f>SUMIFS(FMECA[consequence_value], FMECA[HazardRisk_name], Table3[[#This Row],[HazardRisk_name]])</f>
        <v>47</v>
      </c>
      <c r="J148" s="15">
        <f>AVERAGEIFS(FMECA[consequence_value],FMECA[HazardRisk_name],Table3[[#This Row],[HazardRisk_name]])</f>
        <v>9.4</v>
      </c>
      <c r="K148" s="15" cm="1">
        <f t="array" ref="K148">STDEVP(IF(FMECA[HazardRisk_name]=Table3[[#This Row],[HazardRisk_name]],FMECA[consequence_value]))</f>
        <v>1.2</v>
      </c>
      <c r="L148" s="23">
        <f>AVERAGEIFS(FMECA[Score],FMECA[HazardRisk_name],Table3[[#This Row],[HazardRisk_name]])</f>
        <v>42.2</v>
      </c>
      <c r="M148" s="23" cm="1">
        <f t="array" ref="M148">STDEVP(IF(FMECA[HazardRisk_name]=Table3[[#This Row],[HazardRisk_name]],FMECA[Score]))</f>
        <v>11.285388783732708</v>
      </c>
      <c r="N148" s="15">
        <f>COUNTIFS(FMECA_data!P:P, "Theoretical", FMECA_data!I:I,Table3[[#This Row],[HazardRisk_name]])</f>
        <v>1</v>
      </c>
      <c r="O148" s="15">
        <f>COUNTIFS(FMECA_data!P:P, "Observational", FMECA_data!I:I,Table3[[#This Row],[HazardRisk_name]])</f>
        <v>3</v>
      </c>
      <c r="P148" s="15">
        <f>COUNTIFS(FMECA_data!P:P, "Hybrid", FMECA_data!I:I,Table3[[#This Row],[HazardRisk_name]])</f>
        <v>1</v>
      </c>
      <c r="Q148" s="15">
        <f>COUNTIFS(FMECA_data!P:P, "Modelling", FMECA_data!I:I,Table3[[#This Row],[HazardRisk_name]])</f>
        <v>0</v>
      </c>
      <c r="R148" s="15">
        <f>COUNTIFS(FMECA[data_deficient], "Yes",FMECA[HazardRisk_name],Table3[[#This Row],[HazardRisk_name]])</f>
        <v>1</v>
      </c>
      <c r="S148" s="23">
        <f>(COUNTIFS(FMECA[availability], "Yes",FMECA[HazardRisk_name],Table3[[#This Row],[HazardRisk_name]])) + (COUNTIFS(FMECA[availability], "Available",FMECA[HazardRisk_name],Table3[[#This Row],[HazardRisk_name]]))</f>
        <v>3</v>
      </c>
      <c r="T148" s="218">
        <f>COUNTIFS(FMECA[RR], "VERY HIGH",FMECA[HazardRisk_name],Table3[[#This Row],[HazardRisk_name]])</f>
        <v>4</v>
      </c>
      <c r="U148" s="22">
        <f>Table3[[#This Row],[vh_count]]/Table3[[#This Row],[risk_counts]]</f>
        <v>0.8</v>
      </c>
      <c r="V148" s="218">
        <f>COUNTIFS(FMECA[RR], "HIGH",FMECA[HazardRisk_name],Table3[[#This Row],[HazardRisk_name]])</f>
        <v>0</v>
      </c>
      <c r="W148" s="22">
        <f>Table3[[#This Row],[h_count]]/Table3[[#This Row],[risk_counts]]</f>
        <v>0</v>
      </c>
      <c r="X148" s="218">
        <f>COUNTIFS(FMECA[RR], "MODERATE",FMECA[HazardRisk_name],Table3[[#This Row],[HazardRisk_name]])</f>
        <v>1</v>
      </c>
      <c r="Y148" s="22">
        <f>Table3[[#This Row],[m_count]]/Table3[[#This Row],[risk_counts]]</f>
        <v>0.2</v>
      </c>
      <c r="Z148" s="218">
        <f>COUNTIFS(FMECA[RR], "UNDETECTABLE",FMECA[HazardRisk_name],Table3[[#This Row],[HazardRisk_name]])</f>
        <v>0</v>
      </c>
      <c r="AA148" s="22">
        <f>Table3[[#This Row],[l_count]]/Table3[[#This Row],[risk_counts]]</f>
        <v>0</v>
      </c>
      <c r="AI148" s="16" t="str">
        <f>VLOOKUP(Table3[[#This Row],[HazardRisk_id]], categories[], 4, FALSE)</f>
        <v>Hazard</v>
      </c>
      <c r="AJ148" s="16">
        <f>(COUNTIFS(FMECA[availability], "Unknown",FMECA[HazardRisk_name],Table3[[#This Row],[HazardRisk_name]]))</f>
        <v>0</v>
      </c>
    </row>
    <row r="149" spans="1:36" ht="68" x14ac:dyDescent="0.2">
      <c r="A149" s="16" t="s">
        <v>2720</v>
      </c>
      <c r="B149" s="13" t="str">
        <f>VLOOKUP(Table3[[#This Row],[HazardRisk_id]], categories[], 5, FALSE)</f>
        <v>Environmental</v>
      </c>
      <c r="C149" s="14" t="str">
        <f>VLOOKUP(Table3[[#This Row],[HazardRisk_id]], categories[], 2, FALSE)</f>
        <v>Underwater noise pollution</v>
      </c>
      <c r="D149" s="15" t="str">
        <f>VLOOKUP(Table3[[#This Row],[HazardRisk_id]], categories[], 3, FALSE)</f>
        <v>Underwater noise caused by vessels' propellers disrupt marine mammals that use underwater noise to communicate with one another. This harms marine life and causes disruption and impossible relocation of marine mammal species whilst also becoming a regulatory issue.</v>
      </c>
      <c r="E149" s="15">
        <f>COUNTIFS(FMECA[HazardRisk_name],Table3[[#This Row],[HazardRisk_name]])</f>
        <v>7</v>
      </c>
      <c r="F149" s="15">
        <f>SUMIFS(FMECA[probability_value], FMECA[HazardRisk_name], Table3[[#This Row],[HazardRisk_name]])</f>
        <v>29</v>
      </c>
      <c r="G149" s="15">
        <f>AVERAGEIFS(FMECA[probability_value],FMECA[HazardRisk_name],Table3[[#This Row],[HazardRisk_name]])</f>
        <v>4.1428571428571432</v>
      </c>
      <c r="H149" s="15" cm="1">
        <f t="array" ref="H149">STDEVP(IF(FMECA[HazardRisk_name]=Table3[[#This Row],[HazardRisk_name]],FMECA[probability_value]))</f>
        <v>0.83299312783504287</v>
      </c>
      <c r="I149" s="15">
        <f>SUMIFS(FMECA[consequence_value], FMECA[HazardRisk_name], Table3[[#This Row],[HazardRisk_name]])</f>
        <v>55</v>
      </c>
      <c r="J149" s="15">
        <f>AVERAGEIFS(FMECA[consequence_value],FMECA[HazardRisk_name],Table3[[#This Row],[HazardRisk_name]])</f>
        <v>7.8571428571428568</v>
      </c>
      <c r="K149" s="15" cm="1">
        <f t="array" ref="K149">STDEVP(IF(FMECA[HazardRisk_name]=Table3[[#This Row],[HazardRisk_name]],FMECA[consequence_value]))</f>
        <v>2.0995626366712954</v>
      </c>
      <c r="L149" s="23">
        <f>AVERAGEIFS(FMECA[Score],FMECA[HazardRisk_name],Table3[[#This Row],[HazardRisk_name]])</f>
        <v>33.285714285714285</v>
      </c>
      <c r="M149" s="23" cm="1">
        <f t="array" ref="M149">STDEVP(IF(FMECA[HazardRisk_name]=Table3[[#This Row],[HazardRisk_name]],FMECA[Score]))</f>
        <v>11.828709453991115</v>
      </c>
      <c r="N149" s="15">
        <f>COUNTIFS(FMECA_data!P:P, "Theoretical", FMECA_data!I:I,Table3[[#This Row],[HazardRisk_name]])</f>
        <v>3</v>
      </c>
      <c r="O149" s="15">
        <f>COUNTIFS(FMECA_data!P:P, "Observational", FMECA_data!I:I,Table3[[#This Row],[HazardRisk_name]])</f>
        <v>3</v>
      </c>
      <c r="P149" s="15">
        <f>COUNTIFS(FMECA_data!P:P, "Hybrid", FMECA_data!I:I,Table3[[#This Row],[HazardRisk_name]])</f>
        <v>0</v>
      </c>
      <c r="Q149" s="15">
        <f>COUNTIFS(FMECA_data!P:P, "Modelling", FMECA_data!I:I,Table3[[#This Row],[HazardRisk_name]])</f>
        <v>1</v>
      </c>
      <c r="R149" s="15">
        <f>COUNTIFS(FMECA[data_deficient], "Yes",FMECA[HazardRisk_name],Table3[[#This Row],[HazardRisk_name]])</f>
        <v>2</v>
      </c>
      <c r="S149" s="23">
        <f>(COUNTIFS(FMECA[availability], "Yes",FMECA[HazardRisk_name],Table3[[#This Row],[HazardRisk_name]])) + (COUNTIFS(FMECA[availability], "Available",FMECA[HazardRisk_name],Table3[[#This Row],[HazardRisk_name]]))</f>
        <v>3</v>
      </c>
      <c r="T149" s="218">
        <f>COUNTIFS(FMECA[RR], "VERY HIGH",FMECA[HazardRisk_name],Table3[[#This Row],[HazardRisk_name]])</f>
        <v>3</v>
      </c>
      <c r="U149" s="22">
        <f>Table3[[#This Row],[vh_count]]/Table3[[#This Row],[risk_counts]]</f>
        <v>0.42857142857142855</v>
      </c>
      <c r="V149" s="218">
        <f>COUNTIFS(FMECA[RR], "HIGH",FMECA[HazardRisk_name],Table3[[#This Row],[HazardRisk_name]])</f>
        <v>2</v>
      </c>
      <c r="W149" s="22">
        <f>Table3[[#This Row],[h_count]]/Table3[[#This Row],[risk_counts]]</f>
        <v>0.2857142857142857</v>
      </c>
      <c r="X149" s="218">
        <f>COUNTIFS(FMECA[RR], "MODERATE",FMECA[HazardRisk_name],Table3[[#This Row],[HazardRisk_name]])</f>
        <v>2</v>
      </c>
      <c r="Y149" s="22">
        <f>Table3[[#This Row],[m_count]]/Table3[[#This Row],[risk_counts]]</f>
        <v>0.2857142857142857</v>
      </c>
      <c r="Z149" s="218">
        <f>COUNTIFS(FMECA[RR], "UNDETECTABLE",FMECA[HazardRisk_name],Table3[[#This Row],[HazardRisk_name]])</f>
        <v>0</v>
      </c>
      <c r="AA149" s="22">
        <f>Table3[[#This Row],[l_count]]/Table3[[#This Row],[risk_counts]]</f>
        <v>0</v>
      </c>
      <c r="AI149" s="16" t="str">
        <f>VLOOKUP(Table3[[#This Row],[HazardRisk_id]], categories[], 4, FALSE)</f>
        <v>Risk</v>
      </c>
      <c r="AJ149" s="16">
        <f>(COUNTIFS(FMECA[availability], "Unknown",FMECA[HazardRisk_name],Table3[[#This Row],[HazardRisk_name]]))</f>
        <v>1</v>
      </c>
    </row>
    <row r="150" spans="1:36" ht="51" x14ac:dyDescent="0.2">
      <c r="A150" s="16" t="s">
        <v>2721</v>
      </c>
      <c r="B150" s="13" t="str">
        <f>VLOOKUP(Table3[[#This Row],[HazardRisk_id]], categories[], 5, FALSE)</f>
        <v>Navigational</v>
      </c>
      <c r="C150" s="14" t="str">
        <f>VLOOKUP(Table3[[#This Row],[HazardRisk_id]], categories[], 2, FALSE)</f>
        <v>Unmaintained safety distance</v>
      </c>
      <c r="D150" s="15" t="str">
        <f>VLOOKUP(Table3[[#This Row],[HazardRisk_id]], categories[], 3, FALSE)</f>
        <v>Unability to maintain a distance between the icebreaker and the assisted ship is shorter than the set standards as per Sailing Directions, causes an unsafe situation to occur.</v>
      </c>
      <c r="E150" s="15">
        <f>COUNTIFS(FMECA[HazardRisk_name],Table3[[#This Row],[HazardRisk_name]])</f>
        <v>2</v>
      </c>
      <c r="F150" s="15">
        <f>SUMIFS(FMECA[probability_value], FMECA[HazardRisk_name], Table3[[#This Row],[HazardRisk_name]])</f>
        <v>5</v>
      </c>
      <c r="G150" s="15">
        <f>AVERAGEIFS(FMECA[probability_value],FMECA[HazardRisk_name],Table3[[#This Row],[HazardRisk_name]])</f>
        <v>2.5</v>
      </c>
      <c r="H150" s="15" cm="1">
        <f t="array" ref="H150">STDEVP(IF(FMECA[HazardRisk_name]=Table3[[#This Row],[HazardRisk_name]],FMECA[probability_value]))</f>
        <v>1.5</v>
      </c>
      <c r="I150" s="15">
        <f>SUMIFS(FMECA[consequence_value], FMECA[HazardRisk_name], Table3[[#This Row],[HazardRisk_name]])</f>
        <v>14</v>
      </c>
      <c r="J150" s="15">
        <f>AVERAGEIFS(FMECA[consequence_value],FMECA[HazardRisk_name],Table3[[#This Row],[HazardRisk_name]])</f>
        <v>7</v>
      </c>
      <c r="K150" s="15" cm="1">
        <f t="array" ref="K150">STDEVP(IF(FMECA[HazardRisk_name]=Table3[[#This Row],[HazardRisk_name]],FMECA[consequence_value]))</f>
        <v>3</v>
      </c>
      <c r="L150" s="23">
        <f>AVERAGEIFS(FMECA[Score],FMECA[HazardRisk_name],Table3[[#This Row],[HazardRisk_name]])</f>
        <v>13</v>
      </c>
      <c r="M150" s="23" cm="1">
        <f t="array" ref="M150">STDEVP(IF(FMECA[HazardRisk_name]=Table3[[#This Row],[HazardRisk_name]],FMECA[Score]))</f>
        <v>3</v>
      </c>
      <c r="N150" s="15">
        <f>COUNTIFS(FMECA_data!P:P, "Theoretical", FMECA_data!I:I,Table3[[#This Row],[HazardRisk_name]])</f>
        <v>0</v>
      </c>
      <c r="O150" s="15">
        <f>COUNTIFS(FMECA_data!P:P, "Observational", FMECA_data!I:I,Table3[[#This Row],[HazardRisk_name]])</f>
        <v>2</v>
      </c>
      <c r="P150" s="15">
        <f>COUNTIFS(FMECA_data!P:P, "Hybrid", FMECA_data!I:I,Table3[[#This Row],[HazardRisk_name]])</f>
        <v>0</v>
      </c>
      <c r="Q150" s="15">
        <f>COUNTIFS(FMECA_data!P:P, "Modelling", FMECA_data!I:I,Table3[[#This Row],[HazardRisk_name]])</f>
        <v>0</v>
      </c>
      <c r="R150" s="15">
        <f>COUNTIFS(FMECA[data_deficient], "Yes",FMECA[HazardRisk_name],Table3[[#This Row],[HazardRisk_name]])</f>
        <v>0</v>
      </c>
      <c r="S150" s="23">
        <f>(COUNTIFS(FMECA[availability], "Yes",FMECA[HazardRisk_name],Table3[[#This Row],[HazardRisk_name]])) + (COUNTIFS(FMECA[availability], "Available",FMECA[HazardRisk_name],Table3[[#This Row],[HazardRisk_name]]))</f>
        <v>0</v>
      </c>
      <c r="T150" s="218">
        <f>COUNTIFS(FMECA[RR], "VERY HIGH",FMECA[HazardRisk_name],Table3[[#This Row],[HazardRisk_name]])</f>
        <v>0</v>
      </c>
      <c r="U150" s="22">
        <f>Table3[[#This Row],[vh_count]]/Table3[[#This Row],[risk_counts]]</f>
        <v>0</v>
      </c>
      <c r="V150" s="218">
        <f>COUNTIFS(FMECA[RR], "HIGH",FMECA[HazardRisk_name],Table3[[#This Row],[HazardRisk_name]])</f>
        <v>0</v>
      </c>
      <c r="W150" s="22">
        <f>Table3[[#This Row],[h_count]]/Table3[[#This Row],[risk_counts]]</f>
        <v>0</v>
      </c>
      <c r="X150" s="218">
        <f>COUNTIFS(FMECA[RR], "MODERATE",FMECA[HazardRisk_name],Table3[[#This Row],[HazardRisk_name]])</f>
        <v>2</v>
      </c>
      <c r="Y150" s="22">
        <f>Table3[[#This Row],[m_count]]/Table3[[#This Row],[risk_counts]]</f>
        <v>1</v>
      </c>
      <c r="Z150" s="218">
        <f>COUNTIFS(FMECA[RR], "UNDETECTABLE",FMECA[HazardRisk_name],Table3[[#This Row],[HazardRisk_name]])</f>
        <v>0</v>
      </c>
      <c r="AA150" s="22">
        <f>Table3[[#This Row],[l_count]]/Table3[[#This Row],[risk_counts]]</f>
        <v>0</v>
      </c>
      <c r="AI150" s="16" t="str">
        <f>VLOOKUP(Table3[[#This Row],[HazardRisk_id]], categories[], 4, FALSE)</f>
        <v>Hazard</v>
      </c>
      <c r="AJ150" s="16">
        <f>(COUNTIFS(FMECA[availability], "Unknown",FMECA[HazardRisk_name],Table3[[#This Row],[HazardRisk_name]]))</f>
        <v>2</v>
      </c>
    </row>
    <row r="151" spans="1:36" ht="51" x14ac:dyDescent="0.2">
      <c r="A151" s="16" t="s">
        <v>2722</v>
      </c>
      <c r="B151" s="13" t="str">
        <f>VLOOKUP(Table3[[#This Row],[HazardRisk_id]], categories[], 5, FALSE)</f>
        <v>Operational</v>
      </c>
      <c r="C151" s="14" t="str">
        <f>VLOOKUP(Table3[[#This Row],[HazardRisk_id]], categories[], 2, FALSE)</f>
        <v>Unsafe re-fueling operations</v>
      </c>
      <c r="D151" s="15" t="str">
        <f>VLOOKUP(Table3[[#This Row],[HazardRisk_id]], categories[], 3, FALSE)</f>
        <v xml:space="preserve">Unsafe poses risks of human-centered accidents from occurring. incidents such as oil spills, human error, negligence, and environmental harm all pose risks to safety and Regulatory concerns. </v>
      </c>
      <c r="E151" s="15">
        <f>COUNTIFS(FMECA[HazardRisk_name],Table3[[#This Row],[HazardRisk_name]])</f>
        <v>1</v>
      </c>
      <c r="F151" s="15">
        <f>SUMIFS(FMECA[probability_value], FMECA[HazardRisk_name], Table3[[#This Row],[HazardRisk_name]])</f>
        <v>4</v>
      </c>
      <c r="G151" s="15">
        <f>AVERAGEIFS(FMECA[probability_value],FMECA[HazardRisk_name],Table3[[#This Row],[HazardRisk_name]])</f>
        <v>4</v>
      </c>
      <c r="H151" s="15" cm="1">
        <f t="array" ref="H151">STDEVP(IF(FMECA[HazardRisk_name]=Table3[[#This Row],[HazardRisk_name]],FMECA[probability_value]))</f>
        <v>0</v>
      </c>
      <c r="I151" s="15">
        <f>SUMIFS(FMECA[consequence_value], FMECA[HazardRisk_name], Table3[[#This Row],[HazardRisk_name]])</f>
        <v>7</v>
      </c>
      <c r="J151" s="15">
        <f>AVERAGEIFS(FMECA[consequence_value],FMECA[HazardRisk_name],Table3[[#This Row],[HazardRisk_name]])</f>
        <v>7</v>
      </c>
      <c r="K151" s="15" cm="1">
        <f t="array" ref="K151">STDEVP(IF(FMECA[HazardRisk_name]=Table3[[#This Row],[HazardRisk_name]],FMECA[consequence_value]))</f>
        <v>0</v>
      </c>
      <c r="L151" s="23">
        <f>AVERAGEIFS(FMECA[Score],FMECA[HazardRisk_name],Table3[[#This Row],[HazardRisk_name]])</f>
        <v>28</v>
      </c>
      <c r="M151" s="23" cm="1">
        <f t="array" ref="M151">STDEVP(IF(FMECA[HazardRisk_name]=Table3[[#This Row],[HazardRisk_name]],FMECA[Score]))</f>
        <v>0</v>
      </c>
      <c r="N151" s="15">
        <f>COUNTIFS(FMECA_data!P:P, "Theoretical", FMECA_data!I:I,Table3[[#This Row],[HazardRisk_name]])</f>
        <v>1</v>
      </c>
      <c r="O151" s="15">
        <f>COUNTIFS(FMECA_data!P:P, "Observational", FMECA_data!I:I,Table3[[#This Row],[HazardRisk_name]])</f>
        <v>0</v>
      </c>
      <c r="P151" s="15">
        <f>COUNTIFS(FMECA_data!P:P, "Hybrid", FMECA_data!I:I,Table3[[#This Row],[HazardRisk_name]])</f>
        <v>0</v>
      </c>
      <c r="Q151" s="15">
        <f>COUNTIFS(FMECA_data!P:P, "Modelling", FMECA_data!I:I,Table3[[#This Row],[HazardRisk_name]])</f>
        <v>0</v>
      </c>
      <c r="R151" s="15">
        <f>COUNTIFS(FMECA[data_deficient], "Yes",FMECA[HazardRisk_name],Table3[[#This Row],[HazardRisk_name]])</f>
        <v>0</v>
      </c>
      <c r="S151" s="23">
        <f>(COUNTIFS(FMECA[availability], "Yes",FMECA[HazardRisk_name],Table3[[#This Row],[HazardRisk_name]])) + (COUNTIFS(FMECA[availability], "Available",FMECA[HazardRisk_name],Table3[[#This Row],[HazardRisk_name]]))</f>
        <v>0</v>
      </c>
      <c r="T151" s="218">
        <f>COUNTIFS(FMECA[RR], "VERY HIGH",FMECA[HazardRisk_name],Table3[[#This Row],[HazardRisk_name]])</f>
        <v>0</v>
      </c>
      <c r="U151" s="22">
        <f>Table3[[#This Row],[vh_count]]/Table3[[#This Row],[risk_counts]]</f>
        <v>0</v>
      </c>
      <c r="V151" s="218">
        <f>COUNTIFS(FMECA[RR], "HIGH",FMECA[HazardRisk_name],Table3[[#This Row],[HazardRisk_name]])</f>
        <v>1</v>
      </c>
      <c r="W151" s="22">
        <f>Table3[[#This Row],[h_count]]/Table3[[#This Row],[risk_counts]]</f>
        <v>1</v>
      </c>
      <c r="X151" s="218">
        <f>COUNTIFS(FMECA[RR], "MODERATE",FMECA[HazardRisk_name],Table3[[#This Row],[HazardRisk_name]])</f>
        <v>0</v>
      </c>
      <c r="Y151" s="22">
        <f>Table3[[#This Row],[m_count]]/Table3[[#This Row],[risk_counts]]</f>
        <v>0</v>
      </c>
      <c r="Z151" s="218">
        <f>COUNTIFS(FMECA[RR], "UNDETECTABLE",FMECA[HazardRisk_name],Table3[[#This Row],[HazardRisk_name]])</f>
        <v>0</v>
      </c>
      <c r="AA151" s="22">
        <f>Table3[[#This Row],[l_count]]/Table3[[#This Row],[risk_counts]]</f>
        <v>0</v>
      </c>
      <c r="AI151" s="16" t="str">
        <f>VLOOKUP(Table3[[#This Row],[HazardRisk_id]], categories[], 4, FALSE)</f>
        <v>Hazard</v>
      </c>
      <c r="AJ151" s="16">
        <f>(COUNTIFS(FMECA[availability], "Unknown",FMECA[HazardRisk_name],Table3[[#This Row],[HazardRisk_name]]))</f>
        <v>0</v>
      </c>
    </row>
    <row r="152" spans="1:36" ht="34" x14ac:dyDescent="0.2">
      <c r="A152" s="16" t="s">
        <v>2723</v>
      </c>
      <c r="B152" s="13" t="str">
        <f>VLOOKUP(Table3[[#This Row],[HazardRisk_id]], categories[], 5, FALSE)</f>
        <v>Navigational</v>
      </c>
      <c r="C152" s="14" t="str">
        <f>VLOOKUP(Table3[[#This Row],[HazardRisk_id]], categories[], 2, FALSE)</f>
        <v>Vessel maneuver failure</v>
      </c>
      <c r="D152" s="15" t="str">
        <f>VLOOKUP(Table3[[#This Row],[HazardRisk_id]], categories[], 3, FALSE)</f>
        <v>Failure to maneuver the vessel safely, causing an unsafe situation to occur during icebreaker assistance.</v>
      </c>
      <c r="E152" s="15">
        <f>COUNTIFS(FMECA[HazardRisk_name],Table3[[#This Row],[HazardRisk_name]])</f>
        <v>2</v>
      </c>
      <c r="F152" s="15">
        <f>SUMIFS(FMECA[probability_value], FMECA[HazardRisk_name], Table3[[#This Row],[HazardRisk_name]])</f>
        <v>4</v>
      </c>
      <c r="G152" s="15">
        <f>AVERAGEIFS(FMECA[probability_value],FMECA[HazardRisk_name],Table3[[#This Row],[HazardRisk_name]])</f>
        <v>2</v>
      </c>
      <c r="H152" s="15" cm="1">
        <f t="array" ref="H152">STDEVP(IF(FMECA[HazardRisk_name]=Table3[[#This Row],[HazardRisk_name]],FMECA[probability_value]))</f>
        <v>1</v>
      </c>
      <c r="I152" s="15">
        <f>SUMIFS(FMECA[consequence_value], FMECA[HazardRisk_name], Table3[[#This Row],[HazardRisk_name]])</f>
        <v>17</v>
      </c>
      <c r="J152" s="15">
        <f>AVERAGEIFS(FMECA[consequence_value],FMECA[HazardRisk_name],Table3[[#This Row],[HazardRisk_name]])</f>
        <v>8.5</v>
      </c>
      <c r="K152" s="15" cm="1">
        <f t="array" ref="K152">STDEVP(IF(FMECA[HazardRisk_name]=Table3[[#This Row],[HazardRisk_name]],FMECA[consequence_value]))</f>
        <v>1.5</v>
      </c>
      <c r="L152" s="23">
        <f>AVERAGEIFS(FMECA[Score],FMECA[HazardRisk_name],Table3[[#This Row],[HazardRisk_name]])</f>
        <v>15.5</v>
      </c>
      <c r="M152" s="23" cm="1">
        <f t="array" ref="M152">STDEVP(IF(FMECA[HazardRisk_name]=Table3[[#This Row],[HazardRisk_name]],FMECA[Score]))</f>
        <v>5.5</v>
      </c>
      <c r="N152" s="15">
        <f>COUNTIFS(FMECA_data!P:P, "Theoretical", FMECA_data!I:I,Table3[[#This Row],[HazardRisk_name]])</f>
        <v>0</v>
      </c>
      <c r="O152" s="15">
        <f>COUNTIFS(FMECA_data!P:P, "Observational", FMECA_data!I:I,Table3[[#This Row],[HazardRisk_name]])</f>
        <v>2</v>
      </c>
      <c r="P152" s="15">
        <f>COUNTIFS(FMECA_data!P:P, "Hybrid", FMECA_data!I:I,Table3[[#This Row],[HazardRisk_name]])</f>
        <v>0</v>
      </c>
      <c r="Q152" s="15">
        <f>COUNTIFS(FMECA_data!P:P, "Modelling", FMECA_data!I:I,Table3[[#This Row],[HazardRisk_name]])</f>
        <v>0</v>
      </c>
      <c r="R152" s="15">
        <f>COUNTIFS(FMECA[data_deficient], "Yes",FMECA[HazardRisk_name],Table3[[#This Row],[HazardRisk_name]])</f>
        <v>0</v>
      </c>
      <c r="S152" s="23">
        <f>(COUNTIFS(FMECA[availability], "Yes",FMECA[HazardRisk_name],Table3[[#This Row],[HazardRisk_name]])) + (COUNTIFS(FMECA[availability], "Available",FMECA[HazardRisk_name],Table3[[#This Row],[HazardRisk_name]]))</f>
        <v>0</v>
      </c>
      <c r="T152" s="218">
        <f>COUNTIFS(FMECA[RR], "VERY HIGH",FMECA[HazardRisk_name],Table3[[#This Row],[HazardRisk_name]])</f>
        <v>0</v>
      </c>
      <c r="U152" s="22">
        <f>Table3[[#This Row],[vh_count]]/Table3[[#This Row],[risk_counts]]</f>
        <v>0</v>
      </c>
      <c r="V152" s="218">
        <f>COUNTIFS(FMECA[RR], "HIGH",FMECA[HazardRisk_name],Table3[[#This Row],[HazardRisk_name]])</f>
        <v>0</v>
      </c>
      <c r="W152" s="22">
        <f>Table3[[#This Row],[h_count]]/Table3[[#This Row],[risk_counts]]</f>
        <v>0</v>
      </c>
      <c r="X152" s="218">
        <f>COUNTIFS(FMECA[RR], "MODERATE",FMECA[HazardRisk_name],Table3[[#This Row],[HazardRisk_name]])</f>
        <v>2</v>
      </c>
      <c r="Y152" s="22">
        <f>Table3[[#This Row],[m_count]]/Table3[[#This Row],[risk_counts]]</f>
        <v>1</v>
      </c>
      <c r="Z152" s="218">
        <f>COUNTIFS(FMECA[RR], "UNDETECTABLE",FMECA[HazardRisk_name],Table3[[#This Row],[HazardRisk_name]])</f>
        <v>0</v>
      </c>
      <c r="AA152" s="22">
        <f>Table3[[#This Row],[l_count]]/Table3[[#This Row],[risk_counts]]</f>
        <v>0</v>
      </c>
      <c r="AI152" s="16" t="str">
        <f>VLOOKUP(Table3[[#This Row],[HazardRisk_id]], categories[], 4, FALSE)</f>
        <v>Hazard</v>
      </c>
      <c r="AJ152" s="16">
        <f>(COUNTIFS(FMECA[availability], "Unknown",FMECA[HazardRisk_name],Table3[[#This Row],[HazardRisk_name]]))</f>
        <v>2</v>
      </c>
    </row>
    <row r="153" spans="1:36" ht="51" x14ac:dyDescent="0.2">
      <c r="A153" s="16" t="s">
        <v>2724</v>
      </c>
      <c r="B153" s="13" t="str">
        <f>VLOOKUP(Table3[[#This Row],[HazardRisk_id]], categories[], 5, FALSE)</f>
        <v>Navigational</v>
      </c>
      <c r="C153" s="14" t="str">
        <f>VLOOKUP(Table3[[#This Row],[HazardRisk_id]], categories[], 2, FALSE)</f>
        <v>Vessel-animal collision</v>
      </c>
      <c r="D153" s="15" t="str">
        <f>VLOOKUP(Table3[[#This Row],[HazardRisk_id]], categories[], 3, FALSE)</f>
        <v>A vessel-animal collision is defined as an impact directly or indirect collision into a species. These collisions have the possibility of being lethal to some species, cause significant impacts to both the natural environment as well as human harm.</v>
      </c>
      <c r="E153" s="15">
        <f>COUNTIFS(FMECA[HazardRisk_name],Table3[[#This Row],[HazardRisk_name]])</f>
        <v>4</v>
      </c>
      <c r="F153" s="15">
        <f>SUMIFS(FMECA[probability_value], FMECA[HazardRisk_name], Table3[[#This Row],[HazardRisk_name]])</f>
        <v>13</v>
      </c>
      <c r="G153" s="15">
        <f>AVERAGEIFS(FMECA[probability_value],FMECA[HazardRisk_name],Table3[[#This Row],[HazardRisk_name]])</f>
        <v>3.25</v>
      </c>
      <c r="H153" s="15" cm="1">
        <f t="array" ref="H153">STDEVP(IF(FMECA[HazardRisk_name]=Table3[[#This Row],[HazardRisk_name]],FMECA[probability_value]))</f>
        <v>0.82915619758884995</v>
      </c>
      <c r="I153" s="15">
        <f>SUMIFS(FMECA[consequence_value], FMECA[HazardRisk_name], Table3[[#This Row],[HazardRisk_name]])</f>
        <v>31</v>
      </c>
      <c r="J153" s="15">
        <f>AVERAGEIFS(FMECA[consequence_value],FMECA[HazardRisk_name],Table3[[#This Row],[HazardRisk_name]])</f>
        <v>7.75</v>
      </c>
      <c r="K153" s="15" cm="1">
        <f t="array" ref="K153">STDEVP(IF(FMECA[HazardRisk_name]=Table3[[#This Row],[HazardRisk_name]],FMECA[consequence_value]))</f>
        <v>1.299038105676658</v>
      </c>
      <c r="L153" s="23">
        <f>AVERAGEIFS(FMECA[Score],FMECA[HazardRisk_name],Table3[[#This Row],[HazardRisk_name]])</f>
        <v>24.25</v>
      </c>
      <c r="M153" s="23" cm="1">
        <f t="array" ref="M153">STDEVP(IF(FMECA[HazardRisk_name]=Table3[[#This Row],[HazardRisk_name]],FMECA[Score]))</f>
        <v>3.7666297933298409</v>
      </c>
      <c r="N153" s="15">
        <f>COUNTIFS(FMECA_data!P:P, "Theoretical", FMECA_data!I:I,Table3[[#This Row],[HazardRisk_name]])</f>
        <v>1</v>
      </c>
      <c r="O153" s="15">
        <f>COUNTIFS(FMECA_data!P:P, "Observational", FMECA_data!I:I,Table3[[#This Row],[HazardRisk_name]])</f>
        <v>3</v>
      </c>
      <c r="P153" s="15">
        <f>COUNTIFS(FMECA_data!P:P, "Hybrid", FMECA_data!I:I,Table3[[#This Row],[HazardRisk_name]])</f>
        <v>0</v>
      </c>
      <c r="Q153" s="15">
        <f>COUNTIFS(FMECA_data!P:P, "Modelling", FMECA_data!I:I,Table3[[#This Row],[HazardRisk_name]])</f>
        <v>0</v>
      </c>
      <c r="R153" s="15">
        <f>COUNTIFS(FMECA[data_deficient], "Yes",FMECA[HazardRisk_name],Table3[[#This Row],[HazardRisk_name]])</f>
        <v>1</v>
      </c>
      <c r="S153" s="23">
        <f>(COUNTIFS(FMECA[availability], "Yes",FMECA[HazardRisk_name],Table3[[#This Row],[HazardRisk_name]])) + (COUNTIFS(FMECA[availability], "Available",FMECA[HazardRisk_name],Table3[[#This Row],[HazardRisk_name]]))</f>
        <v>2</v>
      </c>
      <c r="T153" s="218">
        <f>COUNTIFS(FMECA[RR], "VERY HIGH",FMECA[HazardRisk_name],Table3[[#This Row],[HazardRisk_name]])</f>
        <v>0</v>
      </c>
      <c r="U153" s="22">
        <f>Table3[[#This Row],[vh_count]]/Table3[[#This Row],[risk_counts]]</f>
        <v>0</v>
      </c>
      <c r="V153" s="218">
        <f>COUNTIFS(FMECA[RR], "HIGH",FMECA[HazardRisk_name],Table3[[#This Row],[HazardRisk_name]])</f>
        <v>2</v>
      </c>
      <c r="W153" s="22">
        <f>Table3[[#This Row],[h_count]]/Table3[[#This Row],[risk_counts]]</f>
        <v>0.5</v>
      </c>
      <c r="X153" s="218">
        <f>COUNTIFS(FMECA[RR], "MODERATE",FMECA[HazardRisk_name],Table3[[#This Row],[HazardRisk_name]])</f>
        <v>2</v>
      </c>
      <c r="Y153" s="22">
        <f>Table3[[#This Row],[m_count]]/Table3[[#This Row],[risk_counts]]</f>
        <v>0.5</v>
      </c>
      <c r="Z153" s="218">
        <f>COUNTIFS(FMECA[RR], "UNDETECTABLE",FMECA[HazardRisk_name],Table3[[#This Row],[HazardRisk_name]])</f>
        <v>0</v>
      </c>
      <c r="AA153" s="22">
        <f>Table3[[#This Row],[l_count]]/Table3[[#This Row],[risk_counts]]</f>
        <v>0</v>
      </c>
      <c r="AI153" s="16" t="str">
        <f>VLOOKUP(Table3[[#This Row],[HazardRisk_id]], categories[], 4, FALSE)</f>
        <v>Risk</v>
      </c>
      <c r="AJ153" s="16">
        <f>(COUNTIFS(FMECA[availability], "Unknown",FMECA[HazardRisk_name],Table3[[#This Row],[HazardRisk_name]]))</f>
        <v>1</v>
      </c>
    </row>
    <row r="154" spans="1:36" ht="68" x14ac:dyDescent="0.2">
      <c r="A154" s="16" t="s">
        <v>2725</v>
      </c>
      <c r="B154" s="13" t="str">
        <f>VLOOKUP(Table3[[#This Row],[HazardRisk_id]], categories[], 5, FALSE)</f>
        <v>Navigational</v>
      </c>
      <c r="C154" s="14" t="str">
        <f>VLOOKUP(Table3[[#This Row],[HazardRisk_id]], categories[], 2, FALSE)</f>
        <v>Vessel-vessel collision</v>
      </c>
      <c r="D154" s="15" t="str">
        <f>VLOOKUP(Table3[[#This Row],[HazardRisk_id]], categories[], 3, FALSE)</f>
        <v>Vessel-on-vessel collisions pose a threat to humans and the natural environment. Collisions can cause multiple causalties to occur to both crews whereas the natural environment can see pollutants and vessel parts become exposed to the natural environment.</v>
      </c>
      <c r="E154" s="15">
        <f>COUNTIFS(FMECA[HazardRisk_name],Table3[[#This Row],[HazardRisk_name]])</f>
        <v>7</v>
      </c>
      <c r="F154" s="15">
        <f>SUMIFS(FMECA[probability_value], FMECA[HazardRisk_name], Table3[[#This Row],[HazardRisk_name]])</f>
        <v>13</v>
      </c>
      <c r="G154" s="15">
        <f>AVERAGEIFS(FMECA[probability_value],FMECA[HazardRisk_name],Table3[[#This Row],[HazardRisk_name]])</f>
        <v>2.1666666666666665</v>
      </c>
      <c r="H154" s="15" cm="1">
        <f t="array" ref="H154">STDEVP(IF(FMECA[HazardRisk_name]=Table3[[#This Row],[HazardRisk_name]],FMECA[probability_value]))</f>
        <v>1.1248582677159731</v>
      </c>
      <c r="I154" s="15">
        <f>SUMIFS(FMECA[consequence_value], FMECA[HazardRisk_name], Table3[[#This Row],[HazardRisk_name]])</f>
        <v>48</v>
      </c>
      <c r="J154" s="15">
        <f>AVERAGEIFS(FMECA[consequence_value],FMECA[HazardRisk_name],Table3[[#This Row],[HazardRisk_name]])</f>
        <v>8</v>
      </c>
      <c r="K154" s="15" cm="1">
        <f t="array" ref="K154">STDEVP(IF(FMECA[HazardRisk_name]=Table3[[#This Row],[HazardRisk_name]],FMECA[consequence_value]))</f>
        <v>3.4817307448439831</v>
      </c>
      <c r="L154" s="23">
        <f>AVERAGEIFS(FMECA[Score],FMECA[HazardRisk_name],Table3[[#This Row],[HazardRisk_name]])</f>
        <v>13.428571428571429</v>
      </c>
      <c r="M154" s="23" cm="1">
        <f t="array" ref="M154">STDEVP(IF(FMECA[HazardRisk_name]=Table3[[#This Row],[HazardRisk_name]],FMECA[Score]))</f>
        <v>7.2082718923102078</v>
      </c>
      <c r="N154" s="15">
        <f>COUNTIFS(FMECA_data!P:P, "Theoretical", FMECA_data!I:I,Table3[[#This Row],[HazardRisk_name]])</f>
        <v>0</v>
      </c>
      <c r="O154" s="15">
        <f>COUNTIFS(FMECA_data!P:P, "Observational", FMECA_data!I:I,Table3[[#This Row],[HazardRisk_name]])</f>
        <v>6</v>
      </c>
      <c r="P154" s="15">
        <f>COUNTIFS(FMECA_data!P:P, "Hybrid", FMECA_data!I:I,Table3[[#This Row],[HazardRisk_name]])</f>
        <v>1</v>
      </c>
      <c r="Q154" s="15">
        <f>COUNTIFS(FMECA_data!P:P, "Modelling", FMECA_data!I:I,Table3[[#This Row],[HazardRisk_name]])</f>
        <v>0</v>
      </c>
      <c r="R154" s="15">
        <f>COUNTIFS(FMECA[data_deficient], "Yes",FMECA[HazardRisk_name],Table3[[#This Row],[HazardRisk_name]])</f>
        <v>0</v>
      </c>
      <c r="S154" s="23">
        <f>(COUNTIFS(FMECA[availability], "Yes",FMECA[HazardRisk_name],Table3[[#This Row],[HazardRisk_name]])) + (COUNTIFS(FMECA[availability], "Available",FMECA[HazardRisk_name],Table3[[#This Row],[HazardRisk_name]]))</f>
        <v>3</v>
      </c>
      <c r="T154" s="218">
        <f>COUNTIFS(FMECA[RR], "VERY HIGH",FMECA[HazardRisk_name],Table3[[#This Row],[HazardRisk_name]])</f>
        <v>0</v>
      </c>
      <c r="U154" s="22">
        <f>Table3[[#This Row],[vh_count]]/Table3[[#This Row],[risk_counts]]</f>
        <v>0</v>
      </c>
      <c r="V154" s="218">
        <f>COUNTIFS(FMECA[RR], "HIGH",FMECA[HazardRisk_name],Table3[[#This Row],[HazardRisk_name]])</f>
        <v>0</v>
      </c>
      <c r="W154" s="22">
        <f>Table3[[#This Row],[h_count]]/Table3[[#This Row],[risk_counts]]</f>
        <v>0</v>
      </c>
      <c r="X154" s="218">
        <f>COUNTIFS(FMECA[RR], "MODERATE",FMECA[HazardRisk_name],Table3[[#This Row],[HazardRisk_name]])</f>
        <v>6</v>
      </c>
      <c r="Y154" s="22">
        <f>Table3[[#This Row],[m_count]]/Table3[[#This Row],[risk_counts]]</f>
        <v>0.8571428571428571</v>
      </c>
      <c r="Z154" s="218">
        <f>COUNTIFS(FMECA[RR], "UNDETECTABLE",FMECA[HazardRisk_name],Table3[[#This Row],[HazardRisk_name]])</f>
        <v>1</v>
      </c>
      <c r="AA154" s="22">
        <f>Table3[[#This Row],[l_count]]/Table3[[#This Row],[risk_counts]]</f>
        <v>0.14285714285714285</v>
      </c>
      <c r="AI154" s="16" t="str">
        <f>VLOOKUP(Table3[[#This Row],[HazardRisk_id]], categories[], 4, FALSE)</f>
        <v>Risk</v>
      </c>
      <c r="AJ154" s="16">
        <f>(COUNTIFS(FMECA[availability], "Unknown",FMECA[HazardRisk_name],Table3[[#This Row],[HazardRisk_name]]))</f>
        <v>4</v>
      </c>
    </row>
    <row r="155" spans="1:36" ht="51" x14ac:dyDescent="0.2">
      <c r="A155" s="16" t="s">
        <v>2726</v>
      </c>
      <c r="B155" s="13" t="str">
        <f>VLOOKUP(Table3[[#This Row],[HazardRisk_id]], categories[], 5, FALSE)</f>
        <v>Social</v>
      </c>
      <c r="C155" s="14" t="str">
        <f>VLOOKUP(Table3[[#This Row],[HazardRisk_id]], categories[], 2, FALSE)</f>
        <v>Violence or violent acts</v>
      </c>
      <c r="D155" s="15" t="str">
        <f>VLOOKUP(Table3[[#This Row],[HazardRisk_id]], categories[], 3, FALSE)</f>
        <v>Violence can stem from sovergntry or treaty conflists that are currently ongoing. The possibility of violence can also be from competing international interests and geopolitical conflicts around the globe, increasing risks of piracy during voyages.</v>
      </c>
      <c r="E155" s="15">
        <f>COUNTIFS(FMECA[HazardRisk_name],Table3[[#This Row],[HazardRisk_name]])</f>
        <v>1</v>
      </c>
      <c r="F155" s="15">
        <f>SUMIFS(FMECA[probability_value], FMECA[HazardRisk_name], Table3[[#This Row],[HazardRisk_name]])</f>
        <v>2</v>
      </c>
      <c r="G155" s="15">
        <f>AVERAGEIFS(FMECA[probability_value],FMECA[HazardRisk_name],Table3[[#This Row],[HazardRisk_name]])</f>
        <v>2</v>
      </c>
      <c r="H155" s="15" cm="1">
        <f t="array" ref="H155">STDEVP(IF(FMECA[HazardRisk_name]=Table3[[#This Row],[HazardRisk_name]],FMECA[probability_value]))</f>
        <v>0</v>
      </c>
      <c r="I155" s="15">
        <f>SUMIFS(FMECA[consequence_value], FMECA[HazardRisk_name], Table3[[#This Row],[HazardRisk_name]])</f>
        <v>1</v>
      </c>
      <c r="J155" s="15">
        <f>AVERAGEIFS(FMECA[consequence_value],FMECA[HazardRisk_name],Table3[[#This Row],[HazardRisk_name]])</f>
        <v>1</v>
      </c>
      <c r="K155" s="15" cm="1">
        <f t="array" ref="K155">STDEVP(IF(FMECA[HazardRisk_name]=Table3[[#This Row],[HazardRisk_name]],FMECA[consequence_value]))</f>
        <v>0</v>
      </c>
      <c r="L155" s="23">
        <f>AVERAGEIFS(FMECA[Score],FMECA[HazardRisk_name],Table3[[#This Row],[HazardRisk_name]])</f>
        <v>2</v>
      </c>
      <c r="M155" s="23" cm="1">
        <f t="array" ref="M155">STDEVP(IF(FMECA[HazardRisk_name]=Table3[[#This Row],[HazardRisk_name]],FMECA[Score]))</f>
        <v>0</v>
      </c>
      <c r="N155" s="15">
        <f>COUNTIFS(FMECA_data!P:P, "Theoretical", FMECA_data!I:I,Table3[[#This Row],[HazardRisk_name]])</f>
        <v>0</v>
      </c>
      <c r="O155" s="15">
        <f>COUNTIFS(FMECA_data!P:P, "Observational", FMECA_data!I:I,Table3[[#This Row],[HazardRisk_name]])</f>
        <v>1</v>
      </c>
      <c r="P155" s="15">
        <f>COUNTIFS(FMECA_data!P:P, "Hybrid", FMECA_data!I:I,Table3[[#This Row],[HazardRisk_name]])</f>
        <v>0</v>
      </c>
      <c r="Q155" s="15">
        <f>COUNTIFS(FMECA_data!P:P, "Modelling", FMECA_data!I:I,Table3[[#This Row],[HazardRisk_name]])</f>
        <v>0</v>
      </c>
      <c r="R155" s="15">
        <f>COUNTIFS(FMECA[data_deficient], "Yes",FMECA[HazardRisk_name],Table3[[#This Row],[HazardRisk_name]])</f>
        <v>0</v>
      </c>
      <c r="S155" s="23">
        <f>(COUNTIFS(FMECA[availability], "Yes",FMECA[HazardRisk_name],Table3[[#This Row],[HazardRisk_name]])) + (COUNTIFS(FMECA[availability], "Available",FMECA[HazardRisk_name],Table3[[#This Row],[HazardRisk_name]]))</f>
        <v>1</v>
      </c>
      <c r="T155" s="218">
        <f>COUNTIFS(FMECA[RR], "VERY HIGH",FMECA[HazardRisk_name],Table3[[#This Row],[HazardRisk_name]])</f>
        <v>0</v>
      </c>
      <c r="U155" s="22">
        <f>Table3[[#This Row],[vh_count]]/Table3[[#This Row],[risk_counts]]</f>
        <v>0</v>
      </c>
      <c r="V155" s="218">
        <f>COUNTIFS(FMECA[RR], "HIGH",FMECA[HazardRisk_name],Table3[[#This Row],[HazardRisk_name]])</f>
        <v>0</v>
      </c>
      <c r="W155" s="22">
        <f>Table3[[#This Row],[h_count]]/Table3[[#This Row],[risk_counts]]</f>
        <v>0</v>
      </c>
      <c r="X155" s="218">
        <f>COUNTIFS(FMECA[RR], "MODERATE",FMECA[HazardRisk_name],Table3[[#This Row],[HazardRisk_name]])</f>
        <v>0</v>
      </c>
      <c r="Y155" s="22">
        <f>Table3[[#This Row],[m_count]]/Table3[[#This Row],[risk_counts]]</f>
        <v>0</v>
      </c>
      <c r="Z155" s="218">
        <f>COUNTIFS(FMECA[RR], "UNDETECTABLE",FMECA[HazardRisk_name],Table3[[#This Row],[HazardRisk_name]])</f>
        <v>1</v>
      </c>
      <c r="AA155" s="22">
        <f>Table3[[#This Row],[l_count]]/Table3[[#This Row],[risk_counts]]</f>
        <v>1</v>
      </c>
      <c r="AI155" s="16" t="str">
        <f>VLOOKUP(Table3[[#This Row],[HazardRisk_id]], categories[], 4, FALSE)</f>
        <v>Hazard</v>
      </c>
      <c r="AJ155" s="16">
        <f>(COUNTIFS(FMECA[availability], "Unknown",FMECA[HazardRisk_name],Table3[[#This Row],[HazardRisk_name]]))</f>
        <v>0</v>
      </c>
    </row>
  </sheetData>
  <phoneticPr fontId="9"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2589C-A2A3-9248-8E41-F76276A58BB9}">
  <sheetPr>
    <tabColor theme="8" tint="-0.249977111117893"/>
  </sheetPr>
  <dimension ref="A1:BC155"/>
  <sheetViews>
    <sheetView topLeftCell="AL1" workbookViewId="0">
      <selection activeCell="AT6" sqref="AT6"/>
    </sheetView>
  </sheetViews>
  <sheetFormatPr baseColWidth="10" defaultRowHeight="32" customHeight="1" x14ac:dyDescent="0.2"/>
  <cols>
    <col min="1" max="1" width="10.83203125" style="16"/>
    <col min="2" max="2" width="10.33203125" style="16" customWidth="1"/>
    <col min="3" max="3" width="14" style="16" customWidth="1"/>
    <col min="4" max="4" width="53.1640625" style="15" customWidth="1"/>
    <col min="5" max="5" width="16.83203125" style="17" customWidth="1"/>
    <col min="6" max="6" width="14.33203125" style="2" customWidth="1"/>
    <col min="7" max="7" width="7.5" style="25" hidden="1" customWidth="1"/>
    <col min="8" max="8" width="22.83203125" style="26" customWidth="1"/>
    <col min="9" max="9" width="34" style="26" customWidth="1"/>
    <col min="10" max="10" width="20.33203125" style="223" customWidth="1"/>
    <col min="11" max="11" width="16.33203125" style="30" customWidth="1"/>
    <col min="12" max="12" width="15.33203125" style="30" customWidth="1"/>
    <col min="13" max="13" width="17.33203125" style="179" customWidth="1"/>
    <col min="14" max="14" width="18.1640625" style="181" customWidth="1"/>
    <col min="15" max="15" width="18.1640625" style="183" customWidth="1"/>
    <col min="16" max="16" width="18.1640625" style="185" customWidth="1"/>
    <col min="17" max="17" width="16.1640625" style="181" customWidth="1"/>
    <col min="18" max="18" width="18.1640625" style="181" customWidth="1"/>
    <col min="19" max="19" width="18.33203125" style="179" customWidth="1"/>
    <col min="20" max="20" width="19.1640625" style="179" customWidth="1"/>
    <col min="21" max="21" width="10.83203125" style="177" customWidth="1"/>
    <col min="22" max="23" width="10.83203125" style="187" customWidth="1"/>
    <col min="24" max="25" width="20.33203125" style="17" customWidth="1"/>
    <col min="26" max="26" width="20.33203125" style="177" customWidth="1"/>
    <col min="27" max="27" width="6.83203125" style="190" customWidth="1"/>
    <col min="28" max="28" width="7" style="191" customWidth="1"/>
    <col min="29" max="33" width="6.83203125" style="191" customWidth="1"/>
    <col min="34" max="34" width="21.6640625" style="193" customWidth="1"/>
    <col min="35" max="35" width="21.6640625" style="189" customWidth="1"/>
    <col min="36" max="37" width="21.6640625" style="198" customWidth="1"/>
    <col min="38" max="38" width="21.6640625" style="185" customWidth="1"/>
    <col min="39" max="40" width="21.6640625" style="191" customWidth="1"/>
    <col min="41" max="41" width="21.6640625" style="185" customWidth="1"/>
    <col min="42" max="43" width="7.83203125" style="201" customWidth="1"/>
    <col min="44" max="44" width="8" style="201" customWidth="1"/>
    <col min="45" max="45" width="7.83203125" style="201" customWidth="1"/>
    <col min="46" max="46" width="21.83203125" style="183" customWidth="1"/>
    <col min="47" max="47" width="21.83203125" style="204" customWidth="1"/>
    <col min="48" max="48" width="21.83203125" style="183" customWidth="1"/>
    <col min="49" max="49" width="21.6640625" style="183" customWidth="1"/>
    <col min="50" max="50" width="46.33203125" style="26" customWidth="1"/>
    <col min="51" max="16384" width="10.83203125" style="16"/>
  </cols>
  <sheetData>
    <row r="1" spans="1:50" ht="32" customHeight="1" x14ac:dyDescent="0.2">
      <c r="A1" s="299" t="s">
        <v>7</v>
      </c>
      <c r="B1" s="299" t="s">
        <v>32</v>
      </c>
      <c r="C1" s="299" t="s">
        <v>522</v>
      </c>
      <c r="D1" s="14" t="s">
        <v>932</v>
      </c>
      <c r="E1" s="2" t="s">
        <v>523</v>
      </c>
      <c r="F1" s="2" t="s">
        <v>524</v>
      </c>
      <c r="G1" s="28" t="s">
        <v>752</v>
      </c>
      <c r="H1" s="24" t="s">
        <v>1468</v>
      </c>
      <c r="I1" s="24" t="s">
        <v>1461</v>
      </c>
      <c r="J1" s="221" t="s">
        <v>1137</v>
      </c>
      <c r="K1" s="29" t="s">
        <v>1462</v>
      </c>
      <c r="L1" s="29" t="s">
        <v>1463</v>
      </c>
      <c r="M1" s="178" t="s">
        <v>1464</v>
      </c>
      <c r="N1" s="180" t="s">
        <v>1465</v>
      </c>
      <c r="O1" s="182" t="s">
        <v>1466</v>
      </c>
      <c r="P1" s="184" t="s">
        <v>1467</v>
      </c>
      <c r="Q1" s="180" t="s">
        <v>1469</v>
      </c>
      <c r="R1" s="180" t="s">
        <v>1470</v>
      </c>
      <c r="S1" s="178" t="s">
        <v>1471</v>
      </c>
      <c r="T1" s="178" t="s">
        <v>1472</v>
      </c>
      <c r="U1" s="176" t="s">
        <v>1473</v>
      </c>
      <c r="V1" s="186" t="s">
        <v>1474</v>
      </c>
      <c r="W1" s="186" t="s">
        <v>1475</v>
      </c>
      <c r="X1" s="2" t="s">
        <v>1476</v>
      </c>
      <c r="Y1" s="2" t="s">
        <v>1477</v>
      </c>
      <c r="Z1" s="176" t="s">
        <v>1480</v>
      </c>
      <c r="AA1" s="194" t="s">
        <v>1481</v>
      </c>
      <c r="AB1" s="28" t="s">
        <v>753</v>
      </c>
      <c r="AC1" s="28" t="s">
        <v>754</v>
      </c>
      <c r="AD1" s="28" t="s">
        <v>755</v>
      </c>
      <c r="AE1" s="28" t="s">
        <v>756</v>
      </c>
      <c r="AF1" s="28" t="s">
        <v>808</v>
      </c>
      <c r="AG1" s="28" t="s">
        <v>757</v>
      </c>
      <c r="AH1" s="195" t="s">
        <v>1478</v>
      </c>
      <c r="AI1" s="188" t="s">
        <v>1479</v>
      </c>
      <c r="AJ1" s="196" t="s">
        <v>1149</v>
      </c>
      <c r="AK1" s="197" t="s">
        <v>1150</v>
      </c>
      <c r="AL1" s="184" t="s">
        <v>1482</v>
      </c>
      <c r="AM1" s="28" t="s">
        <v>1201</v>
      </c>
      <c r="AN1" s="28" t="s">
        <v>1202</v>
      </c>
      <c r="AO1" s="184" t="s">
        <v>736</v>
      </c>
      <c r="AP1" s="202" t="s">
        <v>1905</v>
      </c>
      <c r="AQ1" s="202" t="s">
        <v>749</v>
      </c>
      <c r="AR1" s="202" t="s">
        <v>750</v>
      </c>
      <c r="AS1" s="202" t="s">
        <v>751</v>
      </c>
      <c r="AT1" s="182" t="s">
        <v>738</v>
      </c>
      <c r="AU1" s="28" t="s">
        <v>1717</v>
      </c>
      <c r="AV1" s="182" t="s">
        <v>1716</v>
      </c>
      <c r="AW1" s="182" t="s">
        <v>1483</v>
      </c>
      <c r="AX1" s="28" t="s">
        <v>2746</v>
      </c>
    </row>
    <row r="2" spans="1:50" ht="32" hidden="1" customHeight="1" x14ac:dyDescent="0.2">
      <c r="A2" s="16" t="s">
        <v>500</v>
      </c>
      <c r="B2" s="16" t="str">
        <f>VLOOKUP(Table4[[#This Row],[risk_id]], Table3[], 35, FALSE)</f>
        <v>Risk</v>
      </c>
      <c r="C2" s="16" t="str">
        <f>VLOOKUP(Table4[[#This Row],[risk_id]], Table3[], 2, FALSE)</f>
        <v>Community</v>
      </c>
      <c r="D2" s="15" t="str">
        <f>VLOOKUP(Table4[[#This Row],[risk_id]], Table3[], 3, FALSE)</f>
        <v>Community member displacement</v>
      </c>
      <c r="E2"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VERY HIGH</v>
      </c>
      <c r="F2" s="300">
        <f t="shared" ref="F2:F33" si="0">M2*N2</f>
        <v>50</v>
      </c>
      <c r="G2" s="31">
        <f>Table4[[#This Row],[DataQuality_Score]]</f>
        <v>0.35757978723404255</v>
      </c>
      <c r="H2"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LOW</v>
      </c>
      <c r="I2" s="27" t="str">
        <f>Table4[[#This Row],[LoA - Metric]]&amp; ", " &amp;Table4[[#This Row],[ES - Metric]]</f>
        <v>Medium agreement, Limited evidence</v>
      </c>
      <c r="J2" s="222">
        <f>(Table4[[#This Row],[LoA_SCORE]]+Table4[[#This Row],[ES_SCORE]])/100</f>
        <v>0.35757978723404255</v>
      </c>
      <c r="K2"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2"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Limited evidence</v>
      </c>
      <c r="M2" s="179">
        <f>Table4[[#This Row],[probability_average]]</f>
        <v>5</v>
      </c>
      <c r="N2" s="181">
        <f>Table4[[#This Row],[consequence_average]]</f>
        <v>10</v>
      </c>
      <c r="O2" s="220">
        <f>Table4[[#This Row],[agreementPCT_score]]+Table4[[#This Row],[agreement_dist_score]]+Table4[[#This Row],[LoA_AQ_score]]</f>
        <v>20</v>
      </c>
      <c r="P2" s="203">
        <f>Table4[[#This Row],[evidenceconsistency_score]]+Table4[[#This Row],[EQ_score]]+Table4[[#This Row],[EA_score]]+Table4[[#This Row],[ET_score]]</f>
        <v>15.757978723404255</v>
      </c>
      <c r="Q2" s="181">
        <f>VLOOKUP(Table4[[#This Row],[risk_id]],Table3[],10,FALSE)</f>
        <v>10</v>
      </c>
      <c r="R2" s="181">
        <f>VLOOKUP(Table4[[#This Row],[risk_id]],Table3[],9,FALSE)</f>
        <v>10</v>
      </c>
      <c r="S2" s="179">
        <f>VLOOKUP(Table4[[#This Row],[risk_id]],Table3[],7,FALSE)</f>
        <v>5</v>
      </c>
      <c r="T2" s="179">
        <f>VLOOKUP(Table4[[#This Row],[risk_id]],Table3[],6,FALSE)</f>
        <v>5</v>
      </c>
      <c r="U2" s="177">
        <f t="shared" ref="U2:U33" si="1">12.5</f>
        <v>12.5</v>
      </c>
      <c r="V2" s="187">
        <f>10</f>
        <v>10</v>
      </c>
      <c r="W2" s="187">
        <f>30</f>
        <v>30</v>
      </c>
      <c r="X2" s="17">
        <f>VLOOKUP(Table4[[#This Row],[risk_id]],Table3[],5,FALSE)</f>
        <v>1</v>
      </c>
      <c r="Y2" s="17">
        <f>94</f>
        <v>94</v>
      </c>
      <c r="Z2" s="177">
        <f>Table4[[#This Row],[EStype_summed]]*Table4[[#This Row],[Indicator_12.5pct]]</f>
        <v>3.125</v>
      </c>
      <c r="AA2" s="190">
        <f>(IF(Table4[[#This Row],[all_evtype]]&gt;=4,"4", IF(Table4[[#This Row],[all_evtype]]&gt;=3,"3", IF(Table4[[#This Row],[all_evtype]]&gt;=2,"2", IF(Table4[[#This Row],[all_evtype]]&gt;=1,"1","0")))))/Table4[[#This Row],[HPS_et]]</f>
        <v>0.25</v>
      </c>
      <c r="AB2" s="191">
        <f>VLOOKUP(Table4[[#This Row],[risk_id]],Table3[], 14, FALSE)</f>
        <v>1</v>
      </c>
      <c r="AC2" s="191">
        <f>VLOOKUP(Table4[[#This Row],[risk_id]],Table3[], 15, FALSE)</f>
        <v>0</v>
      </c>
      <c r="AD2" s="191">
        <f>VLOOKUP(Table4[[#This Row],[risk_id]], Table3[], 16, FALSE)</f>
        <v>0</v>
      </c>
      <c r="AE2" s="191">
        <f>VLOOKUP(Table4[[#This Row],[risk_id]], Table3[], 17, )</f>
        <v>0</v>
      </c>
      <c r="AF2" s="191">
        <f>4</f>
        <v>4</v>
      </c>
      <c r="AG2" s="191">
        <f>COUNTIF(Table4[[#This Row],[THEO]:[MOD]], "&gt;=1")</f>
        <v>1</v>
      </c>
      <c r="AH2" s="192">
        <f>Table4[[#This Row],[data_observations]]/Table4[[#This Row],[AllObservations_count]]</f>
        <v>1.0638297872340425E-2</v>
      </c>
      <c r="AI2" s="189">
        <f>Table4[[#This Row],[evidenceamount_pct]]*(Table4[[#This Row],[Indicator_12.5pct]])</f>
        <v>0.13297872340425532</v>
      </c>
      <c r="AJ2" s="198">
        <f>(1-(VLOOKUP(Table4[[#This Row],[risk_id]],Table3[],18, FALSE))/(Table4[[#This Row],[data_observations]]))</f>
        <v>0</v>
      </c>
      <c r="AK2" s="198">
        <f>((VLOOKUP(Table4[[#This Row],[risk_id]],Table3[],19, FALSE))+((VLOOKUP(Table4[[#This Row],[risk_id]],Table3[],36, FALSE))*0.5))/(Table4[[#This Row],[data_observations]])</f>
        <v>0</v>
      </c>
      <c r="AL2" s="177">
        <f>((Table4[[#This Row],[ev_data_deficient_score]]*0.5)+(Table4[[#This Row],[ev_data_availability_score]]*0.5))*(Table4[[#This Row],[Indicator_12.5pct]])</f>
        <v>0</v>
      </c>
      <c r="AM2" s="199">
        <f>Table4[[#This Row],[RiskScore]]</f>
        <v>50</v>
      </c>
      <c r="AN2" s="200">
        <f>VLOOKUP(Table4[[#This Row],[risk_id]], Table3[], 13, FALSE)</f>
        <v>0</v>
      </c>
      <c r="AO2" s="185">
        <f>(1-(Table4[[#This Row],[evidence_SD_RR]]/Table4[[#This Row],[evidence_mean_RR]]))*(Table4[[#This Row],[Indicator_12.5pct]])</f>
        <v>12.5</v>
      </c>
      <c r="AP2" s="201">
        <f>VLOOKUP(Table4[[#This Row],[risk_id]],Table3[],21, FALSE)</f>
        <v>1</v>
      </c>
      <c r="AQ2" s="201">
        <f>VLOOKUP(Table4[[#This Row],[risk_id]],Table3[],23, FALSE)</f>
        <v>0</v>
      </c>
      <c r="AR2" s="201">
        <f>VLOOKUP(Table4[[#This Row],[risk_id]],Table3[],25, FALSE)</f>
        <v>0</v>
      </c>
      <c r="AS2" s="201">
        <f>VLOOKUP(Table4[[#This Row],[risk_id]],Table3[],27, FALSE)</f>
        <v>0</v>
      </c>
      <c r="AT2" s="183">
        <f>(MAX(Table4[[#This Row],[C]:[U]]))*Table4[[#This Row],[Indicator_20pct]]</f>
        <v>10</v>
      </c>
      <c r="AU2" s="205">
        <f>COUNTIFS(Table4[[#This Row],[C]], "&gt;0", Table4[[#This Row],[U]], "&gt;0") + COUNTIFS(Table4[[#This Row],[H]], "&gt;0", Table4[[#This Row],[U]], "&gt;0") + COUNTIFS(Table4[[#This Row],[C]], "&gt;0", Table4[[#This Row],[M]], "&gt;0")</f>
        <v>0</v>
      </c>
      <c r="AV2" s="219">
        <f>((-(Table4[[#This Row],[different_scores_count]]-3))/3)*Table4[[#This Row],[Indicator_20pct]]</f>
        <v>10</v>
      </c>
      <c r="AW2" s="183">
        <f>IF(Table4[[#This Row],[data_observations]]&gt;=5, 30, IF(Table4[[#This Row],[data_observations]]&gt;=3, 15, 0))</f>
        <v>0</v>
      </c>
      <c r="AX2" s="26" t="s">
        <v>2736</v>
      </c>
    </row>
    <row r="3" spans="1:50" ht="32" hidden="1" customHeight="1" x14ac:dyDescent="0.2">
      <c r="A3" s="16" t="s">
        <v>2686</v>
      </c>
      <c r="B3" s="16" t="str">
        <f>VLOOKUP(Table4[[#This Row],[risk_id]], Table3[], 35, FALSE)</f>
        <v>Risk</v>
      </c>
      <c r="C3" s="16" t="str">
        <f>VLOOKUP(Table4[[#This Row],[risk_id]], Table3[], 2, FALSE)</f>
        <v>Pollutants</v>
      </c>
      <c r="D3" s="15" t="str">
        <f>VLOOKUP(Table4[[#This Row],[risk_id]], Table3[], 3, FALSE)</f>
        <v>Hydrocarbon release</v>
      </c>
      <c r="E3"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VERY HIGH</v>
      </c>
      <c r="F3" s="300">
        <f t="shared" si="0"/>
        <v>45</v>
      </c>
      <c r="G3" s="31">
        <f>Table4[[#This Row],[DataQuality_Score]]</f>
        <v>0.47002068557919618</v>
      </c>
      <c r="H3"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3" s="27" t="str">
        <f>Table4[[#This Row],[LoA - Metric]]&amp; ", " &amp;Table4[[#This Row],[ES - Metric]]</f>
        <v>Medium agreement, Medium evidence</v>
      </c>
      <c r="J3" s="222">
        <f>(Table4[[#This Row],[LoA_SCORE]]+Table4[[#This Row],[ES_SCORE]])/100</f>
        <v>0.47002068557919618</v>
      </c>
      <c r="K3"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3"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3" s="179">
        <f>Table4[[#This Row],[probability_average]]</f>
        <v>4.5</v>
      </c>
      <c r="N3" s="181">
        <f>Table4[[#This Row],[consequence_average]]</f>
        <v>10</v>
      </c>
      <c r="O3" s="220">
        <f>Table4[[#This Row],[agreementPCT_score]]+Table4[[#This Row],[agreement_dist_score]]+Table4[[#This Row],[LoA_AQ_score]]</f>
        <v>20</v>
      </c>
      <c r="P3" s="203">
        <f>Table4[[#This Row],[evidenceconsistency_score]]+Table4[[#This Row],[EQ_score]]+Table4[[#This Row],[EA_score]]+Table4[[#This Row],[ET_score]]</f>
        <v>27.002068557919621</v>
      </c>
      <c r="Q3" s="181">
        <f>VLOOKUP(Table4[[#This Row],[risk_id]],Table3[],10,FALSE)</f>
        <v>10</v>
      </c>
      <c r="R3" s="181">
        <f>VLOOKUP(Table4[[#This Row],[risk_id]],Table3[],9,FALSE)</f>
        <v>20</v>
      </c>
      <c r="S3" s="179">
        <f>VLOOKUP(Table4[[#This Row],[risk_id]],Table3[],7,FALSE)</f>
        <v>4.5</v>
      </c>
      <c r="T3" s="179">
        <f>VLOOKUP(Table4[[#This Row],[risk_id]],Table3[],6,FALSE)</f>
        <v>9</v>
      </c>
      <c r="U3" s="177">
        <f t="shared" si="1"/>
        <v>12.5</v>
      </c>
      <c r="V3" s="187">
        <f>10</f>
        <v>10</v>
      </c>
      <c r="W3" s="187">
        <f>30</f>
        <v>30</v>
      </c>
      <c r="X3" s="17">
        <f>VLOOKUP(Table4[[#This Row],[risk_id]],Table3[],5,FALSE)</f>
        <v>2</v>
      </c>
      <c r="Y3" s="17">
        <f>94</f>
        <v>94</v>
      </c>
      <c r="Z3" s="177">
        <f>Table4[[#This Row],[EStype_summed]]*Table4[[#This Row],[Indicator_12.5pct]]</f>
        <v>6.25</v>
      </c>
      <c r="AA3" s="190">
        <f>(IF(Table4[[#This Row],[all_evtype]]&gt;=4,"4", IF(Table4[[#This Row],[all_evtype]]&gt;=3,"3", IF(Table4[[#This Row],[all_evtype]]&gt;=2,"2", IF(Table4[[#This Row],[all_evtype]]&gt;=1,"1","0")))))/Table4[[#This Row],[HPS_et]]</f>
        <v>0.5</v>
      </c>
      <c r="AB3" s="191">
        <f>VLOOKUP(Table4[[#This Row],[risk_id]],Table3[], 14, FALSE)</f>
        <v>1</v>
      </c>
      <c r="AC3" s="191">
        <f>VLOOKUP(Table4[[#This Row],[risk_id]],Table3[], 15, FALSE)</f>
        <v>1</v>
      </c>
      <c r="AD3" s="191">
        <f>VLOOKUP(Table4[[#This Row],[risk_id]], Table3[], 16, FALSE)</f>
        <v>0</v>
      </c>
      <c r="AE3" s="191">
        <f>VLOOKUP(Table4[[#This Row],[risk_id]], Table3[], 17, )</f>
        <v>0</v>
      </c>
      <c r="AF3" s="191">
        <f>4</f>
        <v>4</v>
      </c>
      <c r="AG3" s="191">
        <f>COUNTIF(Table4[[#This Row],[THEO]:[MOD]], "&gt;=1")</f>
        <v>2</v>
      </c>
      <c r="AH3" s="192">
        <f>Table4[[#This Row],[data_observations]]/Table4[[#This Row],[AllObservations_count]]</f>
        <v>2.1276595744680851E-2</v>
      </c>
      <c r="AI3" s="189">
        <f>Table4[[#This Row],[evidenceamount_pct]]*(Table4[[#This Row],[Indicator_12.5pct]])</f>
        <v>0.26595744680851063</v>
      </c>
      <c r="AJ3" s="198">
        <f>(1-(VLOOKUP(Table4[[#This Row],[risk_id]],Table3[],18, FALSE))/(Table4[[#This Row],[data_observations]]))</f>
        <v>1</v>
      </c>
      <c r="AK3" s="198">
        <f>((VLOOKUP(Table4[[#This Row],[risk_id]],Table3[],19, FALSE))+((VLOOKUP(Table4[[#This Row],[risk_id]],Table3[],36, FALSE))*0.5))/(Table4[[#This Row],[data_observations]])</f>
        <v>0.5</v>
      </c>
      <c r="AL3" s="177">
        <f>((Table4[[#This Row],[ev_data_deficient_score]]*0.5)+(Table4[[#This Row],[ev_data_availability_score]]*0.5))*(Table4[[#This Row],[Indicator_12.5pct]])</f>
        <v>9.375</v>
      </c>
      <c r="AM3" s="199">
        <f>Table4[[#This Row],[RiskScore]]</f>
        <v>45</v>
      </c>
      <c r="AN3" s="200">
        <f>VLOOKUP(Table4[[#This Row],[risk_id]], Table3[], 13, FALSE)</f>
        <v>5</v>
      </c>
      <c r="AO3" s="185">
        <f>(1-(Table4[[#This Row],[evidence_SD_RR]]/Table4[[#This Row],[evidence_mean_RR]]))*(Table4[[#This Row],[Indicator_12.5pct]])</f>
        <v>11.111111111111111</v>
      </c>
      <c r="AP3" s="201">
        <f>VLOOKUP(Table4[[#This Row],[risk_id]],Table3[],21, FALSE)</f>
        <v>1</v>
      </c>
      <c r="AQ3" s="201">
        <f>VLOOKUP(Table4[[#This Row],[risk_id]],Table3[],23, FALSE)</f>
        <v>0</v>
      </c>
      <c r="AR3" s="201">
        <f>VLOOKUP(Table4[[#This Row],[risk_id]],Table3[],25, FALSE)</f>
        <v>0</v>
      </c>
      <c r="AS3" s="201">
        <f>VLOOKUP(Table4[[#This Row],[risk_id]],Table3[],27, FALSE)</f>
        <v>0</v>
      </c>
      <c r="AT3" s="183">
        <f>(MAX(Table4[[#This Row],[C]:[U]]))*Table4[[#This Row],[Indicator_20pct]]</f>
        <v>10</v>
      </c>
      <c r="AU3" s="205">
        <f>COUNTIFS(Table4[[#This Row],[C]], "&gt;0", Table4[[#This Row],[U]], "&gt;0") + COUNTIFS(Table4[[#This Row],[H]], "&gt;0", Table4[[#This Row],[U]], "&gt;0") + COUNTIFS(Table4[[#This Row],[C]], "&gt;0", Table4[[#This Row],[M]], "&gt;0")</f>
        <v>0</v>
      </c>
      <c r="AV3" s="219">
        <f>((-(Table4[[#This Row],[different_scores_count]]-3))/3)*Table4[[#This Row],[Indicator_20pct]]</f>
        <v>10</v>
      </c>
      <c r="AW3" s="183">
        <f>IF(Table4[[#This Row],[data_observations]]&gt;=5, 30, IF(Table4[[#This Row],[data_observations]]&gt;=3, 15, 0))</f>
        <v>0</v>
      </c>
      <c r="AX3" s="26" t="s">
        <v>2737</v>
      </c>
    </row>
    <row r="4" spans="1:50" ht="32" customHeight="1" x14ac:dyDescent="0.2">
      <c r="A4" s="16" t="s">
        <v>2719</v>
      </c>
      <c r="B4" s="16" t="str">
        <f>VLOOKUP(Table4[[#This Row],[risk_id]], Table3[], 35, FALSE)</f>
        <v>Hazard</v>
      </c>
      <c r="C4" s="16" t="str">
        <f>VLOOKUP(Table4[[#This Row],[risk_id]], Table3[], 2, FALSE)</f>
        <v>Operational</v>
      </c>
      <c r="D4" s="15" t="str">
        <f>VLOOKUP(Table4[[#This Row],[risk_id]], Table3[], 3, FALSE)</f>
        <v>Transportation of dangerous goods</v>
      </c>
      <c r="E4"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VERY HIGH</v>
      </c>
      <c r="F4" s="300">
        <f t="shared" si="0"/>
        <v>41.360000000000007</v>
      </c>
      <c r="G4" s="31">
        <f>Table4[[#This Row],[DataQuality_Score]]</f>
        <v>0.72545840752820956</v>
      </c>
      <c r="H4"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4" s="27" t="str">
        <f>Table4[[#This Row],[LoA - Metric]]&amp; ", " &amp;Table4[[#This Row],[ES - Metric]]</f>
        <v>High agreement, Medium evidence</v>
      </c>
      <c r="J4" s="222">
        <f>(Table4[[#This Row],[LoA_SCORE]]+Table4[[#This Row],[ES_SCORE]])/100</f>
        <v>0.72545840752820956</v>
      </c>
      <c r="K4"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4"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4" s="179">
        <f>Table4[[#This Row],[probability_average]]</f>
        <v>4.4000000000000004</v>
      </c>
      <c r="N4" s="181">
        <f>Table4[[#This Row],[consequence_average]]</f>
        <v>9.4</v>
      </c>
      <c r="O4" s="220">
        <f>Table4[[#This Row],[agreementPCT_score]]+Table4[[#This Row],[agreement_dist_score]]+Table4[[#This Row],[LoA_AQ_score]]</f>
        <v>44.666666666666664</v>
      </c>
      <c r="P4" s="203">
        <f>Table4[[#This Row],[evidenceconsistency_score]]+Table4[[#This Row],[EQ_score]]+Table4[[#This Row],[EA_score]]+Table4[[#This Row],[ET_score]]</f>
        <v>27.879174086154286</v>
      </c>
      <c r="Q4" s="181">
        <f>VLOOKUP(Table4[[#This Row],[risk_id]],Table3[],10,FALSE)</f>
        <v>9.4</v>
      </c>
      <c r="R4" s="181">
        <f>VLOOKUP(Table4[[#This Row],[risk_id]],Table3[],9,FALSE)</f>
        <v>47</v>
      </c>
      <c r="S4" s="179">
        <f>VLOOKUP(Table4[[#This Row],[risk_id]],Table3[],7,FALSE)</f>
        <v>4.4000000000000004</v>
      </c>
      <c r="T4" s="179">
        <f>VLOOKUP(Table4[[#This Row],[risk_id]],Table3[],6,FALSE)</f>
        <v>22</v>
      </c>
      <c r="U4" s="177">
        <f t="shared" si="1"/>
        <v>12.5</v>
      </c>
      <c r="V4" s="187">
        <f>10</f>
        <v>10</v>
      </c>
      <c r="W4" s="187">
        <f>30</f>
        <v>30</v>
      </c>
      <c r="X4" s="17">
        <f>VLOOKUP(Table4[[#This Row],[risk_id]],Table3[],5,FALSE)</f>
        <v>5</v>
      </c>
      <c r="Y4" s="17">
        <f>94</f>
        <v>94</v>
      </c>
      <c r="Z4" s="177">
        <f>Table4[[#This Row],[EStype_summed]]*Table4[[#This Row],[Indicator_12.5pct]]</f>
        <v>9.375</v>
      </c>
      <c r="AA4" s="190">
        <f>(IF(Table4[[#This Row],[all_evtype]]&gt;=4,"4", IF(Table4[[#This Row],[all_evtype]]&gt;=3,"3", IF(Table4[[#This Row],[all_evtype]]&gt;=2,"2", IF(Table4[[#This Row],[all_evtype]]&gt;=1,"1","0")))))/Table4[[#This Row],[HPS_et]]</f>
        <v>0.75</v>
      </c>
      <c r="AB4" s="191">
        <f>VLOOKUP(Table4[[#This Row],[risk_id]],Table3[], 14, FALSE)</f>
        <v>1</v>
      </c>
      <c r="AC4" s="191">
        <f>VLOOKUP(Table4[[#This Row],[risk_id]],Table3[], 15, FALSE)</f>
        <v>3</v>
      </c>
      <c r="AD4" s="191">
        <f>VLOOKUP(Table4[[#This Row],[risk_id]], Table3[], 16, FALSE)</f>
        <v>1</v>
      </c>
      <c r="AE4" s="191">
        <f>VLOOKUP(Table4[[#This Row],[risk_id]], Table3[], 17, )</f>
        <v>0</v>
      </c>
      <c r="AF4" s="191">
        <f>4</f>
        <v>4</v>
      </c>
      <c r="AG4" s="191">
        <f>COUNTIF(Table4[[#This Row],[THEO]:[MOD]], "&gt;=1")</f>
        <v>3</v>
      </c>
      <c r="AH4" s="192">
        <f>Table4[[#This Row],[data_observations]]/Table4[[#This Row],[AllObservations_count]]</f>
        <v>5.3191489361702128E-2</v>
      </c>
      <c r="AI4" s="189">
        <f>Table4[[#This Row],[evidenceamount_pct]]*(Table4[[#This Row],[Indicator_12.5pct]])</f>
        <v>0.66489361702127658</v>
      </c>
      <c r="AJ4" s="198">
        <f>(1-(VLOOKUP(Table4[[#This Row],[risk_id]],Table3[],18, FALSE))/(Table4[[#This Row],[data_observations]]))</f>
        <v>0.8</v>
      </c>
      <c r="AK4" s="198">
        <f>((VLOOKUP(Table4[[#This Row],[risk_id]],Table3[],19, FALSE))+((VLOOKUP(Table4[[#This Row],[risk_id]],Table3[],36, FALSE))*0.5))/(Table4[[#This Row],[data_observations]])</f>
        <v>0.6</v>
      </c>
      <c r="AL4" s="177">
        <f>((Table4[[#This Row],[ev_data_deficient_score]]*0.5)+(Table4[[#This Row],[ev_data_availability_score]]*0.5))*(Table4[[#This Row],[Indicator_12.5pct]])</f>
        <v>8.75</v>
      </c>
      <c r="AM4" s="199">
        <f>Table4[[#This Row],[RiskScore]]</f>
        <v>41.360000000000007</v>
      </c>
      <c r="AN4" s="200">
        <f>VLOOKUP(Table4[[#This Row],[risk_id]], Table3[], 13, FALSE)</f>
        <v>11.285388783732708</v>
      </c>
      <c r="AO4" s="185">
        <f>(1-(Table4[[#This Row],[evidence_SD_RR]]/Table4[[#This Row],[evidence_mean_RR]]))*(Table4[[#This Row],[Indicator_12.5pct]])</f>
        <v>9.0892804691330067</v>
      </c>
      <c r="AP4" s="201">
        <f>VLOOKUP(Table4[[#This Row],[risk_id]],Table3[],21, FALSE)</f>
        <v>0.8</v>
      </c>
      <c r="AQ4" s="201">
        <f>VLOOKUP(Table4[[#This Row],[risk_id]],Table3[],23, FALSE)</f>
        <v>0</v>
      </c>
      <c r="AR4" s="201">
        <f>VLOOKUP(Table4[[#This Row],[risk_id]],Table3[],25, FALSE)</f>
        <v>0.2</v>
      </c>
      <c r="AS4" s="201">
        <f>VLOOKUP(Table4[[#This Row],[risk_id]],Table3[],27, FALSE)</f>
        <v>0</v>
      </c>
      <c r="AT4" s="183">
        <f>(MAX(Table4[[#This Row],[C]:[U]]))*Table4[[#This Row],[Indicator_20pct]]</f>
        <v>8</v>
      </c>
      <c r="AU4" s="205">
        <f>COUNTIFS(Table4[[#This Row],[C]], "&gt;0", Table4[[#This Row],[U]], "&gt;0") + COUNTIFS(Table4[[#This Row],[H]], "&gt;0", Table4[[#This Row],[U]], "&gt;0") + COUNTIFS(Table4[[#This Row],[C]], "&gt;0", Table4[[#This Row],[M]], "&gt;0")</f>
        <v>1</v>
      </c>
      <c r="AV4" s="219">
        <f>((-(Table4[[#This Row],[different_scores_count]]-3))/3)*Table4[[#This Row],[Indicator_20pct]]</f>
        <v>6.6666666666666661</v>
      </c>
      <c r="AW4" s="183">
        <f>IF(Table4[[#This Row],[data_observations]]&gt;=5, 30, IF(Table4[[#This Row],[data_observations]]&gt;=3, 15, 0))</f>
        <v>30</v>
      </c>
      <c r="AX4" s="26" t="s">
        <v>2737</v>
      </c>
    </row>
    <row r="5" spans="1:50" ht="32" hidden="1" customHeight="1" x14ac:dyDescent="0.2">
      <c r="A5" s="16" t="s">
        <v>615</v>
      </c>
      <c r="B5" s="16" t="str">
        <f>VLOOKUP(Table4[[#This Row],[risk_id]], Table3[], 35, FALSE)</f>
        <v>Risk</v>
      </c>
      <c r="C5" s="16" t="str">
        <f>VLOOKUP(Table4[[#This Row],[risk_id]], Table3[], 2, FALSE)</f>
        <v>Social</v>
      </c>
      <c r="D5" s="15" t="str">
        <f>VLOOKUP(Table4[[#This Row],[risk_id]], Table3[], 3, FALSE)</f>
        <v>Socioeconomic impacts on indigenous peoples</v>
      </c>
      <c r="E5"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VERY HIGH</v>
      </c>
      <c r="F5" s="300">
        <f t="shared" si="0"/>
        <v>38.25</v>
      </c>
      <c r="G5" s="31">
        <f>Table4[[#This Row],[DataQuality_Score]]</f>
        <v>0.37886463982756224</v>
      </c>
      <c r="H5"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LOW</v>
      </c>
      <c r="I5" s="27" t="str">
        <f>Table4[[#This Row],[LoA - Metric]]&amp; ", " &amp;Table4[[#This Row],[ES - Metric]]</f>
        <v>Low agreement, Medium evidence</v>
      </c>
      <c r="J5" s="222">
        <f>(Table4[[#This Row],[LoA_SCORE]]+Table4[[#This Row],[ES_SCORE]])/100</f>
        <v>0.37886463982756224</v>
      </c>
      <c r="K5"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5"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5" s="179">
        <f>Table4[[#This Row],[probability_average]]</f>
        <v>4.5</v>
      </c>
      <c r="N5" s="181">
        <f>Table4[[#This Row],[consequence_average]]</f>
        <v>8.5</v>
      </c>
      <c r="O5" s="220">
        <f>Table4[[#This Row],[agreementPCT_score]]+Table4[[#This Row],[agreement_dist_score]]+Table4[[#This Row],[LoA_AQ_score]]</f>
        <v>15</v>
      </c>
      <c r="P5" s="203">
        <f>Table4[[#This Row],[evidenceconsistency_score]]+Table4[[#This Row],[EQ_score]]+Table4[[#This Row],[EA_score]]+Table4[[#This Row],[ET_score]]</f>
        <v>22.886463982756222</v>
      </c>
      <c r="Q5" s="181">
        <f>VLOOKUP(Table4[[#This Row],[risk_id]],Table3[],10,FALSE)</f>
        <v>8.5</v>
      </c>
      <c r="R5" s="181">
        <f>VLOOKUP(Table4[[#This Row],[risk_id]],Table3[],9,FALSE)</f>
        <v>17</v>
      </c>
      <c r="S5" s="179">
        <f>VLOOKUP(Table4[[#This Row],[risk_id]],Table3[],7,FALSE)</f>
        <v>4.5</v>
      </c>
      <c r="T5" s="179">
        <f>VLOOKUP(Table4[[#This Row],[risk_id]],Table3[],6,FALSE)</f>
        <v>9</v>
      </c>
      <c r="U5" s="177">
        <f t="shared" si="1"/>
        <v>12.5</v>
      </c>
      <c r="V5" s="187">
        <f>10</f>
        <v>10</v>
      </c>
      <c r="W5" s="187">
        <f>30</f>
        <v>30</v>
      </c>
      <c r="X5" s="17">
        <f>VLOOKUP(Table4[[#This Row],[risk_id]],Table3[],5,FALSE)</f>
        <v>2</v>
      </c>
      <c r="Y5" s="17">
        <f>94</f>
        <v>94</v>
      </c>
      <c r="Z5" s="177">
        <f>Table4[[#This Row],[EStype_summed]]*Table4[[#This Row],[Indicator_12.5pct]]</f>
        <v>6.25</v>
      </c>
      <c r="AA5" s="190">
        <f>(IF(Table4[[#This Row],[all_evtype]]&gt;=4,"4", IF(Table4[[#This Row],[all_evtype]]&gt;=3,"3", IF(Table4[[#This Row],[all_evtype]]&gt;=2,"2", IF(Table4[[#This Row],[all_evtype]]&gt;=1,"1","0")))))/Table4[[#This Row],[HPS_et]]</f>
        <v>0.5</v>
      </c>
      <c r="AB5" s="191">
        <f>VLOOKUP(Table4[[#This Row],[risk_id]],Table3[], 14, FALSE)</f>
        <v>1</v>
      </c>
      <c r="AC5" s="191">
        <f>VLOOKUP(Table4[[#This Row],[risk_id]],Table3[], 15, FALSE)</f>
        <v>1</v>
      </c>
      <c r="AD5" s="191">
        <f>VLOOKUP(Table4[[#This Row],[risk_id]], Table3[], 16, FALSE)</f>
        <v>0</v>
      </c>
      <c r="AE5" s="191">
        <f>VLOOKUP(Table4[[#This Row],[risk_id]], Table3[], 17, )</f>
        <v>0</v>
      </c>
      <c r="AF5" s="191">
        <f>4</f>
        <v>4</v>
      </c>
      <c r="AG5" s="191">
        <f>COUNTIF(Table4[[#This Row],[THEO]:[MOD]], "&gt;=1")</f>
        <v>2</v>
      </c>
      <c r="AH5" s="192">
        <f>Table4[[#This Row],[data_observations]]/Table4[[#This Row],[AllObservations_count]]</f>
        <v>2.1276595744680851E-2</v>
      </c>
      <c r="AI5" s="189">
        <f>Table4[[#This Row],[evidenceamount_pct]]*(Table4[[#This Row],[Indicator_12.5pct]])</f>
        <v>0.26595744680851063</v>
      </c>
      <c r="AJ5" s="198">
        <f>(1-(VLOOKUP(Table4[[#This Row],[risk_id]],Table3[],18, FALSE))/(Table4[[#This Row],[data_observations]]))</f>
        <v>0.5</v>
      </c>
      <c r="AK5" s="198">
        <f>((VLOOKUP(Table4[[#This Row],[risk_id]],Table3[],19, FALSE))+((VLOOKUP(Table4[[#This Row],[risk_id]],Table3[],36, FALSE))*0.5))/(Table4[[#This Row],[data_observations]])</f>
        <v>0.25</v>
      </c>
      <c r="AL5" s="177">
        <f>((Table4[[#This Row],[ev_data_deficient_score]]*0.5)+(Table4[[#This Row],[ev_data_availability_score]]*0.5))*(Table4[[#This Row],[Indicator_12.5pct]])</f>
        <v>4.6875</v>
      </c>
      <c r="AM5" s="199">
        <f>Table4[[#This Row],[RiskScore]]</f>
        <v>38.25</v>
      </c>
      <c r="AN5" s="200">
        <f>VLOOKUP(Table4[[#This Row],[risk_id]], Table3[], 13, FALSE)</f>
        <v>2.5</v>
      </c>
      <c r="AO5" s="185">
        <f>(1-(Table4[[#This Row],[evidence_SD_RR]]/Table4[[#This Row],[evidence_mean_RR]]))*(Table4[[#This Row],[Indicator_12.5pct]])</f>
        <v>11.683006535947712</v>
      </c>
      <c r="AP5" s="201">
        <f>VLOOKUP(Table4[[#This Row],[risk_id]],Table3[],21, FALSE)</f>
        <v>0.5</v>
      </c>
      <c r="AQ5" s="201">
        <f>VLOOKUP(Table4[[#This Row],[risk_id]],Table3[],23, FALSE)</f>
        <v>0.5</v>
      </c>
      <c r="AR5" s="201">
        <f>VLOOKUP(Table4[[#This Row],[risk_id]],Table3[],25, FALSE)</f>
        <v>0</v>
      </c>
      <c r="AS5" s="201">
        <f>VLOOKUP(Table4[[#This Row],[risk_id]],Table3[],27, FALSE)</f>
        <v>0</v>
      </c>
      <c r="AT5" s="183">
        <f>(MAX(Table4[[#This Row],[C]:[U]]))*Table4[[#This Row],[Indicator_20pct]]</f>
        <v>5</v>
      </c>
      <c r="AU5" s="205">
        <f>COUNTIFS(Table4[[#This Row],[C]], "&gt;0", Table4[[#This Row],[U]], "&gt;0") + COUNTIFS(Table4[[#This Row],[H]], "&gt;0", Table4[[#This Row],[U]], "&gt;0") + COUNTIFS(Table4[[#This Row],[C]], "&gt;0", Table4[[#This Row],[M]], "&gt;0")</f>
        <v>0</v>
      </c>
      <c r="AV5" s="219">
        <f>((-(Table4[[#This Row],[different_scores_count]]-3))/3)*Table4[[#This Row],[Indicator_20pct]]</f>
        <v>10</v>
      </c>
      <c r="AW5" s="183">
        <f>IF(Table4[[#This Row],[data_observations]]&gt;=5, 30, IF(Table4[[#This Row],[data_observations]]&gt;=3, 15, 0))</f>
        <v>0</v>
      </c>
      <c r="AX5" s="26" t="s">
        <v>2736</v>
      </c>
    </row>
    <row r="6" spans="1:50" ht="32" customHeight="1" x14ac:dyDescent="0.2">
      <c r="A6" s="16" t="s">
        <v>2699</v>
      </c>
      <c r="B6" s="16" t="str">
        <f>VLOOKUP(Table4[[#This Row],[risk_id]], Table3[], 35, FALSE)</f>
        <v>Hazard</v>
      </c>
      <c r="C6" s="16" t="str">
        <f>VLOOKUP(Table4[[#This Row],[risk_id]], Table3[], 2, FALSE)</f>
        <v>Sea Ice</v>
      </c>
      <c r="D6" s="15" t="str">
        <f>VLOOKUP(Table4[[#This Row],[risk_id]], Table3[], 3, FALSE)</f>
        <v>Multi-year sea ice</v>
      </c>
      <c r="E6"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VERY HIGH</v>
      </c>
      <c r="F6" s="300">
        <f t="shared" si="0"/>
        <v>36.307692307692307</v>
      </c>
      <c r="G6" s="31">
        <f>Table4[[#This Row],[DataQuality_Score]]</f>
        <v>0.80543997883080554</v>
      </c>
      <c r="H6"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VERY HIGH</v>
      </c>
      <c r="I6" s="27" t="str">
        <f>Table4[[#This Row],[LoA - Metric]]&amp; ", " &amp;Table4[[#This Row],[ES - Metric]]</f>
        <v>High agreement, Robust evidence</v>
      </c>
      <c r="J6" s="222">
        <f>(Table4[[#This Row],[LoA_SCORE]]+Table4[[#This Row],[ES_SCORE]])/100</f>
        <v>0.80543997883080554</v>
      </c>
      <c r="K6"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6"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Robust evidence</v>
      </c>
      <c r="M6" s="179">
        <f>Table4[[#This Row],[probability_average]]</f>
        <v>4</v>
      </c>
      <c r="N6" s="181">
        <f>Table4[[#This Row],[consequence_average]]</f>
        <v>9.0769230769230766</v>
      </c>
      <c r="O6" s="220">
        <f>Table4[[#This Row],[agreementPCT_score]]+Table4[[#This Row],[agreement_dist_score]]+Table4[[#This Row],[LoA_AQ_score]]</f>
        <v>45.384615384615387</v>
      </c>
      <c r="P6" s="203">
        <f>Table4[[#This Row],[evidenceconsistency_score]]+Table4[[#This Row],[EQ_score]]+Table4[[#This Row],[EA_score]]+Table4[[#This Row],[ET_score]]</f>
        <v>35.159382498465156</v>
      </c>
      <c r="Q6" s="181">
        <f>VLOOKUP(Table4[[#This Row],[risk_id]],Table3[],10,FALSE)</f>
        <v>9.0769230769230766</v>
      </c>
      <c r="R6" s="181">
        <f>VLOOKUP(Table4[[#This Row],[risk_id]],Table3[],9,FALSE)</f>
        <v>118</v>
      </c>
      <c r="S6" s="179">
        <f>VLOOKUP(Table4[[#This Row],[risk_id]],Table3[],7,FALSE)</f>
        <v>4</v>
      </c>
      <c r="T6" s="179">
        <f>VLOOKUP(Table4[[#This Row],[risk_id]],Table3[],6,FALSE)</f>
        <v>52</v>
      </c>
      <c r="U6" s="177">
        <f t="shared" si="1"/>
        <v>12.5</v>
      </c>
      <c r="V6" s="187">
        <f>10</f>
        <v>10</v>
      </c>
      <c r="W6" s="187">
        <f>30</f>
        <v>30</v>
      </c>
      <c r="X6" s="17">
        <f>VLOOKUP(Table4[[#This Row],[risk_id]],Table3[],5,FALSE)</f>
        <v>13</v>
      </c>
      <c r="Y6" s="17">
        <f>94</f>
        <v>94</v>
      </c>
      <c r="Z6" s="177">
        <f>Table4[[#This Row],[EStype_summed]]*Table4[[#This Row],[Indicator_12.5pct]]</f>
        <v>12.5</v>
      </c>
      <c r="AA6" s="190">
        <f>(IF(Table4[[#This Row],[all_evtype]]&gt;=4,"4", IF(Table4[[#This Row],[all_evtype]]&gt;=3,"3", IF(Table4[[#This Row],[all_evtype]]&gt;=2,"2", IF(Table4[[#This Row],[all_evtype]]&gt;=1,"1","0")))))/Table4[[#This Row],[HPS_et]]</f>
        <v>1</v>
      </c>
      <c r="AB6" s="191">
        <f>VLOOKUP(Table4[[#This Row],[risk_id]],Table3[], 14, FALSE)</f>
        <v>1</v>
      </c>
      <c r="AC6" s="191">
        <f>VLOOKUP(Table4[[#This Row],[risk_id]],Table3[], 15, FALSE)</f>
        <v>9</v>
      </c>
      <c r="AD6" s="191">
        <f>VLOOKUP(Table4[[#This Row],[risk_id]], Table3[], 16, FALSE)</f>
        <v>1</v>
      </c>
      <c r="AE6" s="191">
        <f>VLOOKUP(Table4[[#This Row],[risk_id]], Table3[], 17, )</f>
        <v>2</v>
      </c>
      <c r="AF6" s="191">
        <f>4</f>
        <v>4</v>
      </c>
      <c r="AG6" s="191">
        <f>COUNTIF(Table4[[#This Row],[THEO]:[MOD]], "&gt;=1")</f>
        <v>4</v>
      </c>
      <c r="AH6" s="192">
        <f>Table4[[#This Row],[data_observations]]/Table4[[#This Row],[AllObservations_count]]</f>
        <v>0.13829787234042554</v>
      </c>
      <c r="AI6" s="189">
        <f>Table4[[#This Row],[evidenceamount_pct]]*(Table4[[#This Row],[Indicator_12.5pct]])</f>
        <v>1.7287234042553192</v>
      </c>
      <c r="AJ6" s="198">
        <f>(1-(VLOOKUP(Table4[[#This Row],[risk_id]],Table3[],18, FALSE))/(Table4[[#This Row],[data_observations]]))</f>
        <v>1</v>
      </c>
      <c r="AK6" s="198">
        <f>((VLOOKUP(Table4[[#This Row],[risk_id]],Table3[],19, FALSE))+((VLOOKUP(Table4[[#This Row],[risk_id]],Table3[],36, FALSE))*0.5))/(Table4[[#This Row],[data_observations]])</f>
        <v>0.76923076923076927</v>
      </c>
      <c r="AL6" s="177">
        <f>((Table4[[#This Row],[ev_data_deficient_score]]*0.5)+(Table4[[#This Row],[ev_data_availability_score]]*0.5))*(Table4[[#This Row],[Indicator_12.5pct]])</f>
        <v>11.057692307692307</v>
      </c>
      <c r="AM6" s="199">
        <f>Table4[[#This Row],[RiskScore]]</f>
        <v>36.307692307692307</v>
      </c>
      <c r="AN6" s="200">
        <f>VLOOKUP(Table4[[#This Row],[risk_id]], Table3[], 13, FALSE)</f>
        <v>7.6305210877767662</v>
      </c>
      <c r="AO6" s="185">
        <f>(1-(Table4[[#This Row],[evidence_SD_RR]]/Table4[[#This Row],[evidence_mean_RR]]))*(Table4[[#This Row],[Indicator_12.5pct]])</f>
        <v>9.8729667865175319</v>
      </c>
      <c r="AP6" s="201">
        <f>VLOOKUP(Table4[[#This Row],[risk_id]],Table3[],21, FALSE)</f>
        <v>0.46153846153846156</v>
      </c>
      <c r="AQ6" s="201">
        <f>VLOOKUP(Table4[[#This Row],[risk_id]],Table3[],23, FALSE)</f>
        <v>0.53846153846153844</v>
      </c>
      <c r="AR6" s="201">
        <f>VLOOKUP(Table4[[#This Row],[risk_id]],Table3[],25, FALSE)</f>
        <v>0</v>
      </c>
      <c r="AS6" s="201">
        <f>VLOOKUP(Table4[[#This Row],[risk_id]],Table3[],27, FALSE)</f>
        <v>0</v>
      </c>
      <c r="AT6" s="183">
        <f>(MAX(Table4[[#This Row],[C]:[U]]))*Table4[[#This Row],[Indicator_20pct]]</f>
        <v>5.3846153846153841</v>
      </c>
      <c r="AU6" s="205">
        <f>COUNTIFS(Table4[[#This Row],[C]], "&gt;0", Table4[[#This Row],[U]], "&gt;0") + COUNTIFS(Table4[[#This Row],[H]], "&gt;0", Table4[[#This Row],[U]], "&gt;0") + COUNTIFS(Table4[[#This Row],[C]], "&gt;0", Table4[[#This Row],[M]], "&gt;0")</f>
        <v>0</v>
      </c>
      <c r="AV6" s="219">
        <f>((-(Table4[[#This Row],[different_scores_count]]-3))/3)*Table4[[#This Row],[Indicator_20pct]]</f>
        <v>10</v>
      </c>
      <c r="AW6" s="183">
        <f>IF(Table4[[#This Row],[data_observations]]&gt;=5, 30, IF(Table4[[#This Row],[data_observations]]&gt;=3, 15, 0))</f>
        <v>30</v>
      </c>
      <c r="AX6" s="26" t="s">
        <v>2737</v>
      </c>
    </row>
    <row r="7" spans="1:50" ht="32" customHeight="1" x14ac:dyDescent="0.2">
      <c r="A7" s="16" t="s">
        <v>2660</v>
      </c>
      <c r="B7" s="16" t="str">
        <f>VLOOKUP(Table4[[#This Row],[risk_id]], Table3[], 35, FALSE)</f>
        <v>Hazard</v>
      </c>
      <c r="C7" s="16" t="str">
        <f>VLOOKUP(Table4[[#This Row],[risk_id]], Table3[], 2, FALSE)</f>
        <v>Pollutants</v>
      </c>
      <c r="D7" s="15" t="str">
        <f>VLOOKUP(Table4[[#This Row],[risk_id]], Table3[], 3, FALSE)</f>
        <v>Air emissions (generalized)</v>
      </c>
      <c r="E7"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7" s="300">
        <f t="shared" si="0"/>
        <v>35.537190082644635</v>
      </c>
      <c r="G7" s="31">
        <f>Table4[[#This Row],[DataQuality_Score]]</f>
        <v>0.80088326496493834</v>
      </c>
      <c r="H7"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VERY HIGH</v>
      </c>
      <c r="I7" s="27" t="str">
        <f>Table4[[#This Row],[LoA - Metric]]&amp; ", " &amp;Table4[[#This Row],[ES - Metric]]</f>
        <v>High agreement, Medium evidence</v>
      </c>
      <c r="J7" s="222">
        <f>(Table4[[#This Row],[LoA_SCORE]]+Table4[[#This Row],[ES_SCORE]])/100</f>
        <v>0.80088326496493834</v>
      </c>
      <c r="K7"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7"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7" s="179">
        <f>Table4[[#This Row],[probability_average]]</f>
        <v>4.5454545454545459</v>
      </c>
      <c r="N7" s="181">
        <f>Table4[[#This Row],[consequence_average]]</f>
        <v>7.8181818181818183</v>
      </c>
      <c r="O7" s="220">
        <f>Table4[[#This Row],[agreementPCT_score]]+Table4[[#This Row],[agreement_dist_score]]+Table4[[#This Row],[LoA_AQ_score]]</f>
        <v>47.272727272727273</v>
      </c>
      <c r="P7" s="203">
        <f>Table4[[#This Row],[evidenceconsistency_score]]+Table4[[#This Row],[EQ_score]]+Table4[[#This Row],[EA_score]]+Table4[[#This Row],[ET_score]]</f>
        <v>32.815599223766554</v>
      </c>
      <c r="Q7" s="181">
        <f>VLOOKUP(Table4[[#This Row],[risk_id]],Table3[],10,FALSE)</f>
        <v>7.8181818181818183</v>
      </c>
      <c r="R7" s="181">
        <f>VLOOKUP(Table4[[#This Row],[risk_id]],Table3[],9,FALSE)</f>
        <v>86</v>
      </c>
      <c r="S7" s="179">
        <f>VLOOKUP(Table4[[#This Row],[risk_id]],Table3[],7,FALSE)</f>
        <v>4.5454545454545459</v>
      </c>
      <c r="T7" s="179">
        <f>VLOOKUP(Table4[[#This Row],[risk_id]],Table3[],6,FALSE)</f>
        <v>50</v>
      </c>
      <c r="U7" s="177">
        <f t="shared" si="1"/>
        <v>12.5</v>
      </c>
      <c r="V7" s="187">
        <f>10</f>
        <v>10</v>
      </c>
      <c r="W7" s="187">
        <f>30</f>
        <v>30</v>
      </c>
      <c r="X7" s="17">
        <f>VLOOKUP(Table4[[#This Row],[risk_id]],Table3[],5,FALSE)</f>
        <v>11</v>
      </c>
      <c r="Y7" s="17">
        <f>94</f>
        <v>94</v>
      </c>
      <c r="Z7" s="177">
        <f>Table4[[#This Row],[EStype_summed]]*Table4[[#This Row],[Indicator_12.5pct]]</f>
        <v>12.5</v>
      </c>
      <c r="AA7" s="190">
        <f>(IF(Table4[[#This Row],[all_evtype]]&gt;=4,"4", IF(Table4[[#This Row],[all_evtype]]&gt;=3,"3", IF(Table4[[#This Row],[all_evtype]]&gt;=2,"2", IF(Table4[[#This Row],[all_evtype]]&gt;=1,"1","0")))))/Table4[[#This Row],[HPS_et]]</f>
        <v>1</v>
      </c>
      <c r="AB7" s="191">
        <f>VLOOKUP(Table4[[#This Row],[risk_id]],Table3[], 14, FALSE)</f>
        <v>2</v>
      </c>
      <c r="AC7" s="191">
        <f>VLOOKUP(Table4[[#This Row],[risk_id]],Table3[], 15, FALSE)</f>
        <v>4</v>
      </c>
      <c r="AD7" s="191">
        <f>VLOOKUP(Table4[[#This Row],[risk_id]], Table3[], 16, FALSE)</f>
        <v>4</v>
      </c>
      <c r="AE7" s="191">
        <f>VLOOKUP(Table4[[#This Row],[risk_id]], Table3[], 17, )</f>
        <v>1</v>
      </c>
      <c r="AF7" s="191">
        <f>4</f>
        <v>4</v>
      </c>
      <c r="AG7" s="191">
        <f>COUNTIF(Table4[[#This Row],[THEO]:[MOD]], "&gt;=1")</f>
        <v>4</v>
      </c>
      <c r="AH7" s="192">
        <f>Table4[[#This Row],[data_observations]]/Table4[[#This Row],[AllObservations_count]]</f>
        <v>0.11702127659574468</v>
      </c>
      <c r="AI7" s="189">
        <f>Table4[[#This Row],[evidenceamount_pct]]*(Table4[[#This Row],[Indicator_12.5pct]])</f>
        <v>1.4627659574468086</v>
      </c>
      <c r="AJ7" s="198">
        <f>(1-(VLOOKUP(Table4[[#This Row],[risk_id]],Table3[],18, FALSE))/(Table4[[#This Row],[data_observations]]))</f>
        <v>0.81818181818181812</v>
      </c>
      <c r="AK7" s="198">
        <f>((VLOOKUP(Table4[[#This Row],[risk_id]],Table3[],19, FALSE))+((VLOOKUP(Table4[[#This Row],[risk_id]],Table3[],36, FALSE))*0.5))/(Table4[[#This Row],[data_observations]])</f>
        <v>0.63636363636363635</v>
      </c>
      <c r="AL7" s="177">
        <f>((Table4[[#This Row],[ev_data_deficient_score]]*0.5)+(Table4[[#This Row],[ev_data_availability_score]]*0.5))*(Table4[[#This Row],[Indicator_12.5pct]])</f>
        <v>9.0909090909090917</v>
      </c>
      <c r="AM7" s="199">
        <f>Table4[[#This Row],[RiskScore]]</f>
        <v>35.537190082644635</v>
      </c>
      <c r="AN7" s="200">
        <f>VLOOKUP(Table4[[#This Row],[risk_id]], Table3[], 13, FALSE)</f>
        <v>7.784281683130053</v>
      </c>
      <c r="AO7" s="185">
        <f>(1-(Table4[[#This Row],[evidence_SD_RR]]/Table4[[#This Row],[evidence_mean_RR]]))*(Table4[[#This Row],[Indicator_12.5pct]])</f>
        <v>9.7619241754106501</v>
      </c>
      <c r="AP7" s="201">
        <f>VLOOKUP(Table4[[#This Row],[risk_id]],Table3[],21, FALSE)</f>
        <v>0.27272727272727271</v>
      </c>
      <c r="AQ7" s="201">
        <f>VLOOKUP(Table4[[#This Row],[risk_id]],Table3[],23, FALSE)</f>
        <v>0.72727272727272729</v>
      </c>
      <c r="AR7" s="201">
        <f>VLOOKUP(Table4[[#This Row],[risk_id]],Table3[],25, FALSE)</f>
        <v>0</v>
      </c>
      <c r="AS7" s="201">
        <f>VLOOKUP(Table4[[#This Row],[risk_id]],Table3[],27, FALSE)</f>
        <v>0</v>
      </c>
      <c r="AT7" s="183">
        <f>(MAX(Table4[[#This Row],[C]:[U]]))*Table4[[#This Row],[Indicator_20pct]]</f>
        <v>7.2727272727272734</v>
      </c>
      <c r="AU7" s="205">
        <f>COUNTIFS(Table4[[#This Row],[C]], "&gt;0", Table4[[#This Row],[U]], "&gt;0") + COUNTIFS(Table4[[#This Row],[H]], "&gt;0", Table4[[#This Row],[U]], "&gt;0") + COUNTIFS(Table4[[#This Row],[C]], "&gt;0", Table4[[#This Row],[M]], "&gt;0")</f>
        <v>0</v>
      </c>
      <c r="AV7" s="219">
        <f>((-(Table4[[#This Row],[different_scores_count]]-3))/3)*Table4[[#This Row],[Indicator_20pct]]</f>
        <v>10</v>
      </c>
      <c r="AW7" s="183">
        <f>IF(Table4[[#This Row],[data_observations]]&gt;=5, 30, IF(Table4[[#This Row],[data_observations]]&gt;=3, 15, 0))</f>
        <v>30</v>
      </c>
      <c r="AX7" s="26" t="s">
        <v>2737</v>
      </c>
    </row>
    <row r="8" spans="1:50" ht="32" customHeight="1" x14ac:dyDescent="0.2">
      <c r="A8" s="16" t="s">
        <v>2682</v>
      </c>
      <c r="B8" s="16" t="str">
        <f>VLOOKUP(Table4[[#This Row],[risk_id]], Table3[], 35, FALSE)</f>
        <v>Hazard</v>
      </c>
      <c r="C8" s="16" t="str">
        <f>VLOOKUP(Table4[[#This Row],[risk_id]], Table3[], 2, FALSE)</f>
        <v>Pollutants</v>
      </c>
      <c r="D8" s="15" t="str">
        <f>VLOOKUP(Table4[[#This Row],[risk_id]], Table3[], 3, FALSE)</f>
        <v>HFO carriage and transport</v>
      </c>
      <c r="E8"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8" s="300">
        <f t="shared" si="0"/>
        <v>35</v>
      </c>
      <c r="G8" s="31">
        <f>Table4[[#This Row],[DataQuality_Score]]</f>
        <v>0.66135317187860243</v>
      </c>
      <c r="H8"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8" s="27" t="str">
        <f>Table4[[#This Row],[LoA - Metric]]&amp; ", " &amp;Table4[[#This Row],[ES - Metric]]</f>
        <v>High agreement, Medium evidence</v>
      </c>
      <c r="J8" s="222">
        <f>(Table4[[#This Row],[LoA_SCORE]]+Table4[[#This Row],[ES_SCORE]])/100</f>
        <v>0.66135317187860243</v>
      </c>
      <c r="K8"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8"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8" s="179">
        <f>Table4[[#This Row],[probability_average]]</f>
        <v>4.666666666666667</v>
      </c>
      <c r="N8" s="181">
        <f>Table4[[#This Row],[consequence_average]]</f>
        <v>7.5</v>
      </c>
      <c r="O8" s="220">
        <f>Table4[[#This Row],[agreementPCT_score]]+Table4[[#This Row],[agreement_dist_score]]+Table4[[#This Row],[LoA_AQ_score]]</f>
        <v>41.666666666666664</v>
      </c>
      <c r="P8" s="203">
        <f>Table4[[#This Row],[evidenceconsistency_score]]+Table4[[#This Row],[EQ_score]]+Table4[[#This Row],[EA_score]]+Table4[[#This Row],[ET_score]]</f>
        <v>24.46865052119357</v>
      </c>
      <c r="Q8" s="181">
        <f>VLOOKUP(Table4[[#This Row],[risk_id]],Table3[],10,FALSE)</f>
        <v>7.5</v>
      </c>
      <c r="R8" s="181">
        <f>VLOOKUP(Table4[[#This Row],[risk_id]],Table3[],9,FALSE)</f>
        <v>45</v>
      </c>
      <c r="S8" s="179">
        <f>VLOOKUP(Table4[[#This Row],[risk_id]],Table3[],7,FALSE)</f>
        <v>4.666666666666667</v>
      </c>
      <c r="T8" s="179">
        <f>VLOOKUP(Table4[[#This Row],[risk_id]],Table3[],6,FALSE)</f>
        <v>28</v>
      </c>
      <c r="U8" s="177">
        <f t="shared" si="1"/>
        <v>12.5</v>
      </c>
      <c r="V8" s="187">
        <f>10</f>
        <v>10</v>
      </c>
      <c r="W8" s="187">
        <f>30</f>
        <v>30</v>
      </c>
      <c r="X8" s="17">
        <f>VLOOKUP(Table4[[#This Row],[risk_id]],Table3[],5,FALSE)</f>
        <v>6</v>
      </c>
      <c r="Y8" s="17">
        <f>94</f>
        <v>94</v>
      </c>
      <c r="Z8" s="177">
        <f>Table4[[#This Row],[EStype_summed]]*Table4[[#This Row],[Indicator_12.5pct]]</f>
        <v>9.375</v>
      </c>
      <c r="AA8" s="190">
        <f>(IF(Table4[[#This Row],[all_evtype]]&gt;=4,"4", IF(Table4[[#This Row],[all_evtype]]&gt;=3,"3", IF(Table4[[#This Row],[all_evtype]]&gt;=2,"2", IF(Table4[[#This Row],[all_evtype]]&gt;=1,"1","0")))))/Table4[[#This Row],[HPS_et]]</f>
        <v>0.75</v>
      </c>
      <c r="AB8" s="191">
        <f>VLOOKUP(Table4[[#This Row],[risk_id]],Table3[], 14, FALSE)</f>
        <v>3</v>
      </c>
      <c r="AC8" s="191">
        <f>VLOOKUP(Table4[[#This Row],[risk_id]],Table3[], 15, FALSE)</f>
        <v>2</v>
      </c>
      <c r="AD8" s="191">
        <f>VLOOKUP(Table4[[#This Row],[risk_id]], Table3[], 16, FALSE)</f>
        <v>0</v>
      </c>
      <c r="AE8" s="191">
        <f>VLOOKUP(Table4[[#This Row],[risk_id]], Table3[], 17, )</f>
        <v>1</v>
      </c>
      <c r="AF8" s="191">
        <f>4</f>
        <v>4</v>
      </c>
      <c r="AG8" s="191">
        <f>COUNTIF(Table4[[#This Row],[THEO]:[MOD]], "&gt;=1")</f>
        <v>3</v>
      </c>
      <c r="AH8" s="192">
        <f>Table4[[#This Row],[data_observations]]/Table4[[#This Row],[AllObservations_count]]</f>
        <v>6.3829787234042548E-2</v>
      </c>
      <c r="AI8" s="189">
        <f>Table4[[#This Row],[evidenceamount_pct]]*(Table4[[#This Row],[Indicator_12.5pct]])</f>
        <v>0.7978723404255319</v>
      </c>
      <c r="AJ8" s="198">
        <f>(1-(VLOOKUP(Table4[[#This Row],[risk_id]],Table3[],18, FALSE))/(Table4[[#This Row],[data_observations]]))</f>
        <v>0.83333333333333337</v>
      </c>
      <c r="AK8" s="198">
        <f>((VLOOKUP(Table4[[#This Row],[risk_id]],Table3[],19, FALSE))+((VLOOKUP(Table4[[#This Row],[risk_id]],Table3[],36, FALSE))*0.5))/(Table4[[#This Row],[data_observations]])</f>
        <v>0.33333333333333331</v>
      </c>
      <c r="AL8" s="177">
        <f>((Table4[[#This Row],[ev_data_deficient_score]]*0.5)+(Table4[[#This Row],[ev_data_availability_score]]*0.5))*(Table4[[#This Row],[Indicator_12.5pct]])</f>
        <v>7.291666666666667</v>
      </c>
      <c r="AM8" s="199">
        <f>Table4[[#This Row],[RiskScore]]</f>
        <v>35</v>
      </c>
      <c r="AN8" s="200">
        <f>VLOOKUP(Table4[[#This Row],[risk_id]], Table3[], 13, FALSE)</f>
        <v>15.388487760516156</v>
      </c>
      <c r="AO8" s="185">
        <f>(1-(Table4[[#This Row],[evidence_SD_RR]]/Table4[[#This Row],[evidence_mean_RR]]))*(Table4[[#This Row],[Indicator_12.5pct]])</f>
        <v>7.004111514101373</v>
      </c>
      <c r="AP8" s="201">
        <f>VLOOKUP(Table4[[#This Row],[risk_id]],Table3[],21, FALSE)</f>
        <v>0.5</v>
      </c>
      <c r="AQ8" s="201">
        <f>VLOOKUP(Table4[[#This Row],[risk_id]],Table3[],23, FALSE)</f>
        <v>0.16666666666666666</v>
      </c>
      <c r="AR8" s="201">
        <f>VLOOKUP(Table4[[#This Row],[risk_id]],Table3[],25, FALSE)</f>
        <v>0.33333333333333331</v>
      </c>
      <c r="AS8" s="201">
        <f>VLOOKUP(Table4[[#This Row],[risk_id]],Table3[],27, FALSE)</f>
        <v>0</v>
      </c>
      <c r="AT8" s="183">
        <f>(MAX(Table4[[#This Row],[C]:[U]]))*Table4[[#This Row],[Indicator_20pct]]</f>
        <v>5</v>
      </c>
      <c r="AU8" s="205">
        <f>COUNTIFS(Table4[[#This Row],[C]], "&gt;0", Table4[[#This Row],[U]], "&gt;0") + COUNTIFS(Table4[[#This Row],[H]], "&gt;0", Table4[[#This Row],[U]], "&gt;0") + COUNTIFS(Table4[[#This Row],[C]], "&gt;0", Table4[[#This Row],[M]], "&gt;0")</f>
        <v>1</v>
      </c>
      <c r="AV8" s="219">
        <f>((-(Table4[[#This Row],[different_scores_count]]-3))/3)*Table4[[#This Row],[Indicator_20pct]]</f>
        <v>6.6666666666666661</v>
      </c>
      <c r="AW8" s="183">
        <f>IF(Table4[[#This Row],[data_observations]]&gt;=5, 30, IF(Table4[[#This Row],[data_observations]]&gt;=3, 15, 0))</f>
        <v>30</v>
      </c>
      <c r="AX8" s="26" t="s">
        <v>2737</v>
      </c>
    </row>
    <row r="9" spans="1:50" ht="32" customHeight="1" x14ac:dyDescent="0.2">
      <c r="A9" s="16" t="s">
        <v>2657</v>
      </c>
      <c r="B9" s="16" t="str">
        <f>VLOOKUP(Table4[[#This Row],[risk_id]], Table3[], 35, FALSE)</f>
        <v>Hazard</v>
      </c>
      <c r="C9" s="16" t="str">
        <f>VLOOKUP(Table4[[#This Row],[risk_id]], Table3[], 2, FALSE)</f>
        <v>Pollutants</v>
      </c>
      <c r="D9" s="15" t="str">
        <f>VLOOKUP(Table4[[#This Row],[risk_id]], Table3[], 3, FALSE)</f>
        <v>Above-water noise pollution</v>
      </c>
      <c r="E9"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9" s="300">
        <f t="shared" si="0"/>
        <v>35</v>
      </c>
      <c r="G9" s="31">
        <f>Table4[[#This Row],[DataQuality_Score]]</f>
        <v>0.46828457446808514</v>
      </c>
      <c r="H9"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9" s="27" t="str">
        <f>Table4[[#This Row],[LoA - Metric]]&amp; ", " &amp;Table4[[#This Row],[ES - Metric]]</f>
        <v>Medium agreement, Medium evidence</v>
      </c>
      <c r="J9" s="222">
        <f>(Table4[[#This Row],[LoA_SCORE]]+Table4[[#This Row],[ES_SCORE]])/100</f>
        <v>0.46828457446808514</v>
      </c>
      <c r="K9"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9"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9" s="179">
        <f>Table4[[#This Row],[probability_average]]</f>
        <v>5</v>
      </c>
      <c r="N9" s="181">
        <f>Table4[[#This Row],[consequence_average]]</f>
        <v>7</v>
      </c>
      <c r="O9" s="220">
        <f>Table4[[#This Row],[agreementPCT_score]]+Table4[[#This Row],[agreement_dist_score]]+Table4[[#This Row],[LoA_AQ_score]]</f>
        <v>20</v>
      </c>
      <c r="P9" s="203">
        <f>Table4[[#This Row],[evidenceconsistency_score]]+Table4[[#This Row],[EQ_score]]+Table4[[#This Row],[EA_score]]+Table4[[#This Row],[ET_score]]</f>
        <v>26.82845744680851</v>
      </c>
      <c r="Q9" s="181">
        <f>VLOOKUP(Table4[[#This Row],[risk_id]],Table3[],10,FALSE)</f>
        <v>7</v>
      </c>
      <c r="R9" s="181">
        <f>VLOOKUP(Table4[[#This Row],[risk_id]],Table3[],9,FALSE)</f>
        <v>14</v>
      </c>
      <c r="S9" s="179">
        <f>VLOOKUP(Table4[[#This Row],[risk_id]],Table3[],7,FALSE)</f>
        <v>5</v>
      </c>
      <c r="T9" s="179">
        <f>VLOOKUP(Table4[[#This Row],[risk_id]],Table3[],6,FALSE)</f>
        <v>10</v>
      </c>
      <c r="U9" s="177">
        <f t="shared" si="1"/>
        <v>12.5</v>
      </c>
      <c r="V9" s="187">
        <f>10</f>
        <v>10</v>
      </c>
      <c r="W9" s="187">
        <f>30</f>
        <v>30</v>
      </c>
      <c r="X9" s="17">
        <f>VLOOKUP(Table4[[#This Row],[risk_id]],Table3[],5,FALSE)</f>
        <v>2</v>
      </c>
      <c r="Y9" s="17">
        <f>94</f>
        <v>94</v>
      </c>
      <c r="Z9" s="177">
        <f>Table4[[#This Row],[EStype_summed]]*Table4[[#This Row],[Indicator_12.5pct]]</f>
        <v>6.25</v>
      </c>
      <c r="AA9" s="190">
        <f>(IF(Table4[[#This Row],[all_evtype]]&gt;=4,"4", IF(Table4[[#This Row],[all_evtype]]&gt;=3,"3", IF(Table4[[#This Row],[all_evtype]]&gt;=2,"2", IF(Table4[[#This Row],[all_evtype]]&gt;=1,"1","0")))))/Table4[[#This Row],[HPS_et]]</f>
        <v>0.5</v>
      </c>
      <c r="AB9" s="191">
        <f>VLOOKUP(Table4[[#This Row],[risk_id]],Table3[], 14, FALSE)</f>
        <v>0</v>
      </c>
      <c r="AC9" s="191">
        <f>VLOOKUP(Table4[[#This Row],[risk_id]],Table3[], 15, FALSE)</f>
        <v>1</v>
      </c>
      <c r="AD9" s="191">
        <f>VLOOKUP(Table4[[#This Row],[risk_id]], Table3[], 16, FALSE)</f>
        <v>0</v>
      </c>
      <c r="AE9" s="191">
        <f>VLOOKUP(Table4[[#This Row],[risk_id]], Table3[], 17, )</f>
        <v>1</v>
      </c>
      <c r="AF9" s="191">
        <f>4</f>
        <v>4</v>
      </c>
      <c r="AG9" s="191">
        <f>COUNTIF(Table4[[#This Row],[THEO]:[MOD]], "&gt;=1")</f>
        <v>2</v>
      </c>
      <c r="AH9" s="192">
        <f>Table4[[#This Row],[data_observations]]/Table4[[#This Row],[AllObservations_count]]</f>
        <v>2.1276595744680851E-2</v>
      </c>
      <c r="AI9" s="189">
        <f>Table4[[#This Row],[evidenceamount_pct]]*(Table4[[#This Row],[Indicator_12.5pct]])</f>
        <v>0.26595744680851063</v>
      </c>
      <c r="AJ9" s="198">
        <f>(1-(VLOOKUP(Table4[[#This Row],[risk_id]],Table3[],18, FALSE))/(Table4[[#This Row],[data_observations]]))</f>
        <v>0.5</v>
      </c>
      <c r="AK9" s="198">
        <f>((VLOOKUP(Table4[[#This Row],[risk_id]],Table3[],19, FALSE))+((VLOOKUP(Table4[[#This Row],[risk_id]],Table3[],36, FALSE))*0.5))/(Table4[[#This Row],[data_observations]])</f>
        <v>0.75</v>
      </c>
      <c r="AL9" s="177">
        <f>((Table4[[#This Row],[ev_data_deficient_score]]*0.5)+(Table4[[#This Row],[ev_data_availability_score]]*0.5))*(Table4[[#This Row],[Indicator_12.5pct]])</f>
        <v>7.8125</v>
      </c>
      <c r="AM9" s="199">
        <f>Table4[[#This Row],[RiskScore]]</f>
        <v>35</v>
      </c>
      <c r="AN9" s="200">
        <f>VLOOKUP(Table4[[#This Row],[risk_id]], Table3[], 13, FALSE)</f>
        <v>0</v>
      </c>
      <c r="AO9" s="185">
        <f>(1-(Table4[[#This Row],[evidence_SD_RR]]/Table4[[#This Row],[evidence_mean_RR]]))*(Table4[[#This Row],[Indicator_12.5pct]])</f>
        <v>12.5</v>
      </c>
      <c r="AP9" s="201">
        <f>VLOOKUP(Table4[[#This Row],[risk_id]],Table3[],21, FALSE)</f>
        <v>0</v>
      </c>
      <c r="AQ9" s="201">
        <f>VLOOKUP(Table4[[#This Row],[risk_id]],Table3[],23, FALSE)</f>
        <v>1</v>
      </c>
      <c r="AR9" s="201">
        <f>VLOOKUP(Table4[[#This Row],[risk_id]],Table3[],25, FALSE)</f>
        <v>0</v>
      </c>
      <c r="AS9" s="201">
        <f>VLOOKUP(Table4[[#This Row],[risk_id]],Table3[],27, FALSE)</f>
        <v>0</v>
      </c>
      <c r="AT9" s="183">
        <f>(MAX(Table4[[#This Row],[C]:[U]]))*Table4[[#This Row],[Indicator_20pct]]</f>
        <v>10</v>
      </c>
      <c r="AU9" s="205">
        <f>COUNTIFS(Table4[[#This Row],[C]], "&gt;0", Table4[[#This Row],[U]], "&gt;0") + COUNTIFS(Table4[[#This Row],[H]], "&gt;0", Table4[[#This Row],[U]], "&gt;0") + COUNTIFS(Table4[[#This Row],[C]], "&gt;0", Table4[[#This Row],[M]], "&gt;0")</f>
        <v>0</v>
      </c>
      <c r="AV9" s="219">
        <f>((-(Table4[[#This Row],[different_scores_count]]-3))/3)*Table4[[#This Row],[Indicator_20pct]]</f>
        <v>10</v>
      </c>
      <c r="AW9" s="183">
        <f>IF(Table4[[#This Row],[data_observations]]&gt;=5, 30, IF(Table4[[#This Row],[data_observations]]&gt;=3, 15, 0))</f>
        <v>0</v>
      </c>
      <c r="AX9" s="26" t="s">
        <v>2737</v>
      </c>
    </row>
    <row r="10" spans="1:50" ht="32" hidden="1" customHeight="1" x14ac:dyDescent="0.2">
      <c r="A10" s="16" t="s">
        <v>504</v>
      </c>
      <c r="B10" s="16" t="str">
        <f>VLOOKUP(Table4[[#This Row],[risk_id]], Table3[], 35, FALSE)</f>
        <v>Risk</v>
      </c>
      <c r="C10" s="16" t="str">
        <f>VLOOKUP(Table4[[#This Row],[risk_id]], Table3[], 2, FALSE)</f>
        <v>Community</v>
      </c>
      <c r="D10" s="15" t="str">
        <f>VLOOKUP(Table4[[#This Row],[risk_id]], Table3[], 3, FALSE)</f>
        <v>Cultural and archeological threat</v>
      </c>
      <c r="E10"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10" s="300">
        <f t="shared" si="0"/>
        <v>34.666666666666664</v>
      </c>
      <c r="G10" s="31">
        <f>Table4[[#This Row],[DataQuality_Score]]</f>
        <v>0.59457651347268037</v>
      </c>
      <c r="H10"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0" s="27" t="str">
        <f>Table4[[#This Row],[LoA - Metric]]&amp; ", " &amp;Table4[[#This Row],[ES - Metric]]</f>
        <v>Medium agreement, Medium evidence</v>
      </c>
      <c r="J10" s="222">
        <f>(Table4[[#This Row],[LoA_SCORE]]+Table4[[#This Row],[ES_SCORE]])/100</f>
        <v>0.59457651347268037</v>
      </c>
      <c r="K10"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0"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0" s="179">
        <f>Table4[[#This Row],[probability_average]]</f>
        <v>4.333333333333333</v>
      </c>
      <c r="N10" s="181">
        <f>Table4[[#This Row],[consequence_average]]</f>
        <v>8</v>
      </c>
      <c r="O10" s="220">
        <f>Table4[[#This Row],[agreementPCT_score]]+Table4[[#This Row],[agreement_dist_score]]+Table4[[#This Row],[LoA_AQ_score]]</f>
        <v>31.666666666666664</v>
      </c>
      <c r="P10" s="203">
        <f>Table4[[#This Row],[evidenceconsistency_score]]+Table4[[#This Row],[EQ_score]]+Table4[[#This Row],[EA_score]]+Table4[[#This Row],[ET_score]]</f>
        <v>27.79098468060138</v>
      </c>
      <c r="Q10" s="181">
        <f>VLOOKUP(Table4[[#This Row],[risk_id]],Table3[],10,FALSE)</f>
        <v>8</v>
      </c>
      <c r="R10" s="181">
        <f>VLOOKUP(Table4[[#This Row],[risk_id]],Table3[],9,FALSE)</f>
        <v>24</v>
      </c>
      <c r="S10" s="179">
        <f>VLOOKUP(Table4[[#This Row],[risk_id]],Table3[],7,FALSE)</f>
        <v>4.333333333333333</v>
      </c>
      <c r="T10" s="179">
        <f>VLOOKUP(Table4[[#This Row],[risk_id]],Table3[],6,FALSE)</f>
        <v>13</v>
      </c>
      <c r="U10" s="177">
        <f t="shared" si="1"/>
        <v>12.5</v>
      </c>
      <c r="V10" s="187">
        <f>10</f>
        <v>10</v>
      </c>
      <c r="W10" s="187">
        <f>30</f>
        <v>30</v>
      </c>
      <c r="X10" s="17">
        <f>VLOOKUP(Table4[[#This Row],[risk_id]],Table3[],5,FALSE)</f>
        <v>3</v>
      </c>
      <c r="Y10" s="17">
        <f>94</f>
        <v>94</v>
      </c>
      <c r="Z10" s="177">
        <f>Table4[[#This Row],[EStype_summed]]*Table4[[#This Row],[Indicator_12.5pct]]</f>
        <v>9.375</v>
      </c>
      <c r="AA10" s="190">
        <f>(IF(Table4[[#This Row],[all_evtype]]&gt;=4,"4", IF(Table4[[#This Row],[all_evtype]]&gt;=3,"3", IF(Table4[[#This Row],[all_evtype]]&gt;=2,"2", IF(Table4[[#This Row],[all_evtype]]&gt;=1,"1","0")))))/Table4[[#This Row],[HPS_et]]</f>
        <v>0.75</v>
      </c>
      <c r="AB10" s="191">
        <f>VLOOKUP(Table4[[#This Row],[risk_id]],Table3[], 14, FALSE)</f>
        <v>1</v>
      </c>
      <c r="AC10" s="191">
        <f>VLOOKUP(Table4[[#This Row],[risk_id]],Table3[], 15, FALSE)</f>
        <v>1</v>
      </c>
      <c r="AD10" s="191">
        <f>VLOOKUP(Table4[[#This Row],[risk_id]], Table3[], 16, FALSE)</f>
        <v>1</v>
      </c>
      <c r="AE10" s="191">
        <f>VLOOKUP(Table4[[#This Row],[risk_id]], Table3[], 17, )</f>
        <v>0</v>
      </c>
      <c r="AF10" s="191">
        <f>4</f>
        <v>4</v>
      </c>
      <c r="AG10" s="191">
        <f>COUNTIF(Table4[[#This Row],[THEO]:[MOD]], "&gt;=1")</f>
        <v>3</v>
      </c>
      <c r="AH10" s="192">
        <f>Table4[[#This Row],[data_observations]]/Table4[[#This Row],[AllObservations_count]]</f>
        <v>3.1914893617021274E-2</v>
      </c>
      <c r="AI10" s="189">
        <f>Table4[[#This Row],[evidenceamount_pct]]*(Table4[[#This Row],[Indicator_12.5pct]])</f>
        <v>0.39893617021276595</v>
      </c>
      <c r="AJ10" s="198">
        <f>(1-(VLOOKUP(Table4[[#This Row],[risk_id]],Table3[],18, FALSE))/(Table4[[#This Row],[data_observations]]))</f>
        <v>0.66666666666666674</v>
      </c>
      <c r="AK10" s="198">
        <f>((VLOOKUP(Table4[[#This Row],[risk_id]],Table3[],19, FALSE))+((VLOOKUP(Table4[[#This Row],[risk_id]],Table3[],36, FALSE))*0.5))/(Table4[[#This Row],[data_observations]])</f>
        <v>0.5</v>
      </c>
      <c r="AL10" s="177">
        <f>((Table4[[#This Row],[ev_data_deficient_score]]*0.5)+(Table4[[#This Row],[ev_data_availability_score]]*0.5))*(Table4[[#This Row],[Indicator_12.5pct]])</f>
        <v>7.291666666666667</v>
      </c>
      <c r="AM10" s="199">
        <f>Table4[[#This Row],[RiskScore]]</f>
        <v>34.666666666666664</v>
      </c>
      <c r="AN10" s="200">
        <f>VLOOKUP(Table4[[#This Row],[risk_id]], Table3[], 13, FALSE)</f>
        <v>4.9216076867444665</v>
      </c>
      <c r="AO10" s="185">
        <f>(1-(Table4[[#This Row],[evidence_SD_RR]]/Table4[[#This Row],[evidence_mean_RR]]))*(Table4[[#This Row],[Indicator_12.5pct]])</f>
        <v>10.725381843721946</v>
      </c>
      <c r="AP10" s="201">
        <f>VLOOKUP(Table4[[#This Row],[risk_id]],Table3[],21, FALSE)</f>
        <v>0.33333333333333331</v>
      </c>
      <c r="AQ10" s="201">
        <f>VLOOKUP(Table4[[#This Row],[risk_id]],Table3[],23, FALSE)</f>
        <v>0.66666666666666663</v>
      </c>
      <c r="AR10" s="201">
        <f>VLOOKUP(Table4[[#This Row],[risk_id]],Table3[],25, FALSE)</f>
        <v>0</v>
      </c>
      <c r="AS10" s="201">
        <f>VLOOKUP(Table4[[#This Row],[risk_id]],Table3[],27, FALSE)</f>
        <v>0</v>
      </c>
      <c r="AT10" s="183">
        <f>(MAX(Table4[[#This Row],[C]:[U]]))*Table4[[#This Row],[Indicator_20pct]]</f>
        <v>6.6666666666666661</v>
      </c>
      <c r="AU10" s="205">
        <f>COUNTIFS(Table4[[#This Row],[C]], "&gt;0", Table4[[#This Row],[U]], "&gt;0") + COUNTIFS(Table4[[#This Row],[H]], "&gt;0", Table4[[#This Row],[U]], "&gt;0") + COUNTIFS(Table4[[#This Row],[C]], "&gt;0", Table4[[#This Row],[M]], "&gt;0")</f>
        <v>0</v>
      </c>
      <c r="AV10" s="219">
        <f>((-(Table4[[#This Row],[different_scores_count]]-3))/3)*Table4[[#This Row],[Indicator_20pct]]</f>
        <v>10</v>
      </c>
      <c r="AW10" s="183">
        <f>IF(Table4[[#This Row],[data_observations]]&gt;=5, 30, IF(Table4[[#This Row],[data_observations]]&gt;=3, 15, 0))</f>
        <v>15</v>
      </c>
      <c r="AX10" s="26" t="s">
        <v>2736</v>
      </c>
    </row>
    <row r="11" spans="1:50" ht="32" hidden="1" customHeight="1" x14ac:dyDescent="0.2">
      <c r="A11" s="16" t="s">
        <v>550</v>
      </c>
      <c r="B11" s="16" t="str">
        <f>VLOOKUP(Table4[[#This Row],[risk_id]], Table3[], 35, FALSE)</f>
        <v>Risk</v>
      </c>
      <c r="C11" s="16" t="str">
        <f>VLOOKUP(Table4[[#This Row],[risk_id]], Table3[], 2, FALSE)</f>
        <v>Social</v>
      </c>
      <c r="D11" s="15" t="str">
        <f>VLOOKUP(Table4[[#This Row],[risk_id]], Table3[], 3, FALSE)</f>
        <v>Lack of clean up infrastructure response</v>
      </c>
      <c r="E11"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11" s="300">
        <f t="shared" si="0"/>
        <v>34</v>
      </c>
      <c r="G11" s="31">
        <f>Table4[[#This Row],[DataQuality_Score]]</f>
        <v>0.57882288422091543</v>
      </c>
      <c r="H11"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1" s="27" t="str">
        <f>Table4[[#This Row],[LoA - Metric]]&amp; ", " &amp;Table4[[#This Row],[ES - Metric]]</f>
        <v>Medium agreement, Medium evidence</v>
      </c>
      <c r="J11" s="222">
        <f>(Table4[[#This Row],[LoA_SCORE]]+Table4[[#This Row],[ES_SCORE]])/100</f>
        <v>0.57882288422091543</v>
      </c>
      <c r="K11"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1"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1" s="179">
        <f>Table4[[#This Row],[probability_average]]</f>
        <v>4</v>
      </c>
      <c r="N11" s="181">
        <f>Table4[[#This Row],[consequence_average]]</f>
        <v>8.5</v>
      </c>
      <c r="O11" s="220">
        <f>Table4[[#This Row],[agreementPCT_score]]+Table4[[#This Row],[agreement_dist_score]]+Table4[[#This Row],[LoA_AQ_score]]</f>
        <v>32.5</v>
      </c>
      <c r="P11" s="203">
        <f>Table4[[#This Row],[evidenceconsistency_score]]+Table4[[#This Row],[EQ_score]]+Table4[[#This Row],[EA_score]]+Table4[[#This Row],[ET_score]]</f>
        <v>25.382288422091548</v>
      </c>
      <c r="Q11" s="181">
        <f>VLOOKUP(Table4[[#This Row],[risk_id]],Table3[],10,FALSE)</f>
        <v>8.5</v>
      </c>
      <c r="R11" s="181">
        <f>VLOOKUP(Table4[[#This Row],[risk_id]],Table3[],9,FALSE)</f>
        <v>34</v>
      </c>
      <c r="S11" s="179">
        <f>VLOOKUP(Table4[[#This Row],[risk_id]],Table3[],7,FALSE)</f>
        <v>4</v>
      </c>
      <c r="T11" s="179">
        <f>VLOOKUP(Table4[[#This Row],[risk_id]],Table3[],6,FALSE)</f>
        <v>16</v>
      </c>
      <c r="U11" s="177">
        <f t="shared" si="1"/>
        <v>12.5</v>
      </c>
      <c r="V11" s="187">
        <f>10</f>
        <v>10</v>
      </c>
      <c r="W11" s="187">
        <f>30</f>
        <v>30</v>
      </c>
      <c r="X11" s="17">
        <f>VLOOKUP(Table4[[#This Row],[risk_id]],Table3[],5,FALSE)</f>
        <v>4</v>
      </c>
      <c r="Y11" s="17">
        <f>94</f>
        <v>94</v>
      </c>
      <c r="Z11" s="177">
        <f>Table4[[#This Row],[EStype_summed]]*Table4[[#This Row],[Indicator_12.5pct]]</f>
        <v>6.25</v>
      </c>
      <c r="AA11" s="190">
        <f>(IF(Table4[[#This Row],[all_evtype]]&gt;=4,"4", IF(Table4[[#This Row],[all_evtype]]&gt;=3,"3", IF(Table4[[#This Row],[all_evtype]]&gt;=2,"2", IF(Table4[[#This Row],[all_evtype]]&gt;=1,"1","0")))))/Table4[[#This Row],[HPS_et]]</f>
        <v>0.5</v>
      </c>
      <c r="AB11" s="191">
        <f>VLOOKUP(Table4[[#This Row],[risk_id]],Table3[], 14, FALSE)</f>
        <v>1</v>
      </c>
      <c r="AC11" s="191">
        <f>VLOOKUP(Table4[[#This Row],[risk_id]],Table3[], 15, FALSE)</f>
        <v>3</v>
      </c>
      <c r="AD11" s="191">
        <f>VLOOKUP(Table4[[#This Row],[risk_id]], Table3[], 16, FALSE)</f>
        <v>0</v>
      </c>
      <c r="AE11" s="191">
        <f>VLOOKUP(Table4[[#This Row],[risk_id]], Table3[], 17, )</f>
        <v>0</v>
      </c>
      <c r="AF11" s="191">
        <f>4</f>
        <v>4</v>
      </c>
      <c r="AG11" s="191">
        <f>COUNTIF(Table4[[#This Row],[THEO]:[MOD]], "&gt;=1")</f>
        <v>2</v>
      </c>
      <c r="AH11" s="192">
        <f>Table4[[#This Row],[data_observations]]/Table4[[#This Row],[AllObservations_count]]</f>
        <v>4.2553191489361701E-2</v>
      </c>
      <c r="AI11" s="189">
        <f>Table4[[#This Row],[evidenceamount_pct]]*(Table4[[#This Row],[Indicator_12.5pct]])</f>
        <v>0.53191489361702127</v>
      </c>
      <c r="AJ11" s="198">
        <f>(1-(VLOOKUP(Table4[[#This Row],[risk_id]],Table3[],18, FALSE))/(Table4[[#This Row],[data_observations]]))</f>
        <v>0.75</v>
      </c>
      <c r="AK11" s="198">
        <f>((VLOOKUP(Table4[[#This Row],[risk_id]],Table3[],19, FALSE))+((VLOOKUP(Table4[[#This Row],[risk_id]],Table3[],36, FALSE))*0.5))/(Table4[[#This Row],[data_observations]])</f>
        <v>0.5</v>
      </c>
      <c r="AL11" s="177">
        <f>((Table4[[#This Row],[ev_data_deficient_score]]*0.5)+(Table4[[#This Row],[ev_data_availability_score]]*0.5))*(Table4[[#This Row],[Indicator_12.5pct]])</f>
        <v>7.8125</v>
      </c>
      <c r="AM11" s="199">
        <f>Table4[[#This Row],[RiskScore]]</f>
        <v>34</v>
      </c>
      <c r="AN11" s="200">
        <f>VLOOKUP(Table4[[#This Row],[risk_id]], Table3[], 13, FALSE)</f>
        <v>4.6569840025492892</v>
      </c>
      <c r="AO11" s="185">
        <f>(1-(Table4[[#This Row],[evidence_SD_RR]]/Table4[[#This Row],[evidence_mean_RR]]))*(Table4[[#This Row],[Indicator_12.5pct]])</f>
        <v>10.787873528474526</v>
      </c>
      <c r="AP11" s="201">
        <f>VLOOKUP(Table4[[#This Row],[risk_id]],Table3[],21, FALSE)</f>
        <v>0.25</v>
      </c>
      <c r="AQ11" s="201">
        <f>VLOOKUP(Table4[[#This Row],[risk_id]],Table3[],23, FALSE)</f>
        <v>0.75</v>
      </c>
      <c r="AR11" s="201">
        <f>VLOOKUP(Table4[[#This Row],[risk_id]],Table3[],25, FALSE)</f>
        <v>0</v>
      </c>
      <c r="AS11" s="201">
        <f>VLOOKUP(Table4[[#This Row],[risk_id]],Table3[],27, FALSE)</f>
        <v>0</v>
      </c>
      <c r="AT11" s="183">
        <f>(MAX(Table4[[#This Row],[C]:[U]]))*Table4[[#This Row],[Indicator_20pct]]</f>
        <v>7.5</v>
      </c>
      <c r="AU11" s="205">
        <f>COUNTIFS(Table4[[#This Row],[C]], "&gt;0", Table4[[#This Row],[U]], "&gt;0") + COUNTIFS(Table4[[#This Row],[H]], "&gt;0", Table4[[#This Row],[U]], "&gt;0") + COUNTIFS(Table4[[#This Row],[C]], "&gt;0", Table4[[#This Row],[M]], "&gt;0")</f>
        <v>0</v>
      </c>
      <c r="AV11" s="219">
        <f>((-(Table4[[#This Row],[different_scores_count]]-3))/3)*Table4[[#This Row],[Indicator_20pct]]</f>
        <v>10</v>
      </c>
      <c r="AW11" s="183">
        <f>IF(Table4[[#This Row],[data_observations]]&gt;=5, 30, IF(Table4[[#This Row],[data_observations]]&gt;=3, 15, 0))</f>
        <v>15</v>
      </c>
      <c r="AX11" s="26" t="s">
        <v>2737</v>
      </c>
    </row>
    <row r="12" spans="1:50" ht="32" hidden="1" customHeight="1" x14ac:dyDescent="0.2">
      <c r="A12" s="16" t="s">
        <v>619</v>
      </c>
      <c r="B12" s="16" t="str">
        <f>VLOOKUP(Table4[[#This Row],[risk_id]], Table3[], 35, FALSE)</f>
        <v>Risk</v>
      </c>
      <c r="C12" s="16" t="str">
        <f>VLOOKUP(Table4[[#This Row],[risk_id]], Table3[], 2, FALSE)</f>
        <v>Community</v>
      </c>
      <c r="D12" s="15" t="str">
        <f>VLOOKUP(Table4[[#This Row],[risk_id]], Table3[], 3, FALSE)</f>
        <v>Tourist overcrowding</v>
      </c>
      <c r="E12"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12" s="300">
        <f t="shared" si="0"/>
        <v>34</v>
      </c>
      <c r="G12" s="31">
        <f>Table4[[#This Row],[DataQuality_Score]]</f>
        <v>0.41185075093867335</v>
      </c>
      <c r="H12"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2" s="27" t="str">
        <f>Table4[[#This Row],[LoA - Metric]]&amp; ", " &amp;Table4[[#This Row],[ES - Metric]]</f>
        <v>Low agreement, Medium evidence</v>
      </c>
      <c r="J12" s="222">
        <f>(Table4[[#This Row],[LoA_SCORE]]+Table4[[#This Row],[ES_SCORE]])/100</f>
        <v>0.41185075093867335</v>
      </c>
      <c r="K12"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12"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2" s="179">
        <f>Table4[[#This Row],[probability_average]]</f>
        <v>4</v>
      </c>
      <c r="N12" s="181">
        <f>Table4[[#This Row],[consequence_average]]</f>
        <v>8.5</v>
      </c>
      <c r="O12" s="220">
        <f>Table4[[#This Row],[agreementPCT_score]]+Table4[[#This Row],[agreement_dist_score]]+Table4[[#This Row],[LoA_AQ_score]]</f>
        <v>15</v>
      </c>
      <c r="P12" s="203">
        <f>Table4[[#This Row],[evidenceconsistency_score]]+Table4[[#This Row],[EQ_score]]+Table4[[#This Row],[EA_score]]+Table4[[#This Row],[ET_score]]</f>
        <v>26.185075093867333</v>
      </c>
      <c r="Q12" s="181">
        <f>VLOOKUP(Table4[[#This Row],[risk_id]],Table3[],10,FALSE)</f>
        <v>8.5</v>
      </c>
      <c r="R12" s="181">
        <f>VLOOKUP(Table4[[#This Row],[risk_id]],Table3[],9,FALSE)</f>
        <v>17</v>
      </c>
      <c r="S12" s="179">
        <f>VLOOKUP(Table4[[#This Row],[risk_id]],Table3[],7,FALSE)</f>
        <v>4</v>
      </c>
      <c r="T12" s="179">
        <f>VLOOKUP(Table4[[#This Row],[risk_id]],Table3[],6,FALSE)</f>
        <v>8</v>
      </c>
      <c r="U12" s="177">
        <f t="shared" si="1"/>
        <v>12.5</v>
      </c>
      <c r="V12" s="187">
        <f>10</f>
        <v>10</v>
      </c>
      <c r="W12" s="187">
        <f>30</f>
        <v>30</v>
      </c>
      <c r="X12" s="17">
        <f>VLOOKUP(Table4[[#This Row],[risk_id]],Table3[],5,FALSE)</f>
        <v>2</v>
      </c>
      <c r="Y12" s="17">
        <f>94</f>
        <v>94</v>
      </c>
      <c r="Z12" s="177">
        <f>Table4[[#This Row],[EStype_summed]]*Table4[[#This Row],[Indicator_12.5pct]]</f>
        <v>6.25</v>
      </c>
      <c r="AA12" s="190">
        <f>(IF(Table4[[#This Row],[all_evtype]]&gt;=4,"4", IF(Table4[[#This Row],[all_evtype]]&gt;=3,"3", IF(Table4[[#This Row],[all_evtype]]&gt;=2,"2", IF(Table4[[#This Row],[all_evtype]]&gt;=1,"1","0")))))/Table4[[#This Row],[HPS_et]]</f>
        <v>0.5</v>
      </c>
      <c r="AB12" s="191">
        <f>VLOOKUP(Table4[[#This Row],[risk_id]],Table3[], 14, FALSE)</f>
        <v>1</v>
      </c>
      <c r="AC12" s="191">
        <f>VLOOKUP(Table4[[#This Row],[risk_id]],Table3[], 15, FALSE)</f>
        <v>1</v>
      </c>
      <c r="AD12" s="191">
        <f>VLOOKUP(Table4[[#This Row],[risk_id]], Table3[], 16, FALSE)</f>
        <v>0</v>
      </c>
      <c r="AE12" s="191">
        <f>VLOOKUP(Table4[[#This Row],[risk_id]], Table3[], 17, )</f>
        <v>0</v>
      </c>
      <c r="AF12" s="191">
        <f>4</f>
        <v>4</v>
      </c>
      <c r="AG12" s="191">
        <f>COUNTIF(Table4[[#This Row],[THEO]:[MOD]], "&gt;=1")</f>
        <v>2</v>
      </c>
      <c r="AH12" s="192">
        <f>Table4[[#This Row],[data_observations]]/Table4[[#This Row],[AllObservations_count]]</f>
        <v>2.1276595744680851E-2</v>
      </c>
      <c r="AI12" s="189">
        <f>Table4[[#This Row],[evidenceamount_pct]]*(Table4[[#This Row],[Indicator_12.5pct]])</f>
        <v>0.26595744680851063</v>
      </c>
      <c r="AJ12" s="198">
        <f>(1-(VLOOKUP(Table4[[#This Row],[risk_id]],Table3[],18, FALSE))/(Table4[[#This Row],[data_observations]]))</f>
        <v>1</v>
      </c>
      <c r="AK12" s="198">
        <f>((VLOOKUP(Table4[[#This Row],[risk_id]],Table3[],19, FALSE))+((VLOOKUP(Table4[[#This Row],[risk_id]],Table3[],36, FALSE))*0.5))/(Table4[[#This Row],[data_observations]])</f>
        <v>0.5</v>
      </c>
      <c r="AL12" s="177">
        <f>((Table4[[#This Row],[ev_data_deficient_score]]*0.5)+(Table4[[#This Row],[ev_data_availability_score]]*0.5))*(Table4[[#This Row],[Indicator_12.5pct]])</f>
        <v>9.375</v>
      </c>
      <c r="AM12" s="199">
        <f>Table4[[#This Row],[RiskScore]]</f>
        <v>34</v>
      </c>
      <c r="AN12" s="200">
        <f>VLOOKUP(Table4[[#This Row],[risk_id]], Table3[], 13, FALSE)</f>
        <v>6</v>
      </c>
      <c r="AO12" s="185">
        <f>(1-(Table4[[#This Row],[evidence_SD_RR]]/Table4[[#This Row],[evidence_mean_RR]]))*(Table4[[#This Row],[Indicator_12.5pct]])</f>
        <v>10.294117647058822</v>
      </c>
      <c r="AP12" s="201">
        <f>VLOOKUP(Table4[[#This Row],[risk_id]],Table3[],21, FALSE)</f>
        <v>0.5</v>
      </c>
      <c r="AQ12" s="201">
        <f>VLOOKUP(Table4[[#This Row],[risk_id]],Table3[],23, FALSE)</f>
        <v>0.5</v>
      </c>
      <c r="AR12" s="201">
        <f>VLOOKUP(Table4[[#This Row],[risk_id]],Table3[],25, FALSE)</f>
        <v>0</v>
      </c>
      <c r="AS12" s="201">
        <f>VLOOKUP(Table4[[#This Row],[risk_id]],Table3[],27, FALSE)</f>
        <v>0</v>
      </c>
      <c r="AT12" s="183">
        <f>(MAX(Table4[[#This Row],[C]:[U]]))*Table4[[#This Row],[Indicator_20pct]]</f>
        <v>5</v>
      </c>
      <c r="AU12" s="205">
        <f>COUNTIFS(Table4[[#This Row],[C]], "&gt;0", Table4[[#This Row],[U]], "&gt;0") + COUNTIFS(Table4[[#This Row],[H]], "&gt;0", Table4[[#This Row],[U]], "&gt;0") + COUNTIFS(Table4[[#This Row],[C]], "&gt;0", Table4[[#This Row],[M]], "&gt;0")</f>
        <v>0</v>
      </c>
      <c r="AV12" s="219">
        <f>((-(Table4[[#This Row],[different_scores_count]]-3))/3)*Table4[[#This Row],[Indicator_20pct]]</f>
        <v>10</v>
      </c>
      <c r="AW12" s="183">
        <f>IF(Table4[[#This Row],[data_observations]]&gt;=5, 30, IF(Table4[[#This Row],[data_observations]]&gt;=3, 15, 0))</f>
        <v>0</v>
      </c>
      <c r="AX12" s="26" t="s">
        <v>2737</v>
      </c>
    </row>
    <row r="13" spans="1:50" ht="32" hidden="1" customHeight="1" x14ac:dyDescent="0.2">
      <c r="A13" s="16" t="s">
        <v>2705</v>
      </c>
      <c r="B13" s="16" t="str">
        <f>VLOOKUP(Table4[[#This Row],[risk_id]], Table3[], 35, FALSE)</f>
        <v>Risk</v>
      </c>
      <c r="C13" s="16" t="str">
        <f>VLOOKUP(Table4[[#This Row],[risk_id]], Table3[], 2, FALSE)</f>
        <v>Environmental</v>
      </c>
      <c r="D13" s="15" t="str">
        <f>VLOOKUP(Table4[[#This Row],[risk_id]], Table3[], 3, FALSE)</f>
        <v>Operational discharges</v>
      </c>
      <c r="E13"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13" s="300">
        <f t="shared" si="0"/>
        <v>33.404958677685947</v>
      </c>
      <c r="G13" s="31">
        <f>Table4[[#This Row],[DataQuality_Score]]</f>
        <v>0.76013849641357656</v>
      </c>
      <c r="H13"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3" s="27" t="str">
        <f>Table4[[#This Row],[LoA - Metric]]&amp; ", " &amp;Table4[[#This Row],[ES - Metric]]</f>
        <v>High agreement, Medium evidence</v>
      </c>
      <c r="J13" s="222">
        <f>(Table4[[#This Row],[LoA_SCORE]]+Table4[[#This Row],[ES_SCORE]])/100</f>
        <v>0.76013849641357656</v>
      </c>
      <c r="K13"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3"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3" s="179">
        <f>Table4[[#This Row],[probability_average]]</f>
        <v>4.2727272727272725</v>
      </c>
      <c r="N13" s="181">
        <f>Table4[[#This Row],[consequence_average]]</f>
        <v>7.8181818181818183</v>
      </c>
      <c r="O13" s="220">
        <f>Table4[[#This Row],[agreementPCT_score]]+Table4[[#This Row],[agreement_dist_score]]+Table4[[#This Row],[LoA_AQ_score]]</f>
        <v>43.030303030303031</v>
      </c>
      <c r="P13" s="203">
        <f>Table4[[#This Row],[evidenceconsistency_score]]+Table4[[#This Row],[EQ_score]]+Table4[[#This Row],[EA_score]]+Table4[[#This Row],[ET_score]]</f>
        <v>32.983546611054621</v>
      </c>
      <c r="Q13" s="181">
        <f>VLOOKUP(Table4[[#This Row],[risk_id]],Table3[],10,FALSE)</f>
        <v>7.8181818181818183</v>
      </c>
      <c r="R13" s="181">
        <f>VLOOKUP(Table4[[#This Row],[risk_id]],Table3[],9,FALSE)</f>
        <v>86</v>
      </c>
      <c r="S13" s="179">
        <f>VLOOKUP(Table4[[#This Row],[risk_id]],Table3[],7,FALSE)</f>
        <v>4.2727272727272725</v>
      </c>
      <c r="T13" s="179">
        <f>VLOOKUP(Table4[[#This Row],[risk_id]],Table3[],6,FALSE)</f>
        <v>47</v>
      </c>
      <c r="U13" s="177">
        <f t="shared" si="1"/>
        <v>12.5</v>
      </c>
      <c r="V13" s="187">
        <f>10</f>
        <v>10</v>
      </c>
      <c r="W13" s="187">
        <f>30</f>
        <v>30</v>
      </c>
      <c r="X13" s="17">
        <f>VLOOKUP(Table4[[#This Row],[risk_id]],Table3[],5,FALSE)</f>
        <v>11</v>
      </c>
      <c r="Y13" s="17">
        <f>94</f>
        <v>94</v>
      </c>
      <c r="Z13" s="177">
        <f>Table4[[#This Row],[EStype_summed]]*Table4[[#This Row],[Indicator_12.5pct]]</f>
        <v>12.5</v>
      </c>
      <c r="AA13" s="190">
        <f>(IF(Table4[[#This Row],[all_evtype]]&gt;=4,"4", IF(Table4[[#This Row],[all_evtype]]&gt;=3,"3", IF(Table4[[#This Row],[all_evtype]]&gt;=2,"2", IF(Table4[[#This Row],[all_evtype]]&gt;=1,"1","0")))))/Table4[[#This Row],[HPS_et]]</f>
        <v>1</v>
      </c>
      <c r="AB13" s="191">
        <f>VLOOKUP(Table4[[#This Row],[risk_id]],Table3[], 14, FALSE)</f>
        <v>5</v>
      </c>
      <c r="AC13" s="191">
        <f>VLOOKUP(Table4[[#This Row],[risk_id]],Table3[], 15, FALSE)</f>
        <v>4</v>
      </c>
      <c r="AD13" s="191">
        <f>VLOOKUP(Table4[[#This Row],[risk_id]], Table3[], 16, FALSE)</f>
        <v>1</v>
      </c>
      <c r="AE13" s="191">
        <f>VLOOKUP(Table4[[#This Row],[risk_id]], Table3[], 17, )</f>
        <v>1</v>
      </c>
      <c r="AF13" s="191">
        <f>4</f>
        <v>4</v>
      </c>
      <c r="AG13" s="191">
        <f>COUNTIF(Table4[[#This Row],[THEO]:[MOD]], "&gt;=1")</f>
        <v>4</v>
      </c>
      <c r="AH13" s="192">
        <f>Table4[[#This Row],[data_observations]]/Table4[[#This Row],[AllObservations_count]]</f>
        <v>0.11702127659574468</v>
      </c>
      <c r="AI13" s="189">
        <f>Table4[[#This Row],[evidenceamount_pct]]*(Table4[[#This Row],[Indicator_12.5pct]])</f>
        <v>1.4627659574468086</v>
      </c>
      <c r="AJ13" s="198">
        <f>(1-(VLOOKUP(Table4[[#This Row],[risk_id]],Table3[],18, FALSE))/(Table4[[#This Row],[data_observations]]))</f>
        <v>0.90909090909090906</v>
      </c>
      <c r="AK13" s="198">
        <f>((VLOOKUP(Table4[[#This Row],[risk_id]],Table3[],19, FALSE))+((VLOOKUP(Table4[[#This Row],[risk_id]],Table3[],36, FALSE))*0.5))/(Table4[[#This Row],[data_observations]])</f>
        <v>0.5</v>
      </c>
      <c r="AL13" s="177">
        <f>((Table4[[#This Row],[ev_data_deficient_score]]*0.5)+(Table4[[#This Row],[ev_data_availability_score]]*0.5))*(Table4[[#This Row],[Indicator_12.5pct]])</f>
        <v>8.8068181818181817</v>
      </c>
      <c r="AM13" s="199">
        <f>Table4[[#This Row],[RiskScore]]</f>
        <v>33.404958677685947</v>
      </c>
      <c r="AN13" s="200">
        <f>VLOOKUP(Table4[[#This Row],[risk_id]], Table3[], 13, FALSE)</f>
        <v>6.1091991332405247</v>
      </c>
      <c r="AO13" s="185">
        <f>(1-(Table4[[#This Row],[evidence_SD_RR]]/Table4[[#This Row],[evidence_mean_RR]]))*(Table4[[#This Row],[Indicator_12.5pct]])</f>
        <v>10.213962471789635</v>
      </c>
      <c r="AP13" s="201">
        <f>VLOOKUP(Table4[[#This Row],[risk_id]],Table3[],21, FALSE)</f>
        <v>0.27272727272727271</v>
      </c>
      <c r="AQ13" s="201">
        <f>VLOOKUP(Table4[[#This Row],[risk_id]],Table3[],23, FALSE)</f>
        <v>0.63636363636363635</v>
      </c>
      <c r="AR13" s="201">
        <f>VLOOKUP(Table4[[#This Row],[risk_id]],Table3[],25, FALSE)</f>
        <v>9.0909090909090912E-2</v>
      </c>
      <c r="AS13" s="201">
        <f>VLOOKUP(Table4[[#This Row],[risk_id]],Table3[],27, FALSE)</f>
        <v>0</v>
      </c>
      <c r="AT13" s="183">
        <f>(MAX(Table4[[#This Row],[C]:[U]]))*Table4[[#This Row],[Indicator_20pct]]</f>
        <v>6.3636363636363633</v>
      </c>
      <c r="AU13" s="205">
        <f>COUNTIFS(Table4[[#This Row],[C]], "&gt;0", Table4[[#This Row],[U]], "&gt;0") + COUNTIFS(Table4[[#This Row],[H]], "&gt;0", Table4[[#This Row],[U]], "&gt;0") + COUNTIFS(Table4[[#This Row],[C]], "&gt;0", Table4[[#This Row],[M]], "&gt;0")</f>
        <v>1</v>
      </c>
      <c r="AV13" s="219">
        <f>((-(Table4[[#This Row],[different_scores_count]]-3))/3)*Table4[[#This Row],[Indicator_20pct]]</f>
        <v>6.6666666666666661</v>
      </c>
      <c r="AW13" s="183">
        <f>IF(Table4[[#This Row],[data_observations]]&gt;=5, 30, IF(Table4[[#This Row],[data_observations]]&gt;=3, 15, 0))</f>
        <v>30</v>
      </c>
      <c r="AX13" s="26" t="s">
        <v>2737</v>
      </c>
    </row>
    <row r="14" spans="1:50" ht="32" hidden="1" customHeight="1" x14ac:dyDescent="0.2">
      <c r="A14" s="16" t="s">
        <v>561</v>
      </c>
      <c r="B14" s="16" t="str">
        <f>VLOOKUP(Table4[[#This Row],[risk_id]], Table3[], 35, FALSE)</f>
        <v>Risk</v>
      </c>
      <c r="C14" s="16" t="str">
        <f>VLOOKUP(Table4[[#This Row],[risk_id]], Table3[], 2, FALSE)</f>
        <v>Community</v>
      </c>
      <c r="D14" s="15" t="str">
        <f>VLOOKUP(Table4[[#This Row],[risk_id]], Table3[], 3, FALSE)</f>
        <v>Lack of Inuit agency</v>
      </c>
      <c r="E14"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14" s="300">
        <f t="shared" si="0"/>
        <v>33</v>
      </c>
      <c r="G14" s="31">
        <f>Table4[[#This Row],[DataQuality_Score]]</f>
        <v>0.6476322965537199</v>
      </c>
      <c r="H14"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4" s="27" t="str">
        <f>Table4[[#This Row],[LoA - Metric]]&amp; ", " &amp;Table4[[#This Row],[ES - Metric]]</f>
        <v>High agreement, Medium evidence</v>
      </c>
      <c r="J14" s="222">
        <f>(Table4[[#This Row],[LoA_SCORE]]+Table4[[#This Row],[ES_SCORE]])/100</f>
        <v>0.6476322965537199</v>
      </c>
      <c r="K14"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4"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4" s="179">
        <f>Table4[[#This Row],[probability_average]]</f>
        <v>4.7142857142857144</v>
      </c>
      <c r="N14" s="181">
        <f>Table4[[#This Row],[consequence_average]]</f>
        <v>7</v>
      </c>
      <c r="O14" s="220">
        <f>Table4[[#This Row],[agreementPCT_score]]+Table4[[#This Row],[agreement_dist_score]]+Table4[[#This Row],[LoA_AQ_score]]</f>
        <v>40.952380952380949</v>
      </c>
      <c r="P14" s="203">
        <f>Table4[[#This Row],[evidenceconsistency_score]]+Table4[[#This Row],[EQ_score]]+Table4[[#This Row],[EA_score]]+Table4[[#This Row],[ET_score]]</f>
        <v>23.810848702991031</v>
      </c>
      <c r="Q14" s="181">
        <f>VLOOKUP(Table4[[#This Row],[risk_id]],Table3[],10,FALSE)</f>
        <v>7</v>
      </c>
      <c r="R14" s="181">
        <f>VLOOKUP(Table4[[#This Row],[risk_id]],Table3[],9,FALSE)</f>
        <v>49</v>
      </c>
      <c r="S14" s="179">
        <f>VLOOKUP(Table4[[#This Row],[risk_id]],Table3[],7,FALSE)</f>
        <v>4.7142857142857144</v>
      </c>
      <c r="T14" s="179">
        <f>VLOOKUP(Table4[[#This Row],[risk_id]],Table3[],6,FALSE)</f>
        <v>33</v>
      </c>
      <c r="U14" s="177">
        <f t="shared" si="1"/>
        <v>12.5</v>
      </c>
      <c r="V14" s="187">
        <f>10</f>
        <v>10</v>
      </c>
      <c r="W14" s="187">
        <f>30</f>
        <v>30</v>
      </c>
      <c r="X14" s="17">
        <f>VLOOKUP(Table4[[#This Row],[risk_id]],Table3[],5,FALSE)</f>
        <v>7</v>
      </c>
      <c r="Y14" s="17">
        <f>94</f>
        <v>94</v>
      </c>
      <c r="Z14" s="177">
        <f>Table4[[#This Row],[EStype_summed]]*Table4[[#This Row],[Indicator_12.5pct]]</f>
        <v>6.25</v>
      </c>
      <c r="AA14" s="190">
        <f>(IF(Table4[[#This Row],[all_evtype]]&gt;=4,"4", IF(Table4[[#This Row],[all_evtype]]&gt;=3,"3", IF(Table4[[#This Row],[all_evtype]]&gt;=2,"2", IF(Table4[[#This Row],[all_evtype]]&gt;=1,"1","0")))))/Table4[[#This Row],[HPS_et]]</f>
        <v>0.5</v>
      </c>
      <c r="AB14" s="191">
        <f>VLOOKUP(Table4[[#This Row],[risk_id]],Table3[], 14, FALSE)</f>
        <v>4</v>
      </c>
      <c r="AC14" s="191">
        <f>VLOOKUP(Table4[[#This Row],[risk_id]],Table3[], 15, FALSE)</f>
        <v>3</v>
      </c>
      <c r="AD14" s="191">
        <f>VLOOKUP(Table4[[#This Row],[risk_id]], Table3[], 16, FALSE)</f>
        <v>0</v>
      </c>
      <c r="AE14" s="191">
        <f>VLOOKUP(Table4[[#This Row],[risk_id]], Table3[], 17, )</f>
        <v>0</v>
      </c>
      <c r="AF14" s="191">
        <f>4</f>
        <v>4</v>
      </c>
      <c r="AG14" s="191">
        <f>COUNTIF(Table4[[#This Row],[THEO]:[MOD]], "&gt;=1")</f>
        <v>2</v>
      </c>
      <c r="AH14" s="192">
        <f>Table4[[#This Row],[data_observations]]/Table4[[#This Row],[AllObservations_count]]</f>
        <v>7.4468085106382975E-2</v>
      </c>
      <c r="AI14" s="189">
        <f>Table4[[#This Row],[evidenceamount_pct]]*(Table4[[#This Row],[Indicator_12.5pct]])</f>
        <v>0.93085106382978722</v>
      </c>
      <c r="AJ14" s="198">
        <f>(1-(VLOOKUP(Table4[[#This Row],[risk_id]],Table3[],18, FALSE))/(Table4[[#This Row],[data_observations]]))</f>
        <v>0.7142857142857143</v>
      </c>
      <c r="AK14" s="198">
        <f>((VLOOKUP(Table4[[#This Row],[risk_id]],Table3[],19, FALSE))+((VLOOKUP(Table4[[#This Row],[risk_id]],Table3[],36, FALSE))*0.5))/(Table4[[#This Row],[data_observations]])</f>
        <v>0.42857142857142855</v>
      </c>
      <c r="AL14" s="177">
        <f>((Table4[[#This Row],[ev_data_deficient_score]]*0.5)+(Table4[[#This Row],[ev_data_availability_score]]*0.5))*(Table4[[#This Row],[Indicator_12.5pct]])</f>
        <v>7.1428571428571423</v>
      </c>
      <c r="AM14" s="199">
        <f>Table4[[#This Row],[RiskScore]]</f>
        <v>33</v>
      </c>
      <c r="AN14" s="200">
        <f>VLOOKUP(Table4[[#This Row],[risk_id]], Table3[], 13, FALSE)</f>
        <v>7.9539490897571739</v>
      </c>
      <c r="AO14" s="185">
        <f>(1-(Table4[[#This Row],[evidence_SD_RR]]/Table4[[#This Row],[evidence_mean_RR]]))*(Table4[[#This Row],[Indicator_12.5pct]])</f>
        <v>9.4871404963041002</v>
      </c>
      <c r="AP14" s="201">
        <f>VLOOKUP(Table4[[#This Row],[risk_id]],Table3[],21, FALSE)</f>
        <v>0.2857142857142857</v>
      </c>
      <c r="AQ14" s="201">
        <f>VLOOKUP(Table4[[#This Row],[risk_id]],Table3[],23, FALSE)</f>
        <v>0.42857142857142855</v>
      </c>
      <c r="AR14" s="201">
        <f>VLOOKUP(Table4[[#This Row],[risk_id]],Table3[],25, FALSE)</f>
        <v>0.2857142857142857</v>
      </c>
      <c r="AS14" s="201">
        <f>VLOOKUP(Table4[[#This Row],[risk_id]],Table3[],27, FALSE)</f>
        <v>0</v>
      </c>
      <c r="AT14" s="183">
        <f>(MAX(Table4[[#This Row],[C]:[U]]))*Table4[[#This Row],[Indicator_20pct]]</f>
        <v>4.2857142857142856</v>
      </c>
      <c r="AU14" s="205">
        <f>COUNTIFS(Table4[[#This Row],[C]], "&gt;0", Table4[[#This Row],[U]], "&gt;0") + COUNTIFS(Table4[[#This Row],[H]], "&gt;0", Table4[[#This Row],[U]], "&gt;0") + COUNTIFS(Table4[[#This Row],[C]], "&gt;0", Table4[[#This Row],[M]], "&gt;0")</f>
        <v>1</v>
      </c>
      <c r="AV14" s="219">
        <f>((-(Table4[[#This Row],[different_scores_count]]-3))/3)*Table4[[#This Row],[Indicator_20pct]]</f>
        <v>6.6666666666666661</v>
      </c>
      <c r="AW14" s="183">
        <f>IF(Table4[[#This Row],[data_observations]]&gt;=5, 30, IF(Table4[[#This Row],[data_observations]]&gt;=3, 15, 0))</f>
        <v>30</v>
      </c>
      <c r="AX14" s="26" t="s">
        <v>2736</v>
      </c>
    </row>
    <row r="15" spans="1:50" ht="32" customHeight="1" x14ac:dyDescent="0.2">
      <c r="A15" s="16" t="s">
        <v>2689</v>
      </c>
      <c r="B15" s="16" t="str">
        <f>VLOOKUP(Table4[[#This Row],[risk_id]], Table3[], 35, FALSE)</f>
        <v>Hazard</v>
      </c>
      <c r="C15" s="16" t="str">
        <f>VLOOKUP(Table4[[#This Row],[risk_id]], Table3[], 2, FALSE)</f>
        <v>Sea Ice</v>
      </c>
      <c r="D15" s="15" t="str">
        <f>VLOOKUP(Table4[[#This Row],[risk_id]], Table3[], 3, FALSE)</f>
        <v>Iceburg presence</v>
      </c>
      <c r="E15"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15" s="300">
        <f t="shared" si="0"/>
        <v>33</v>
      </c>
      <c r="G15" s="31">
        <f>Table4[[#This Row],[DataQuality_Score]]</f>
        <v>0.52422918785731853</v>
      </c>
      <c r="H15"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5" s="27" t="str">
        <f>Table4[[#This Row],[LoA - Metric]]&amp; ", " &amp;Table4[[#This Row],[ES - Metric]]</f>
        <v>Medium agreement, Medium evidence</v>
      </c>
      <c r="J15" s="222">
        <f>(Table4[[#This Row],[LoA_SCORE]]+Table4[[#This Row],[ES_SCORE]])/100</f>
        <v>0.52422918785731853</v>
      </c>
      <c r="K15"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5"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5" s="179">
        <f>Table4[[#This Row],[probability_average]]</f>
        <v>3.6666666666666665</v>
      </c>
      <c r="N15" s="181">
        <f>Table4[[#This Row],[consequence_average]]</f>
        <v>9</v>
      </c>
      <c r="O15" s="220">
        <f>Table4[[#This Row],[agreementPCT_score]]+Table4[[#This Row],[agreement_dist_score]]+Table4[[#This Row],[LoA_AQ_score]]</f>
        <v>28.333333333333332</v>
      </c>
      <c r="P15" s="203">
        <f>Table4[[#This Row],[evidenceconsistency_score]]+Table4[[#This Row],[EQ_score]]+Table4[[#This Row],[EA_score]]+Table4[[#This Row],[ET_score]]</f>
        <v>24.089585452398524</v>
      </c>
      <c r="Q15" s="181">
        <f>VLOOKUP(Table4[[#This Row],[risk_id]],Table3[],10,FALSE)</f>
        <v>9</v>
      </c>
      <c r="R15" s="181">
        <f>VLOOKUP(Table4[[#This Row],[risk_id]],Table3[],9,FALSE)</f>
        <v>27</v>
      </c>
      <c r="S15" s="179">
        <f>VLOOKUP(Table4[[#This Row],[risk_id]],Table3[],7,FALSE)</f>
        <v>3.6666666666666665</v>
      </c>
      <c r="T15" s="179">
        <f>VLOOKUP(Table4[[#This Row],[risk_id]],Table3[],6,FALSE)</f>
        <v>11</v>
      </c>
      <c r="U15" s="177">
        <f t="shared" si="1"/>
        <v>12.5</v>
      </c>
      <c r="V15" s="187">
        <f>10</f>
        <v>10</v>
      </c>
      <c r="W15" s="187">
        <f>30</f>
        <v>30</v>
      </c>
      <c r="X15" s="17">
        <f>VLOOKUP(Table4[[#This Row],[risk_id]],Table3[],5,FALSE)</f>
        <v>3</v>
      </c>
      <c r="Y15" s="17">
        <f>94</f>
        <v>94</v>
      </c>
      <c r="Z15" s="177">
        <f>Table4[[#This Row],[EStype_summed]]*Table4[[#This Row],[Indicator_12.5pct]]</f>
        <v>6.25</v>
      </c>
      <c r="AA15" s="190">
        <f>(IF(Table4[[#This Row],[all_evtype]]&gt;=4,"4", IF(Table4[[#This Row],[all_evtype]]&gt;=3,"3", IF(Table4[[#This Row],[all_evtype]]&gt;=2,"2", IF(Table4[[#This Row],[all_evtype]]&gt;=1,"1","0")))))/Table4[[#This Row],[HPS_et]]</f>
        <v>0.5</v>
      </c>
      <c r="AB15" s="191">
        <f>VLOOKUP(Table4[[#This Row],[risk_id]],Table3[], 14, FALSE)</f>
        <v>1</v>
      </c>
      <c r="AC15" s="191">
        <f>VLOOKUP(Table4[[#This Row],[risk_id]],Table3[], 15, FALSE)</f>
        <v>2</v>
      </c>
      <c r="AD15" s="191">
        <f>VLOOKUP(Table4[[#This Row],[risk_id]], Table3[], 16, FALSE)</f>
        <v>0</v>
      </c>
      <c r="AE15" s="191">
        <f>VLOOKUP(Table4[[#This Row],[risk_id]], Table3[], 17, )</f>
        <v>0</v>
      </c>
      <c r="AF15" s="191">
        <f>4</f>
        <v>4</v>
      </c>
      <c r="AG15" s="191">
        <f>COUNTIF(Table4[[#This Row],[THEO]:[MOD]], "&gt;=1")</f>
        <v>2</v>
      </c>
      <c r="AH15" s="192">
        <f>Table4[[#This Row],[data_observations]]/Table4[[#This Row],[AllObservations_count]]</f>
        <v>3.1914893617021274E-2</v>
      </c>
      <c r="AI15" s="189">
        <f>Table4[[#This Row],[evidenceamount_pct]]*(Table4[[#This Row],[Indicator_12.5pct]])</f>
        <v>0.39893617021276595</v>
      </c>
      <c r="AJ15" s="198">
        <f>(1-(VLOOKUP(Table4[[#This Row],[risk_id]],Table3[],18, FALSE))/(Table4[[#This Row],[data_observations]]))</f>
        <v>1</v>
      </c>
      <c r="AK15" s="198">
        <f>((VLOOKUP(Table4[[#This Row],[risk_id]],Table3[],19, FALSE))+((VLOOKUP(Table4[[#This Row],[risk_id]],Table3[],36, FALSE))*0.5))/(Table4[[#This Row],[data_observations]])</f>
        <v>0.33333333333333331</v>
      </c>
      <c r="AL15" s="177">
        <f>((Table4[[#This Row],[ev_data_deficient_score]]*0.5)+(Table4[[#This Row],[ev_data_availability_score]]*0.5))*(Table4[[#This Row],[Indicator_12.5pct]])</f>
        <v>8.3333333333333321</v>
      </c>
      <c r="AM15" s="199">
        <f>Table4[[#This Row],[RiskScore]]</f>
        <v>33</v>
      </c>
      <c r="AN15" s="200">
        <f>VLOOKUP(Table4[[#This Row],[risk_id]], Table3[], 13, FALSE)</f>
        <v>8.9566858950296027</v>
      </c>
      <c r="AO15" s="185">
        <f>(1-(Table4[[#This Row],[evidence_SD_RR]]/Table4[[#This Row],[evidence_mean_RR]]))*(Table4[[#This Row],[Indicator_12.5pct]])</f>
        <v>9.107315948852424</v>
      </c>
      <c r="AP15" s="201">
        <f>VLOOKUP(Table4[[#This Row],[risk_id]],Table3[],21, FALSE)</f>
        <v>0.66666666666666663</v>
      </c>
      <c r="AQ15" s="201">
        <f>VLOOKUP(Table4[[#This Row],[risk_id]],Table3[],23, FALSE)</f>
        <v>0</v>
      </c>
      <c r="AR15" s="201">
        <f>VLOOKUP(Table4[[#This Row],[risk_id]],Table3[],25, FALSE)</f>
        <v>0.33333333333333331</v>
      </c>
      <c r="AS15" s="201">
        <f>VLOOKUP(Table4[[#This Row],[risk_id]],Table3[],27, FALSE)</f>
        <v>0</v>
      </c>
      <c r="AT15" s="183">
        <f>(MAX(Table4[[#This Row],[C]:[U]]))*Table4[[#This Row],[Indicator_20pct]]</f>
        <v>6.6666666666666661</v>
      </c>
      <c r="AU15" s="205">
        <f>COUNTIFS(Table4[[#This Row],[C]], "&gt;0", Table4[[#This Row],[U]], "&gt;0") + COUNTIFS(Table4[[#This Row],[H]], "&gt;0", Table4[[#This Row],[U]], "&gt;0") + COUNTIFS(Table4[[#This Row],[C]], "&gt;0", Table4[[#This Row],[M]], "&gt;0")</f>
        <v>1</v>
      </c>
      <c r="AV15" s="219">
        <f>((-(Table4[[#This Row],[different_scores_count]]-3))/3)*Table4[[#This Row],[Indicator_20pct]]</f>
        <v>6.6666666666666661</v>
      </c>
      <c r="AW15" s="183">
        <f>IF(Table4[[#This Row],[data_observations]]&gt;=5, 30, IF(Table4[[#This Row],[data_observations]]&gt;=3, 15, 0))</f>
        <v>15</v>
      </c>
      <c r="AX15" s="26" t="s">
        <v>2737</v>
      </c>
    </row>
    <row r="16" spans="1:50" s="60" customFormat="1" ht="32" hidden="1" customHeight="1" x14ac:dyDescent="0.2">
      <c r="A16" s="16" t="s">
        <v>2668</v>
      </c>
      <c r="B16" s="16" t="str">
        <f>VLOOKUP(Table4[[#This Row],[risk_id]], Table3[], 35, FALSE)</f>
        <v>Risk</v>
      </c>
      <c r="C16" s="16" t="str">
        <f>VLOOKUP(Table4[[#This Row],[risk_id]], Table3[], 2, FALSE)</f>
        <v>Pollutants</v>
      </c>
      <c r="D16" s="15" t="str">
        <f>VLOOKUP(Table4[[#This Row],[risk_id]], Table3[], 3, FALSE)</f>
        <v>Black carbon land deposition</v>
      </c>
      <c r="E16"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16" s="300">
        <f t="shared" si="0"/>
        <v>32.9375</v>
      </c>
      <c r="G16" s="31">
        <f>Table4[[#This Row],[DataQuality_Score]]</f>
        <v>0.59885378578008353</v>
      </c>
      <c r="H16"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6" s="27" t="str">
        <f>Table4[[#This Row],[LoA - Metric]]&amp; ", " &amp;Table4[[#This Row],[ES - Metric]]</f>
        <v>Medium agreement, Medium evidence</v>
      </c>
      <c r="J16" s="222">
        <f>(Table4[[#This Row],[LoA_SCORE]]+Table4[[#This Row],[ES_SCORE]])/100</f>
        <v>0.59885378578008353</v>
      </c>
      <c r="K16"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6"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6" s="179">
        <f>Table4[[#This Row],[probability_average]]</f>
        <v>4.25</v>
      </c>
      <c r="N16" s="181">
        <f>Table4[[#This Row],[consequence_average]]</f>
        <v>7.75</v>
      </c>
      <c r="O16" s="220">
        <f>Table4[[#This Row],[agreementPCT_score]]+Table4[[#This Row],[agreement_dist_score]]+Table4[[#This Row],[LoA_AQ_score]]</f>
        <v>32.5</v>
      </c>
      <c r="P16" s="203">
        <f>Table4[[#This Row],[evidenceconsistency_score]]+Table4[[#This Row],[EQ_score]]+Table4[[#This Row],[EA_score]]+Table4[[#This Row],[ET_score]]</f>
        <v>27.385378578008357</v>
      </c>
      <c r="Q16" s="181">
        <f>VLOOKUP(Table4[[#This Row],[risk_id]],Table3[],10,FALSE)</f>
        <v>7.75</v>
      </c>
      <c r="R16" s="181">
        <f>VLOOKUP(Table4[[#This Row],[risk_id]],Table3[],9,FALSE)</f>
        <v>31</v>
      </c>
      <c r="S16" s="179">
        <f>VLOOKUP(Table4[[#This Row],[risk_id]],Table3[],7,FALSE)</f>
        <v>4.25</v>
      </c>
      <c r="T16" s="179">
        <f>VLOOKUP(Table4[[#This Row],[risk_id]],Table3[],6,FALSE)</f>
        <v>17</v>
      </c>
      <c r="U16" s="177">
        <f t="shared" si="1"/>
        <v>12.5</v>
      </c>
      <c r="V16" s="187">
        <f>10</f>
        <v>10</v>
      </c>
      <c r="W16" s="187">
        <f>30</f>
        <v>30</v>
      </c>
      <c r="X16" s="17">
        <f>VLOOKUP(Table4[[#This Row],[risk_id]],Table3[],5,FALSE)</f>
        <v>4</v>
      </c>
      <c r="Y16" s="17">
        <f>94</f>
        <v>94</v>
      </c>
      <c r="Z16" s="177">
        <f>Table4[[#This Row],[EStype_summed]]*Table4[[#This Row],[Indicator_12.5pct]]</f>
        <v>9.375</v>
      </c>
      <c r="AA16" s="190">
        <f>(IF(Table4[[#This Row],[all_evtype]]&gt;=4,"4", IF(Table4[[#This Row],[all_evtype]]&gt;=3,"3", IF(Table4[[#This Row],[all_evtype]]&gt;=2,"2", IF(Table4[[#This Row],[all_evtype]]&gt;=1,"1","0")))))/Table4[[#This Row],[HPS_et]]</f>
        <v>0.75</v>
      </c>
      <c r="AB16" s="191">
        <f>VLOOKUP(Table4[[#This Row],[risk_id]],Table3[], 14, FALSE)</f>
        <v>1</v>
      </c>
      <c r="AC16" s="191">
        <f>VLOOKUP(Table4[[#This Row],[risk_id]],Table3[], 15, FALSE)</f>
        <v>1</v>
      </c>
      <c r="AD16" s="191">
        <f>VLOOKUP(Table4[[#This Row],[risk_id]], Table3[], 16, FALSE)</f>
        <v>0</v>
      </c>
      <c r="AE16" s="191">
        <f>VLOOKUP(Table4[[#This Row],[risk_id]], Table3[], 17, )</f>
        <v>2</v>
      </c>
      <c r="AF16" s="191">
        <f>4</f>
        <v>4</v>
      </c>
      <c r="AG16" s="191">
        <f>COUNTIF(Table4[[#This Row],[THEO]:[MOD]], "&gt;=1")</f>
        <v>3</v>
      </c>
      <c r="AH16" s="192">
        <f>Table4[[#This Row],[data_observations]]/Table4[[#This Row],[AllObservations_count]]</f>
        <v>4.2553191489361701E-2</v>
      </c>
      <c r="AI16" s="189">
        <f>Table4[[#This Row],[evidenceamount_pct]]*(Table4[[#This Row],[Indicator_12.5pct]])</f>
        <v>0.53191489361702127</v>
      </c>
      <c r="AJ16" s="198">
        <f>(1-(VLOOKUP(Table4[[#This Row],[risk_id]],Table3[],18, FALSE))/(Table4[[#This Row],[data_observations]]))</f>
        <v>1</v>
      </c>
      <c r="AK16" s="198">
        <f>((VLOOKUP(Table4[[#This Row],[risk_id]],Table3[],19, FALSE))+((VLOOKUP(Table4[[#This Row],[risk_id]],Table3[],36, FALSE))*0.5))/(Table4[[#This Row],[data_observations]])</f>
        <v>0.375</v>
      </c>
      <c r="AL16" s="177">
        <f>((Table4[[#This Row],[ev_data_deficient_score]]*0.5)+(Table4[[#This Row],[ev_data_availability_score]]*0.5))*(Table4[[#This Row],[Indicator_12.5pct]])</f>
        <v>8.59375</v>
      </c>
      <c r="AM16" s="199">
        <f>Table4[[#This Row],[RiskScore]]</f>
        <v>32.9375</v>
      </c>
      <c r="AN16" s="200">
        <f>VLOOKUP(Table4[[#This Row],[risk_id]], Table3[], 13, FALSE)</f>
        <v>9.5262794416288248</v>
      </c>
      <c r="AO16" s="185">
        <f>(1-(Table4[[#This Row],[evidence_SD_RR]]/Table4[[#This Row],[evidence_mean_RR]]))*(Table4[[#This Row],[Indicator_12.5pct]])</f>
        <v>8.8847136843913379</v>
      </c>
      <c r="AP16" s="201">
        <f>VLOOKUP(Table4[[#This Row],[risk_id]],Table3[],21, FALSE)</f>
        <v>0.25</v>
      </c>
      <c r="AQ16" s="201">
        <f>VLOOKUP(Table4[[#This Row],[risk_id]],Table3[],23, FALSE)</f>
        <v>0.75</v>
      </c>
      <c r="AR16" s="201">
        <f>VLOOKUP(Table4[[#This Row],[risk_id]],Table3[],25, FALSE)</f>
        <v>0</v>
      </c>
      <c r="AS16" s="201">
        <f>VLOOKUP(Table4[[#This Row],[risk_id]],Table3[],27, FALSE)</f>
        <v>0</v>
      </c>
      <c r="AT16" s="183">
        <f>(MAX(Table4[[#This Row],[C]:[U]]))*Table4[[#This Row],[Indicator_20pct]]</f>
        <v>7.5</v>
      </c>
      <c r="AU16" s="205">
        <f>COUNTIFS(Table4[[#This Row],[C]], "&gt;0", Table4[[#This Row],[U]], "&gt;0") + COUNTIFS(Table4[[#This Row],[H]], "&gt;0", Table4[[#This Row],[U]], "&gt;0") + COUNTIFS(Table4[[#This Row],[C]], "&gt;0", Table4[[#This Row],[M]], "&gt;0")</f>
        <v>0</v>
      </c>
      <c r="AV16" s="219">
        <f>((-(Table4[[#This Row],[different_scores_count]]-3))/3)*Table4[[#This Row],[Indicator_20pct]]</f>
        <v>10</v>
      </c>
      <c r="AW16" s="183">
        <f>IF(Table4[[#This Row],[data_observations]]&gt;=5, 30, IF(Table4[[#This Row],[data_observations]]&gt;=3, 15, 0))</f>
        <v>15</v>
      </c>
      <c r="AX16" s="26" t="s">
        <v>2737</v>
      </c>
    </row>
    <row r="17" spans="1:55" ht="32" hidden="1" customHeight="1" x14ac:dyDescent="0.2">
      <c r="A17" s="16" t="s">
        <v>508</v>
      </c>
      <c r="B17" s="16" t="str">
        <f>VLOOKUP(Table4[[#This Row],[risk_id]], Table3[], 35, FALSE)</f>
        <v>Risk</v>
      </c>
      <c r="C17" s="16" t="str">
        <f>VLOOKUP(Table4[[#This Row],[risk_id]], Table3[], 2, FALSE)</f>
        <v>Community</v>
      </c>
      <c r="D17" s="15" t="str">
        <f>VLOOKUP(Table4[[#This Row],[risk_id]], Table3[], 3, FALSE)</f>
        <v>Degradation of indigenous cultural and natural resources</v>
      </c>
      <c r="E17"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17" s="300">
        <f t="shared" si="0"/>
        <v>32.799999999999997</v>
      </c>
      <c r="G17" s="31">
        <f>Table4[[#This Row],[DataQuality_Score]]</f>
        <v>0.73208165712707507</v>
      </c>
      <c r="H17"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7" s="27" t="str">
        <f>Table4[[#This Row],[LoA - Metric]]&amp; ", " &amp;Table4[[#This Row],[ES - Metric]]</f>
        <v>High agreement, Medium evidence</v>
      </c>
      <c r="J17" s="222">
        <f>(Table4[[#This Row],[LoA_SCORE]]+Table4[[#This Row],[ES_SCORE]])/100</f>
        <v>0.73208165712707507</v>
      </c>
      <c r="K17"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7"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7" s="179">
        <f>Table4[[#This Row],[probability_average]]</f>
        <v>4</v>
      </c>
      <c r="N17" s="181">
        <f>Table4[[#This Row],[consequence_average]]</f>
        <v>8.1999999999999993</v>
      </c>
      <c r="O17" s="220">
        <f>Table4[[#This Row],[agreementPCT_score]]+Table4[[#This Row],[agreement_dist_score]]+Table4[[#This Row],[LoA_AQ_score]]</f>
        <v>42.666666666666664</v>
      </c>
      <c r="P17" s="203">
        <f>Table4[[#This Row],[evidenceconsistency_score]]+Table4[[#This Row],[EQ_score]]+Table4[[#This Row],[EA_score]]+Table4[[#This Row],[ET_score]]</f>
        <v>30.541499046040851</v>
      </c>
      <c r="Q17" s="181">
        <f>VLOOKUP(Table4[[#This Row],[risk_id]],Table3[],10,FALSE)</f>
        <v>8.1999999999999993</v>
      </c>
      <c r="R17" s="181">
        <f>VLOOKUP(Table4[[#This Row],[risk_id]],Table3[],9,FALSE)</f>
        <v>82</v>
      </c>
      <c r="S17" s="179">
        <f>VLOOKUP(Table4[[#This Row],[risk_id]],Table3[],7,FALSE)</f>
        <v>4</v>
      </c>
      <c r="T17" s="179">
        <f>VLOOKUP(Table4[[#This Row],[risk_id]],Table3[],6,FALSE)</f>
        <v>40</v>
      </c>
      <c r="U17" s="177">
        <f t="shared" si="1"/>
        <v>12.5</v>
      </c>
      <c r="V17" s="187">
        <f>10</f>
        <v>10</v>
      </c>
      <c r="W17" s="187">
        <f>30</f>
        <v>30</v>
      </c>
      <c r="X17" s="17">
        <f>VLOOKUP(Table4[[#This Row],[risk_id]],Table3[],5,FALSE)</f>
        <v>10</v>
      </c>
      <c r="Y17" s="17">
        <f>94</f>
        <v>94</v>
      </c>
      <c r="Z17" s="177">
        <f>Table4[[#This Row],[EStype_summed]]*Table4[[#This Row],[Indicator_12.5pct]]</f>
        <v>12.5</v>
      </c>
      <c r="AA17" s="190">
        <f>(IF(Table4[[#This Row],[all_evtype]]&gt;=4,"4", IF(Table4[[#This Row],[all_evtype]]&gt;=3,"3", IF(Table4[[#This Row],[all_evtype]]&gt;=2,"2", IF(Table4[[#This Row],[all_evtype]]&gt;=1,"1","0")))))/Table4[[#This Row],[HPS_et]]</f>
        <v>1</v>
      </c>
      <c r="AB17" s="191">
        <f>VLOOKUP(Table4[[#This Row],[risk_id]],Table3[], 14, FALSE)</f>
        <v>5</v>
      </c>
      <c r="AC17" s="191">
        <f>VLOOKUP(Table4[[#This Row],[risk_id]],Table3[], 15, FALSE)</f>
        <v>2</v>
      </c>
      <c r="AD17" s="191">
        <f>VLOOKUP(Table4[[#This Row],[risk_id]], Table3[], 16, FALSE)</f>
        <v>2</v>
      </c>
      <c r="AE17" s="191">
        <f>VLOOKUP(Table4[[#This Row],[risk_id]], Table3[], 17, )</f>
        <v>1</v>
      </c>
      <c r="AF17" s="191">
        <f>4</f>
        <v>4</v>
      </c>
      <c r="AG17" s="191">
        <f>COUNTIF(Table4[[#This Row],[THEO]:[MOD]], "&gt;=1")</f>
        <v>4</v>
      </c>
      <c r="AH17" s="192">
        <f>Table4[[#This Row],[data_observations]]/Table4[[#This Row],[AllObservations_count]]</f>
        <v>0.10638297872340426</v>
      </c>
      <c r="AI17" s="189">
        <f>Table4[[#This Row],[evidenceamount_pct]]*(Table4[[#This Row],[Indicator_12.5pct]])</f>
        <v>1.3297872340425532</v>
      </c>
      <c r="AJ17" s="198">
        <f>(1-(VLOOKUP(Table4[[#This Row],[risk_id]],Table3[],18, FALSE))/(Table4[[#This Row],[data_observations]]))</f>
        <v>0.7</v>
      </c>
      <c r="AK17" s="198">
        <f>((VLOOKUP(Table4[[#This Row],[risk_id]],Table3[],19, FALSE))+((VLOOKUP(Table4[[#This Row],[risk_id]],Table3[],36, FALSE))*0.5))/(Table4[[#This Row],[data_observations]])</f>
        <v>0.35</v>
      </c>
      <c r="AL17" s="177">
        <f>((Table4[[#This Row],[ev_data_deficient_score]]*0.5)+(Table4[[#This Row],[ev_data_availability_score]]*0.5))*(Table4[[#This Row],[Indicator_12.5pct]])</f>
        <v>6.5624999999999991</v>
      </c>
      <c r="AM17" s="199">
        <f>Table4[[#This Row],[RiskScore]]</f>
        <v>32.799999999999997</v>
      </c>
      <c r="AN17" s="200">
        <f>VLOOKUP(Table4[[#This Row],[risk_id]], Table3[], 13, FALSE)</f>
        <v>6.1684682053164543</v>
      </c>
      <c r="AO17" s="185">
        <f>(1-(Table4[[#This Row],[evidence_SD_RR]]/Table4[[#This Row],[evidence_mean_RR]]))*(Table4[[#This Row],[Indicator_12.5pct]])</f>
        <v>10.149211811998301</v>
      </c>
      <c r="AP17" s="201">
        <f>VLOOKUP(Table4[[#This Row],[risk_id]],Table3[],21, FALSE)</f>
        <v>0.3</v>
      </c>
      <c r="AQ17" s="201">
        <f>VLOOKUP(Table4[[#This Row],[risk_id]],Table3[],23, FALSE)</f>
        <v>0.6</v>
      </c>
      <c r="AR17" s="201">
        <f>VLOOKUP(Table4[[#This Row],[risk_id]],Table3[],25, FALSE)</f>
        <v>0.1</v>
      </c>
      <c r="AS17" s="201">
        <f>VLOOKUP(Table4[[#This Row],[risk_id]],Table3[],27, FALSE)</f>
        <v>0</v>
      </c>
      <c r="AT17" s="183">
        <f>(MAX(Table4[[#This Row],[C]:[U]]))*Table4[[#This Row],[Indicator_20pct]]</f>
        <v>6</v>
      </c>
      <c r="AU17" s="205">
        <f>COUNTIFS(Table4[[#This Row],[C]], "&gt;0", Table4[[#This Row],[U]], "&gt;0") + COUNTIFS(Table4[[#This Row],[H]], "&gt;0", Table4[[#This Row],[U]], "&gt;0") + COUNTIFS(Table4[[#This Row],[C]], "&gt;0", Table4[[#This Row],[M]], "&gt;0")</f>
        <v>1</v>
      </c>
      <c r="AV17" s="219">
        <f>((-(Table4[[#This Row],[different_scores_count]]-3))/3)*Table4[[#This Row],[Indicator_20pct]]</f>
        <v>6.6666666666666661</v>
      </c>
      <c r="AW17" s="183">
        <f>IF(Table4[[#This Row],[data_observations]]&gt;=5, 30, IF(Table4[[#This Row],[data_observations]]&gt;=3, 15, 0))</f>
        <v>30</v>
      </c>
      <c r="AX17" s="26" t="s">
        <v>2736</v>
      </c>
    </row>
    <row r="18" spans="1:55" ht="32" hidden="1" customHeight="1" x14ac:dyDescent="0.2">
      <c r="A18" s="16" t="s">
        <v>2720</v>
      </c>
      <c r="B18" s="16" t="str">
        <f>VLOOKUP(Table4[[#This Row],[risk_id]], Table3[], 35, FALSE)</f>
        <v>Risk</v>
      </c>
      <c r="C18" s="16" t="str">
        <f>VLOOKUP(Table4[[#This Row],[risk_id]], Table3[], 2, FALSE)</f>
        <v>Environmental</v>
      </c>
      <c r="D18" s="15" t="str">
        <f>VLOOKUP(Table4[[#This Row],[risk_id]], Table3[], 3, FALSE)</f>
        <v>Underwater noise pollution</v>
      </c>
      <c r="E18"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18" s="300">
        <f t="shared" si="0"/>
        <v>32.551020408163268</v>
      </c>
      <c r="G18" s="31">
        <f>Table4[[#This Row],[DataQuality_Score]]</f>
        <v>0.66805144977788278</v>
      </c>
      <c r="H18"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8" s="27" t="str">
        <f>Table4[[#This Row],[LoA - Metric]]&amp; ", " &amp;Table4[[#This Row],[ES - Metric]]</f>
        <v>High agreement, Medium evidence</v>
      </c>
      <c r="J18" s="222">
        <f>(Table4[[#This Row],[LoA_SCORE]]+Table4[[#This Row],[ES_SCORE]])/100</f>
        <v>0.66805144977788278</v>
      </c>
      <c r="K18"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8"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8" s="179">
        <f>Table4[[#This Row],[probability_average]]</f>
        <v>4.1428571428571432</v>
      </c>
      <c r="N18" s="181">
        <f>Table4[[#This Row],[consequence_average]]</f>
        <v>7.8571428571428568</v>
      </c>
      <c r="O18" s="220">
        <f>Table4[[#This Row],[agreementPCT_score]]+Table4[[#This Row],[agreement_dist_score]]+Table4[[#This Row],[LoA_AQ_score]]</f>
        <v>40.952380952380949</v>
      </c>
      <c r="P18" s="203">
        <f>Table4[[#This Row],[evidenceconsistency_score]]+Table4[[#This Row],[EQ_score]]+Table4[[#This Row],[EA_score]]+Table4[[#This Row],[ET_score]]</f>
        <v>25.852764025407318</v>
      </c>
      <c r="Q18" s="181">
        <f>VLOOKUP(Table4[[#This Row],[risk_id]],Table3[],10,FALSE)</f>
        <v>7.8571428571428568</v>
      </c>
      <c r="R18" s="181">
        <f>VLOOKUP(Table4[[#This Row],[risk_id]],Table3[],9,FALSE)</f>
        <v>55</v>
      </c>
      <c r="S18" s="179">
        <f>VLOOKUP(Table4[[#This Row],[risk_id]],Table3[],7,FALSE)</f>
        <v>4.1428571428571432</v>
      </c>
      <c r="T18" s="179">
        <f>VLOOKUP(Table4[[#This Row],[risk_id]],Table3[],6,FALSE)</f>
        <v>29</v>
      </c>
      <c r="U18" s="177">
        <f t="shared" si="1"/>
        <v>12.5</v>
      </c>
      <c r="V18" s="187">
        <f>10</f>
        <v>10</v>
      </c>
      <c r="W18" s="187">
        <f>30</f>
        <v>30</v>
      </c>
      <c r="X18" s="17">
        <f>VLOOKUP(Table4[[#This Row],[risk_id]],Table3[],5,FALSE)</f>
        <v>7</v>
      </c>
      <c r="Y18" s="17">
        <f>94</f>
        <v>94</v>
      </c>
      <c r="Z18" s="177">
        <f>Table4[[#This Row],[EStype_summed]]*Table4[[#This Row],[Indicator_12.5pct]]</f>
        <v>9.375</v>
      </c>
      <c r="AA18" s="190">
        <f>(IF(Table4[[#This Row],[all_evtype]]&gt;=4,"4", IF(Table4[[#This Row],[all_evtype]]&gt;=3,"3", IF(Table4[[#This Row],[all_evtype]]&gt;=2,"2", IF(Table4[[#This Row],[all_evtype]]&gt;=1,"1","0")))))/Table4[[#This Row],[HPS_et]]</f>
        <v>0.75</v>
      </c>
      <c r="AB18" s="191">
        <f>VLOOKUP(Table4[[#This Row],[risk_id]],Table3[], 14, FALSE)</f>
        <v>3</v>
      </c>
      <c r="AC18" s="191">
        <f>VLOOKUP(Table4[[#This Row],[risk_id]],Table3[], 15, FALSE)</f>
        <v>3</v>
      </c>
      <c r="AD18" s="191">
        <f>VLOOKUP(Table4[[#This Row],[risk_id]], Table3[], 16, FALSE)</f>
        <v>0</v>
      </c>
      <c r="AE18" s="191">
        <f>VLOOKUP(Table4[[#This Row],[risk_id]], Table3[], 17, )</f>
        <v>1</v>
      </c>
      <c r="AF18" s="191">
        <f>4</f>
        <v>4</v>
      </c>
      <c r="AG18" s="191">
        <f>COUNTIF(Table4[[#This Row],[THEO]:[MOD]], "&gt;=1")</f>
        <v>3</v>
      </c>
      <c r="AH18" s="192">
        <f>Table4[[#This Row],[data_observations]]/Table4[[#This Row],[AllObservations_count]]</f>
        <v>7.4468085106382975E-2</v>
      </c>
      <c r="AI18" s="189">
        <f>Table4[[#This Row],[evidenceamount_pct]]*(Table4[[#This Row],[Indicator_12.5pct]])</f>
        <v>0.93085106382978722</v>
      </c>
      <c r="AJ18" s="198">
        <f>(1-(VLOOKUP(Table4[[#This Row],[risk_id]],Table3[],18, FALSE))/(Table4[[#This Row],[data_observations]]))</f>
        <v>0.7142857142857143</v>
      </c>
      <c r="AK18" s="198">
        <f>((VLOOKUP(Table4[[#This Row],[risk_id]],Table3[],19, FALSE))+((VLOOKUP(Table4[[#This Row],[risk_id]],Table3[],36, FALSE))*0.5))/(Table4[[#This Row],[data_observations]])</f>
        <v>0.5</v>
      </c>
      <c r="AL18" s="177">
        <f>((Table4[[#This Row],[ev_data_deficient_score]]*0.5)+(Table4[[#This Row],[ev_data_availability_score]]*0.5))*(Table4[[#This Row],[Indicator_12.5pct]])</f>
        <v>7.5892857142857153</v>
      </c>
      <c r="AM18" s="199">
        <f>Table4[[#This Row],[RiskScore]]</f>
        <v>32.551020408163268</v>
      </c>
      <c r="AN18" s="200">
        <f>VLOOKUP(Table4[[#This Row],[risk_id]], Table3[], 13, FALSE)</f>
        <v>11.828709453991115</v>
      </c>
      <c r="AO18" s="185">
        <f>(1-(Table4[[#This Row],[evidence_SD_RR]]/Table4[[#This Row],[evidence_mean_RR]]))*(Table4[[#This Row],[Indicator_12.5pct]])</f>
        <v>7.9576272472918141</v>
      </c>
      <c r="AP18" s="201">
        <f>VLOOKUP(Table4[[#This Row],[risk_id]],Table3[],21, FALSE)</f>
        <v>0.42857142857142855</v>
      </c>
      <c r="AQ18" s="201">
        <f>VLOOKUP(Table4[[#This Row],[risk_id]],Table3[],23, FALSE)</f>
        <v>0.2857142857142857</v>
      </c>
      <c r="AR18" s="201">
        <f>VLOOKUP(Table4[[#This Row],[risk_id]],Table3[],25, FALSE)</f>
        <v>0.2857142857142857</v>
      </c>
      <c r="AS18" s="201">
        <f>VLOOKUP(Table4[[#This Row],[risk_id]],Table3[],27, FALSE)</f>
        <v>0</v>
      </c>
      <c r="AT18" s="183">
        <f>(MAX(Table4[[#This Row],[C]:[U]]))*Table4[[#This Row],[Indicator_20pct]]</f>
        <v>4.2857142857142856</v>
      </c>
      <c r="AU18" s="205">
        <f>COUNTIFS(Table4[[#This Row],[C]], "&gt;0", Table4[[#This Row],[U]], "&gt;0") + COUNTIFS(Table4[[#This Row],[H]], "&gt;0", Table4[[#This Row],[U]], "&gt;0") + COUNTIFS(Table4[[#This Row],[C]], "&gt;0", Table4[[#This Row],[M]], "&gt;0")</f>
        <v>1</v>
      </c>
      <c r="AV18" s="219">
        <f>((-(Table4[[#This Row],[different_scores_count]]-3))/3)*Table4[[#This Row],[Indicator_20pct]]</f>
        <v>6.6666666666666661</v>
      </c>
      <c r="AW18" s="183">
        <f>IF(Table4[[#This Row],[data_observations]]&gt;=5, 30, IF(Table4[[#This Row],[data_observations]]&gt;=3, 15, 0))</f>
        <v>30</v>
      </c>
      <c r="AX18" s="26" t="s">
        <v>2737</v>
      </c>
    </row>
    <row r="19" spans="1:55" ht="32" hidden="1" customHeight="1" x14ac:dyDescent="0.2">
      <c r="A19" s="16" t="s">
        <v>612</v>
      </c>
      <c r="B19" s="16" t="str">
        <f>VLOOKUP(Table4[[#This Row],[risk_id]], Table3[], 35, FALSE)</f>
        <v>Risk</v>
      </c>
      <c r="C19" s="16" t="str">
        <f>VLOOKUP(Table4[[#This Row],[risk_id]], Table3[], 2, FALSE)</f>
        <v>Social</v>
      </c>
      <c r="D19" s="15" t="str">
        <f>VLOOKUP(Table4[[#This Row],[risk_id]], Table3[], 3, FALSE)</f>
        <v>Reduction in resources to locals</v>
      </c>
      <c r="E19"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19" s="300">
        <f t="shared" si="0"/>
        <v>32</v>
      </c>
      <c r="G19" s="31">
        <f>Table4[[#This Row],[DataQuality_Score]]</f>
        <v>0.60064227479004795</v>
      </c>
      <c r="H19"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9" s="27" t="str">
        <f>Table4[[#This Row],[LoA - Metric]]&amp; ", " &amp;Table4[[#This Row],[ES - Metric]]</f>
        <v>Medium agreement, Medium evidence</v>
      </c>
      <c r="J19" s="222">
        <f>(Table4[[#This Row],[LoA_SCORE]]+Table4[[#This Row],[ES_SCORE]])/100</f>
        <v>0.60064227479004795</v>
      </c>
      <c r="K19"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9"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9" s="179">
        <f>Table4[[#This Row],[probability_average]]</f>
        <v>4</v>
      </c>
      <c r="N19" s="181">
        <f>Table4[[#This Row],[consequence_average]]</f>
        <v>8</v>
      </c>
      <c r="O19" s="220">
        <f>Table4[[#This Row],[agreementPCT_score]]+Table4[[#This Row],[agreement_dist_score]]+Table4[[#This Row],[LoA_AQ_score]]</f>
        <v>31.666666666666664</v>
      </c>
      <c r="P19" s="203">
        <f>Table4[[#This Row],[evidenceconsistency_score]]+Table4[[#This Row],[EQ_score]]+Table4[[#This Row],[EA_score]]+Table4[[#This Row],[ET_score]]</f>
        <v>28.397560812338138</v>
      </c>
      <c r="Q19" s="181">
        <f>VLOOKUP(Table4[[#This Row],[risk_id]],Table3[],10,FALSE)</f>
        <v>8</v>
      </c>
      <c r="R19" s="181">
        <f>VLOOKUP(Table4[[#This Row],[risk_id]],Table3[],9,FALSE)</f>
        <v>24</v>
      </c>
      <c r="S19" s="179">
        <f>VLOOKUP(Table4[[#This Row],[risk_id]],Table3[],7,FALSE)</f>
        <v>4</v>
      </c>
      <c r="T19" s="179">
        <f>VLOOKUP(Table4[[#This Row],[risk_id]],Table3[],6,FALSE)</f>
        <v>12</v>
      </c>
      <c r="U19" s="177">
        <f t="shared" si="1"/>
        <v>12.5</v>
      </c>
      <c r="V19" s="187">
        <f>10</f>
        <v>10</v>
      </c>
      <c r="W19" s="187">
        <f>30</f>
        <v>30</v>
      </c>
      <c r="X19" s="17">
        <f>VLOOKUP(Table4[[#This Row],[risk_id]],Table3[],5,FALSE)</f>
        <v>3</v>
      </c>
      <c r="Y19" s="17">
        <f>94</f>
        <v>94</v>
      </c>
      <c r="Z19" s="177">
        <f>Table4[[#This Row],[EStype_summed]]*Table4[[#This Row],[Indicator_12.5pct]]</f>
        <v>9.375</v>
      </c>
      <c r="AA19" s="190">
        <f>(IF(Table4[[#This Row],[all_evtype]]&gt;=4,"4", IF(Table4[[#This Row],[all_evtype]]&gt;=3,"3", IF(Table4[[#This Row],[all_evtype]]&gt;=2,"2", IF(Table4[[#This Row],[all_evtype]]&gt;=1,"1","0")))))/Table4[[#This Row],[HPS_et]]</f>
        <v>0.75</v>
      </c>
      <c r="AB19" s="191">
        <f>VLOOKUP(Table4[[#This Row],[risk_id]],Table3[], 14, FALSE)</f>
        <v>1</v>
      </c>
      <c r="AC19" s="191">
        <f>VLOOKUP(Table4[[#This Row],[risk_id]],Table3[], 15, FALSE)</f>
        <v>1</v>
      </c>
      <c r="AD19" s="191">
        <f>VLOOKUP(Table4[[#This Row],[risk_id]], Table3[], 16, FALSE)</f>
        <v>0</v>
      </c>
      <c r="AE19" s="191">
        <f>VLOOKUP(Table4[[#This Row],[risk_id]], Table3[], 17, )</f>
        <v>1</v>
      </c>
      <c r="AF19" s="191">
        <f>4</f>
        <v>4</v>
      </c>
      <c r="AG19" s="191">
        <f>COUNTIF(Table4[[#This Row],[THEO]:[MOD]], "&gt;=1")</f>
        <v>3</v>
      </c>
      <c r="AH19" s="192">
        <f>Table4[[#This Row],[data_observations]]/Table4[[#This Row],[AllObservations_count]]</f>
        <v>3.1914893617021274E-2</v>
      </c>
      <c r="AI19" s="189">
        <f>Table4[[#This Row],[evidenceamount_pct]]*(Table4[[#This Row],[Indicator_12.5pct]])</f>
        <v>0.39893617021276595</v>
      </c>
      <c r="AJ19" s="198">
        <f>(1-(VLOOKUP(Table4[[#This Row],[risk_id]],Table3[],18, FALSE))/(Table4[[#This Row],[data_observations]]))</f>
        <v>0.66666666666666674</v>
      </c>
      <c r="AK19" s="198">
        <f>((VLOOKUP(Table4[[#This Row],[risk_id]],Table3[],19, FALSE))+((VLOOKUP(Table4[[#This Row],[risk_id]],Table3[],36, FALSE))*0.5))/(Table4[[#This Row],[data_observations]])</f>
        <v>0.66666666666666663</v>
      </c>
      <c r="AL19" s="177">
        <f>((Table4[[#This Row],[ev_data_deficient_score]]*0.5)+(Table4[[#This Row],[ev_data_availability_score]]*0.5))*(Table4[[#This Row],[Indicator_12.5pct]])</f>
        <v>8.3333333333333339</v>
      </c>
      <c r="AM19" s="199">
        <f>Table4[[#This Row],[RiskScore]]</f>
        <v>32</v>
      </c>
      <c r="AN19" s="200">
        <f>VLOOKUP(Table4[[#This Row],[risk_id]], Table3[], 13, FALSE)</f>
        <v>5.6568542494923806</v>
      </c>
      <c r="AO19" s="185">
        <f>(1-(Table4[[#This Row],[evidence_SD_RR]]/Table4[[#This Row],[evidence_mean_RR]]))*(Table4[[#This Row],[Indicator_12.5pct]])</f>
        <v>10.290291308792039</v>
      </c>
      <c r="AP19" s="201">
        <f>VLOOKUP(Table4[[#This Row],[risk_id]],Table3[],21, FALSE)</f>
        <v>0.33333333333333331</v>
      </c>
      <c r="AQ19" s="201">
        <f>VLOOKUP(Table4[[#This Row],[risk_id]],Table3[],23, FALSE)</f>
        <v>0.66666666666666663</v>
      </c>
      <c r="AR19" s="201">
        <f>VLOOKUP(Table4[[#This Row],[risk_id]],Table3[],25, FALSE)</f>
        <v>0</v>
      </c>
      <c r="AS19" s="201">
        <f>VLOOKUP(Table4[[#This Row],[risk_id]],Table3[],27, FALSE)</f>
        <v>0</v>
      </c>
      <c r="AT19" s="183">
        <f>(MAX(Table4[[#This Row],[C]:[U]]))*Table4[[#This Row],[Indicator_20pct]]</f>
        <v>6.6666666666666661</v>
      </c>
      <c r="AU19" s="205">
        <f>COUNTIFS(Table4[[#This Row],[C]], "&gt;0", Table4[[#This Row],[U]], "&gt;0") + COUNTIFS(Table4[[#This Row],[H]], "&gt;0", Table4[[#This Row],[U]], "&gt;0") + COUNTIFS(Table4[[#This Row],[C]], "&gt;0", Table4[[#This Row],[M]], "&gt;0")</f>
        <v>0</v>
      </c>
      <c r="AV19" s="219">
        <f>((-(Table4[[#This Row],[different_scores_count]]-3))/3)*Table4[[#This Row],[Indicator_20pct]]</f>
        <v>10</v>
      </c>
      <c r="AW19" s="183">
        <f>IF(Table4[[#This Row],[data_observations]]&gt;=5, 30, IF(Table4[[#This Row],[data_observations]]&gt;=3, 15, 0))</f>
        <v>15</v>
      </c>
      <c r="AX19" s="26" t="s">
        <v>2737</v>
      </c>
    </row>
    <row r="20" spans="1:55" ht="32" hidden="1" customHeight="1" x14ac:dyDescent="0.2">
      <c r="A20" s="16" t="s">
        <v>571</v>
      </c>
      <c r="B20" s="16" t="str">
        <f>VLOOKUP(Table4[[#This Row],[risk_id]], Table3[], 35, FALSE)</f>
        <v>Risk</v>
      </c>
      <c r="C20" s="16" t="str">
        <f>VLOOKUP(Table4[[#This Row],[risk_id]], Table3[], 2, FALSE)</f>
        <v>Community</v>
      </c>
      <c r="D20" s="15" t="str">
        <f>VLOOKUP(Table4[[#This Row],[risk_id]], Table3[], 3, FALSE)</f>
        <v>Lack of support for indigenous communities</v>
      </c>
      <c r="E20"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20" s="300">
        <f t="shared" si="0"/>
        <v>31.5</v>
      </c>
      <c r="G20" s="31">
        <f>Table4[[#This Row],[DataQuality_Score]]</f>
        <v>0.60313788771993582</v>
      </c>
      <c r="H20"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20" s="27" t="str">
        <f>Table4[[#This Row],[LoA - Metric]]&amp; ", " &amp;Table4[[#This Row],[ES - Metric]]</f>
        <v>Medium agreement, Medium evidence</v>
      </c>
      <c r="J20" s="222">
        <f>(Table4[[#This Row],[LoA_SCORE]]+Table4[[#This Row],[ES_SCORE]])/100</f>
        <v>0.60313788771993582</v>
      </c>
      <c r="K20"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20"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20" s="179">
        <f>Table4[[#This Row],[probability_average]]</f>
        <v>4.5</v>
      </c>
      <c r="N20" s="181">
        <f>Table4[[#This Row],[consequence_average]]</f>
        <v>7</v>
      </c>
      <c r="O20" s="220">
        <f>Table4[[#This Row],[agreementPCT_score]]+Table4[[#This Row],[agreement_dist_score]]+Table4[[#This Row],[LoA_AQ_score]]</f>
        <v>32.5</v>
      </c>
      <c r="P20" s="203">
        <f>Table4[[#This Row],[evidenceconsistency_score]]+Table4[[#This Row],[EQ_score]]+Table4[[#This Row],[EA_score]]+Table4[[#This Row],[ET_score]]</f>
        <v>27.813788771993579</v>
      </c>
      <c r="Q20" s="181">
        <f>VLOOKUP(Table4[[#This Row],[risk_id]],Table3[],10,FALSE)</f>
        <v>7</v>
      </c>
      <c r="R20" s="181">
        <f>VLOOKUP(Table4[[#This Row],[risk_id]],Table3[],9,FALSE)</f>
        <v>28</v>
      </c>
      <c r="S20" s="179">
        <f>VLOOKUP(Table4[[#This Row],[risk_id]],Table3[],7,FALSE)</f>
        <v>4.5</v>
      </c>
      <c r="T20" s="179">
        <f>VLOOKUP(Table4[[#This Row],[risk_id]],Table3[],6,FALSE)</f>
        <v>18</v>
      </c>
      <c r="U20" s="177">
        <f t="shared" si="1"/>
        <v>12.5</v>
      </c>
      <c r="V20" s="187">
        <f>10</f>
        <v>10</v>
      </c>
      <c r="W20" s="187">
        <f>30</f>
        <v>30</v>
      </c>
      <c r="X20" s="17">
        <f>VLOOKUP(Table4[[#This Row],[risk_id]],Table3[],5,FALSE)</f>
        <v>4</v>
      </c>
      <c r="Y20" s="17">
        <f>94</f>
        <v>94</v>
      </c>
      <c r="Z20" s="177">
        <f>Table4[[#This Row],[EStype_summed]]*Table4[[#This Row],[Indicator_12.5pct]]</f>
        <v>9.375</v>
      </c>
      <c r="AA20" s="190">
        <f>(IF(Table4[[#This Row],[all_evtype]]&gt;=4,"4", IF(Table4[[#This Row],[all_evtype]]&gt;=3,"3", IF(Table4[[#This Row],[all_evtype]]&gt;=2,"2", IF(Table4[[#This Row],[all_evtype]]&gt;=1,"1","0")))))/Table4[[#This Row],[HPS_et]]</f>
        <v>0.75</v>
      </c>
      <c r="AB20" s="191">
        <f>VLOOKUP(Table4[[#This Row],[risk_id]],Table3[], 14, FALSE)</f>
        <v>1</v>
      </c>
      <c r="AC20" s="191">
        <f>VLOOKUP(Table4[[#This Row],[risk_id]],Table3[], 15, FALSE)</f>
        <v>2</v>
      </c>
      <c r="AD20" s="191">
        <f>VLOOKUP(Table4[[#This Row],[risk_id]], Table3[], 16, FALSE)</f>
        <v>1</v>
      </c>
      <c r="AE20" s="191">
        <f>VLOOKUP(Table4[[#This Row],[risk_id]], Table3[], 17, )</f>
        <v>0</v>
      </c>
      <c r="AF20" s="191">
        <f>4</f>
        <v>4</v>
      </c>
      <c r="AG20" s="191">
        <f>COUNTIF(Table4[[#This Row],[THEO]:[MOD]], "&gt;=1")</f>
        <v>3</v>
      </c>
      <c r="AH20" s="192">
        <f>Table4[[#This Row],[data_observations]]/Table4[[#This Row],[AllObservations_count]]</f>
        <v>4.2553191489361701E-2</v>
      </c>
      <c r="AI20" s="189">
        <f>Table4[[#This Row],[evidenceamount_pct]]*(Table4[[#This Row],[Indicator_12.5pct]])</f>
        <v>0.53191489361702127</v>
      </c>
      <c r="AJ20" s="198">
        <f>(1-(VLOOKUP(Table4[[#This Row],[risk_id]],Table3[],18, FALSE))/(Table4[[#This Row],[data_observations]]))</f>
        <v>0.75</v>
      </c>
      <c r="AK20" s="198">
        <f>((VLOOKUP(Table4[[#This Row],[risk_id]],Table3[],19, FALSE))+((VLOOKUP(Table4[[#This Row],[risk_id]],Table3[],36, FALSE))*0.5))/(Table4[[#This Row],[data_observations]])</f>
        <v>0.5</v>
      </c>
      <c r="AL20" s="177">
        <f>((Table4[[#This Row],[ev_data_deficient_score]]*0.5)+(Table4[[#This Row],[ev_data_availability_score]]*0.5))*(Table4[[#This Row],[Indicator_12.5pct]])</f>
        <v>7.8125</v>
      </c>
      <c r="AM20" s="199">
        <f>Table4[[#This Row],[RiskScore]]</f>
        <v>31.5</v>
      </c>
      <c r="AN20" s="200">
        <f>VLOOKUP(Table4[[#This Row],[risk_id]], Table3[], 13, FALSE)</f>
        <v>6.0621778264910704</v>
      </c>
      <c r="AO20" s="185">
        <f>(1-(Table4[[#This Row],[evidence_SD_RR]]/Table4[[#This Row],[evidence_mean_RR]]))*(Table4[[#This Row],[Indicator_12.5pct]])</f>
        <v>10.094373878376558</v>
      </c>
      <c r="AP20" s="201">
        <f>VLOOKUP(Table4[[#This Row],[risk_id]],Table3[],21, FALSE)</f>
        <v>0</v>
      </c>
      <c r="AQ20" s="201">
        <f>VLOOKUP(Table4[[#This Row],[risk_id]],Table3[],23, FALSE)</f>
        <v>0.75</v>
      </c>
      <c r="AR20" s="201">
        <f>VLOOKUP(Table4[[#This Row],[risk_id]],Table3[],25, FALSE)</f>
        <v>0.25</v>
      </c>
      <c r="AS20" s="201">
        <f>VLOOKUP(Table4[[#This Row],[risk_id]],Table3[],27, FALSE)</f>
        <v>0</v>
      </c>
      <c r="AT20" s="183">
        <f>(MAX(Table4[[#This Row],[C]:[U]]))*Table4[[#This Row],[Indicator_20pct]]</f>
        <v>7.5</v>
      </c>
      <c r="AU20" s="205">
        <f>COUNTIFS(Table4[[#This Row],[C]], "&gt;0", Table4[[#This Row],[U]], "&gt;0") + COUNTIFS(Table4[[#This Row],[H]], "&gt;0", Table4[[#This Row],[U]], "&gt;0") + COUNTIFS(Table4[[#This Row],[C]], "&gt;0", Table4[[#This Row],[M]], "&gt;0")</f>
        <v>0</v>
      </c>
      <c r="AV20" s="219">
        <f>((-(Table4[[#This Row],[different_scores_count]]-3))/3)*Table4[[#This Row],[Indicator_20pct]]</f>
        <v>10</v>
      </c>
      <c r="AW20" s="183">
        <f>IF(Table4[[#This Row],[data_observations]]&gt;=5, 30, IF(Table4[[#This Row],[data_observations]]&gt;=3, 15, 0))</f>
        <v>15</v>
      </c>
      <c r="AX20" s="26" t="s">
        <v>2736</v>
      </c>
      <c r="BC20" s="16">
        <f>50/151</f>
        <v>0.33112582781456956</v>
      </c>
    </row>
    <row r="21" spans="1:55" ht="32" hidden="1" customHeight="1" x14ac:dyDescent="0.2">
      <c r="A21" s="16" t="s">
        <v>2667</v>
      </c>
      <c r="B21" s="16" t="str">
        <f>VLOOKUP(Table4[[#This Row],[risk_id]], Table3[], 35, FALSE)</f>
        <v>Risk</v>
      </c>
      <c r="C21" s="16" t="str">
        <f>VLOOKUP(Table4[[#This Row],[risk_id]], Table3[], 2, FALSE)</f>
        <v>Pollutants</v>
      </c>
      <c r="D21" s="15" t="str">
        <f>VLOOKUP(Table4[[#This Row],[risk_id]], Table3[], 3, FALSE)</f>
        <v>Black carbon air emissions</v>
      </c>
      <c r="E21"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21" s="300">
        <f t="shared" si="0"/>
        <v>31.230769230769234</v>
      </c>
      <c r="G21" s="31">
        <f>Table4[[#This Row],[DataQuality_Score]]</f>
        <v>0.73765016853283472</v>
      </c>
      <c r="H21"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21" s="27" t="str">
        <f>Table4[[#This Row],[LoA - Metric]]&amp; ", " &amp;Table4[[#This Row],[ES - Metric]]</f>
        <v>High agreement, Medium evidence</v>
      </c>
      <c r="J21" s="222">
        <f>(Table4[[#This Row],[LoA_SCORE]]+Table4[[#This Row],[ES_SCORE]])/100</f>
        <v>0.73765016853283472</v>
      </c>
      <c r="K21"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21"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21" s="179">
        <f>Table4[[#This Row],[probability_average]]</f>
        <v>4.4615384615384617</v>
      </c>
      <c r="N21" s="181">
        <f>Table4[[#This Row],[consequence_average]]</f>
        <v>7</v>
      </c>
      <c r="O21" s="220">
        <f>Table4[[#This Row],[agreementPCT_score]]+Table4[[#This Row],[agreement_dist_score]]+Table4[[#This Row],[LoA_AQ_score]]</f>
        <v>42.051282051282051</v>
      </c>
      <c r="P21" s="203">
        <f>Table4[[#This Row],[evidenceconsistency_score]]+Table4[[#This Row],[EQ_score]]+Table4[[#This Row],[EA_score]]+Table4[[#This Row],[ET_score]]</f>
        <v>31.713734802001419</v>
      </c>
      <c r="Q21" s="181">
        <f>VLOOKUP(Table4[[#This Row],[risk_id]],Table3[],10,FALSE)</f>
        <v>7</v>
      </c>
      <c r="R21" s="181">
        <f>VLOOKUP(Table4[[#This Row],[risk_id]],Table3[],9,FALSE)</f>
        <v>91</v>
      </c>
      <c r="S21" s="179">
        <f>VLOOKUP(Table4[[#This Row],[risk_id]],Table3[],7,FALSE)</f>
        <v>4.4615384615384617</v>
      </c>
      <c r="T21" s="179">
        <f>VLOOKUP(Table4[[#This Row],[risk_id]],Table3[],6,FALSE)</f>
        <v>58</v>
      </c>
      <c r="U21" s="177">
        <f t="shared" si="1"/>
        <v>12.5</v>
      </c>
      <c r="V21" s="187">
        <f>10</f>
        <v>10</v>
      </c>
      <c r="W21" s="187">
        <f>30</f>
        <v>30</v>
      </c>
      <c r="X21" s="17">
        <f>VLOOKUP(Table4[[#This Row],[risk_id]],Table3[],5,FALSE)</f>
        <v>13</v>
      </c>
      <c r="Y21" s="17">
        <f>94</f>
        <v>94</v>
      </c>
      <c r="Z21" s="177">
        <f>Table4[[#This Row],[EStype_summed]]*Table4[[#This Row],[Indicator_12.5pct]]</f>
        <v>12.5</v>
      </c>
      <c r="AA21" s="190">
        <f>(IF(Table4[[#This Row],[all_evtype]]&gt;=4,"4", IF(Table4[[#This Row],[all_evtype]]&gt;=3,"3", IF(Table4[[#This Row],[all_evtype]]&gt;=2,"2", IF(Table4[[#This Row],[all_evtype]]&gt;=1,"1","0")))))/Table4[[#This Row],[HPS_et]]</f>
        <v>1</v>
      </c>
      <c r="AB21" s="191">
        <f>VLOOKUP(Table4[[#This Row],[risk_id]],Table3[], 14, FALSE)</f>
        <v>3</v>
      </c>
      <c r="AC21" s="191">
        <f>VLOOKUP(Table4[[#This Row],[risk_id]],Table3[], 15, FALSE)</f>
        <v>4</v>
      </c>
      <c r="AD21" s="191">
        <f>VLOOKUP(Table4[[#This Row],[risk_id]], Table3[], 16, FALSE)</f>
        <v>4</v>
      </c>
      <c r="AE21" s="191">
        <f>VLOOKUP(Table4[[#This Row],[risk_id]], Table3[], 17, )</f>
        <v>2</v>
      </c>
      <c r="AF21" s="191">
        <f>4</f>
        <v>4</v>
      </c>
      <c r="AG21" s="191">
        <f>COUNTIF(Table4[[#This Row],[THEO]:[MOD]], "&gt;=1")</f>
        <v>4</v>
      </c>
      <c r="AH21" s="192">
        <f>Table4[[#This Row],[data_observations]]/Table4[[#This Row],[AllObservations_count]]</f>
        <v>0.13829787234042554</v>
      </c>
      <c r="AI21" s="189">
        <f>Table4[[#This Row],[evidenceamount_pct]]*(Table4[[#This Row],[Indicator_12.5pct]])</f>
        <v>1.7287234042553192</v>
      </c>
      <c r="AJ21" s="198">
        <f>(1-(VLOOKUP(Table4[[#This Row],[risk_id]],Table3[],18, FALSE))/(Table4[[#This Row],[data_observations]]))</f>
        <v>0.92307692307692313</v>
      </c>
      <c r="AK21" s="198">
        <f>((VLOOKUP(Table4[[#This Row],[risk_id]],Table3[],19, FALSE))+((VLOOKUP(Table4[[#This Row],[risk_id]],Table3[],36, FALSE))*0.5))/(Table4[[#This Row],[data_observations]])</f>
        <v>0.46153846153846156</v>
      </c>
      <c r="AL21" s="177">
        <f>((Table4[[#This Row],[ev_data_deficient_score]]*0.5)+(Table4[[#This Row],[ev_data_availability_score]]*0.5))*(Table4[[#This Row],[Indicator_12.5pct]])</f>
        <v>8.6538461538461533</v>
      </c>
      <c r="AM21" s="199">
        <f>Table4[[#This Row],[RiskScore]]</f>
        <v>31.230769230769234</v>
      </c>
      <c r="AN21" s="200">
        <f>VLOOKUP(Table4[[#This Row],[risk_id]], Table3[], 13, FALSE)</f>
        <v>9.1664425290869112</v>
      </c>
      <c r="AO21" s="185">
        <f>(1-(Table4[[#This Row],[evidence_SD_RR]]/Table4[[#This Row],[evidence_mean_RR]]))*(Table4[[#This Row],[Indicator_12.5pct]])</f>
        <v>8.8311652438999442</v>
      </c>
      <c r="AP21" s="201">
        <f>VLOOKUP(Table4[[#This Row],[risk_id]],Table3[],21, FALSE)</f>
        <v>0.15384615384615385</v>
      </c>
      <c r="AQ21" s="201">
        <f>VLOOKUP(Table4[[#This Row],[risk_id]],Table3[],23, FALSE)</f>
        <v>0.53846153846153844</v>
      </c>
      <c r="AR21" s="201">
        <f>VLOOKUP(Table4[[#This Row],[risk_id]],Table3[],25, FALSE)</f>
        <v>0.30769230769230771</v>
      </c>
      <c r="AS21" s="201">
        <f>VLOOKUP(Table4[[#This Row],[risk_id]],Table3[],27, FALSE)</f>
        <v>0</v>
      </c>
      <c r="AT21" s="183">
        <f>(MAX(Table4[[#This Row],[C]:[U]]))*Table4[[#This Row],[Indicator_20pct]]</f>
        <v>5.3846153846153841</v>
      </c>
      <c r="AU21" s="205">
        <f>COUNTIFS(Table4[[#This Row],[C]], "&gt;0", Table4[[#This Row],[U]], "&gt;0") + COUNTIFS(Table4[[#This Row],[H]], "&gt;0", Table4[[#This Row],[U]], "&gt;0") + COUNTIFS(Table4[[#This Row],[C]], "&gt;0", Table4[[#This Row],[M]], "&gt;0")</f>
        <v>1</v>
      </c>
      <c r="AV21" s="219">
        <f>((-(Table4[[#This Row],[different_scores_count]]-3))/3)*Table4[[#This Row],[Indicator_20pct]]</f>
        <v>6.6666666666666661</v>
      </c>
      <c r="AW21" s="183">
        <f>IF(Table4[[#This Row],[data_observations]]&gt;=5, 30, IF(Table4[[#This Row],[data_observations]]&gt;=3, 15, 0))</f>
        <v>30</v>
      </c>
      <c r="AX21" s="26" t="s">
        <v>2737</v>
      </c>
    </row>
    <row r="22" spans="1:55" ht="32" customHeight="1" x14ac:dyDescent="0.2">
      <c r="A22" s="16" t="s">
        <v>2693</v>
      </c>
      <c r="B22" s="16" t="str">
        <f>VLOOKUP(Table4[[#This Row],[risk_id]], Table3[], 35, FALSE)</f>
        <v>Hazard</v>
      </c>
      <c r="C22" s="16" t="str">
        <f>VLOOKUP(Table4[[#This Row],[risk_id]], Table3[], 2, FALSE)</f>
        <v>Operational</v>
      </c>
      <c r="D22" s="15" t="str">
        <f>VLOOKUP(Table4[[#This Row],[risk_id]], Table3[], 3, FALSE)</f>
        <v>Lack of icebreaking capability</v>
      </c>
      <c r="E22"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22" s="300">
        <f t="shared" si="0"/>
        <v>31</v>
      </c>
      <c r="G22" s="31">
        <f>Table4[[#This Row],[DataQuality_Score]]</f>
        <v>0.59842942142525635</v>
      </c>
      <c r="H22"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22" s="27" t="str">
        <f>Table4[[#This Row],[LoA - Metric]]&amp; ", " &amp;Table4[[#This Row],[ES - Metric]]</f>
        <v>Medium agreement, Medium evidence</v>
      </c>
      <c r="J22" s="222">
        <f>(Table4[[#This Row],[LoA_SCORE]]+Table4[[#This Row],[ES_SCORE]])/100</f>
        <v>0.59842942142525635</v>
      </c>
      <c r="K22"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22"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22" s="179">
        <f>Table4[[#This Row],[probability_average]]</f>
        <v>4</v>
      </c>
      <c r="N22" s="181">
        <f>Table4[[#This Row],[consequence_average]]</f>
        <v>7.75</v>
      </c>
      <c r="O22" s="220">
        <f>Table4[[#This Row],[agreementPCT_score]]+Table4[[#This Row],[agreement_dist_score]]+Table4[[#This Row],[LoA_AQ_score]]</f>
        <v>32.5</v>
      </c>
      <c r="P22" s="203">
        <f>Table4[[#This Row],[evidenceconsistency_score]]+Table4[[#This Row],[EQ_score]]+Table4[[#This Row],[EA_score]]+Table4[[#This Row],[ET_score]]</f>
        <v>27.342942142525636</v>
      </c>
      <c r="Q22" s="181">
        <f>VLOOKUP(Table4[[#This Row],[risk_id]],Table3[],10,FALSE)</f>
        <v>7.75</v>
      </c>
      <c r="R22" s="181">
        <f>VLOOKUP(Table4[[#This Row],[risk_id]],Table3[],9,FALSE)</f>
        <v>31</v>
      </c>
      <c r="S22" s="179">
        <f>VLOOKUP(Table4[[#This Row],[risk_id]],Table3[],7,FALSE)</f>
        <v>4</v>
      </c>
      <c r="T22" s="179">
        <f>VLOOKUP(Table4[[#This Row],[risk_id]],Table3[],6,FALSE)</f>
        <v>16</v>
      </c>
      <c r="U22" s="177">
        <f t="shared" si="1"/>
        <v>12.5</v>
      </c>
      <c r="V22" s="187">
        <f>10</f>
        <v>10</v>
      </c>
      <c r="W22" s="187">
        <f>30</f>
        <v>30</v>
      </c>
      <c r="X22" s="17">
        <f>VLOOKUP(Table4[[#This Row],[risk_id]],Table3[],5,FALSE)</f>
        <v>4</v>
      </c>
      <c r="Y22" s="17">
        <f>94</f>
        <v>94</v>
      </c>
      <c r="Z22" s="177">
        <f>Table4[[#This Row],[EStype_summed]]*Table4[[#This Row],[Indicator_12.5pct]]</f>
        <v>6.25</v>
      </c>
      <c r="AA22" s="190">
        <f>(IF(Table4[[#This Row],[all_evtype]]&gt;=4,"4", IF(Table4[[#This Row],[all_evtype]]&gt;=3,"3", IF(Table4[[#This Row],[all_evtype]]&gt;=2,"2", IF(Table4[[#This Row],[all_evtype]]&gt;=1,"1","0")))))/Table4[[#This Row],[HPS_et]]</f>
        <v>0.5</v>
      </c>
      <c r="AB22" s="191">
        <f>VLOOKUP(Table4[[#This Row],[risk_id]],Table3[], 14, FALSE)</f>
        <v>0</v>
      </c>
      <c r="AC22" s="191">
        <f>VLOOKUP(Table4[[#This Row],[risk_id]],Table3[], 15, FALSE)</f>
        <v>2</v>
      </c>
      <c r="AD22" s="191">
        <f>VLOOKUP(Table4[[#This Row],[risk_id]], Table3[], 16, FALSE)</f>
        <v>2</v>
      </c>
      <c r="AE22" s="191">
        <f>VLOOKUP(Table4[[#This Row],[risk_id]], Table3[], 17, )</f>
        <v>0</v>
      </c>
      <c r="AF22" s="191">
        <f>4</f>
        <v>4</v>
      </c>
      <c r="AG22" s="191">
        <f>COUNTIF(Table4[[#This Row],[THEO]:[MOD]], "&gt;=1")</f>
        <v>2</v>
      </c>
      <c r="AH22" s="192">
        <f>Table4[[#This Row],[data_observations]]/Table4[[#This Row],[AllObservations_count]]</f>
        <v>4.2553191489361701E-2</v>
      </c>
      <c r="AI22" s="189">
        <f>Table4[[#This Row],[evidenceamount_pct]]*(Table4[[#This Row],[Indicator_12.5pct]])</f>
        <v>0.53191489361702127</v>
      </c>
      <c r="AJ22" s="198">
        <f>(1-(VLOOKUP(Table4[[#This Row],[risk_id]],Table3[],18, FALSE))/(Table4[[#This Row],[data_observations]]))</f>
        <v>1</v>
      </c>
      <c r="AK22" s="198">
        <f>((VLOOKUP(Table4[[#This Row],[risk_id]],Table3[],19, FALSE))+((VLOOKUP(Table4[[#This Row],[risk_id]],Table3[],36, FALSE))*0.5))/(Table4[[#This Row],[data_observations]])</f>
        <v>0.625</v>
      </c>
      <c r="AL22" s="177">
        <f>((Table4[[#This Row],[ev_data_deficient_score]]*0.5)+(Table4[[#This Row],[ev_data_availability_score]]*0.5))*(Table4[[#This Row],[Indicator_12.5pct]])</f>
        <v>10.15625</v>
      </c>
      <c r="AM22" s="199">
        <f>Table4[[#This Row],[RiskScore]]</f>
        <v>31</v>
      </c>
      <c r="AN22" s="200">
        <f>VLOOKUP(Table4[[#This Row],[risk_id]], Table3[], 13, FALSE)</f>
        <v>5.196152422706632</v>
      </c>
      <c r="AO22" s="185">
        <f>(1-(Table4[[#This Row],[evidence_SD_RR]]/Table4[[#This Row],[evidence_mean_RR]]))*(Table4[[#This Row],[Indicator_12.5pct]])</f>
        <v>10.404777248908616</v>
      </c>
      <c r="AP22" s="201">
        <f>VLOOKUP(Table4[[#This Row],[risk_id]],Table3[],21, FALSE)</f>
        <v>0.25</v>
      </c>
      <c r="AQ22" s="201">
        <f>VLOOKUP(Table4[[#This Row],[risk_id]],Table3[],23, FALSE)</f>
        <v>0.75</v>
      </c>
      <c r="AR22" s="201">
        <f>VLOOKUP(Table4[[#This Row],[risk_id]],Table3[],25, FALSE)</f>
        <v>0</v>
      </c>
      <c r="AS22" s="201">
        <f>VLOOKUP(Table4[[#This Row],[risk_id]],Table3[],27, FALSE)</f>
        <v>0</v>
      </c>
      <c r="AT22" s="183">
        <f>(MAX(Table4[[#This Row],[C]:[U]]))*Table4[[#This Row],[Indicator_20pct]]</f>
        <v>7.5</v>
      </c>
      <c r="AU22" s="205">
        <f>COUNTIFS(Table4[[#This Row],[C]], "&gt;0", Table4[[#This Row],[U]], "&gt;0") + COUNTIFS(Table4[[#This Row],[H]], "&gt;0", Table4[[#This Row],[U]], "&gt;0") + COUNTIFS(Table4[[#This Row],[C]], "&gt;0", Table4[[#This Row],[M]], "&gt;0")</f>
        <v>0</v>
      </c>
      <c r="AV22" s="219">
        <f>((-(Table4[[#This Row],[different_scores_count]]-3))/3)*Table4[[#This Row],[Indicator_20pct]]</f>
        <v>10</v>
      </c>
      <c r="AW22" s="183">
        <f>IF(Table4[[#This Row],[data_observations]]&gt;=5, 30, IF(Table4[[#This Row],[data_observations]]&gt;=3, 15, 0))</f>
        <v>15</v>
      </c>
      <c r="AX22" s="26" t="s">
        <v>2737</v>
      </c>
    </row>
    <row r="23" spans="1:55" ht="32" hidden="1" customHeight="1" x14ac:dyDescent="0.2">
      <c r="A23" s="16" t="s">
        <v>2678</v>
      </c>
      <c r="B23" s="16" t="str">
        <f>VLOOKUP(Table4[[#This Row],[risk_id]], Table3[], 35, FALSE)</f>
        <v>Risk</v>
      </c>
      <c r="C23" s="16" t="str">
        <f>VLOOKUP(Table4[[#This Row],[risk_id]], Table3[], 2, FALSE)</f>
        <v>Environmental</v>
      </c>
      <c r="D23" s="15" t="str">
        <f>VLOOKUP(Table4[[#This Row],[risk_id]], Table3[], 3, FALSE)</f>
        <v>Expolitation of natural reserves</v>
      </c>
      <c r="E23"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23" s="300">
        <f t="shared" si="0"/>
        <v>30.560553633217992</v>
      </c>
      <c r="G23" s="31">
        <f>Table4[[#This Row],[DataQuality_Score]]</f>
        <v>0.7584910466289696</v>
      </c>
      <c r="H23"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23" s="27" t="str">
        <f>Table4[[#This Row],[LoA - Metric]]&amp; ", " &amp;Table4[[#This Row],[ES - Metric]]</f>
        <v>High agreement, Medium evidence</v>
      </c>
      <c r="J23" s="222">
        <f>(Table4[[#This Row],[LoA_SCORE]]+Table4[[#This Row],[ES_SCORE]])/100</f>
        <v>0.7584910466289696</v>
      </c>
      <c r="K23"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23"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23" s="179">
        <f>Table4[[#This Row],[probability_average]]</f>
        <v>3.7647058823529411</v>
      </c>
      <c r="N23" s="181">
        <f>Table4[[#This Row],[consequence_average]]</f>
        <v>8.117647058823529</v>
      </c>
      <c r="O23" s="220">
        <f>Table4[[#This Row],[agreementPCT_score]]+Table4[[#This Row],[agreement_dist_score]]+Table4[[#This Row],[LoA_AQ_score]]</f>
        <v>43.137254901960787</v>
      </c>
      <c r="P23" s="203">
        <f>Table4[[#This Row],[evidenceconsistency_score]]+Table4[[#This Row],[EQ_score]]+Table4[[#This Row],[EA_score]]+Table4[[#This Row],[ET_score]]</f>
        <v>32.711849760936182</v>
      </c>
      <c r="Q23" s="181">
        <f>VLOOKUP(Table4[[#This Row],[risk_id]],Table3[],10,FALSE)</f>
        <v>8.117647058823529</v>
      </c>
      <c r="R23" s="181">
        <f>VLOOKUP(Table4[[#This Row],[risk_id]],Table3[],9,FALSE)</f>
        <v>138</v>
      </c>
      <c r="S23" s="179">
        <f>VLOOKUP(Table4[[#This Row],[risk_id]],Table3[],7,FALSE)</f>
        <v>3.7647058823529411</v>
      </c>
      <c r="T23" s="179">
        <f>VLOOKUP(Table4[[#This Row],[risk_id]],Table3[],6,FALSE)</f>
        <v>64</v>
      </c>
      <c r="U23" s="177">
        <f t="shared" si="1"/>
        <v>12.5</v>
      </c>
      <c r="V23" s="187">
        <f>10</f>
        <v>10</v>
      </c>
      <c r="W23" s="187">
        <f>30</f>
        <v>30</v>
      </c>
      <c r="X23" s="17">
        <f>VLOOKUP(Table4[[#This Row],[risk_id]],Table3[],5,FALSE)</f>
        <v>17</v>
      </c>
      <c r="Y23" s="17">
        <f>94</f>
        <v>94</v>
      </c>
      <c r="Z23" s="177">
        <f>Table4[[#This Row],[EStype_summed]]*Table4[[#This Row],[Indicator_12.5pct]]</f>
        <v>12.5</v>
      </c>
      <c r="AA23" s="190">
        <f>(IF(Table4[[#This Row],[all_evtype]]&gt;=4,"4", IF(Table4[[#This Row],[all_evtype]]&gt;=3,"3", IF(Table4[[#This Row],[all_evtype]]&gt;=2,"2", IF(Table4[[#This Row],[all_evtype]]&gt;=1,"1","0")))))/Table4[[#This Row],[HPS_et]]</f>
        <v>1</v>
      </c>
      <c r="AB23" s="191">
        <f>VLOOKUP(Table4[[#This Row],[risk_id]],Table3[], 14, FALSE)</f>
        <v>6</v>
      </c>
      <c r="AC23" s="191">
        <f>VLOOKUP(Table4[[#This Row],[risk_id]],Table3[], 15, FALSE)</f>
        <v>7</v>
      </c>
      <c r="AD23" s="191">
        <f>VLOOKUP(Table4[[#This Row],[risk_id]], Table3[], 16, FALSE)</f>
        <v>3</v>
      </c>
      <c r="AE23" s="191">
        <f>VLOOKUP(Table4[[#This Row],[risk_id]], Table3[], 17, )</f>
        <v>1</v>
      </c>
      <c r="AF23" s="191">
        <f>4</f>
        <v>4</v>
      </c>
      <c r="AG23" s="191">
        <f>COUNTIF(Table4[[#This Row],[THEO]:[MOD]], "&gt;=1")</f>
        <v>4</v>
      </c>
      <c r="AH23" s="192">
        <f>Table4[[#This Row],[data_observations]]/Table4[[#This Row],[AllObservations_count]]</f>
        <v>0.18085106382978725</v>
      </c>
      <c r="AI23" s="189">
        <f>Table4[[#This Row],[evidenceamount_pct]]*(Table4[[#This Row],[Indicator_12.5pct]])</f>
        <v>2.2606382978723407</v>
      </c>
      <c r="AJ23" s="198">
        <f>(1-(VLOOKUP(Table4[[#This Row],[risk_id]],Table3[],18, FALSE))/(Table4[[#This Row],[data_observations]]))</f>
        <v>0.82352941176470584</v>
      </c>
      <c r="AK23" s="198">
        <f>((VLOOKUP(Table4[[#This Row],[risk_id]],Table3[],19, FALSE))+((VLOOKUP(Table4[[#This Row],[risk_id]],Table3[],36, FALSE))*0.5))/(Table4[[#This Row],[data_observations]])</f>
        <v>0.44117647058823528</v>
      </c>
      <c r="AL23" s="177">
        <f>((Table4[[#This Row],[ev_data_deficient_score]]*0.5)+(Table4[[#This Row],[ev_data_availability_score]]*0.5))*(Table4[[#This Row],[Indicator_12.5pct]])</f>
        <v>7.9044117647058822</v>
      </c>
      <c r="AM23" s="199">
        <f>Table4[[#This Row],[RiskScore]]</f>
        <v>30.560553633217992</v>
      </c>
      <c r="AN23" s="200">
        <f>VLOOKUP(Table4[[#This Row],[risk_id]], Table3[], 13, FALSE)</f>
        <v>5.9976927513086515</v>
      </c>
      <c r="AO23" s="185">
        <f>(1-(Table4[[#This Row],[evidence_SD_RR]]/Table4[[#This Row],[evidence_mean_RR]]))*(Table4[[#This Row],[Indicator_12.5pct]])</f>
        <v>10.04679969835796</v>
      </c>
      <c r="AP23" s="201">
        <f>VLOOKUP(Table4[[#This Row],[risk_id]],Table3[],21, FALSE)</f>
        <v>0.23529411764705882</v>
      </c>
      <c r="AQ23" s="201">
        <f>VLOOKUP(Table4[[#This Row],[risk_id]],Table3[],23, FALSE)</f>
        <v>0.6470588235294118</v>
      </c>
      <c r="AR23" s="201">
        <f>VLOOKUP(Table4[[#This Row],[risk_id]],Table3[],25, FALSE)</f>
        <v>0.11764705882352941</v>
      </c>
      <c r="AS23" s="201">
        <f>VLOOKUP(Table4[[#This Row],[risk_id]],Table3[],27, FALSE)</f>
        <v>0</v>
      </c>
      <c r="AT23" s="183">
        <f>(MAX(Table4[[#This Row],[C]:[U]]))*Table4[[#This Row],[Indicator_20pct]]</f>
        <v>6.4705882352941178</v>
      </c>
      <c r="AU23" s="205">
        <f>COUNTIFS(Table4[[#This Row],[C]], "&gt;0", Table4[[#This Row],[U]], "&gt;0") + COUNTIFS(Table4[[#This Row],[H]], "&gt;0", Table4[[#This Row],[U]], "&gt;0") + COUNTIFS(Table4[[#This Row],[C]], "&gt;0", Table4[[#This Row],[M]], "&gt;0")</f>
        <v>1</v>
      </c>
      <c r="AV23" s="219">
        <f>((-(Table4[[#This Row],[different_scores_count]]-3))/3)*Table4[[#This Row],[Indicator_20pct]]</f>
        <v>6.6666666666666661</v>
      </c>
      <c r="AW23" s="183">
        <f>IF(Table4[[#This Row],[data_observations]]&gt;=5, 30, IF(Table4[[#This Row],[data_observations]]&gt;=3, 15, 0))</f>
        <v>30</v>
      </c>
      <c r="AX23" s="26" t="s">
        <v>2737</v>
      </c>
    </row>
    <row r="24" spans="1:55" ht="32" customHeight="1" x14ac:dyDescent="0.2">
      <c r="A24" s="16" t="s">
        <v>2701</v>
      </c>
      <c r="B24" s="16" t="str">
        <f>VLOOKUP(Table4[[#This Row],[risk_id]], Table3[], 35, FALSE)</f>
        <v>Hazard</v>
      </c>
      <c r="C24" s="16" t="str">
        <f>VLOOKUP(Table4[[#This Row],[risk_id]], Table3[], 2, FALSE)</f>
        <v>Navigational</v>
      </c>
      <c r="D24" s="15" t="str">
        <f>VLOOKUP(Table4[[#This Row],[risk_id]], Table3[], 3, FALSE)</f>
        <v>Navigational obstacles</v>
      </c>
      <c r="E24"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24" s="300">
        <f t="shared" si="0"/>
        <v>30.4</v>
      </c>
      <c r="G24" s="31">
        <f>Table4[[#This Row],[DataQuality_Score]]</f>
        <v>0.68349370777197593</v>
      </c>
      <c r="H24"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24" s="27" t="str">
        <f>Table4[[#This Row],[LoA - Metric]]&amp; ", " &amp;Table4[[#This Row],[ES - Metric]]</f>
        <v>High agreement, Medium evidence</v>
      </c>
      <c r="J24" s="222">
        <f>(Table4[[#This Row],[LoA_SCORE]]+Table4[[#This Row],[ES_SCORE]])/100</f>
        <v>0.68349370777197593</v>
      </c>
      <c r="K24"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24"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24" s="179">
        <f>Table4[[#This Row],[probability_average]]</f>
        <v>4</v>
      </c>
      <c r="N24" s="181">
        <f>Table4[[#This Row],[consequence_average]]</f>
        <v>7.6</v>
      </c>
      <c r="O24" s="220">
        <f>Table4[[#This Row],[agreementPCT_score]]+Table4[[#This Row],[agreement_dist_score]]+Table4[[#This Row],[LoA_AQ_score]]</f>
        <v>40.666666666666664</v>
      </c>
      <c r="P24" s="203">
        <f>Table4[[#This Row],[evidenceconsistency_score]]+Table4[[#This Row],[EQ_score]]+Table4[[#This Row],[EA_score]]+Table4[[#This Row],[ET_score]]</f>
        <v>27.682704110530931</v>
      </c>
      <c r="Q24" s="181">
        <f>VLOOKUP(Table4[[#This Row],[risk_id]],Table3[],10,FALSE)</f>
        <v>7.6</v>
      </c>
      <c r="R24" s="181">
        <f>VLOOKUP(Table4[[#This Row],[risk_id]],Table3[],9,FALSE)</f>
        <v>38</v>
      </c>
      <c r="S24" s="179">
        <f>VLOOKUP(Table4[[#This Row],[risk_id]],Table3[],7,FALSE)</f>
        <v>4</v>
      </c>
      <c r="T24" s="179">
        <f>VLOOKUP(Table4[[#This Row],[risk_id]],Table3[],6,FALSE)</f>
        <v>20</v>
      </c>
      <c r="U24" s="177">
        <f t="shared" si="1"/>
        <v>12.5</v>
      </c>
      <c r="V24" s="187">
        <f>10</f>
        <v>10</v>
      </c>
      <c r="W24" s="187">
        <f>30</f>
        <v>30</v>
      </c>
      <c r="X24" s="17">
        <f>VLOOKUP(Table4[[#This Row],[risk_id]],Table3[],5,FALSE)</f>
        <v>5</v>
      </c>
      <c r="Y24" s="17">
        <f>94</f>
        <v>94</v>
      </c>
      <c r="Z24" s="177">
        <f>Table4[[#This Row],[EStype_summed]]*Table4[[#This Row],[Indicator_12.5pct]]</f>
        <v>6.25</v>
      </c>
      <c r="AA24" s="190">
        <f>(IF(Table4[[#This Row],[all_evtype]]&gt;=4,"4", IF(Table4[[#This Row],[all_evtype]]&gt;=3,"3", IF(Table4[[#This Row],[all_evtype]]&gt;=2,"2", IF(Table4[[#This Row],[all_evtype]]&gt;=1,"1","0")))))/Table4[[#This Row],[HPS_et]]</f>
        <v>0.5</v>
      </c>
      <c r="AB24" s="191">
        <f>VLOOKUP(Table4[[#This Row],[risk_id]],Table3[], 14, FALSE)</f>
        <v>0</v>
      </c>
      <c r="AC24" s="191">
        <f>VLOOKUP(Table4[[#This Row],[risk_id]],Table3[], 15, FALSE)</f>
        <v>3</v>
      </c>
      <c r="AD24" s="191">
        <f>VLOOKUP(Table4[[#This Row],[risk_id]], Table3[], 16, FALSE)</f>
        <v>2</v>
      </c>
      <c r="AE24" s="191">
        <f>VLOOKUP(Table4[[#This Row],[risk_id]], Table3[], 17, )</f>
        <v>0</v>
      </c>
      <c r="AF24" s="191">
        <f>4</f>
        <v>4</v>
      </c>
      <c r="AG24" s="191">
        <f>COUNTIF(Table4[[#This Row],[THEO]:[MOD]], "&gt;=1")</f>
        <v>2</v>
      </c>
      <c r="AH24" s="192">
        <f>Table4[[#This Row],[data_observations]]/Table4[[#This Row],[AllObservations_count]]</f>
        <v>5.3191489361702128E-2</v>
      </c>
      <c r="AI24" s="189">
        <f>Table4[[#This Row],[evidenceamount_pct]]*(Table4[[#This Row],[Indicator_12.5pct]])</f>
        <v>0.66489361702127658</v>
      </c>
      <c r="AJ24" s="198">
        <f>(1-(VLOOKUP(Table4[[#This Row],[risk_id]],Table3[],18, FALSE))/(Table4[[#This Row],[data_observations]]))</f>
        <v>1</v>
      </c>
      <c r="AK24" s="198">
        <f>((VLOOKUP(Table4[[#This Row],[risk_id]],Table3[],19, FALSE))+((VLOOKUP(Table4[[#This Row],[risk_id]],Table3[],36, FALSE))*0.5))/(Table4[[#This Row],[data_observations]])</f>
        <v>0.9</v>
      </c>
      <c r="AL24" s="177">
        <f>((Table4[[#This Row],[ev_data_deficient_score]]*0.5)+(Table4[[#This Row],[ev_data_availability_score]]*0.5))*(Table4[[#This Row],[Indicator_12.5pct]])</f>
        <v>11.875</v>
      </c>
      <c r="AM24" s="199">
        <f>Table4[[#This Row],[RiskScore]]</f>
        <v>30.4</v>
      </c>
      <c r="AN24" s="200">
        <f>VLOOKUP(Table4[[#This Row],[risk_id]], Table3[], 13, FALSE)</f>
        <v>8.7726848797845225</v>
      </c>
      <c r="AO24" s="185">
        <f>(1-(Table4[[#This Row],[evidence_SD_RR]]/Table4[[#This Row],[evidence_mean_RR]]))*(Table4[[#This Row],[Indicator_12.5pct]])</f>
        <v>8.8928104935096535</v>
      </c>
      <c r="AP24" s="201">
        <f>VLOOKUP(Table4[[#This Row],[risk_id]],Table3[],21, FALSE)</f>
        <v>0.4</v>
      </c>
      <c r="AQ24" s="201">
        <f>VLOOKUP(Table4[[#This Row],[risk_id]],Table3[],23, FALSE)</f>
        <v>0.2</v>
      </c>
      <c r="AR24" s="201">
        <f>VLOOKUP(Table4[[#This Row],[risk_id]],Table3[],25, FALSE)</f>
        <v>0.4</v>
      </c>
      <c r="AS24" s="201">
        <f>VLOOKUP(Table4[[#This Row],[risk_id]],Table3[],27, FALSE)</f>
        <v>0</v>
      </c>
      <c r="AT24" s="183">
        <f>(MAX(Table4[[#This Row],[C]:[U]]))*Table4[[#This Row],[Indicator_20pct]]</f>
        <v>4</v>
      </c>
      <c r="AU24" s="205">
        <f>COUNTIFS(Table4[[#This Row],[C]], "&gt;0", Table4[[#This Row],[U]], "&gt;0") + COUNTIFS(Table4[[#This Row],[H]], "&gt;0", Table4[[#This Row],[U]], "&gt;0") + COUNTIFS(Table4[[#This Row],[C]], "&gt;0", Table4[[#This Row],[M]], "&gt;0")</f>
        <v>1</v>
      </c>
      <c r="AV24" s="219">
        <f>((-(Table4[[#This Row],[different_scores_count]]-3))/3)*Table4[[#This Row],[Indicator_20pct]]</f>
        <v>6.6666666666666661</v>
      </c>
      <c r="AW24" s="183">
        <f>IF(Table4[[#This Row],[data_observations]]&gt;=5, 30, IF(Table4[[#This Row],[data_observations]]&gt;=3, 15, 0))</f>
        <v>30</v>
      </c>
      <c r="AX24" s="26" t="s">
        <v>2737</v>
      </c>
    </row>
    <row r="25" spans="1:55" ht="32" customHeight="1" x14ac:dyDescent="0.2">
      <c r="A25" s="16" t="s">
        <v>2712</v>
      </c>
      <c r="B25" s="16" t="str">
        <f>VLOOKUP(Table4[[#This Row],[risk_id]], Table3[], 35, FALSE)</f>
        <v>Hazard</v>
      </c>
      <c r="C25" s="16" t="str">
        <f>VLOOKUP(Table4[[#This Row],[risk_id]], Table3[], 2, FALSE)</f>
        <v>Sea Ice</v>
      </c>
      <c r="D25" s="15" t="str">
        <f>VLOOKUP(Table4[[#This Row],[risk_id]], Table3[], 3, FALSE)</f>
        <v>Sea ice melt</v>
      </c>
      <c r="E25"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25" s="300">
        <f t="shared" si="0"/>
        <v>30.053571428571427</v>
      </c>
      <c r="G25" s="31">
        <f>Table4[[#This Row],[DataQuality_Score]]</f>
        <v>0.78135736292369207</v>
      </c>
      <c r="H25"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25" s="27" t="str">
        <f>Table4[[#This Row],[LoA - Metric]]&amp; ", " &amp;Table4[[#This Row],[ES - Metric]]</f>
        <v>High agreement, Robust evidence</v>
      </c>
      <c r="J25" s="222">
        <f>(Table4[[#This Row],[LoA_SCORE]]+Table4[[#This Row],[ES_SCORE]])/100</f>
        <v>0.78135736292369207</v>
      </c>
      <c r="K25"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25"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Robust evidence</v>
      </c>
      <c r="M25" s="179">
        <f>Table4[[#This Row],[probability_average]]</f>
        <v>4.25</v>
      </c>
      <c r="N25" s="181">
        <f>Table4[[#This Row],[consequence_average]]</f>
        <v>7.0714285714285712</v>
      </c>
      <c r="O25" s="220">
        <f>Table4[[#This Row],[agreementPCT_score]]+Table4[[#This Row],[agreement_dist_score]]+Table4[[#This Row],[LoA_AQ_score]]</f>
        <v>43.80952380952381</v>
      </c>
      <c r="P25" s="203">
        <f>Table4[[#This Row],[evidenceconsistency_score]]+Table4[[#This Row],[EQ_score]]+Table4[[#This Row],[EA_score]]+Table4[[#This Row],[ET_score]]</f>
        <v>34.326212482845392</v>
      </c>
      <c r="Q25" s="181">
        <f>VLOOKUP(Table4[[#This Row],[risk_id]],Table3[],10,FALSE)</f>
        <v>7.0714285714285712</v>
      </c>
      <c r="R25" s="181">
        <f>VLOOKUP(Table4[[#This Row],[risk_id]],Table3[],9,FALSE)</f>
        <v>198</v>
      </c>
      <c r="S25" s="179">
        <f>VLOOKUP(Table4[[#This Row],[risk_id]],Table3[],7,FALSE)</f>
        <v>4.25</v>
      </c>
      <c r="T25" s="179">
        <f>VLOOKUP(Table4[[#This Row],[risk_id]],Table3[],6,FALSE)</f>
        <v>119</v>
      </c>
      <c r="U25" s="177">
        <f t="shared" si="1"/>
        <v>12.5</v>
      </c>
      <c r="V25" s="187">
        <f>10</f>
        <v>10</v>
      </c>
      <c r="W25" s="187">
        <f>30</f>
        <v>30</v>
      </c>
      <c r="X25" s="17">
        <f>VLOOKUP(Table4[[#This Row],[risk_id]],Table3[],5,FALSE)</f>
        <v>28</v>
      </c>
      <c r="Y25" s="17">
        <f>94</f>
        <v>94</v>
      </c>
      <c r="Z25" s="177">
        <f>Table4[[#This Row],[EStype_summed]]*Table4[[#This Row],[Indicator_12.5pct]]</f>
        <v>12.5</v>
      </c>
      <c r="AA25" s="190">
        <f>(IF(Table4[[#This Row],[all_evtype]]&gt;=4,"4", IF(Table4[[#This Row],[all_evtype]]&gt;=3,"3", IF(Table4[[#This Row],[all_evtype]]&gt;=2,"2", IF(Table4[[#This Row],[all_evtype]]&gt;=1,"1","0")))))/Table4[[#This Row],[HPS_et]]</f>
        <v>1</v>
      </c>
      <c r="AB25" s="191">
        <f>VLOOKUP(Table4[[#This Row],[risk_id]],Table3[], 14, FALSE)</f>
        <v>7</v>
      </c>
      <c r="AC25" s="191">
        <f>VLOOKUP(Table4[[#This Row],[risk_id]],Table3[], 15, FALSE)</f>
        <v>13</v>
      </c>
      <c r="AD25" s="191">
        <f>VLOOKUP(Table4[[#This Row],[risk_id]], Table3[], 16, FALSE)</f>
        <v>6</v>
      </c>
      <c r="AE25" s="191">
        <f>VLOOKUP(Table4[[#This Row],[risk_id]], Table3[], 17, )</f>
        <v>2</v>
      </c>
      <c r="AF25" s="191">
        <f>4</f>
        <v>4</v>
      </c>
      <c r="AG25" s="191">
        <f>COUNTIF(Table4[[#This Row],[THEO]:[MOD]], "&gt;=1")</f>
        <v>4</v>
      </c>
      <c r="AH25" s="192">
        <f>Table4[[#This Row],[data_observations]]/Table4[[#This Row],[AllObservations_count]]</f>
        <v>0.2978723404255319</v>
      </c>
      <c r="AI25" s="189">
        <f>Table4[[#This Row],[evidenceamount_pct]]*(Table4[[#This Row],[Indicator_12.5pct]])</f>
        <v>3.7234042553191489</v>
      </c>
      <c r="AJ25" s="198">
        <f>(1-(VLOOKUP(Table4[[#This Row],[risk_id]],Table3[],18, FALSE))/(Table4[[#This Row],[data_observations]]))</f>
        <v>0.8928571428571429</v>
      </c>
      <c r="AK25" s="198">
        <f>((VLOOKUP(Table4[[#This Row],[risk_id]],Table3[],19, FALSE))+((VLOOKUP(Table4[[#This Row],[risk_id]],Table3[],36, FALSE))*0.5))/(Table4[[#This Row],[data_observations]])</f>
        <v>0.5178571428571429</v>
      </c>
      <c r="AL25" s="177">
        <f>((Table4[[#This Row],[ev_data_deficient_score]]*0.5)+(Table4[[#This Row],[ev_data_availability_score]]*0.5))*(Table4[[#This Row],[Indicator_12.5pct]])</f>
        <v>8.8169642857142865</v>
      </c>
      <c r="AM25" s="199">
        <f>Table4[[#This Row],[RiskScore]]</f>
        <v>30.053571428571427</v>
      </c>
      <c r="AN25" s="200">
        <f>VLOOKUP(Table4[[#This Row],[risk_id]], Table3[], 13, FALSE)</f>
        <v>7.7277494941863871</v>
      </c>
      <c r="AO25" s="185">
        <f>(1-(Table4[[#This Row],[evidence_SD_RR]]/Table4[[#This Row],[evidence_mean_RR]]))*(Table4[[#This Row],[Indicator_12.5pct]])</f>
        <v>9.2858439418119616</v>
      </c>
      <c r="AP25" s="201">
        <f>VLOOKUP(Table4[[#This Row],[risk_id]],Table3[],21, FALSE)</f>
        <v>0.14285714285714285</v>
      </c>
      <c r="AQ25" s="201">
        <f>VLOOKUP(Table4[[#This Row],[risk_id]],Table3[],23, FALSE)</f>
        <v>0.7142857142857143</v>
      </c>
      <c r="AR25" s="201">
        <f>VLOOKUP(Table4[[#This Row],[risk_id]],Table3[],25, FALSE)</f>
        <v>0.14285714285714285</v>
      </c>
      <c r="AS25" s="201">
        <f>VLOOKUP(Table4[[#This Row],[risk_id]],Table3[],27, FALSE)</f>
        <v>0</v>
      </c>
      <c r="AT25" s="183">
        <f>(MAX(Table4[[#This Row],[C]:[U]]))*Table4[[#This Row],[Indicator_20pct]]</f>
        <v>7.1428571428571432</v>
      </c>
      <c r="AU25" s="205">
        <f>COUNTIFS(Table4[[#This Row],[C]], "&gt;0", Table4[[#This Row],[U]], "&gt;0") + COUNTIFS(Table4[[#This Row],[H]], "&gt;0", Table4[[#This Row],[U]], "&gt;0") + COUNTIFS(Table4[[#This Row],[C]], "&gt;0", Table4[[#This Row],[M]], "&gt;0")</f>
        <v>1</v>
      </c>
      <c r="AV25" s="219">
        <f>((-(Table4[[#This Row],[different_scores_count]]-3))/3)*Table4[[#This Row],[Indicator_20pct]]</f>
        <v>6.6666666666666661</v>
      </c>
      <c r="AW25" s="183">
        <f>IF(Table4[[#This Row],[data_observations]]&gt;=5, 30, IF(Table4[[#This Row],[data_observations]]&gt;=3, 15, 0))</f>
        <v>30</v>
      </c>
      <c r="AX25" s="26" t="s">
        <v>2737</v>
      </c>
    </row>
    <row r="26" spans="1:55" ht="32" hidden="1" customHeight="1" x14ac:dyDescent="0.2">
      <c r="A26" s="16" t="s">
        <v>514</v>
      </c>
      <c r="B26" s="16" t="str">
        <f>VLOOKUP(Table4[[#This Row],[risk_id]], Table3[], 35, FALSE)</f>
        <v>Risk</v>
      </c>
      <c r="C26" s="16" t="str">
        <f>VLOOKUP(Table4[[#This Row],[risk_id]], Table3[], 2, FALSE)</f>
        <v>Economic</v>
      </c>
      <c r="D26" s="15" t="str">
        <f>VLOOKUP(Table4[[#This Row],[risk_id]], Table3[], 3, FALSE)</f>
        <v>Fluctuating fuel prices</v>
      </c>
      <c r="E26"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26" s="300">
        <f t="shared" si="0"/>
        <v>30</v>
      </c>
      <c r="G26" s="172">
        <f>Table4[[#This Row],[DataQuality_Score]]</f>
        <v>0.58285991248602143</v>
      </c>
      <c r="H26"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26" s="27" t="str">
        <f>Table4[[#This Row],[LoA - Metric]]&amp; ", " &amp;Table4[[#This Row],[ES - Metric]]</f>
        <v>Medium agreement, Medium evidence</v>
      </c>
      <c r="J26" s="222">
        <f>(Table4[[#This Row],[LoA_SCORE]]+Table4[[#This Row],[ES_SCORE]])/100</f>
        <v>0.58285991248602143</v>
      </c>
      <c r="K26"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26"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26" s="179">
        <f>Table4[[#This Row],[probability_average]]</f>
        <v>5</v>
      </c>
      <c r="N26" s="181">
        <f>Table4[[#This Row],[consequence_average]]</f>
        <v>6</v>
      </c>
      <c r="O26" s="220">
        <f>Table4[[#This Row],[agreementPCT_score]]+Table4[[#This Row],[agreement_dist_score]]+Table4[[#This Row],[LoA_AQ_score]]</f>
        <v>31.666666666666664</v>
      </c>
      <c r="P26" s="203">
        <f>Table4[[#This Row],[evidenceconsistency_score]]+Table4[[#This Row],[EQ_score]]+Table4[[#This Row],[EA_score]]+Table4[[#This Row],[ET_score]]</f>
        <v>26.619324581935484</v>
      </c>
      <c r="Q26" s="181">
        <f>VLOOKUP(Table4[[#This Row],[risk_id]],Table3[],10,FALSE)</f>
        <v>6</v>
      </c>
      <c r="R26" s="181">
        <f>VLOOKUP(Table4[[#This Row],[risk_id]],Table3[],9,FALSE)</f>
        <v>18</v>
      </c>
      <c r="S26" s="179">
        <f>VLOOKUP(Table4[[#This Row],[risk_id]],Table3[],7,FALSE)</f>
        <v>5</v>
      </c>
      <c r="T26" s="179">
        <f>VLOOKUP(Table4[[#This Row],[risk_id]],Table3[],6,FALSE)</f>
        <v>15</v>
      </c>
      <c r="U26" s="177">
        <f t="shared" si="1"/>
        <v>12.5</v>
      </c>
      <c r="V26" s="187">
        <f>10</f>
        <v>10</v>
      </c>
      <c r="W26" s="187">
        <f>30</f>
        <v>30</v>
      </c>
      <c r="X26" s="165">
        <f>VLOOKUP(Table4[[#This Row],[risk_id]],Table3[],5,FALSE)</f>
        <v>3</v>
      </c>
      <c r="Y26" s="17">
        <f>94</f>
        <v>94</v>
      </c>
      <c r="Z26" s="177">
        <f>Table4[[#This Row],[EStype_summed]]*Table4[[#This Row],[Indicator_12.5pct]]</f>
        <v>6.25</v>
      </c>
      <c r="AA26" s="190">
        <f>(IF(Table4[[#This Row],[all_evtype]]&gt;=4,"4", IF(Table4[[#This Row],[all_evtype]]&gt;=3,"3", IF(Table4[[#This Row],[all_evtype]]&gt;=2,"2", IF(Table4[[#This Row],[all_evtype]]&gt;=1,"1","0")))))/Table4[[#This Row],[HPS_et]]</f>
        <v>0.5</v>
      </c>
      <c r="AB26" s="191">
        <f>VLOOKUP(Table4[[#This Row],[risk_id]],Table3[], 14, FALSE)</f>
        <v>1</v>
      </c>
      <c r="AC26" s="191">
        <f>VLOOKUP(Table4[[#This Row],[risk_id]],Table3[], 15, FALSE)</f>
        <v>2</v>
      </c>
      <c r="AD26" s="191">
        <f>VLOOKUP(Table4[[#This Row],[risk_id]], Table3[], 16, FALSE)</f>
        <v>0</v>
      </c>
      <c r="AE26" s="191">
        <f>VLOOKUP(Table4[[#This Row],[risk_id]], Table3[], 17, )</f>
        <v>0</v>
      </c>
      <c r="AF26" s="191">
        <f>4</f>
        <v>4</v>
      </c>
      <c r="AG26" s="191">
        <f>COUNTIF(Table4[[#This Row],[THEO]:[MOD]], "&gt;=1")</f>
        <v>2</v>
      </c>
      <c r="AH26" s="192">
        <f>Table4[[#This Row],[data_observations]]/Table4[[#This Row],[AllObservations_count]]</f>
        <v>3.1914893617021274E-2</v>
      </c>
      <c r="AI26" s="189">
        <f>Table4[[#This Row],[evidenceamount_pct]]*(Table4[[#This Row],[Indicator_12.5pct]])</f>
        <v>0.39893617021276595</v>
      </c>
      <c r="AJ26" s="198">
        <f>(1-(VLOOKUP(Table4[[#This Row],[risk_id]],Table3[],18, FALSE))/(Table4[[#This Row],[data_observations]]))</f>
        <v>1</v>
      </c>
      <c r="AK26" s="198">
        <f>((VLOOKUP(Table4[[#This Row],[risk_id]],Table3[],19, FALSE))+((VLOOKUP(Table4[[#This Row],[risk_id]],Table3[],36, FALSE))*0.5))/(Table4[[#This Row],[data_observations]])</f>
        <v>0.66666666666666663</v>
      </c>
      <c r="AL26" s="177">
        <f>((Table4[[#This Row],[ev_data_deficient_score]]*0.5)+(Table4[[#This Row],[ev_data_availability_score]]*0.5))*(Table4[[#This Row],[Indicator_12.5pct]])</f>
        <v>10.416666666666666</v>
      </c>
      <c r="AM26" s="199">
        <f>Table4[[#This Row],[RiskScore]]</f>
        <v>30</v>
      </c>
      <c r="AN26" s="200">
        <f>VLOOKUP(Table4[[#This Row],[risk_id]], Table3[], 13, FALSE)</f>
        <v>7.0710678118654755</v>
      </c>
      <c r="AO26" s="185">
        <f>(1-(Table4[[#This Row],[evidence_SD_RR]]/Table4[[#This Row],[evidence_mean_RR]]))*(Table4[[#This Row],[Indicator_12.5pct]])</f>
        <v>9.5537217450560519</v>
      </c>
      <c r="AP26" s="201">
        <f>VLOOKUP(Table4[[#This Row],[risk_id]],Table3[],21, FALSE)</f>
        <v>0</v>
      </c>
      <c r="AQ26" s="201">
        <f>VLOOKUP(Table4[[#This Row],[risk_id]],Table3[],23, FALSE)</f>
        <v>0.66666666666666663</v>
      </c>
      <c r="AR26" s="201">
        <f>VLOOKUP(Table4[[#This Row],[risk_id]],Table3[],25, FALSE)</f>
        <v>0.33333333333333331</v>
      </c>
      <c r="AS26" s="201">
        <f>VLOOKUP(Table4[[#This Row],[risk_id]],Table3[],27, FALSE)</f>
        <v>0</v>
      </c>
      <c r="AT26" s="183">
        <f>(MAX(Table4[[#This Row],[C]:[U]]))*Table4[[#This Row],[Indicator_20pct]]</f>
        <v>6.6666666666666661</v>
      </c>
      <c r="AU26" s="205">
        <f>COUNTIFS(Table4[[#This Row],[C]], "&gt;0", Table4[[#This Row],[U]], "&gt;0") + COUNTIFS(Table4[[#This Row],[H]], "&gt;0", Table4[[#This Row],[U]], "&gt;0") + COUNTIFS(Table4[[#This Row],[C]], "&gt;0", Table4[[#This Row],[M]], "&gt;0")</f>
        <v>0</v>
      </c>
      <c r="AV26" s="219">
        <f>((-(Table4[[#This Row],[different_scores_count]]-3))/3)*Table4[[#This Row],[Indicator_20pct]]</f>
        <v>10</v>
      </c>
      <c r="AW26" s="183">
        <f>IF(Table4[[#This Row],[data_observations]]&gt;=5, 30, IF(Table4[[#This Row],[data_observations]]&gt;=3, 15, 0))</f>
        <v>15</v>
      </c>
      <c r="AX26" s="60" t="s">
        <v>2737</v>
      </c>
    </row>
    <row r="27" spans="1:55" ht="32" customHeight="1" x14ac:dyDescent="0.2">
      <c r="A27" s="16" t="s">
        <v>2698</v>
      </c>
      <c r="B27" s="16" t="str">
        <f>VLOOKUP(Table4[[#This Row],[risk_id]], Table3[], 35, FALSE)</f>
        <v>Hazard</v>
      </c>
      <c r="C27" s="16" t="str">
        <f>VLOOKUP(Table4[[#This Row],[risk_id]], Table3[], 2, FALSE)</f>
        <v>Pollutants</v>
      </c>
      <c r="D27" s="15" t="str">
        <f>VLOOKUP(Table4[[#This Row],[risk_id]], Table3[], 3, FALSE)</f>
        <v>Methane emissions</v>
      </c>
      <c r="E27"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27" s="300">
        <f t="shared" si="0"/>
        <v>30</v>
      </c>
      <c r="G27" s="31">
        <f>Table4[[#This Row],[DataQuality_Score]]</f>
        <v>0.51332145412761987</v>
      </c>
      <c r="H27"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27" s="27" t="str">
        <f>Table4[[#This Row],[LoA - Metric]]&amp; ", " &amp;Table4[[#This Row],[ES - Metric]]</f>
        <v>Medium agreement, Medium evidence</v>
      </c>
      <c r="J27" s="222">
        <f>(Table4[[#This Row],[LoA_SCORE]]+Table4[[#This Row],[ES_SCORE]])/100</f>
        <v>0.51332145412761987</v>
      </c>
      <c r="K27"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27"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27" s="179">
        <f>Table4[[#This Row],[probability_average]]</f>
        <v>3.3333333333333335</v>
      </c>
      <c r="N27" s="181">
        <f>Table4[[#This Row],[consequence_average]]</f>
        <v>9</v>
      </c>
      <c r="O27" s="220">
        <f>Table4[[#This Row],[agreementPCT_score]]+Table4[[#This Row],[agreement_dist_score]]+Table4[[#This Row],[LoA_AQ_score]]</f>
        <v>25</v>
      </c>
      <c r="P27" s="203">
        <f>Table4[[#This Row],[evidenceconsistency_score]]+Table4[[#This Row],[EQ_score]]+Table4[[#This Row],[EA_score]]+Table4[[#This Row],[ET_score]]</f>
        <v>26.332145412761985</v>
      </c>
      <c r="Q27" s="181">
        <f>VLOOKUP(Table4[[#This Row],[risk_id]],Table3[],10,FALSE)</f>
        <v>9</v>
      </c>
      <c r="R27" s="181">
        <f>VLOOKUP(Table4[[#This Row],[risk_id]],Table3[],9,FALSE)</f>
        <v>27</v>
      </c>
      <c r="S27" s="179">
        <f>VLOOKUP(Table4[[#This Row],[risk_id]],Table3[],7,FALSE)</f>
        <v>3.3333333333333335</v>
      </c>
      <c r="T27" s="179">
        <f>VLOOKUP(Table4[[#This Row],[risk_id]],Table3[],6,FALSE)</f>
        <v>10</v>
      </c>
      <c r="U27" s="177">
        <f t="shared" si="1"/>
        <v>12.5</v>
      </c>
      <c r="V27" s="187">
        <f>10</f>
        <v>10</v>
      </c>
      <c r="W27" s="187">
        <f>30</f>
        <v>30</v>
      </c>
      <c r="X27" s="17">
        <f>VLOOKUP(Table4[[#This Row],[risk_id]],Table3[],5,FALSE)</f>
        <v>3</v>
      </c>
      <c r="Y27" s="17">
        <f>94</f>
        <v>94</v>
      </c>
      <c r="Z27" s="177">
        <f>Table4[[#This Row],[EStype_summed]]*Table4[[#This Row],[Indicator_12.5pct]]</f>
        <v>9.375</v>
      </c>
      <c r="AA27" s="190">
        <f>(IF(Table4[[#This Row],[all_evtype]]&gt;=4,"4", IF(Table4[[#This Row],[all_evtype]]&gt;=3,"3", IF(Table4[[#This Row],[all_evtype]]&gt;=2,"2", IF(Table4[[#This Row],[all_evtype]]&gt;=1,"1","0")))))/Table4[[#This Row],[HPS_et]]</f>
        <v>0.75</v>
      </c>
      <c r="AB27" s="191">
        <f>VLOOKUP(Table4[[#This Row],[risk_id]],Table3[], 14, FALSE)</f>
        <v>1</v>
      </c>
      <c r="AC27" s="191">
        <f>VLOOKUP(Table4[[#This Row],[risk_id]],Table3[], 15, FALSE)</f>
        <v>1</v>
      </c>
      <c r="AD27" s="191">
        <f>VLOOKUP(Table4[[#This Row],[risk_id]], Table3[], 16, FALSE)</f>
        <v>1</v>
      </c>
      <c r="AE27" s="191">
        <f>VLOOKUP(Table4[[#This Row],[risk_id]], Table3[], 17, )</f>
        <v>0</v>
      </c>
      <c r="AF27" s="191">
        <f>4</f>
        <v>4</v>
      </c>
      <c r="AG27" s="191">
        <f>COUNTIF(Table4[[#This Row],[THEO]:[MOD]], "&gt;=1")</f>
        <v>3</v>
      </c>
      <c r="AH27" s="192">
        <f>Table4[[#This Row],[data_observations]]/Table4[[#This Row],[AllObservations_count]]</f>
        <v>3.1914893617021274E-2</v>
      </c>
      <c r="AI27" s="189">
        <f>Table4[[#This Row],[evidenceamount_pct]]*(Table4[[#This Row],[Indicator_12.5pct]])</f>
        <v>0.39893617021276595</v>
      </c>
      <c r="AJ27" s="198">
        <f>(1-(VLOOKUP(Table4[[#This Row],[risk_id]],Table3[],18, FALSE))/(Table4[[#This Row],[data_observations]]))</f>
        <v>0.66666666666666674</v>
      </c>
      <c r="AK27" s="198">
        <f>((VLOOKUP(Table4[[#This Row],[risk_id]],Table3[],19, FALSE))+((VLOOKUP(Table4[[#This Row],[risk_id]],Table3[],36, FALSE))*0.5))/(Table4[[#This Row],[data_observations]])</f>
        <v>0.5</v>
      </c>
      <c r="AL27" s="177">
        <f>((Table4[[#This Row],[ev_data_deficient_score]]*0.5)+(Table4[[#This Row],[ev_data_availability_score]]*0.5))*(Table4[[#This Row],[Indicator_12.5pct]])</f>
        <v>7.291666666666667</v>
      </c>
      <c r="AM27" s="199">
        <f>Table4[[#This Row],[RiskScore]]</f>
        <v>30</v>
      </c>
      <c r="AN27" s="200">
        <f>VLOOKUP(Table4[[#This Row],[risk_id]], Table3[], 13, FALSE)</f>
        <v>7.7602978178818773</v>
      </c>
      <c r="AO27" s="185">
        <f>(1-(Table4[[#This Row],[evidence_SD_RR]]/Table4[[#This Row],[evidence_mean_RR]]))*(Table4[[#This Row],[Indicator_12.5pct]])</f>
        <v>9.2665425758825517</v>
      </c>
      <c r="AP27" s="201">
        <f>VLOOKUP(Table4[[#This Row],[risk_id]],Table3[],21, FALSE)</f>
        <v>0.33333333333333331</v>
      </c>
      <c r="AQ27" s="201">
        <f>VLOOKUP(Table4[[#This Row],[risk_id]],Table3[],23, FALSE)</f>
        <v>0.33333333333333331</v>
      </c>
      <c r="AR27" s="201">
        <f>VLOOKUP(Table4[[#This Row],[risk_id]],Table3[],25, FALSE)</f>
        <v>0.33333333333333331</v>
      </c>
      <c r="AS27" s="201">
        <f>VLOOKUP(Table4[[#This Row],[risk_id]],Table3[],27, FALSE)</f>
        <v>0</v>
      </c>
      <c r="AT27" s="183">
        <f>(MAX(Table4[[#This Row],[C]:[U]]))*Table4[[#This Row],[Indicator_20pct]]</f>
        <v>3.333333333333333</v>
      </c>
      <c r="AU27" s="205">
        <f>COUNTIFS(Table4[[#This Row],[C]], "&gt;0", Table4[[#This Row],[U]], "&gt;0") + COUNTIFS(Table4[[#This Row],[H]], "&gt;0", Table4[[#This Row],[U]], "&gt;0") + COUNTIFS(Table4[[#This Row],[C]], "&gt;0", Table4[[#This Row],[M]], "&gt;0")</f>
        <v>1</v>
      </c>
      <c r="AV27" s="219">
        <f>((-(Table4[[#This Row],[different_scores_count]]-3))/3)*Table4[[#This Row],[Indicator_20pct]]</f>
        <v>6.6666666666666661</v>
      </c>
      <c r="AW27" s="183">
        <f>IF(Table4[[#This Row],[data_observations]]&gt;=5, 30, IF(Table4[[#This Row],[data_observations]]&gt;=3, 15, 0))</f>
        <v>15</v>
      </c>
      <c r="AX27" s="26" t="s">
        <v>2737</v>
      </c>
    </row>
    <row r="28" spans="1:55" ht="32" customHeight="1" x14ac:dyDescent="0.2">
      <c r="A28" s="16" t="s">
        <v>2663</v>
      </c>
      <c r="B28" s="16" t="str">
        <f>VLOOKUP(Table4[[#This Row],[risk_id]], Table3[], 35, FALSE)</f>
        <v>Hazard</v>
      </c>
      <c r="C28" s="16" t="str">
        <f>VLOOKUP(Table4[[#This Row],[risk_id]], Table3[], 2, FALSE)</f>
        <v>Environmental</v>
      </c>
      <c r="D28" s="15" t="str">
        <f>VLOOKUP(Table4[[#This Row],[risk_id]], Table3[], 3, FALSE)</f>
        <v>Animal mortaility</v>
      </c>
      <c r="E28"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28" s="300">
        <f t="shared" si="0"/>
        <v>30</v>
      </c>
      <c r="G28" s="31">
        <f>Table4[[#This Row],[DataQuality_Score]]</f>
        <v>0.46828457446808514</v>
      </c>
      <c r="H28"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28" s="27" t="str">
        <f>Table4[[#This Row],[LoA - Metric]]&amp; ", " &amp;Table4[[#This Row],[ES - Metric]]</f>
        <v>Medium agreement, Medium evidence</v>
      </c>
      <c r="J28" s="222">
        <f>(Table4[[#This Row],[LoA_SCORE]]+Table4[[#This Row],[ES_SCORE]])/100</f>
        <v>0.46828457446808514</v>
      </c>
      <c r="K28"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28"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28" s="179">
        <f>Table4[[#This Row],[probability_average]]</f>
        <v>3</v>
      </c>
      <c r="N28" s="181">
        <f>Table4[[#This Row],[consequence_average]]</f>
        <v>10</v>
      </c>
      <c r="O28" s="220">
        <f>Table4[[#This Row],[agreementPCT_score]]+Table4[[#This Row],[agreement_dist_score]]+Table4[[#This Row],[LoA_AQ_score]]</f>
        <v>20</v>
      </c>
      <c r="P28" s="203">
        <f>Table4[[#This Row],[evidenceconsistency_score]]+Table4[[#This Row],[EQ_score]]+Table4[[#This Row],[EA_score]]+Table4[[#This Row],[ET_score]]</f>
        <v>26.82845744680851</v>
      </c>
      <c r="Q28" s="181">
        <f>VLOOKUP(Table4[[#This Row],[risk_id]],Table3[],10,FALSE)</f>
        <v>10</v>
      </c>
      <c r="R28" s="181">
        <f>VLOOKUP(Table4[[#This Row],[risk_id]],Table3[],9,FALSE)</f>
        <v>20</v>
      </c>
      <c r="S28" s="179">
        <f>VLOOKUP(Table4[[#This Row],[risk_id]],Table3[],7,FALSE)</f>
        <v>3</v>
      </c>
      <c r="T28" s="179">
        <f>VLOOKUP(Table4[[#This Row],[risk_id]],Table3[],6,FALSE)</f>
        <v>6</v>
      </c>
      <c r="U28" s="177">
        <f t="shared" si="1"/>
        <v>12.5</v>
      </c>
      <c r="V28" s="187">
        <f>10</f>
        <v>10</v>
      </c>
      <c r="W28" s="187">
        <f>30</f>
        <v>30</v>
      </c>
      <c r="X28" s="17">
        <f>VLOOKUP(Table4[[#This Row],[risk_id]],Table3[],5,FALSE)</f>
        <v>2</v>
      </c>
      <c r="Y28" s="17">
        <f>94</f>
        <v>94</v>
      </c>
      <c r="Z28" s="177">
        <f>Table4[[#This Row],[EStype_summed]]*Table4[[#This Row],[Indicator_12.5pct]]</f>
        <v>3.125</v>
      </c>
      <c r="AA28" s="190">
        <f>(IF(Table4[[#This Row],[all_evtype]]&gt;=4,"4", IF(Table4[[#This Row],[all_evtype]]&gt;=3,"3", IF(Table4[[#This Row],[all_evtype]]&gt;=2,"2", IF(Table4[[#This Row],[all_evtype]]&gt;=1,"1","0")))))/Table4[[#This Row],[HPS_et]]</f>
        <v>0.25</v>
      </c>
      <c r="AB28" s="191">
        <f>VLOOKUP(Table4[[#This Row],[risk_id]],Table3[], 14, FALSE)</f>
        <v>0</v>
      </c>
      <c r="AC28" s="191">
        <f>VLOOKUP(Table4[[#This Row],[risk_id]],Table3[], 15, FALSE)</f>
        <v>2</v>
      </c>
      <c r="AD28" s="191">
        <f>VLOOKUP(Table4[[#This Row],[risk_id]], Table3[], 16, FALSE)</f>
        <v>0</v>
      </c>
      <c r="AE28" s="191">
        <f>VLOOKUP(Table4[[#This Row],[risk_id]], Table3[], 17, )</f>
        <v>0</v>
      </c>
      <c r="AF28" s="191">
        <f>4</f>
        <v>4</v>
      </c>
      <c r="AG28" s="191">
        <f>COUNTIF(Table4[[#This Row],[THEO]:[MOD]], "&gt;=1")</f>
        <v>1</v>
      </c>
      <c r="AH28" s="192">
        <f>Table4[[#This Row],[data_observations]]/Table4[[#This Row],[AllObservations_count]]</f>
        <v>2.1276595744680851E-2</v>
      </c>
      <c r="AI28" s="189">
        <f>Table4[[#This Row],[evidenceamount_pct]]*(Table4[[#This Row],[Indicator_12.5pct]])</f>
        <v>0.26595744680851063</v>
      </c>
      <c r="AJ28" s="198">
        <f>(1-(VLOOKUP(Table4[[#This Row],[risk_id]],Table3[],18, FALSE))/(Table4[[#This Row],[data_observations]]))</f>
        <v>1</v>
      </c>
      <c r="AK28" s="198">
        <f>((VLOOKUP(Table4[[#This Row],[risk_id]],Table3[],19, FALSE))+((VLOOKUP(Table4[[#This Row],[risk_id]],Table3[],36, FALSE))*0.5))/(Table4[[#This Row],[data_observations]])</f>
        <v>0.75</v>
      </c>
      <c r="AL28" s="177">
        <f>((Table4[[#This Row],[ev_data_deficient_score]]*0.5)+(Table4[[#This Row],[ev_data_availability_score]]*0.5))*(Table4[[#This Row],[Indicator_12.5pct]])</f>
        <v>10.9375</v>
      </c>
      <c r="AM28" s="199">
        <f>Table4[[#This Row],[RiskScore]]</f>
        <v>30</v>
      </c>
      <c r="AN28" s="200">
        <f>VLOOKUP(Table4[[#This Row],[risk_id]], Table3[], 13, FALSE)</f>
        <v>0</v>
      </c>
      <c r="AO28" s="185">
        <f>(1-(Table4[[#This Row],[evidence_SD_RR]]/Table4[[#This Row],[evidence_mean_RR]]))*(Table4[[#This Row],[Indicator_12.5pct]])</f>
        <v>12.5</v>
      </c>
      <c r="AP28" s="201">
        <f>VLOOKUP(Table4[[#This Row],[risk_id]],Table3[],21, FALSE)</f>
        <v>0</v>
      </c>
      <c r="AQ28" s="201">
        <f>VLOOKUP(Table4[[#This Row],[risk_id]],Table3[],23, FALSE)</f>
        <v>1</v>
      </c>
      <c r="AR28" s="201">
        <f>VLOOKUP(Table4[[#This Row],[risk_id]],Table3[],25, FALSE)</f>
        <v>0</v>
      </c>
      <c r="AS28" s="201">
        <f>VLOOKUP(Table4[[#This Row],[risk_id]],Table3[],27, FALSE)</f>
        <v>0</v>
      </c>
      <c r="AT28" s="183">
        <f>(MAX(Table4[[#This Row],[C]:[U]]))*Table4[[#This Row],[Indicator_20pct]]</f>
        <v>10</v>
      </c>
      <c r="AU28" s="205">
        <f>COUNTIFS(Table4[[#This Row],[C]], "&gt;0", Table4[[#This Row],[U]], "&gt;0") + COUNTIFS(Table4[[#This Row],[H]], "&gt;0", Table4[[#This Row],[U]], "&gt;0") + COUNTIFS(Table4[[#This Row],[C]], "&gt;0", Table4[[#This Row],[M]], "&gt;0")</f>
        <v>0</v>
      </c>
      <c r="AV28" s="219">
        <f>((-(Table4[[#This Row],[different_scores_count]]-3))/3)*Table4[[#This Row],[Indicator_20pct]]</f>
        <v>10</v>
      </c>
      <c r="AW28" s="183">
        <f>IF(Table4[[#This Row],[data_observations]]&gt;=5, 30, IF(Table4[[#This Row],[data_observations]]&gt;=3, 15, 0))</f>
        <v>0</v>
      </c>
      <c r="AX28" s="26" t="s">
        <v>2737</v>
      </c>
    </row>
    <row r="29" spans="1:55" ht="32" hidden="1" customHeight="1" x14ac:dyDescent="0.2">
      <c r="A29" s="16" t="s">
        <v>606</v>
      </c>
      <c r="B29" s="16" t="str">
        <f>VLOOKUP(Table4[[#This Row],[risk_id]], Table3[], 35, FALSE)</f>
        <v>Risk</v>
      </c>
      <c r="C29" s="16" t="str">
        <f>VLOOKUP(Table4[[#This Row],[risk_id]], Table3[], 2, FALSE)</f>
        <v>Economic</v>
      </c>
      <c r="D29" s="15" t="str">
        <f>VLOOKUP(Table4[[#This Row],[risk_id]], Table3[], 3, FALSE)</f>
        <v>Oil spill clean-up costs</v>
      </c>
      <c r="E29"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29" s="300">
        <f t="shared" si="0"/>
        <v>29.877551020408159</v>
      </c>
      <c r="G29" s="31">
        <f>Table4[[#This Row],[DataQuality_Score]]</f>
        <v>0.68762512645109619</v>
      </c>
      <c r="H29"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29" s="27" t="str">
        <f>Table4[[#This Row],[LoA - Metric]]&amp; ", " &amp;Table4[[#This Row],[ES - Metric]]</f>
        <v>High agreement, Medium evidence</v>
      </c>
      <c r="J29" s="222">
        <f>(Table4[[#This Row],[LoA_SCORE]]+Table4[[#This Row],[ES_SCORE]])/100</f>
        <v>0.68762512645109619</v>
      </c>
      <c r="K29"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29"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29" s="179">
        <f>Table4[[#This Row],[probability_average]]</f>
        <v>3.4285714285714284</v>
      </c>
      <c r="N29" s="181">
        <f>Table4[[#This Row],[consequence_average]]</f>
        <v>8.7142857142857135</v>
      </c>
      <c r="O29" s="220">
        <f>Table4[[#This Row],[agreementPCT_score]]+Table4[[#This Row],[agreement_dist_score]]+Table4[[#This Row],[LoA_AQ_score]]</f>
        <v>40.952380952380949</v>
      </c>
      <c r="P29" s="203">
        <f>Table4[[#This Row],[evidenceconsistency_score]]+Table4[[#This Row],[EQ_score]]+Table4[[#This Row],[EA_score]]+Table4[[#This Row],[ET_score]]</f>
        <v>27.810131692728671</v>
      </c>
      <c r="Q29" s="181">
        <f>VLOOKUP(Table4[[#This Row],[risk_id]],Table3[],10,FALSE)</f>
        <v>8.7142857142857135</v>
      </c>
      <c r="R29" s="181">
        <f>VLOOKUP(Table4[[#This Row],[risk_id]],Table3[],9,FALSE)</f>
        <v>61</v>
      </c>
      <c r="S29" s="179">
        <f>VLOOKUP(Table4[[#This Row],[risk_id]],Table3[],7,FALSE)</f>
        <v>3.4285714285714284</v>
      </c>
      <c r="T29" s="179">
        <f>VLOOKUP(Table4[[#This Row],[risk_id]],Table3[],6,FALSE)</f>
        <v>24</v>
      </c>
      <c r="U29" s="177">
        <f t="shared" si="1"/>
        <v>12.5</v>
      </c>
      <c r="V29" s="187">
        <f>10</f>
        <v>10</v>
      </c>
      <c r="W29" s="187">
        <f>30</f>
        <v>30</v>
      </c>
      <c r="X29" s="17">
        <f>VLOOKUP(Table4[[#This Row],[risk_id]],Table3[],5,FALSE)</f>
        <v>7</v>
      </c>
      <c r="Y29" s="17">
        <f>94</f>
        <v>94</v>
      </c>
      <c r="Z29" s="177">
        <f>Table4[[#This Row],[EStype_summed]]*Table4[[#This Row],[Indicator_12.5pct]]</f>
        <v>12.5</v>
      </c>
      <c r="AA29" s="190">
        <f>(IF(Table4[[#This Row],[all_evtype]]&gt;=4,"4", IF(Table4[[#This Row],[all_evtype]]&gt;=3,"3", IF(Table4[[#This Row],[all_evtype]]&gt;=2,"2", IF(Table4[[#This Row],[all_evtype]]&gt;=1,"1","0")))))/Table4[[#This Row],[HPS_et]]</f>
        <v>1</v>
      </c>
      <c r="AB29" s="191">
        <f>VLOOKUP(Table4[[#This Row],[risk_id]],Table3[], 14, FALSE)</f>
        <v>3</v>
      </c>
      <c r="AC29" s="191">
        <f>VLOOKUP(Table4[[#This Row],[risk_id]],Table3[], 15, FALSE)</f>
        <v>1</v>
      </c>
      <c r="AD29" s="191">
        <f>VLOOKUP(Table4[[#This Row],[risk_id]], Table3[], 16, FALSE)</f>
        <v>2</v>
      </c>
      <c r="AE29" s="191">
        <f>VLOOKUP(Table4[[#This Row],[risk_id]], Table3[], 17, )</f>
        <v>1</v>
      </c>
      <c r="AF29" s="191">
        <f>4</f>
        <v>4</v>
      </c>
      <c r="AG29" s="191">
        <f>COUNTIF(Table4[[#This Row],[THEO]:[MOD]], "&gt;=1")</f>
        <v>4</v>
      </c>
      <c r="AH29" s="192">
        <f>Table4[[#This Row],[data_observations]]/Table4[[#This Row],[AllObservations_count]]</f>
        <v>7.4468085106382975E-2</v>
      </c>
      <c r="AI29" s="189">
        <f>Table4[[#This Row],[evidenceamount_pct]]*(Table4[[#This Row],[Indicator_12.5pct]])</f>
        <v>0.93085106382978722</v>
      </c>
      <c r="AJ29" s="198">
        <f>(1-(VLOOKUP(Table4[[#This Row],[risk_id]],Table3[],18, FALSE))/(Table4[[#This Row],[data_observations]]))</f>
        <v>0.7142857142857143</v>
      </c>
      <c r="AK29" s="198">
        <f>((VLOOKUP(Table4[[#This Row],[risk_id]],Table3[],19, FALSE))+((VLOOKUP(Table4[[#This Row],[risk_id]],Table3[],36, FALSE))*0.5))/(Table4[[#This Row],[data_observations]])</f>
        <v>0.35714285714285715</v>
      </c>
      <c r="AL29" s="177">
        <f>((Table4[[#This Row],[ev_data_deficient_score]]*0.5)+(Table4[[#This Row],[ev_data_availability_score]]*0.5))*(Table4[[#This Row],[Indicator_12.5pct]])</f>
        <v>6.6964285714285712</v>
      </c>
      <c r="AM29" s="199">
        <f>Table4[[#This Row],[RiskScore]]</f>
        <v>29.877551020408159</v>
      </c>
      <c r="AN29" s="200">
        <f>VLOOKUP(Table4[[#This Row],[risk_id]], Table3[], 13, FALSE)</f>
        <v>11.513966674062791</v>
      </c>
      <c r="AO29" s="185">
        <f>(1-(Table4[[#This Row],[evidence_SD_RR]]/Table4[[#This Row],[evidence_mean_RR]]))*(Table4[[#This Row],[Indicator_12.5pct]])</f>
        <v>7.6828520574703134</v>
      </c>
      <c r="AP29" s="201">
        <f>VLOOKUP(Table4[[#This Row],[risk_id]],Table3[],21, FALSE)</f>
        <v>0.2857142857142857</v>
      </c>
      <c r="AQ29" s="201">
        <f>VLOOKUP(Table4[[#This Row],[risk_id]],Table3[],23, FALSE)</f>
        <v>0.42857142857142855</v>
      </c>
      <c r="AR29" s="201">
        <f>VLOOKUP(Table4[[#This Row],[risk_id]],Table3[],25, FALSE)</f>
        <v>0.2857142857142857</v>
      </c>
      <c r="AS29" s="201">
        <f>VLOOKUP(Table4[[#This Row],[risk_id]],Table3[],27, FALSE)</f>
        <v>0</v>
      </c>
      <c r="AT29" s="183">
        <f>(MAX(Table4[[#This Row],[C]:[U]]))*Table4[[#This Row],[Indicator_20pct]]</f>
        <v>4.2857142857142856</v>
      </c>
      <c r="AU29" s="205">
        <f>COUNTIFS(Table4[[#This Row],[C]], "&gt;0", Table4[[#This Row],[U]], "&gt;0") + COUNTIFS(Table4[[#This Row],[H]], "&gt;0", Table4[[#This Row],[U]], "&gt;0") + COUNTIFS(Table4[[#This Row],[C]], "&gt;0", Table4[[#This Row],[M]], "&gt;0")</f>
        <v>1</v>
      </c>
      <c r="AV29" s="219">
        <f>((-(Table4[[#This Row],[different_scores_count]]-3))/3)*Table4[[#This Row],[Indicator_20pct]]</f>
        <v>6.6666666666666661</v>
      </c>
      <c r="AW29" s="183">
        <f>IF(Table4[[#This Row],[data_observations]]&gt;=5, 30, IF(Table4[[#This Row],[data_observations]]&gt;=3, 15, 0))</f>
        <v>30</v>
      </c>
      <c r="AX29" s="26" t="s">
        <v>2737</v>
      </c>
    </row>
    <row r="30" spans="1:55" ht="32" customHeight="1" x14ac:dyDescent="0.2">
      <c r="A30" s="16" t="s">
        <v>2706</v>
      </c>
      <c r="B30" s="16" t="str">
        <f>VLOOKUP(Table4[[#This Row],[risk_id]], Table3[], 35, FALSE)</f>
        <v>Hazard</v>
      </c>
      <c r="C30" s="16" t="str">
        <f>VLOOKUP(Table4[[#This Row],[risk_id]], Table3[], 2, FALSE)</f>
        <v>Environmental</v>
      </c>
      <c r="D30" s="15" t="str">
        <f>VLOOKUP(Table4[[#This Row],[risk_id]], Table3[], 3, FALSE)</f>
        <v>Pollutant harms to marine life</v>
      </c>
      <c r="E30"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30" s="300">
        <f t="shared" si="0"/>
        <v>29.75</v>
      </c>
      <c r="G30" s="31">
        <f>Table4[[#This Row],[DataQuality_Score]]</f>
        <v>0.5544394473445593</v>
      </c>
      <c r="H30"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30" s="27" t="str">
        <f>Table4[[#This Row],[LoA - Metric]]&amp; ", " &amp;Table4[[#This Row],[ES - Metric]]</f>
        <v>Medium agreement, Medium evidence</v>
      </c>
      <c r="J30" s="222">
        <f>(Table4[[#This Row],[LoA_SCORE]]+Table4[[#This Row],[ES_SCORE]])/100</f>
        <v>0.5544394473445593</v>
      </c>
      <c r="K30"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30"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30" s="179">
        <f>Table4[[#This Row],[probability_average]]</f>
        <v>4.25</v>
      </c>
      <c r="N30" s="181">
        <f>Table4[[#This Row],[consequence_average]]</f>
        <v>7</v>
      </c>
      <c r="O30" s="220">
        <f>Table4[[#This Row],[agreementPCT_score]]+Table4[[#This Row],[agreement_dist_score]]+Table4[[#This Row],[LoA_AQ_score]]</f>
        <v>26.666666666666664</v>
      </c>
      <c r="P30" s="203">
        <f>Table4[[#This Row],[evidenceconsistency_score]]+Table4[[#This Row],[EQ_score]]+Table4[[#This Row],[EA_score]]+Table4[[#This Row],[ET_score]]</f>
        <v>28.777278067789268</v>
      </c>
      <c r="Q30" s="181">
        <f>VLOOKUP(Table4[[#This Row],[risk_id]],Table3[],10,FALSE)</f>
        <v>7</v>
      </c>
      <c r="R30" s="181">
        <f>VLOOKUP(Table4[[#This Row],[risk_id]],Table3[],9,FALSE)</f>
        <v>28</v>
      </c>
      <c r="S30" s="179">
        <f>VLOOKUP(Table4[[#This Row],[risk_id]],Table3[],7,FALSE)</f>
        <v>4.25</v>
      </c>
      <c r="T30" s="179">
        <f>VLOOKUP(Table4[[#This Row],[risk_id]],Table3[],6,FALSE)</f>
        <v>17</v>
      </c>
      <c r="U30" s="177">
        <f t="shared" si="1"/>
        <v>12.5</v>
      </c>
      <c r="V30" s="187">
        <f>10</f>
        <v>10</v>
      </c>
      <c r="W30" s="187">
        <f>30</f>
        <v>30</v>
      </c>
      <c r="X30" s="17">
        <f>VLOOKUP(Table4[[#This Row],[risk_id]],Table3[],5,FALSE)</f>
        <v>4</v>
      </c>
      <c r="Y30" s="17">
        <f>94</f>
        <v>94</v>
      </c>
      <c r="Z30" s="177">
        <f>Table4[[#This Row],[EStype_summed]]*Table4[[#This Row],[Indicator_12.5pct]]</f>
        <v>9.375</v>
      </c>
      <c r="AA30" s="190">
        <f>(IF(Table4[[#This Row],[all_evtype]]&gt;=4,"4", IF(Table4[[#This Row],[all_evtype]]&gt;=3,"3", IF(Table4[[#This Row],[all_evtype]]&gt;=2,"2", IF(Table4[[#This Row],[all_evtype]]&gt;=1,"1","0")))))/Table4[[#This Row],[HPS_et]]</f>
        <v>0.75</v>
      </c>
      <c r="AB30" s="191">
        <f>VLOOKUP(Table4[[#This Row],[risk_id]],Table3[], 14, FALSE)</f>
        <v>1</v>
      </c>
      <c r="AC30" s="191">
        <f>VLOOKUP(Table4[[#This Row],[risk_id]],Table3[], 15, FALSE)</f>
        <v>2</v>
      </c>
      <c r="AD30" s="191">
        <f>VLOOKUP(Table4[[#This Row],[risk_id]], Table3[], 16, FALSE)</f>
        <v>0</v>
      </c>
      <c r="AE30" s="191">
        <f>VLOOKUP(Table4[[#This Row],[risk_id]], Table3[], 17, )</f>
        <v>1</v>
      </c>
      <c r="AF30" s="191">
        <f>4</f>
        <v>4</v>
      </c>
      <c r="AG30" s="191">
        <f>COUNTIF(Table4[[#This Row],[THEO]:[MOD]], "&gt;=1")</f>
        <v>3</v>
      </c>
      <c r="AH30" s="192">
        <f>Table4[[#This Row],[data_observations]]/Table4[[#This Row],[AllObservations_count]]</f>
        <v>4.2553191489361701E-2</v>
      </c>
      <c r="AI30" s="189">
        <f>Table4[[#This Row],[evidenceamount_pct]]*(Table4[[#This Row],[Indicator_12.5pct]])</f>
        <v>0.53191489361702127</v>
      </c>
      <c r="AJ30" s="198">
        <f>(1-(VLOOKUP(Table4[[#This Row],[risk_id]],Table3[],18, FALSE))/(Table4[[#This Row],[data_observations]]))</f>
        <v>1</v>
      </c>
      <c r="AK30" s="198">
        <f>((VLOOKUP(Table4[[#This Row],[risk_id]],Table3[],19, FALSE))+((VLOOKUP(Table4[[#This Row],[risk_id]],Table3[],36, FALSE))*0.5))/(Table4[[#This Row],[data_observations]])</f>
        <v>0.625</v>
      </c>
      <c r="AL30" s="177">
        <f>((Table4[[#This Row],[ev_data_deficient_score]]*0.5)+(Table4[[#This Row],[ev_data_availability_score]]*0.5))*(Table4[[#This Row],[Indicator_12.5pct]])</f>
        <v>10.15625</v>
      </c>
      <c r="AM30" s="199">
        <f>Table4[[#This Row],[RiskScore]]</f>
        <v>29.75</v>
      </c>
      <c r="AN30" s="200">
        <f>VLOOKUP(Table4[[#This Row],[risk_id]], Table3[], 13, FALSE)</f>
        <v>9.0104106454700492</v>
      </c>
      <c r="AO30" s="185">
        <f>(1-(Table4[[#This Row],[evidence_SD_RR]]/Table4[[#This Row],[evidence_mean_RR]]))*(Table4[[#This Row],[Indicator_12.5pct]])</f>
        <v>8.7141131741722493</v>
      </c>
      <c r="AP30" s="201">
        <f>VLOOKUP(Table4[[#This Row],[risk_id]],Table3[],21, FALSE)</f>
        <v>0.25</v>
      </c>
      <c r="AQ30" s="201">
        <f>VLOOKUP(Table4[[#This Row],[risk_id]],Table3[],23, FALSE)</f>
        <v>0.5</v>
      </c>
      <c r="AR30" s="201">
        <f>VLOOKUP(Table4[[#This Row],[risk_id]],Table3[],25, FALSE)</f>
        <v>0.25</v>
      </c>
      <c r="AS30" s="201">
        <f>VLOOKUP(Table4[[#This Row],[risk_id]],Table3[],27, FALSE)</f>
        <v>0</v>
      </c>
      <c r="AT30" s="183">
        <f>(MAX(Table4[[#This Row],[C]:[U]]))*Table4[[#This Row],[Indicator_20pct]]</f>
        <v>5</v>
      </c>
      <c r="AU30" s="205">
        <f>COUNTIFS(Table4[[#This Row],[C]], "&gt;0", Table4[[#This Row],[U]], "&gt;0") + COUNTIFS(Table4[[#This Row],[H]], "&gt;0", Table4[[#This Row],[U]], "&gt;0") + COUNTIFS(Table4[[#This Row],[C]], "&gt;0", Table4[[#This Row],[M]], "&gt;0")</f>
        <v>1</v>
      </c>
      <c r="AV30" s="219">
        <f>((-(Table4[[#This Row],[different_scores_count]]-3))/3)*Table4[[#This Row],[Indicator_20pct]]</f>
        <v>6.6666666666666661</v>
      </c>
      <c r="AW30" s="183">
        <f>IF(Table4[[#This Row],[data_observations]]&gt;=5, 30, IF(Table4[[#This Row],[data_observations]]&gt;=3, 15, 0))</f>
        <v>15</v>
      </c>
      <c r="AX30" s="26" t="s">
        <v>2737</v>
      </c>
    </row>
    <row r="31" spans="1:55" ht="32" hidden="1" customHeight="1" x14ac:dyDescent="0.2">
      <c r="A31" s="16" t="s">
        <v>662</v>
      </c>
      <c r="B31" s="16" t="str">
        <f>VLOOKUP(Table4[[#This Row],[risk_id]], Table3[], 35, FALSE)</f>
        <v>Risk</v>
      </c>
      <c r="C31" s="16" t="str">
        <f>VLOOKUP(Table4[[#This Row],[risk_id]], Table3[], 2, FALSE)</f>
        <v>Navigational</v>
      </c>
      <c r="D31" s="15" t="str">
        <f>VLOOKUP(Table4[[#This Row],[risk_id]], Table3[], 3, FALSE)</f>
        <v>Vessel ice classification</v>
      </c>
      <c r="E31"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31" s="300">
        <f t="shared" si="0"/>
        <v>29.166666666666668</v>
      </c>
      <c r="G31" s="31">
        <f>Table4[[#This Row],[DataQuality_Score]]</f>
        <v>0.56851864241752115</v>
      </c>
      <c r="H31"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31" s="27" t="str">
        <f>Table4[[#This Row],[LoA - Metric]]&amp; ", " &amp;Table4[[#This Row],[ES - Metric]]</f>
        <v>Check Formula, Medium evidence</v>
      </c>
      <c r="J31" s="222">
        <f>(Table4[[#This Row],[LoA_SCORE]]+Table4[[#This Row],[ES_SCORE]])/100</f>
        <v>0.56851864241752115</v>
      </c>
      <c r="K31"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Check Formula</v>
      </c>
      <c r="L31"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31" s="179">
        <f>Table4[[#This Row],[probability_average]]</f>
        <v>4.166666666666667</v>
      </c>
      <c r="N31" s="181">
        <f>Table4[[#This Row],[consequence_average]]</f>
        <v>7</v>
      </c>
      <c r="O31" s="220">
        <f>Table4[[#This Row],[agreementPCT_score]]+Table4[[#This Row],[agreement_dist_score]]+Table4[[#This Row],[LoA_AQ_score]]</f>
        <v>33.333333333333336</v>
      </c>
      <c r="P31" s="203">
        <f>Table4[[#This Row],[evidenceconsistency_score]]+Table4[[#This Row],[EQ_score]]+Table4[[#This Row],[EA_score]]+Table4[[#This Row],[ET_score]]</f>
        <v>23.518530908418782</v>
      </c>
      <c r="Q31" s="181">
        <f>VLOOKUP(Table4[[#This Row],[risk_id]],Table3[],10,FALSE)</f>
        <v>7</v>
      </c>
      <c r="R31" s="181">
        <f>VLOOKUP(Table4[[#This Row],[risk_id]],Table3[],9,FALSE)</f>
        <v>42</v>
      </c>
      <c r="S31" s="179">
        <f>VLOOKUP(Table4[[#This Row],[risk_id]],Table3[],7,FALSE)</f>
        <v>4.166666666666667</v>
      </c>
      <c r="T31" s="179">
        <f>VLOOKUP(Table4[[#This Row],[risk_id]],Table3[],6,FALSE)</f>
        <v>25</v>
      </c>
      <c r="U31" s="177">
        <f t="shared" si="1"/>
        <v>12.5</v>
      </c>
      <c r="V31" s="187">
        <f>10</f>
        <v>10</v>
      </c>
      <c r="W31" s="187">
        <f>30</f>
        <v>30</v>
      </c>
      <c r="X31" s="17">
        <f>VLOOKUP(Table4[[#This Row],[risk_id]],Table3[],5,FALSE)</f>
        <v>6</v>
      </c>
      <c r="Y31" s="17">
        <f>94</f>
        <v>94</v>
      </c>
      <c r="Z31" s="177">
        <f>Table4[[#This Row],[EStype_summed]]*Table4[[#This Row],[Indicator_12.5pct]]</f>
        <v>6.25</v>
      </c>
      <c r="AA31" s="190">
        <f>(IF(Table4[[#This Row],[all_evtype]]&gt;=4,"4", IF(Table4[[#This Row],[all_evtype]]&gt;=3,"3", IF(Table4[[#This Row],[all_evtype]]&gt;=2,"2", IF(Table4[[#This Row],[all_evtype]]&gt;=1,"1","0")))))/Table4[[#This Row],[HPS_et]]</f>
        <v>0.5</v>
      </c>
      <c r="AB31" s="191">
        <f>VLOOKUP(Table4[[#This Row],[risk_id]],Table3[], 14, FALSE)</f>
        <v>2</v>
      </c>
      <c r="AC31" s="191">
        <f>VLOOKUP(Table4[[#This Row],[risk_id]],Table3[], 15, FALSE)</f>
        <v>4</v>
      </c>
      <c r="AD31" s="191">
        <f>VLOOKUP(Table4[[#This Row],[risk_id]], Table3[], 16, FALSE)</f>
        <v>0</v>
      </c>
      <c r="AE31" s="191">
        <f>VLOOKUP(Table4[[#This Row],[risk_id]], Table3[], 17, )</f>
        <v>0</v>
      </c>
      <c r="AF31" s="191">
        <f>4</f>
        <v>4</v>
      </c>
      <c r="AG31" s="191">
        <f>COUNTIF(Table4[[#This Row],[THEO]:[MOD]], "&gt;=1")</f>
        <v>2</v>
      </c>
      <c r="AH31" s="192">
        <f>Table4[[#This Row],[data_observations]]/Table4[[#This Row],[AllObservations_count]]</f>
        <v>6.3829787234042548E-2</v>
      </c>
      <c r="AI31" s="189">
        <f>Table4[[#This Row],[evidenceamount_pct]]*(Table4[[#This Row],[Indicator_12.5pct]])</f>
        <v>0.7978723404255319</v>
      </c>
      <c r="AJ31" s="198">
        <f>(1-(VLOOKUP(Table4[[#This Row],[risk_id]],Table3[],18, FALSE))/(Table4[[#This Row],[data_observations]]))</f>
        <v>1</v>
      </c>
      <c r="AK31" s="198">
        <f>((VLOOKUP(Table4[[#This Row],[risk_id]],Table3[],19, FALSE))+((VLOOKUP(Table4[[#This Row],[risk_id]],Table3[],36, FALSE))*0.5))/(Table4[[#This Row],[data_observations]])</f>
        <v>0.66666666666666663</v>
      </c>
      <c r="AL31" s="177">
        <f>((Table4[[#This Row],[ev_data_deficient_score]]*0.5)+(Table4[[#This Row],[ev_data_availability_score]]*0.5))*(Table4[[#This Row],[Indicator_12.5pct]])</f>
        <v>10.416666666666666</v>
      </c>
      <c r="AM31" s="199">
        <f>Table4[[#This Row],[RiskScore]]</f>
        <v>29.166666666666668</v>
      </c>
      <c r="AN31" s="200">
        <f>VLOOKUP(Table4[[#This Row],[risk_id]], Table3[], 13, FALSE)</f>
        <v>15.040685563571303</v>
      </c>
      <c r="AO31" s="185">
        <f>(1-(Table4[[#This Row],[evidence_SD_RR]]/Table4[[#This Row],[evidence_mean_RR]]))*(Table4[[#This Row],[Indicator_12.5pct]])</f>
        <v>6.0539919013265848</v>
      </c>
      <c r="AP31" s="201">
        <f>VLOOKUP(Table4[[#This Row],[risk_id]],Table3[],21, FALSE)</f>
        <v>0.33333333333333331</v>
      </c>
      <c r="AQ31" s="201">
        <f>VLOOKUP(Table4[[#This Row],[risk_id]],Table3[],23, FALSE)</f>
        <v>0.33333333333333331</v>
      </c>
      <c r="AR31" s="201">
        <f>VLOOKUP(Table4[[#This Row],[risk_id]],Table3[],25, FALSE)</f>
        <v>0.16666666666666666</v>
      </c>
      <c r="AS31" s="201">
        <f>VLOOKUP(Table4[[#This Row],[risk_id]],Table3[],27, FALSE)</f>
        <v>0.16666666666666666</v>
      </c>
      <c r="AT31" s="183">
        <f>(MAX(Table4[[#This Row],[C]:[U]]))*Table4[[#This Row],[Indicator_20pct]]</f>
        <v>3.333333333333333</v>
      </c>
      <c r="AU31" s="205">
        <f>COUNTIFS(Table4[[#This Row],[C]], "&gt;0", Table4[[#This Row],[U]], "&gt;0") + COUNTIFS(Table4[[#This Row],[H]], "&gt;0", Table4[[#This Row],[U]], "&gt;0") + COUNTIFS(Table4[[#This Row],[C]], "&gt;0", Table4[[#This Row],[M]], "&gt;0")</f>
        <v>3</v>
      </c>
      <c r="AV31" s="219">
        <f>((-(Table4[[#This Row],[different_scores_count]]-3))/3)*Table4[[#This Row],[Indicator_20pct]]</f>
        <v>0</v>
      </c>
      <c r="AW31" s="183">
        <f>IF(Table4[[#This Row],[data_observations]]&gt;=5, 30, IF(Table4[[#This Row],[data_observations]]&gt;=3, 15, 0))</f>
        <v>30</v>
      </c>
      <c r="AX31" s="26" t="s">
        <v>2737</v>
      </c>
    </row>
    <row r="32" spans="1:55" ht="32" hidden="1" customHeight="1" x14ac:dyDescent="0.2">
      <c r="A32" s="16" t="s">
        <v>652</v>
      </c>
      <c r="B32" s="16" t="str">
        <f>VLOOKUP(Table4[[#This Row],[risk_id]], Table3[], 35, FALSE)</f>
        <v>Risk</v>
      </c>
      <c r="C32" s="16" t="str">
        <f>VLOOKUP(Table4[[#This Row],[risk_id]], Table3[], 2, FALSE)</f>
        <v>Environmental</v>
      </c>
      <c r="D32" s="15" t="str">
        <f>VLOOKUP(Table4[[#This Row],[risk_id]], Table3[], 3, FALSE)</f>
        <v>Travelling through marine protected areas</v>
      </c>
      <c r="E32"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32" s="300">
        <f t="shared" si="0"/>
        <v>29.0625</v>
      </c>
      <c r="G32" s="31">
        <f>Table4[[#This Row],[DataQuality_Score]]</f>
        <v>0.64846930848978557</v>
      </c>
      <c r="H32"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32" s="27" t="str">
        <f>Table4[[#This Row],[LoA - Metric]]&amp; ", " &amp;Table4[[#This Row],[ES - Metric]]</f>
        <v>High agreement, Medium evidence</v>
      </c>
      <c r="J32" s="222">
        <f>(Table4[[#This Row],[LoA_SCORE]]+Table4[[#This Row],[ES_SCORE]])/100</f>
        <v>0.64846930848978557</v>
      </c>
      <c r="K32"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32"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32" s="179">
        <f>Table4[[#This Row],[probability_average]]</f>
        <v>3.75</v>
      </c>
      <c r="N32" s="181">
        <f>Table4[[#This Row],[consequence_average]]</f>
        <v>7.75</v>
      </c>
      <c r="O32" s="220">
        <f>Table4[[#This Row],[agreementPCT_score]]+Table4[[#This Row],[agreement_dist_score]]+Table4[[#This Row],[LoA_AQ_score]]</f>
        <v>35</v>
      </c>
      <c r="P32" s="203">
        <f>Table4[[#This Row],[evidenceconsistency_score]]+Table4[[#This Row],[EQ_score]]+Table4[[#This Row],[EA_score]]+Table4[[#This Row],[ET_score]]</f>
        <v>29.846930848978552</v>
      </c>
      <c r="Q32" s="181">
        <f>VLOOKUP(Table4[[#This Row],[risk_id]],Table3[],10,FALSE)</f>
        <v>7.75</v>
      </c>
      <c r="R32" s="181">
        <f>VLOOKUP(Table4[[#This Row],[risk_id]],Table3[],9,FALSE)</f>
        <v>31</v>
      </c>
      <c r="S32" s="179">
        <f>VLOOKUP(Table4[[#This Row],[risk_id]],Table3[],7,FALSE)</f>
        <v>3.75</v>
      </c>
      <c r="T32" s="179">
        <f>VLOOKUP(Table4[[#This Row],[risk_id]],Table3[],6,FALSE)</f>
        <v>15</v>
      </c>
      <c r="U32" s="177">
        <f t="shared" si="1"/>
        <v>12.5</v>
      </c>
      <c r="V32" s="187">
        <f>10</f>
        <v>10</v>
      </c>
      <c r="W32" s="187">
        <f>30</f>
        <v>30</v>
      </c>
      <c r="X32" s="17">
        <f>VLOOKUP(Table4[[#This Row],[risk_id]],Table3[],5,FALSE)</f>
        <v>4</v>
      </c>
      <c r="Y32" s="17">
        <f>94</f>
        <v>94</v>
      </c>
      <c r="Z32" s="177">
        <f>Table4[[#This Row],[EStype_summed]]*Table4[[#This Row],[Indicator_12.5pct]]</f>
        <v>6.25</v>
      </c>
      <c r="AA32" s="190">
        <f>(IF(Table4[[#This Row],[all_evtype]]&gt;=4,"4", IF(Table4[[#This Row],[all_evtype]]&gt;=3,"3", IF(Table4[[#This Row],[all_evtype]]&gt;=2,"2", IF(Table4[[#This Row],[all_evtype]]&gt;=1,"1","0")))))/Table4[[#This Row],[HPS_et]]</f>
        <v>0.5</v>
      </c>
      <c r="AB32" s="191">
        <f>VLOOKUP(Table4[[#This Row],[risk_id]],Table3[], 14, FALSE)</f>
        <v>1</v>
      </c>
      <c r="AC32" s="191">
        <f>VLOOKUP(Table4[[#This Row],[risk_id]],Table3[], 15, FALSE)</f>
        <v>3</v>
      </c>
      <c r="AD32" s="191">
        <f>VLOOKUP(Table4[[#This Row],[risk_id]], Table3[], 16, FALSE)</f>
        <v>0</v>
      </c>
      <c r="AE32" s="191">
        <f>VLOOKUP(Table4[[#This Row],[risk_id]], Table3[], 17, )</f>
        <v>0</v>
      </c>
      <c r="AF32" s="191">
        <f>4</f>
        <v>4</v>
      </c>
      <c r="AG32" s="191">
        <f>COUNTIF(Table4[[#This Row],[THEO]:[MOD]], "&gt;=1")</f>
        <v>2</v>
      </c>
      <c r="AH32" s="192">
        <f>Table4[[#This Row],[data_observations]]/Table4[[#This Row],[AllObservations_count]]</f>
        <v>4.2553191489361701E-2</v>
      </c>
      <c r="AI32" s="189">
        <f>Table4[[#This Row],[evidenceamount_pct]]*(Table4[[#This Row],[Indicator_12.5pct]])</f>
        <v>0.53191489361702127</v>
      </c>
      <c r="AJ32" s="198">
        <f>(1-(VLOOKUP(Table4[[#This Row],[risk_id]],Table3[],18, FALSE))/(Table4[[#This Row],[data_observations]]))</f>
        <v>1</v>
      </c>
      <c r="AK32" s="198">
        <f>((VLOOKUP(Table4[[#This Row],[risk_id]],Table3[],19, FALSE))+((VLOOKUP(Table4[[#This Row],[risk_id]],Table3[],36, FALSE))*0.5))/(Table4[[#This Row],[data_observations]])</f>
        <v>0.75</v>
      </c>
      <c r="AL32" s="177">
        <f>((Table4[[#This Row],[ev_data_deficient_score]]*0.5)+(Table4[[#This Row],[ev_data_availability_score]]*0.5))*(Table4[[#This Row],[Indicator_12.5pct]])</f>
        <v>10.9375</v>
      </c>
      <c r="AM32" s="199">
        <f>Table4[[#This Row],[RiskScore]]</f>
        <v>29.0625</v>
      </c>
      <c r="AN32" s="200">
        <f>VLOOKUP(Table4[[#This Row],[risk_id]], Table3[], 13, FALSE)</f>
        <v>0.8660254037844386</v>
      </c>
      <c r="AO32" s="185">
        <f>(1-(Table4[[#This Row],[evidence_SD_RR]]/Table4[[#This Row],[evidence_mean_RR]]))*(Table4[[#This Row],[Indicator_12.5pct]])</f>
        <v>12.127515955361531</v>
      </c>
      <c r="AP32" s="201">
        <f>VLOOKUP(Table4[[#This Row],[risk_id]],Table3[],21, FALSE)</f>
        <v>0</v>
      </c>
      <c r="AQ32" s="201">
        <f>VLOOKUP(Table4[[#This Row],[risk_id]],Table3[],23, FALSE)</f>
        <v>1</v>
      </c>
      <c r="AR32" s="201">
        <f>VLOOKUP(Table4[[#This Row],[risk_id]],Table3[],25, FALSE)</f>
        <v>0</v>
      </c>
      <c r="AS32" s="201">
        <f>VLOOKUP(Table4[[#This Row],[risk_id]],Table3[],27, FALSE)</f>
        <v>0</v>
      </c>
      <c r="AT32" s="183">
        <f>(MAX(Table4[[#This Row],[C]:[U]]))*Table4[[#This Row],[Indicator_20pct]]</f>
        <v>10</v>
      </c>
      <c r="AU32" s="205">
        <f>COUNTIFS(Table4[[#This Row],[C]], "&gt;0", Table4[[#This Row],[U]], "&gt;0") + COUNTIFS(Table4[[#This Row],[H]], "&gt;0", Table4[[#This Row],[U]], "&gt;0") + COUNTIFS(Table4[[#This Row],[C]], "&gt;0", Table4[[#This Row],[M]], "&gt;0")</f>
        <v>0</v>
      </c>
      <c r="AV32" s="219">
        <f>((-(Table4[[#This Row],[different_scores_count]]-3))/3)*Table4[[#This Row],[Indicator_20pct]]</f>
        <v>10</v>
      </c>
      <c r="AW32" s="183">
        <f>IF(Table4[[#This Row],[data_observations]]&gt;=5, 30, IF(Table4[[#This Row],[data_observations]]&gt;=3, 15, 0))</f>
        <v>15</v>
      </c>
      <c r="AX32" s="26" t="s">
        <v>2737</v>
      </c>
    </row>
    <row r="33" spans="1:50" ht="32" hidden="1" customHeight="1" x14ac:dyDescent="0.2">
      <c r="A33" s="16" t="s">
        <v>611</v>
      </c>
      <c r="B33" s="16" t="str">
        <f>VLOOKUP(Table4[[#This Row],[risk_id]], Table3[], 35, FALSE)</f>
        <v>Risk</v>
      </c>
      <c r="C33" s="16" t="str">
        <f>VLOOKUP(Table4[[#This Row],[risk_id]], Table3[], 2, FALSE)</f>
        <v>Operational</v>
      </c>
      <c r="D33" s="15" t="str">
        <f>VLOOKUP(Table4[[#This Row],[risk_id]], Table3[], 3, FALSE)</f>
        <v>Reduced search and rescure capacity</v>
      </c>
      <c r="E33"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33" s="300">
        <f t="shared" si="0"/>
        <v>29.010380622837371</v>
      </c>
      <c r="G33" s="31">
        <f>Table4[[#This Row],[DataQuality_Score]]</f>
        <v>0.72916160117332363</v>
      </c>
      <c r="H33"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33" s="27" t="str">
        <f>Table4[[#This Row],[LoA - Metric]]&amp; ", " &amp;Table4[[#This Row],[ES - Metric]]</f>
        <v>High agreement, Medium evidence</v>
      </c>
      <c r="J33" s="222">
        <f>(Table4[[#This Row],[LoA_SCORE]]+Table4[[#This Row],[ES_SCORE]])/100</f>
        <v>0.72916160117332363</v>
      </c>
      <c r="K33"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33"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33" s="179">
        <f>Table4[[#This Row],[probability_average]]</f>
        <v>3.7647058823529411</v>
      </c>
      <c r="N33" s="181">
        <f>Table4[[#This Row],[consequence_average]]</f>
        <v>7.7058823529411766</v>
      </c>
      <c r="O33" s="220">
        <f>Table4[[#This Row],[agreementPCT_score]]+Table4[[#This Row],[agreement_dist_score]]+Table4[[#This Row],[LoA_AQ_score]]</f>
        <v>41.372549019607845</v>
      </c>
      <c r="P33" s="203">
        <f>Table4[[#This Row],[evidenceconsistency_score]]+Table4[[#This Row],[EQ_score]]+Table4[[#This Row],[EA_score]]+Table4[[#This Row],[ET_score]]</f>
        <v>31.543611097724515</v>
      </c>
      <c r="Q33" s="181">
        <f>VLOOKUP(Table4[[#This Row],[risk_id]],Table3[],10,FALSE)</f>
        <v>7.7058823529411766</v>
      </c>
      <c r="R33" s="181">
        <f>VLOOKUP(Table4[[#This Row],[risk_id]],Table3[],9,FALSE)</f>
        <v>131</v>
      </c>
      <c r="S33" s="179">
        <f>VLOOKUP(Table4[[#This Row],[risk_id]],Table3[],7,FALSE)</f>
        <v>3.7647058823529411</v>
      </c>
      <c r="T33" s="179">
        <f>VLOOKUP(Table4[[#This Row],[risk_id]],Table3[],6,FALSE)</f>
        <v>64</v>
      </c>
      <c r="U33" s="177">
        <f t="shared" si="1"/>
        <v>12.5</v>
      </c>
      <c r="V33" s="187">
        <f>10</f>
        <v>10</v>
      </c>
      <c r="W33" s="187">
        <f>30</f>
        <v>30</v>
      </c>
      <c r="X33" s="17">
        <f>VLOOKUP(Table4[[#This Row],[risk_id]],Table3[],5,FALSE)</f>
        <v>17</v>
      </c>
      <c r="Y33" s="17">
        <f>94</f>
        <v>94</v>
      </c>
      <c r="Z33" s="177">
        <f>Table4[[#This Row],[EStype_summed]]*Table4[[#This Row],[Indicator_12.5pct]]</f>
        <v>12.5</v>
      </c>
      <c r="AA33" s="190">
        <f>(IF(Table4[[#This Row],[all_evtype]]&gt;=4,"4", IF(Table4[[#This Row],[all_evtype]]&gt;=3,"3", IF(Table4[[#This Row],[all_evtype]]&gt;=2,"2", IF(Table4[[#This Row],[all_evtype]]&gt;=1,"1","0")))))/Table4[[#This Row],[HPS_et]]</f>
        <v>1</v>
      </c>
      <c r="AB33" s="191">
        <f>VLOOKUP(Table4[[#This Row],[risk_id]],Table3[], 14, FALSE)</f>
        <v>4</v>
      </c>
      <c r="AC33" s="191">
        <f>VLOOKUP(Table4[[#This Row],[risk_id]],Table3[], 15, FALSE)</f>
        <v>7</v>
      </c>
      <c r="AD33" s="191">
        <f>VLOOKUP(Table4[[#This Row],[risk_id]], Table3[], 16, FALSE)</f>
        <v>4</v>
      </c>
      <c r="AE33" s="191">
        <f>VLOOKUP(Table4[[#This Row],[risk_id]], Table3[], 17, )</f>
        <v>2</v>
      </c>
      <c r="AF33" s="191">
        <f>4</f>
        <v>4</v>
      </c>
      <c r="AG33" s="191">
        <f>COUNTIF(Table4[[#This Row],[THEO]:[MOD]], "&gt;=1")</f>
        <v>4</v>
      </c>
      <c r="AH33" s="192">
        <f>Table4[[#This Row],[data_observations]]/Table4[[#This Row],[AllObservations_count]]</f>
        <v>0.18085106382978725</v>
      </c>
      <c r="AI33" s="189">
        <f>Table4[[#This Row],[evidenceamount_pct]]*(Table4[[#This Row],[Indicator_12.5pct]])</f>
        <v>2.2606382978723407</v>
      </c>
      <c r="AJ33" s="198">
        <f>(1-(VLOOKUP(Table4[[#This Row],[risk_id]],Table3[],18, FALSE))/(Table4[[#This Row],[data_observations]]))</f>
        <v>0.82352941176470584</v>
      </c>
      <c r="AK33" s="198">
        <f>((VLOOKUP(Table4[[#This Row],[risk_id]],Table3[],19, FALSE))+((VLOOKUP(Table4[[#This Row],[risk_id]],Table3[],36, FALSE))*0.5))/(Table4[[#This Row],[data_observations]])</f>
        <v>0.47058823529411764</v>
      </c>
      <c r="AL33" s="177">
        <f>((Table4[[#This Row],[ev_data_deficient_score]]*0.5)+(Table4[[#This Row],[ev_data_availability_score]]*0.5))*(Table4[[#This Row],[Indicator_12.5pct]])</f>
        <v>8.0882352941176467</v>
      </c>
      <c r="AM33" s="199">
        <f>Table4[[#This Row],[RiskScore]]</f>
        <v>29.010380622837371</v>
      </c>
      <c r="AN33" s="200">
        <f>VLOOKUP(Table4[[#This Row],[risk_id]], Table3[], 13, FALSE)</f>
        <v>8.8313690662759132</v>
      </c>
      <c r="AO33" s="185">
        <f>(1-(Table4[[#This Row],[evidence_SD_RR]]/Table4[[#This Row],[evidence_mean_RR]]))*(Table4[[#This Row],[Indicator_12.5pct]])</f>
        <v>8.6947375057345262</v>
      </c>
      <c r="AP33" s="201">
        <f>VLOOKUP(Table4[[#This Row],[risk_id]],Table3[],21, FALSE)</f>
        <v>0.23529411764705882</v>
      </c>
      <c r="AQ33" s="201">
        <f>VLOOKUP(Table4[[#This Row],[risk_id]],Table3[],23, FALSE)</f>
        <v>0.47058823529411764</v>
      </c>
      <c r="AR33" s="201">
        <f>VLOOKUP(Table4[[#This Row],[risk_id]],Table3[],25, FALSE)</f>
        <v>0.29411764705882354</v>
      </c>
      <c r="AS33" s="201">
        <f>VLOOKUP(Table4[[#This Row],[risk_id]],Table3[],27, FALSE)</f>
        <v>0</v>
      </c>
      <c r="AT33" s="183">
        <f>(MAX(Table4[[#This Row],[C]:[U]]))*Table4[[#This Row],[Indicator_20pct]]</f>
        <v>4.7058823529411766</v>
      </c>
      <c r="AU33" s="205">
        <f>COUNTIFS(Table4[[#This Row],[C]], "&gt;0", Table4[[#This Row],[U]], "&gt;0") + COUNTIFS(Table4[[#This Row],[H]], "&gt;0", Table4[[#This Row],[U]], "&gt;0") + COUNTIFS(Table4[[#This Row],[C]], "&gt;0", Table4[[#This Row],[M]], "&gt;0")</f>
        <v>1</v>
      </c>
      <c r="AV33" s="219">
        <f>((-(Table4[[#This Row],[different_scores_count]]-3))/3)*Table4[[#This Row],[Indicator_20pct]]</f>
        <v>6.6666666666666661</v>
      </c>
      <c r="AW33" s="183">
        <f>IF(Table4[[#This Row],[data_observations]]&gt;=5, 30, IF(Table4[[#This Row],[data_observations]]&gt;=3, 15, 0))</f>
        <v>30</v>
      </c>
      <c r="AX33" s="26" t="s">
        <v>2737</v>
      </c>
    </row>
    <row r="34" spans="1:50" ht="32" customHeight="1" x14ac:dyDescent="0.2">
      <c r="A34" s="16" t="s">
        <v>2704</v>
      </c>
      <c r="B34" s="16" t="str">
        <f>VLOOKUP(Table4[[#This Row],[risk_id]], Table3[], 35, FALSE)</f>
        <v>Hazard</v>
      </c>
      <c r="C34" s="16" t="str">
        <f>VLOOKUP(Table4[[#This Row],[risk_id]], Table3[], 2, FALSE)</f>
        <v>Navigational</v>
      </c>
      <c r="D34" s="15" t="str">
        <f>VLOOKUP(Table4[[#This Row],[risk_id]], Table3[], 3, FALSE)</f>
        <v>Operating in shallow waters</v>
      </c>
      <c r="E34"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34" s="300">
        <f t="shared" ref="F34:F65" si="2">M34*N34</f>
        <v>28.875</v>
      </c>
      <c r="G34" s="31">
        <f>Table4[[#This Row],[DataQuality_Score]]</f>
        <v>0.81031104074940175</v>
      </c>
      <c r="H34"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VERY HIGH</v>
      </c>
      <c r="I34" s="27" t="str">
        <f>Table4[[#This Row],[LoA - Metric]]&amp; ", " &amp;Table4[[#This Row],[ES - Metric]]</f>
        <v>High agreement, Robust evidence</v>
      </c>
      <c r="J34" s="222">
        <f>(Table4[[#This Row],[LoA_SCORE]]+Table4[[#This Row],[ES_SCORE]])/100</f>
        <v>0.81031104074940175</v>
      </c>
      <c r="K34"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34"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Robust evidence</v>
      </c>
      <c r="M34" s="179">
        <f>Table4[[#This Row],[probability_average]]</f>
        <v>4.125</v>
      </c>
      <c r="N34" s="181">
        <f>Table4[[#This Row],[consequence_average]]</f>
        <v>7</v>
      </c>
      <c r="O34" s="220">
        <f>Table4[[#This Row],[agreementPCT_score]]+Table4[[#This Row],[agreement_dist_score]]+Table4[[#This Row],[LoA_AQ_score]]</f>
        <v>47.5</v>
      </c>
      <c r="P34" s="203">
        <f>Table4[[#This Row],[evidenceconsistency_score]]+Table4[[#This Row],[EQ_score]]+Table4[[#This Row],[EA_score]]+Table4[[#This Row],[ET_score]]</f>
        <v>33.531104074940174</v>
      </c>
      <c r="Q34" s="181">
        <f>VLOOKUP(Table4[[#This Row],[risk_id]],Table3[],10,FALSE)</f>
        <v>7</v>
      </c>
      <c r="R34" s="181">
        <f>VLOOKUP(Table4[[#This Row],[risk_id]],Table3[],9,FALSE)</f>
        <v>56</v>
      </c>
      <c r="S34" s="179">
        <f>VLOOKUP(Table4[[#This Row],[risk_id]],Table3[],7,FALSE)</f>
        <v>4.125</v>
      </c>
      <c r="T34" s="179">
        <f>VLOOKUP(Table4[[#This Row],[risk_id]],Table3[],6,FALSE)</f>
        <v>33</v>
      </c>
      <c r="U34" s="177">
        <f t="shared" ref="U34:U65" si="3">12.5</f>
        <v>12.5</v>
      </c>
      <c r="V34" s="187">
        <f>10</f>
        <v>10</v>
      </c>
      <c r="W34" s="187">
        <f>30</f>
        <v>30</v>
      </c>
      <c r="X34" s="17">
        <f>VLOOKUP(Table4[[#This Row],[risk_id]],Table3[],5,FALSE)</f>
        <v>8</v>
      </c>
      <c r="Y34" s="17">
        <f>94</f>
        <v>94</v>
      </c>
      <c r="Z34" s="177">
        <f>Table4[[#This Row],[EStype_summed]]*Table4[[#This Row],[Indicator_12.5pct]]</f>
        <v>12.5</v>
      </c>
      <c r="AA34" s="190">
        <f>(IF(Table4[[#This Row],[all_evtype]]&gt;=4,"4", IF(Table4[[#This Row],[all_evtype]]&gt;=3,"3", IF(Table4[[#This Row],[all_evtype]]&gt;=2,"2", IF(Table4[[#This Row],[all_evtype]]&gt;=1,"1","0")))))/Table4[[#This Row],[HPS_et]]</f>
        <v>1</v>
      </c>
      <c r="AB34" s="191">
        <f>VLOOKUP(Table4[[#This Row],[risk_id]],Table3[], 14, FALSE)</f>
        <v>2</v>
      </c>
      <c r="AC34" s="191">
        <f>VLOOKUP(Table4[[#This Row],[risk_id]],Table3[], 15, FALSE)</f>
        <v>4</v>
      </c>
      <c r="AD34" s="191">
        <f>VLOOKUP(Table4[[#This Row],[risk_id]], Table3[], 16, FALSE)</f>
        <v>1</v>
      </c>
      <c r="AE34" s="191">
        <f>VLOOKUP(Table4[[#This Row],[risk_id]], Table3[], 17, )</f>
        <v>1</v>
      </c>
      <c r="AF34" s="191">
        <f>4</f>
        <v>4</v>
      </c>
      <c r="AG34" s="191">
        <f>COUNTIF(Table4[[#This Row],[THEO]:[MOD]], "&gt;=1")</f>
        <v>4</v>
      </c>
      <c r="AH34" s="192">
        <f>Table4[[#This Row],[data_observations]]/Table4[[#This Row],[AllObservations_count]]</f>
        <v>8.5106382978723402E-2</v>
      </c>
      <c r="AI34" s="189">
        <f>Table4[[#This Row],[evidenceamount_pct]]*(Table4[[#This Row],[Indicator_12.5pct]])</f>
        <v>1.0638297872340425</v>
      </c>
      <c r="AJ34" s="198">
        <f>(1-(VLOOKUP(Table4[[#This Row],[risk_id]],Table3[],18, FALSE))/(Table4[[#This Row],[data_observations]]))</f>
        <v>1</v>
      </c>
      <c r="AK34" s="198">
        <f>((VLOOKUP(Table4[[#This Row],[risk_id]],Table3[],19, FALSE))+((VLOOKUP(Table4[[#This Row],[risk_id]],Table3[],36, FALSE))*0.5))/(Table4[[#This Row],[data_observations]])</f>
        <v>0.5625</v>
      </c>
      <c r="AL34" s="177">
        <f>((Table4[[#This Row],[ev_data_deficient_score]]*0.5)+(Table4[[#This Row],[ev_data_availability_score]]*0.5))*(Table4[[#This Row],[Indicator_12.5pct]])</f>
        <v>9.765625</v>
      </c>
      <c r="AM34" s="199">
        <f>Table4[[#This Row],[RiskScore]]</f>
        <v>28.875</v>
      </c>
      <c r="AN34" s="200">
        <f>VLOOKUP(Table4[[#This Row],[risk_id]], Table3[], 13, FALSE)</f>
        <v>5.3091901453988255</v>
      </c>
      <c r="AO34" s="185">
        <f>(1-(Table4[[#This Row],[evidence_SD_RR]]/Table4[[#This Row],[evidence_mean_RR]]))*(Table4[[#This Row],[Indicator_12.5pct]])</f>
        <v>10.201649287706136</v>
      </c>
      <c r="AP34" s="201">
        <f>VLOOKUP(Table4[[#This Row],[risk_id]],Table3[],21, FALSE)</f>
        <v>0</v>
      </c>
      <c r="AQ34" s="201">
        <f>VLOOKUP(Table4[[#This Row],[risk_id]],Table3[],23, FALSE)</f>
        <v>0.75</v>
      </c>
      <c r="AR34" s="201">
        <f>VLOOKUP(Table4[[#This Row],[risk_id]],Table3[],25, FALSE)</f>
        <v>0.25</v>
      </c>
      <c r="AS34" s="201">
        <f>VLOOKUP(Table4[[#This Row],[risk_id]],Table3[],27, FALSE)</f>
        <v>0</v>
      </c>
      <c r="AT34" s="183">
        <f>(MAX(Table4[[#This Row],[C]:[U]]))*Table4[[#This Row],[Indicator_20pct]]</f>
        <v>7.5</v>
      </c>
      <c r="AU34" s="205">
        <f>COUNTIFS(Table4[[#This Row],[C]], "&gt;0", Table4[[#This Row],[U]], "&gt;0") + COUNTIFS(Table4[[#This Row],[H]], "&gt;0", Table4[[#This Row],[U]], "&gt;0") + COUNTIFS(Table4[[#This Row],[C]], "&gt;0", Table4[[#This Row],[M]], "&gt;0")</f>
        <v>0</v>
      </c>
      <c r="AV34" s="219">
        <f>((-(Table4[[#This Row],[different_scores_count]]-3))/3)*Table4[[#This Row],[Indicator_20pct]]</f>
        <v>10</v>
      </c>
      <c r="AW34" s="183">
        <f>IF(Table4[[#This Row],[data_observations]]&gt;=5, 30, IF(Table4[[#This Row],[data_observations]]&gt;=3, 15, 0))</f>
        <v>30</v>
      </c>
      <c r="AX34" s="26" t="s">
        <v>2737</v>
      </c>
    </row>
    <row r="35" spans="1:50" ht="32" customHeight="1" x14ac:dyDescent="0.2">
      <c r="A35" s="16" t="s">
        <v>2672</v>
      </c>
      <c r="B35" s="16" t="str">
        <f>VLOOKUP(Table4[[#This Row],[risk_id]], Table3[], 35, FALSE)</f>
        <v>Hazard</v>
      </c>
      <c r="C35" s="16" t="str">
        <f>VLOOKUP(Table4[[#This Row],[risk_id]], Table3[], 2, FALSE)</f>
        <v>Environmental</v>
      </c>
      <c r="D35" s="15" t="str">
        <f>VLOOKUP(Table4[[#This Row],[risk_id]], Table3[], 3, FALSE)</f>
        <v>Climate flucuation</v>
      </c>
      <c r="E35"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35" s="300">
        <f t="shared" si="2"/>
        <v>28.163265306122447</v>
      </c>
      <c r="G35" s="31">
        <f>Table4[[#This Row],[DataQuality_Score]]</f>
        <v>0.79234357263134225</v>
      </c>
      <c r="H35"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35" s="27" t="str">
        <f>Table4[[#This Row],[LoA - Metric]]&amp; ", " &amp;Table4[[#This Row],[ES - Metric]]</f>
        <v>High agreement, Medium evidence</v>
      </c>
      <c r="J35" s="222">
        <f>(Table4[[#This Row],[LoA_SCORE]]+Table4[[#This Row],[ES_SCORE]])/100</f>
        <v>0.79234357263134225</v>
      </c>
      <c r="K35"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35"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35" s="179">
        <f>Table4[[#This Row],[probability_average]]</f>
        <v>4.2857142857142856</v>
      </c>
      <c r="N35" s="181">
        <f>Table4[[#This Row],[consequence_average]]</f>
        <v>6.5714285714285712</v>
      </c>
      <c r="O35" s="220">
        <f>Table4[[#This Row],[agreementPCT_score]]+Table4[[#This Row],[agreement_dist_score]]+Table4[[#This Row],[LoA_AQ_score]]</f>
        <v>47.142857142857139</v>
      </c>
      <c r="P35" s="203">
        <f>Table4[[#This Row],[evidenceconsistency_score]]+Table4[[#This Row],[EQ_score]]+Table4[[#This Row],[EA_score]]+Table4[[#This Row],[ET_score]]</f>
        <v>32.09150012027709</v>
      </c>
      <c r="Q35" s="181">
        <f>VLOOKUP(Table4[[#This Row],[risk_id]],Table3[],10,FALSE)</f>
        <v>6.5714285714285712</v>
      </c>
      <c r="R35" s="181">
        <f>VLOOKUP(Table4[[#This Row],[risk_id]],Table3[],9,FALSE)</f>
        <v>46</v>
      </c>
      <c r="S35" s="179">
        <f>VLOOKUP(Table4[[#This Row],[risk_id]],Table3[],7,FALSE)</f>
        <v>4.2857142857142856</v>
      </c>
      <c r="T35" s="179">
        <f>VLOOKUP(Table4[[#This Row],[risk_id]],Table3[],6,FALSE)</f>
        <v>30</v>
      </c>
      <c r="U35" s="177">
        <f t="shared" si="3"/>
        <v>12.5</v>
      </c>
      <c r="V35" s="187">
        <f>10</f>
        <v>10</v>
      </c>
      <c r="W35" s="187">
        <f>30</f>
        <v>30</v>
      </c>
      <c r="X35" s="17">
        <f>VLOOKUP(Table4[[#This Row],[risk_id]],Table3[],5,FALSE)</f>
        <v>7</v>
      </c>
      <c r="Y35" s="17">
        <f>94</f>
        <v>94</v>
      </c>
      <c r="Z35" s="177">
        <f>Table4[[#This Row],[EStype_summed]]*Table4[[#This Row],[Indicator_12.5pct]]</f>
        <v>12.5</v>
      </c>
      <c r="AA35" s="190">
        <f>(IF(Table4[[#This Row],[all_evtype]]&gt;=4,"4", IF(Table4[[#This Row],[all_evtype]]&gt;=3,"3", IF(Table4[[#This Row],[all_evtype]]&gt;=2,"2", IF(Table4[[#This Row],[all_evtype]]&gt;=1,"1","0")))))/Table4[[#This Row],[HPS_et]]</f>
        <v>1</v>
      </c>
      <c r="AB35" s="191">
        <f>VLOOKUP(Table4[[#This Row],[risk_id]],Table3[], 14, FALSE)</f>
        <v>1</v>
      </c>
      <c r="AC35" s="191">
        <f>VLOOKUP(Table4[[#This Row],[risk_id]],Table3[], 15, FALSE)</f>
        <v>4</v>
      </c>
      <c r="AD35" s="191">
        <f>VLOOKUP(Table4[[#This Row],[risk_id]], Table3[], 16, FALSE)</f>
        <v>1</v>
      </c>
      <c r="AE35" s="191">
        <f>VLOOKUP(Table4[[#This Row],[risk_id]], Table3[], 17, )</f>
        <v>1</v>
      </c>
      <c r="AF35" s="191">
        <f>4</f>
        <v>4</v>
      </c>
      <c r="AG35" s="191">
        <f>COUNTIF(Table4[[#This Row],[THEO]:[MOD]], "&gt;=1")</f>
        <v>4</v>
      </c>
      <c r="AH35" s="192">
        <f>Table4[[#This Row],[data_observations]]/Table4[[#This Row],[AllObservations_count]]</f>
        <v>7.4468085106382975E-2</v>
      </c>
      <c r="AI35" s="189">
        <f>Table4[[#This Row],[evidenceamount_pct]]*(Table4[[#This Row],[Indicator_12.5pct]])</f>
        <v>0.93085106382978722</v>
      </c>
      <c r="AJ35" s="198">
        <f>(1-(VLOOKUP(Table4[[#This Row],[risk_id]],Table3[],18, FALSE))/(Table4[[#This Row],[data_observations]]))</f>
        <v>1</v>
      </c>
      <c r="AK35" s="198">
        <f>((VLOOKUP(Table4[[#This Row],[risk_id]],Table3[],19, FALSE))+((VLOOKUP(Table4[[#This Row],[risk_id]],Table3[],36, FALSE))*0.5))/(Table4[[#This Row],[data_observations]])</f>
        <v>0.6428571428571429</v>
      </c>
      <c r="AL35" s="177">
        <f>((Table4[[#This Row],[ev_data_deficient_score]]*0.5)+(Table4[[#This Row],[ev_data_availability_score]]*0.5))*(Table4[[#This Row],[Indicator_12.5pct]])</f>
        <v>10.267857142857142</v>
      </c>
      <c r="AM35" s="199">
        <f>Table4[[#This Row],[RiskScore]]</f>
        <v>28.163265306122447</v>
      </c>
      <c r="AN35" s="200">
        <f>VLOOKUP(Table4[[#This Row],[risk_id]], Table3[], 13, FALSE)</f>
        <v>9.2537912804009412</v>
      </c>
      <c r="AO35" s="185">
        <f>(1-(Table4[[#This Row],[evidence_SD_RR]]/Table4[[#This Row],[evidence_mean_RR]]))*(Table4[[#This Row],[Indicator_12.5pct]])</f>
        <v>8.3927919135901607</v>
      </c>
      <c r="AP35" s="201">
        <f>VLOOKUP(Table4[[#This Row],[risk_id]],Table3[],21, FALSE)</f>
        <v>0</v>
      </c>
      <c r="AQ35" s="201">
        <f>VLOOKUP(Table4[[#This Row],[risk_id]],Table3[],23, FALSE)</f>
        <v>0.7142857142857143</v>
      </c>
      <c r="AR35" s="201">
        <f>VLOOKUP(Table4[[#This Row],[risk_id]],Table3[],25, FALSE)</f>
        <v>0.2857142857142857</v>
      </c>
      <c r="AS35" s="201">
        <f>VLOOKUP(Table4[[#This Row],[risk_id]],Table3[],27, FALSE)</f>
        <v>0</v>
      </c>
      <c r="AT35" s="183">
        <f>(MAX(Table4[[#This Row],[C]:[U]]))*Table4[[#This Row],[Indicator_20pct]]</f>
        <v>7.1428571428571432</v>
      </c>
      <c r="AU35" s="205">
        <f>COUNTIFS(Table4[[#This Row],[C]], "&gt;0", Table4[[#This Row],[U]], "&gt;0") + COUNTIFS(Table4[[#This Row],[H]], "&gt;0", Table4[[#This Row],[U]], "&gt;0") + COUNTIFS(Table4[[#This Row],[C]], "&gt;0", Table4[[#This Row],[M]], "&gt;0")</f>
        <v>0</v>
      </c>
      <c r="AV35" s="219">
        <f>((-(Table4[[#This Row],[different_scores_count]]-3))/3)*Table4[[#This Row],[Indicator_20pct]]</f>
        <v>10</v>
      </c>
      <c r="AW35" s="183">
        <f>IF(Table4[[#This Row],[data_observations]]&gt;=5, 30, IF(Table4[[#This Row],[data_observations]]&gt;=3, 15, 0))</f>
        <v>30</v>
      </c>
      <c r="AX35" s="26" t="s">
        <v>2737</v>
      </c>
    </row>
    <row r="36" spans="1:50" ht="32" hidden="1" customHeight="1" x14ac:dyDescent="0.2">
      <c r="A36" s="16" t="s">
        <v>576</v>
      </c>
      <c r="B36" s="16" t="str">
        <f>VLOOKUP(Table4[[#This Row],[risk_id]], Table3[], 35, FALSE)</f>
        <v>Risk</v>
      </c>
      <c r="C36" s="16" t="str">
        <f>VLOOKUP(Table4[[#This Row],[risk_id]], Table3[], 2, FALSE)</f>
        <v>Social</v>
      </c>
      <c r="D36" s="15" t="str">
        <f>VLOOKUP(Table4[[#This Row],[risk_id]], Table3[], 3, FALSE)</f>
        <v>Lacking shipping infrastructure and services</v>
      </c>
      <c r="E36"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36" s="300">
        <f t="shared" si="2"/>
        <v>28</v>
      </c>
      <c r="G36" s="31">
        <f>Table4[[#This Row],[DataQuality_Score]]</f>
        <v>0.73427447416323333</v>
      </c>
      <c r="H36"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36" s="27" t="str">
        <f>Table4[[#This Row],[LoA - Metric]]&amp; ", " &amp;Table4[[#This Row],[ES - Metric]]</f>
        <v>High agreement, Medium evidence</v>
      </c>
      <c r="J36" s="222">
        <f>(Table4[[#This Row],[LoA_SCORE]]+Table4[[#This Row],[ES_SCORE]])/100</f>
        <v>0.73427447416323333</v>
      </c>
      <c r="K36"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36"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36" s="179">
        <f>Table4[[#This Row],[probability_average]]</f>
        <v>4</v>
      </c>
      <c r="N36" s="181">
        <f>Table4[[#This Row],[consequence_average]]</f>
        <v>7</v>
      </c>
      <c r="O36" s="220">
        <f>Table4[[#This Row],[agreementPCT_score]]+Table4[[#This Row],[agreement_dist_score]]+Table4[[#This Row],[LoA_AQ_score]]</f>
        <v>42.121212121212125</v>
      </c>
      <c r="P36" s="203">
        <f>Table4[[#This Row],[evidenceconsistency_score]]+Table4[[#This Row],[EQ_score]]+Table4[[#This Row],[EA_score]]+Table4[[#This Row],[ET_score]]</f>
        <v>31.3062352951112</v>
      </c>
      <c r="Q36" s="181">
        <f>VLOOKUP(Table4[[#This Row],[risk_id]],Table3[],10,FALSE)</f>
        <v>7</v>
      </c>
      <c r="R36" s="181">
        <f>VLOOKUP(Table4[[#This Row],[risk_id]],Table3[],9,FALSE)</f>
        <v>154</v>
      </c>
      <c r="S36" s="179">
        <f>VLOOKUP(Table4[[#This Row],[risk_id]],Table3[],7,FALSE)</f>
        <v>4</v>
      </c>
      <c r="T36" s="179">
        <f>VLOOKUP(Table4[[#This Row],[risk_id]],Table3[],6,FALSE)</f>
        <v>88</v>
      </c>
      <c r="U36" s="177">
        <f t="shared" si="3"/>
        <v>12.5</v>
      </c>
      <c r="V36" s="187">
        <f>10</f>
        <v>10</v>
      </c>
      <c r="W36" s="187">
        <f>30</f>
        <v>30</v>
      </c>
      <c r="X36" s="17">
        <f>VLOOKUP(Table4[[#This Row],[risk_id]],Table3[],5,FALSE)</f>
        <v>22</v>
      </c>
      <c r="Y36" s="17">
        <f>94</f>
        <v>94</v>
      </c>
      <c r="Z36" s="177">
        <f>Table4[[#This Row],[EStype_summed]]*Table4[[#This Row],[Indicator_12.5pct]]</f>
        <v>12.5</v>
      </c>
      <c r="AA36" s="190">
        <f>(IF(Table4[[#This Row],[all_evtype]]&gt;=4,"4", IF(Table4[[#This Row],[all_evtype]]&gt;=3,"3", IF(Table4[[#This Row],[all_evtype]]&gt;=2,"2", IF(Table4[[#This Row],[all_evtype]]&gt;=1,"1","0")))))/Table4[[#This Row],[HPS_et]]</f>
        <v>1</v>
      </c>
      <c r="AB36" s="191">
        <f>VLOOKUP(Table4[[#This Row],[risk_id]],Table3[], 14, FALSE)</f>
        <v>10</v>
      </c>
      <c r="AC36" s="191">
        <f>VLOOKUP(Table4[[#This Row],[risk_id]],Table3[], 15, FALSE)</f>
        <v>7</v>
      </c>
      <c r="AD36" s="191">
        <f>VLOOKUP(Table4[[#This Row],[risk_id]], Table3[], 16, FALSE)</f>
        <v>4</v>
      </c>
      <c r="AE36" s="191">
        <f>VLOOKUP(Table4[[#This Row],[risk_id]], Table3[], 17, )</f>
        <v>1</v>
      </c>
      <c r="AF36" s="191">
        <f>4</f>
        <v>4</v>
      </c>
      <c r="AG36" s="191">
        <f>COUNTIF(Table4[[#This Row],[THEO]:[MOD]], "&gt;=1")</f>
        <v>4</v>
      </c>
      <c r="AH36" s="192">
        <f>Table4[[#This Row],[data_observations]]/Table4[[#This Row],[AllObservations_count]]</f>
        <v>0.23404255319148937</v>
      </c>
      <c r="AI36" s="189">
        <f>Table4[[#This Row],[evidenceamount_pct]]*(Table4[[#This Row],[Indicator_12.5pct]])</f>
        <v>2.9255319148936172</v>
      </c>
      <c r="AJ36" s="198">
        <f>(1-(VLOOKUP(Table4[[#This Row],[risk_id]],Table3[],18, FALSE))/(Table4[[#This Row],[data_observations]]))</f>
        <v>0.72727272727272729</v>
      </c>
      <c r="AK36" s="198">
        <f>((VLOOKUP(Table4[[#This Row],[risk_id]],Table3[],19, FALSE))+((VLOOKUP(Table4[[#This Row],[risk_id]],Table3[],36, FALSE))*0.5))/(Table4[[#This Row],[data_observations]])</f>
        <v>0.36363636363636365</v>
      </c>
      <c r="AL36" s="177">
        <f>((Table4[[#This Row],[ev_data_deficient_score]]*0.5)+(Table4[[#This Row],[ev_data_availability_score]]*0.5))*(Table4[[#This Row],[Indicator_12.5pct]])</f>
        <v>6.8181818181818175</v>
      </c>
      <c r="AM36" s="199">
        <f>Table4[[#This Row],[RiskScore]]</f>
        <v>28</v>
      </c>
      <c r="AN36" s="200">
        <f>VLOOKUP(Table4[[#This Row],[risk_id]], Table3[], 13, FALSE)</f>
        <v>7.6999517010398906</v>
      </c>
      <c r="AO36" s="185">
        <f>(1-(Table4[[#This Row],[evidence_SD_RR]]/Table4[[#This Row],[evidence_mean_RR]]))*(Table4[[#This Row],[Indicator_12.5pct]])</f>
        <v>9.062521562035764</v>
      </c>
      <c r="AP36" s="201">
        <f>VLOOKUP(Table4[[#This Row],[risk_id]],Table3[],21, FALSE)</f>
        <v>9.0909090909090912E-2</v>
      </c>
      <c r="AQ36" s="201">
        <f>VLOOKUP(Table4[[#This Row],[risk_id]],Table3[],23, FALSE)</f>
        <v>0.54545454545454541</v>
      </c>
      <c r="AR36" s="201">
        <f>VLOOKUP(Table4[[#This Row],[risk_id]],Table3[],25, FALSE)</f>
        <v>0.36363636363636365</v>
      </c>
      <c r="AS36" s="201">
        <f>VLOOKUP(Table4[[#This Row],[risk_id]],Table3[],27, FALSE)</f>
        <v>0</v>
      </c>
      <c r="AT36" s="183">
        <f>(MAX(Table4[[#This Row],[C]:[U]]))*Table4[[#This Row],[Indicator_20pct]]</f>
        <v>5.4545454545454541</v>
      </c>
      <c r="AU36" s="205">
        <f>COUNTIFS(Table4[[#This Row],[C]], "&gt;0", Table4[[#This Row],[U]], "&gt;0") + COUNTIFS(Table4[[#This Row],[H]], "&gt;0", Table4[[#This Row],[U]], "&gt;0") + COUNTIFS(Table4[[#This Row],[C]], "&gt;0", Table4[[#This Row],[M]], "&gt;0")</f>
        <v>1</v>
      </c>
      <c r="AV36" s="219">
        <f>((-(Table4[[#This Row],[different_scores_count]]-3))/3)*Table4[[#This Row],[Indicator_20pct]]</f>
        <v>6.6666666666666661</v>
      </c>
      <c r="AW36" s="183">
        <f>IF(Table4[[#This Row],[data_observations]]&gt;=5, 30, IF(Table4[[#This Row],[data_observations]]&gt;=3, 15, 0))</f>
        <v>30</v>
      </c>
      <c r="AX36" s="26" t="s">
        <v>2737</v>
      </c>
    </row>
    <row r="37" spans="1:50" ht="32" hidden="1" customHeight="1" x14ac:dyDescent="0.2">
      <c r="A37" s="16" t="s">
        <v>610</v>
      </c>
      <c r="B37" s="16" t="str">
        <f>VLOOKUP(Table4[[#This Row],[risk_id]], Table3[], 35, FALSE)</f>
        <v>Risk</v>
      </c>
      <c r="C37" s="16" t="str">
        <f>VLOOKUP(Table4[[#This Row],[risk_id]], Table3[], 2, FALSE)</f>
        <v>Environmental</v>
      </c>
      <c r="D37" s="15" t="str">
        <f>VLOOKUP(Table4[[#This Row],[risk_id]], Table3[], 3, FALSE)</f>
        <v>Reduced ecosystem recovery time</v>
      </c>
      <c r="E37"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37" s="300">
        <f t="shared" si="2"/>
        <v>28</v>
      </c>
      <c r="G37" s="31">
        <f>Table4[[#This Row],[DataQuality_Score]]</f>
        <v>0.68404831440806035</v>
      </c>
      <c r="H37"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37" s="27" t="str">
        <f>Table4[[#This Row],[LoA - Metric]]&amp; ", " &amp;Table4[[#This Row],[ES - Metric]]</f>
        <v>High agreement, Medium evidence</v>
      </c>
      <c r="J37" s="222">
        <f>(Table4[[#This Row],[LoA_SCORE]]+Table4[[#This Row],[ES_SCORE]])/100</f>
        <v>0.68404831440806035</v>
      </c>
      <c r="K37"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37"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37" s="179">
        <f>Table4[[#This Row],[probability_average]]</f>
        <v>4</v>
      </c>
      <c r="N37" s="181">
        <f>Table4[[#This Row],[consequence_average]]</f>
        <v>7</v>
      </c>
      <c r="O37" s="220">
        <f>Table4[[#This Row],[agreementPCT_score]]+Table4[[#This Row],[agreement_dist_score]]+Table4[[#This Row],[LoA_AQ_score]]</f>
        <v>40.952380952380949</v>
      </c>
      <c r="P37" s="203">
        <f>Table4[[#This Row],[evidenceconsistency_score]]+Table4[[#This Row],[EQ_score]]+Table4[[#This Row],[EA_score]]+Table4[[#This Row],[ET_score]]</f>
        <v>27.45245048842509</v>
      </c>
      <c r="Q37" s="181">
        <f>VLOOKUP(Table4[[#This Row],[risk_id]],Table3[],10,FALSE)</f>
        <v>7</v>
      </c>
      <c r="R37" s="181">
        <f>VLOOKUP(Table4[[#This Row],[risk_id]],Table3[],9,FALSE)</f>
        <v>49</v>
      </c>
      <c r="S37" s="179">
        <f>VLOOKUP(Table4[[#This Row],[risk_id]],Table3[],7,FALSE)</f>
        <v>4</v>
      </c>
      <c r="T37" s="179">
        <f>VLOOKUP(Table4[[#This Row],[risk_id]],Table3[],6,FALSE)</f>
        <v>28</v>
      </c>
      <c r="U37" s="177">
        <f t="shared" si="3"/>
        <v>12.5</v>
      </c>
      <c r="V37" s="187">
        <f>10</f>
        <v>10</v>
      </c>
      <c r="W37" s="187">
        <f>30</f>
        <v>30</v>
      </c>
      <c r="X37" s="17">
        <f>VLOOKUP(Table4[[#This Row],[risk_id]],Table3[],5,FALSE)</f>
        <v>7</v>
      </c>
      <c r="Y37" s="17">
        <f>94</f>
        <v>94</v>
      </c>
      <c r="Z37" s="177">
        <f>Table4[[#This Row],[EStype_summed]]*Table4[[#This Row],[Indicator_12.5pct]]</f>
        <v>9.375</v>
      </c>
      <c r="AA37" s="190">
        <f>(IF(Table4[[#This Row],[all_evtype]]&gt;=4,"4", IF(Table4[[#This Row],[all_evtype]]&gt;=3,"3", IF(Table4[[#This Row],[all_evtype]]&gt;=2,"2", IF(Table4[[#This Row],[all_evtype]]&gt;=1,"1","0")))))/Table4[[#This Row],[HPS_et]]</f>
        <v>0.75</v>
      </c>
      <c r="AB37" s="191">
        <f>VLOOKUP(Table4[[#This Row],[risk_id]],Table3[], 14, FALSE)</f>
        <v>2</v>
      </c>
      <c r="AC37" s="191">
        <f>VLOOKUP(Table4[[#This Row],[risk_id]],Table3[], 15, FALSE)</f>
        <v>3</v>
      </c>
      <c r="AD37" s="191">
        <f>VLOOKUP(Table4[[#This Row],[risk_id]], Table3[], 16, FALSE)</f>
        <v>2</v>
      </c>
      <c r="AE37" s="191">
        <f>VLOOKUP(Table4[[#This Row],[risk_id]], Table3[], 17, )</f>
        <v>0</v>
      </c>
      <c r="AF37" s="191">
        <f>4</f>
        <v>4</v>
      </c>
      <c r="AG37" s="191">
        <f>COUNTIF(Table4[[#This Row],[THEO]:[MOD]], "&gt;=1")</f>
        <v>3</v>
      </c>
      <c r="AH37" s="192">
        <f>Table4[[#This Row],[data_observations]]/Table4[[#This Row],[AllObservations_count]]</f>
        <v>7.4468085106382975E-2</v>
      </c>
      <c r="AI37" s="189">
        <f>Table4[[#This Row],[evidenceamount_pct]]*(Table4[[#This Row],[Indicator_12.5pct]])</f>
        <v>0.93085106382978722</v>
      </c>
      <c r="AJ37" s="198">
        <f>(1-(VLOOKUP(Table4[[#This Row],[risk_id]],Table3[],18, FALSE))/(Table4[[#This Row],[data_observations]]))</f>
        <v>0.85714285714285721</v>
      </c>
      <c r="AK37" s="198">
        <f>((VLOOKUP(Table4[[#This Row],[risk_id]],Table3[],19, FALSE))+((VLOOKUP(Table4[[#This Row],[risk_id]],Table3[],36, FALSE))*0.5))/(Table4[[#This Row],[data_observations]])</f>
        <v>0.42857142857142855</v>
      </c>
      <c r="AL37" s="177">
        <f>((Table4[[#This Row],[ev_data_deficient_score]]*0.5)+(Table4[[#This Row],[ev_data_availability_score]]*0.5))*(Table4[[#This Row],[Indicator_12.5pct]])</f>
        <v>8.0357142857142865</v>
      </c>
      <c r="AM37" s="199">
        <f>Table4[[#This Row],[RiskScore]]</f>
        <v>28</v>
      </c>
      <c r="AN37" s="200">
        <f>VLOOKUP(Table4[[#This Row],[risk_id]], Table3[], 13, FALSE)</f>
        <v>7.5916172889065274</v>
      </c>
      <c r="AO37" s="185">
        <f>(1-(Table4[[#This Row],[evidence_SD_RR]]/Table4[[#This Row],[evidence_mean_RR]]))*(Table4[[#This Row],[Indicator_12.5pct]])</f>
        <v>9.1108851388810148</v>
      </c>
      <c r="AP37" s="201">
        <f>VLOOKUP(Table4[[#This Row],[risk_id]],Table3[],21, FALSE)</f>
        <v>0.14285714285714285</v>
      </c>
      <c r="AQ37" s="201">
        <f>VLOOKUP(Table4[[#This Row],[risk_id]],Table3[],23, FALSE)</f>
        <v>0.42857142857142855</v>
      </c>
      <c r="AR37" s="201">
        <f>VLOOKUP(Table4[[#This Row],[risk_id]],Table3[],25, FALSE)</f>
        <v>0.42857142857142855</v>
      </c>
      <c r="AS37" s="201">
        <f>VLOOKUP(Table4[[#This Row],[risk_id]],Table3[],27, FALSE)</f>
        <v>0</v>
      </c>
      <c r="AT37" s="183">
        <f>(MAX(Table4[[#This Row],[C]:[U]]))*Table4[[#This Row],[Indicator_20pct]]</f>
        <v>4.2857142857142856</v>
      </c>
      <c r="AU37" s="205">
        <f>COUNTIFS(Table4[[#This Row],[C]], "&gt;0", Table4[[#This Row],[U]], "&gt;0") + COUNTIFS(Table4[[#This Row],[H]], "&gt;0", Table4[[#This Row],[U]], "&gt;0") + COUNTIFS(Table4[[#This Row],[C]], "&gt;0", Table4[[#This Row],[M]], "&gt;0")</f>
        <v>1</v>
      </c>
      <c r="AV37" s="219">
        <f>((-(Table4[[#This Row],[different_scores_count]]-3))/3)*Table4[[#This Row],[Indicator_20pct]]</f>
        <v>6.6666666666666661</v>
      </c>
      <c r="AW37" s="183">
        <f>IF(Table4[[#This Row],[data_observations]]&gt;=5, 30, IF(Table4[[#This Row],[data_observations]]&gt;=3, 15, 0))</f>
        <v>30</v>
      </c>
      <c r="AX37" s="26" t="s">
        <v>2737</v>
      </c>
    </row>
    <row r="38" spans="1:50" ht="32" customHeight="1" x14ac:dyDescent="0.2">
      <c r="A38" s="16" t="s">
        <v>2687</v>
      </c>
      <c r="B38" s="16" t="str">
        <f>VLOOKUP(Table4[[#This Row],[risk_id]], Table3[], 35, FALSE)</f>
        <v>Hazard</v>
      </c>
      <c r="C38" s="16" t="str">
        <f>VLOOKUP(Table4[[#This Row],[risk_id]], Table3[], 2, FALSE)</f>
        <v>Sea Ice</v>
      </c>
      <c r="D38" s="15" t="str">
        <f>VLOOKUP(Table4[[#This Row],[risk_id]], Table3[], 3, FALSE)</f>
        <v>Ice thickness</v>
      </c>
      <c r="E38"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38" s="300">
        <f t="shared" si="2"/>
        <v>28</v>
      </c>
      <c r="G38" s="31">
        <f>Table4[[#This Row],[DataQuality_Score]]</f>
        <v>0.47039013206471142</v>
      </c>
      <c r="H38"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38" s="27" t="str">
        <f>Table4[[#This Row],[LoA - Metric]]&amp; ", " &amp;Table4[[#This Row],[ES - Metric]]</f>
        <v>Medium agreement, Medium evidence</v>
      </c>
      <c r="J38" s="222">
        <f>(Table4[[#This Row],[LoA_SCORE]]+Table4[[#This Row],[ES_SCORE]])/100</f>
        <v>0.47039013206471142</v>
      </c>
      <c r="K38"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38"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38" s="179">
        <f>Table4[[#This Row],[probability_average]]</f>
        <v>4</v>
      </c>
      <c r="N38" s="181">
        <f>Table4[[#This Row],[consequence_average]]</f>
        <v>7</v>
      </c>
      <c r="O38" s="220">
        <f>Table4[[#This Row],[agreementPCT_score]]+Table4[[#This Row],[agreement_dist_score]]+Table4[[#This Row],[LoA_AQ_score]]</f>
        <v>25</v>
      </c>
      <c r="P38" s="203">
        <f>Table4[[#This Row],[evidenceconsistency_score]]+Table4[[#This Row],[EQ_score]]+Table4[[#This Row],[EA_score]]+Table4[[#This Row],[ET_score]]</f>
        <v>22.039013206471136</v>
      </c>
      <c r="Q38" s="181">
        <f>VLOOKUP(Table4[[#This Row],[risk_id]],Table3[],10,FALSE)</f>
        <v>7</v>
      </c>
      <c r="R38" s="181">
        <f>VLOOKUP(Table4[[#This Row],[risk_id]],Table3[],9,FALSE)</f>
        <v>21</v>
      </c>
      <c r="S38" s="179">
        <f>VLOOKUP(Table4[[#This Row],[risk_id]],Table3[],7,FALSE)</f>
        <v>4</v>
      </c>
      <c r="T38" s="179">
        <f>VLOOKUP(Table4[[#This Row],[risk_id]],Table3[],6,FALSE)</f>
        <v>12</v>
      </c>
      <c r="U38" s="177">
        <f t="shared" si="3"/>
        <v>12.5</v>
      </c>
      <c r="V38" s="187">
        <f>10</f>
        <v>10</v>
      </c>
      <c r="W38" s="187">
        <f>30</f>
        <v>30</v>
      </c>
      <c r="X38" s="17">
        <f>VLOOKUP(Table4[[#This Row],[risk_id]],Table3[],5,FALSE)</f>
        <v>3</v>
      </c>
      <c r="Y38" s="17">
        <f>94</f>
        <v>94</v>
      </c>
      <c r="Z38" s="177">
        <f>Table4[[#This Row],[EStype_summed]]*Table4[[#This Row],[Indicator_12.5pct]]</f>
        <v>3.125</v>
      </c>
      <c r="AA38" s="190">
        <f>(IF(Table4[[#This Row],[all_evtype]]&gt;=4,"4", IF(Table4[[#This Row],[all_evtype]]&gt;=3,"3", IF(Table4[[#This Row],[all_evtype]]&gt;=2,"2", IF(Table4[[#This Row],[all_evtype]]&gt;=1,"1","0")))))/Table4[[#This Row],[HPS_et]]</f>
        <v>0.25</v>
      </c>
      <c r="AB38" s="191">
        <f>VLOOKUP(Table4[[#This Row],[risk_id]],Table3[], 14, FALSE)</f>
        <v>0</v>
      </c>
      <c r="AC38" s="191">
        <f>VLOOKUP(Table4[[#This Row],[risk_id]],Table3[], 15, FALSE)</f>
        <v>3</v>
      </c>
      <c r="AD38" s="191">
        <f>VLOOKUP(Table4[[#This Row],[risk_id]], Table3[], 16, FALSE)</f>
        <v>0</v>
      </c>
      <c r="AE38" s="191">
        <f>VLOOKUP(Table4[[#This Row],[risk_id]], Table3[], 17, )</f>
        <v>0</v>
      </c>
      <c r="AF38" s="191">
        <f>4</f>
        <v>4</v>
      </c>
      <c r="AG38" s="191">
        <f>COUNTIF(Table4[[#This Row],[THEO]:[MOD]], "&gt;=1")</f>
        <v>1</v>
      </c>
      <c r="AH38" s="192">
        <f>Table4[[#This Row],[data_observations]]/Table4[[#This Row],[AllObservations_count]]</f>
        <v>3.1914893617021274E-2</v>
      </c>
      <c r="AI38" s="189">
        <f>Table4[[#This Row],[evidenceamount_pct]]*(Table4[[#This Row],[Indicator_12.5pct]])</f>
        <v>0.39893617021276595</v>
      </c>
      <c r="AJ38" s="198">
        <f>(1-(VLOOKUP(Table4[[#This Row],[risk_id]],Table3[],18, FALSE))/(Table4[[#This Row],[data_observations]]))</f>
        <v>1</v>
      </c>
      <c r="AK38" s="198">
        <f>((VLOOKUP(Table4[[#This Row],[risk_id]],Table3[],19, FALSE))+((VLOOKUP(Table4[[#This Row],[risk_id]],Table3[],36, FALSE))*0.5))/(Table4[[#This Row],[data_observations]])</f>
        <v>0.83333333333333337</v>
      </c>
      <c r="AL38" s="177">
        <f>((Table4[[#This Row],[ev_data_deficient_score]]*0.5)+(Table4[[#This Row],[ev_data_availability_score]]*0.5))*(Table4[[#This Row],[Indicator_12.5pct]])</f>
        <v>11.458333333333334</v>
      </c>
      <c r="AM38" s="199">
        <f>Table4[[#This Row],[RiskScore]]</f>
        <v>28</v>
      </c>
      <c r="AN38" s="200">
        <f>VLOOKUP(Table4[[#This Row],[risk_id]], Table3[], 13, FALSE)</f>
        <v>12.192894105447921</v>
      </c>
      <c r="AO38" s="185">
        <f>(1-(Table4[[#This Row],[evidence_SD_RR]]/Table4[[#This Row],[evidence_mean_RR]]))*(Table4[[#This Row],[Indicator_12.5pct]])</f>
        <v>7.0567437029250346</v>
      </c>
      <c r="AP38" s="201">
        <f>VLOOKUP(Table4[[#This Row],[risk_id]],Table3[],21, FALSE)</f>
        <v>0.33333333333333331</v>
      </c>
      <c r="AQ38" s="201">
        <f>VLOOKUP(Table4[[#This Row],[risk_id]],Table3[],23, FALSE)</f>
        <v>0.33333333333333331</v>
      </c>
      <c r="AR38" s="201">
        <f>VLOOKUP(Table4[[#This Row],[risk_id]],Table3[],25, FALSE)</f>
        <v>0.33333333333333331</v>
      </c>
      <c r="AS38" s="201">
        <f>VLOOKUP(Table4[[#This Row],[risk_id]],Table3[],27, FALSE)</f>
        <v>0</v>
      </c>
      <c r="AT38" s="183">
        <f>(MAX(Table4[[#This Row],[C]:[U]]))*Table4[[#This Row],[Indicator_20pct]]</f>
        <v>3.333333333333333</v>
      </c>
      <c r="AU38" s="205">
        <f>COUNTIFS(Table4[[#This Row],[C]], "&gt;0", Table4[[#This Row],[U]], "&gt;0") + COUNTIFS(Table4[[#This Row],[H]], "&gt;0", Table4[[#This Row],[U]], "&gt;0") + COUNTIFS(Table4[[#This Row],[C]], "&gt;0", Table4[[#This Row],[M]], "&gt;0")</f>
        <v>1</v>
      </c>
      <c r="AV38" s="219">
        <f>((-(Table4[[#This Row],[different_scores_count]]-3))/3)*Table4[[#This Row],[Indicator_20pct]]</f>
        <v>6.6666666666666661</v>
      </c>
      <c r="AW38" s="183">
        <f>IF(Table4[[#This Row],[data_observations]]&gt;=5, 30, IF(Table4[[#This Row],[data_observations]]&gt;=3, 15, 0))</f>
        <v>15</v>
      </c>
      <c r="AX38" s="26" t="s">
        <v>2737</v>
      </c>
    </row>
    <row r="39" spans="1:50" ht="32" hidden="1" customHeight="1" x14ac:dyDescent="0.2">
      <c r="A39" s="16" t="s">
        <v>506</v>
      </c>
      <c r="B39" s="16" t="str">
        <f>VLOOKUP(Table4[[#This Row],[risk_id]], Table3[], 35, FALSE)</f>
        <v>Risk</v>
      </c>
      <c r="C39" s="16" t="str">
        <f>VLOOKUP(Table4[[#This Row],[risk_id]], Table3[], 2, FALSE)</f>
        <v>Community</v>
      </c>
      <c r="D39" s="15" t="str">
        <f>VLOOKUP(Table4[[#This Row],[risk_id]], Table3[], 3, FALSE)</f>
        <v>Declining local air quality</v>
      </c>
      <c r="E39"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39" s="300">
        <f t="shared" si="2"/>
        <v>28</v>
      </c>
      <c r="G39" s="31">
        <f>Table4[[#This Row],[DataQuality_Score]]</f>
        <v>0.42007978723404255</v>
      </c>
      <c r="H39"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39" s="27" t="str">
        <f>Table4[[#This Row],[LoA - Metric]]&amp; ", " &amp;Table4[[#This Row],[ES - Metric]]</f>
        <v>Medium agreement, Medium evidence</v>
      </c>
      <c r="J39" s="222">
        <f>(Table4[[#This Row],[LoA_SCORE]]+Table4[[#This Row],[ES_SCORE]])/100</f>
        <v>0.42007978723404255</v>
      </c>
      <c r="K39"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39"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39" s="179">
        <f>Table4[[#This Row],[probability_average]]</f>
        <v>4</v>
      </c>
      <c r="N39" s="181">
        <f>Table4[[#This Row],[consequence_average]]</f>
        <v>7</v>
      </c>
      <c r="O39" s="220">
        <f>Table4[[#This Row],[agreementPCT_score]]+Table4[[#This Row],[agreement_dist_score]]+Table4[[#This Row],[LoA_AQ_score]]</f>
        <v>20</v>
      </c>
      <c r="P39" s="203">
        <f>Table4[[#This Row],[evidenceconsistency_score]]+Table4[[#This Row],[EQ_score]]+Table4[[#This Row],[EA_score]]+Table4[[#This Row],[ET_score]]</f>
        <v>22.007978723404257</v>
      </c>
      <c r="Q39" s="181">
        <f>VLOOKUP(Table4[[#This Row],[risk_id]],Table3[],10,FALSE)</f>
        <v>7</v>
      </c>
      <c r="R39" s="181">
        <f>VLOOKUP(Table4[[#This Row],[risk_id]],Table3[],9,FALSE)</f>
        <v>7</v>
      </c>
      <c r="S39" s="179">
        <f>VLOOKUP(Table4[[#This Row],[risk_id]],Table3[],7,FALSE)</f>
        <v>4</v>
      </c>
      <c r="T39" s="179">
        <f>VLOOKUP(Table4[[#This Row],[risk_id]],Table3[],6,FALSE)</f>
        <v>4</v>
      </c>
      <c r="U39" s="177">
        <f t="shared" si="3"/>
        <v>12.5</v>
      </c>
      <c r="V39" s="187">
        <f>10</f>
        <v>10</v>
      </c>
      <c r="W39" s="187">
        <f>30</f>
        <v>30</v>
      </c>
      <c r="X39" s="17">
        <f>VLOOKUP(Table4[[#This Row],[risk_id]],Table3[],5,FALSE)</f>
        <v>1</v>
      </c>
      <c r="Y39" s="17">
        <f>94</f>
        <v>94</v>
      </c>
      <c r="Z39" s="177">
        <f>Table4[[#This Row],[EStype_summed]]*Table4[[#This Row],[Indicator_12.5pct]]</f>
        <v>3.125</v>
      </c>
      <c r="AA39" s="190">
        <f>(IF(Table4[[#This Row],[all_evtype]]&gt;=4,"4", IF(Table4[[#This Row],[all_evtype]]&gt;=3,"3", IF(Table4[[#This Row],[all_evtype]]&gt;=2,"2", IF(Table4[[#This Row],[all_evtype]]&gt;=1,"1","0")))))/Table4[[#This Row],[HPS_et]]</f>
        <v>0.25</v>
      </c>
      <c r="AB39" s="191">
        <f>VLOOKUP(Table4[[#This Row],[risk_id]],Table3[], 14, FALSE)</f>
        <v>1</v>
      </c>
      <c r="AC39" s="191">
        <f>VLOOKUP(Table4[[#This Row],[risk_id]],Table3[], 15, FALSE)</f>
        <v>0</v>
      </c>
      <c r="AD39" s="191">
        <f>VLOOKUP(Table4[[#This Row],[risk_id]], Table3[], 16, FALSE)</f>
        <v>0</v>
      </c>
      <c r="AE39" s="191">
        <f>VLOOKUP(Table4[[#This Row],[risk_id]], Table3[], 17, )</f>
        <v>0</v>
      </c>
      <c r="AF39" s="191">
        <f>4</f>
        <v>4</v>
      </c>
      <c r="AG39" s="191">
        <f>COUNTIF(Table4[[#This Row],[THEO]:[MOD]], "&gt;=1")</f>
        <v>1</v>
      </c>
      <c r="AH39" s="192">
        <f>Table4[[#This Row],[data_observations]]/Table4[[#This Row],[AllObservations_count]]</f>
        <v>1.0638297872340425E-2</v>
      </c>
      <c r="AI39" s="189">
        <f>Table4[[#This Row],[evidenceamount_pct]]*(Table4[[#This Row],[Indicator_12.5pct]])</f>
        <v>0.13297872340425532</v>
      </c>
      <c r="AJ39" s="198">
        <f>(1-(VLOOKUP(Table4[[#This Row],[risk_id]],Table3[],18, FALSE))/(Table4[[#This Row],[data_observations]]))</f>
        <v>1</v>
      </c>
      <c r="AK39" s="198">
        <f>((VLOOKUP(Table4[[#This Row],[risk_id]],Table3[],19, FALSE))+((VLOOKUP(Table4[[#This Row],[risk_id]],Table3[],36, FALSE))*0.5))/(Table4[[#This Row],[data_observations]])</f>
        <v>0</v>
      </c>
      <c r="AL39" s="177">
        <f>((Table4[[#This Row],[ev_data_deficient_score]]*0.5)+(Table4[[#This Row],[ev_data_availability_score]]*0.5))*(Table4[[#This Row],[Indicator_12.5pct]])</f>
        <v>6.25</v>
      </c>
      <c r="AM39" s="199">
        <f>Table4[[#This Row],[RiskScore]]</f>
        <v>28</v>
      </c>
      <c r="AN39" s="200">
        <f>VLOOKUP(Table4[[#This Row],[risk_id]], Table3[], 13, FALSE)</f>
        <v>0</v>
      </c>
      <c r="AO39" s="185">
        <f>(1-(Table4[[#This Row],[evidence_SD_RR]]/Table4[[#This Row],[evidence_mean_RR]]))*(Table4[[#This Row],[Indicator_12.5pct]])</f>
        <v>12.5</v>
      </c>
      <c r="AP39" s="201">
        <f>VLOOKUP(Table4[[#This Row],[risk_id]],Table3[],21, FALSE)</f>
        <v>0</v>
      </c>
      <c r="AQ39" s="201">
        <f>VLOOKUP(Table4[[#This Row],[risk_id]],Table3[],23, FALSE)</f>
        <v>1</v>
      </c>
      <c r="AR39" s="201">
        <f>VLOOKUP(Table4[[#This Row],[risk_id]],Table3[],25, FALSE)</f>
        <v>0</v>
      </c>
      <c r="AS39" s="201">
        <f>VLOOKUP(Table4[[#This Row],[risk_id]],Table3[],27, FALSE)</f>
        <v>0</v>
      </c>
      <c r="AT39" s="183">
        <f>(MAX(Table4[[#This Row],[C]:[U]]))*Table4[[#This Row],[Indicator_20pct]]</f>
        <v>10</v>
      </c>
      <c r="AU39" s="205">
        <f>COUNTIFS(Table4[[#This Row],[C]], "&gt;0", Table4[[#This Row],[U]], "&gt;0") + COUNTIFS(Table4[[#This Row],[H]], "&gt;0", Table4[[#This Row],[U]], "&gt;0") + COUNTIFS(Table4[[#This Row],[C]], "&gt;0", Table4[[#This Row],[M]], "&gt;0")</f>
        <v>0</v>
      </c>
      <c r="AV39" s="219">
        <f>((-(Table4[[#This Row],[different_scores_count]]-3))/3)*Table4[[#This Row],[Indicator_20pct]]</f>
        <v>10</v>
      </c>
      <c r="AW39" s="183">
        <f>IF(Table4[[#This Row],[data_observations]]&gt;=5, 30, IF(Table4[[#This Row],[data_observations]]&gt;=3, 15, 0))</f>
        <v>0</v>
      </c>
      <c r="AX39" s="26" t="s">
        <v>2737</v>
      </c>
    </row>
    <row r="40" spans="1:50" ht="32" hidden="1" customHeight="1" x14ac:dyDescent="0.2">
      <c r="A40" s="16" t="s">
        <v>665</v>
      </c>
      <c r="B40" s="16" t="str">
        <f>VLOOKUP(Table4[[#This Row],[risk_id]], Table3[], 35, FALSE)</f>
        <v>Risk</v>
      </c>
      <c r="C40" s="16" t="str">
        <f>VLOOKUP(Table4[[#This Row],[risk_id]], Table3[], 2, FALSE)</f>
        <v>Environmental</v>
      </c>
      <c r="D40" s="15" t="str">
        <f>VLOOKUP(Table4[[#This Row],[risk_id]], Table3[], 3, FALSE)</f>
        <v>Vessel-Source Pollution in Sensitive Marine Regions</v>
      </c>
      <c r="E40"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40" s="300">
        <f t="shared" si="2"/>
        <v>28</v>
      </c>
      <c r="G40" s="31">
        <f>Table4[[#This Row],[DataQuality_Score]]</f>
        <v>0.42007978723404255</v>
      </c>
      <c r="H40"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40" s="27" t="str">
        <f>Table4[[#This Row],[LoA - Metric]]&amp; ", " &amp;Table4[[#This Row],[ES - Metric]]</f>
        <v>Medium agreement, Medium evidence</v>
      </c>
      <c r="J40" s="222">
        <f>(Table4[[#This Row],[LoA_SCORE]]+Table4[[#This Row],[ES_SCORE]])/100</f>
        <v>0.42007978723404255</v>
      </c>
      <c r="K40"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40"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40" s="179">
        <f>Table4[[#This Row],[probability_average]]</f>
        <v>4</v>
      </c>
      <c r="N40" s="181">
        <f>Table4[[#This Row],[consequence_average]]</f>
        <v>7</v>
      </c>
      <c r="O40" s="220">
        <f>Table4[[#This Row],[agreementPCT_score]]+Table4[[#This Row],[agreement_dist_score]]+Table4[[#This Row],[LoA_AQ_score]]</f>
        <v>20</v>
      </c>
      <c r="P40" s="203">
        <f>Table4[[#This Row],[evidenceconsistency_score]]+Table4[[#This Row],[EQ_score]]+Table4[[#This Row],[EA_score]]+Table4[[#This Row],[ET_score]]</f>
        <v>22.007978723404257</v>
      </c>
      <c r="Q40" s="181">
        <f>VLOOKUP(Table4[[#This Row],[risk_id]],Table3[],10,FALSE)</f>
        <v>7</v>
      </c>
      <c r="R40" s="181">
        <f>VLOOKUP(Table4[[#This Row],[risk_id]],Table3[],9,FALSE)</f>
        <v>7</v>
      </c>
      <c r="S40" s="179">
        <f>VLOOKUP(Table4[[#This Row],[risk_id]],Table3[],7,FALSE)</f>
        <v>4</v>
      </c>
      <c r="T40" s="179">
        <f>VLOOKUP(Table4[[#This Row],[risk_id]],Table3[],6,FALSE)</f>
        <v>4</v>
      </c>
      <c r="U40" s="177">
        <f t="shared" si="3"/>
        <v>12.5</v>
      </c>
      <c r="V40" s="187">
        <f>10</f>
        <v>10</v>
      </c>
      <c r="W40" s="187">
        <f>30</f>
        <v>30</v>
      </c>
      <c r="X40" s="17">
        <f>VLOOKUP(Table4[[#This Row],[risk_id]],Table3[],5,FALSE)</f>
        <v>1</v>
      </c>
      <c r="Y40" s="17">
        <f>94</f>
        <v>94</v>
      </c>
      <c r="Z40" s="177">
        <f>Table4[[#This Row],[EStype_summed]]*Table4[[#This Row],[Indicator_12.5pct]]</f>
        <v>3.125</v>
      </c>
      <c r="AA40" s="190">
        <f>(IF(Table4[[#This Row],[all_evtype]]&gt;=4,"4", IF(Table4[[#This Row],[all_evtype]]&gt;=3,"3", IF(Table4[[#This Row],[all_evtype]]&gt;=2,"2", IF(Table4[[#This Row],[all_evtype]]&gt;=1,"1","0")))))/Table4[[#This Row],[HPS_et]]</f>
        <v>0.25</v>
      </c>
      <c r="AB40" s="191">
        <f>VLOOKUP(Table4[[#This Row],[risk_id]],Table3[], 14, FALSE)</f>
        <v>1</v>
      </c>
      <c r="AC40" s="191">
        <f>VLOOKUP(Table4[[#This Row],[risk_id]],Table3[], 15, FALSE)</f>
        <v>0</v>
      </c>
      <c r="AD40" s="191">
        <f>VLOOKUP(Table4[[#This Row],[risk_id]], Table3[], 16, FALSE)</f>
        <v>0</v>
      </c>
      <c r="AE40" s="191">
        <f>VLOOKUP(Table4[[#This Row],[risk_id]], Table3[], 17, )</f>
        <v>0</v>
      </c>
      <c r="AF40" s="191">
        <f>4</f>
        <v>4</v>
      </c>
      <c r="AG40" s="191">
        <f>COUNTIF(Table4[[#This Row],[THEO]:[MOD]], "&gt;=1")</f>
        <v>1</v>
      </c>
      <c r="AH40" s="192">
        <f>Table4[[#This Row],[data_observations]]/Table4[[#This Row],[AllObservations_count]]</f>
        <v>1.0638297872340425E-2</v>
      </c>
      <c r="AI40" s="189">
        <f>Table4[[#This Row],[evidenceamount_pct]]*(Table4[[#This Row],[Indicator_12.5pct]])</f>
        <v>0.13297872340425532</v>
      </c>
      <c r="AJ40" s="198">
        <f>(1-(VLOOKUP(Table4[[#This Row],[risk_id]],Table3[],18, FALSE))/(Table4[[#This Row],[data_observations]]))</f>
        <v>1</v>
      </c>
      <c r="AK40" s="198">
        <f>((VLOOKUP(Table4[[#This Row],[risk_id]],Table3[],19, FALSE))+((VLOOKUP(Table4[[#This Row],[risk_id]],Table3[],36, FALSE))*0.5))/(Table4[[#This Row],[data_observations]])</f>
        <v>0</v>
      </c>
      <c r="AL40" s="177">
        <f>((Table4[[#This Row],[ev_data_deficient_score]]*0.5)+(Table4[[#This Row],[ev_data_availability_score]]*0.5))*(Table4[[#This Row],[Indicator_12.5pct]])</f>
        <v>6.25</v>
      </c>
      <c r="AM40" s="199">
        <f>Table4[[#This Row],[RiskScore]]</f>
        <v>28</v>
      </c>
      <c r="AN40" s="200">
        <f>VLOOKUP(Table4[[#This Row],[risk_id]], Table3[], 13, FALSE)</f>
        <v>0</v>
      </c>
      <c r="AO40" s="185">
        <f>(1-(Table4[[#This Row],[evidence_SD_RR]]/Table4[[#This Row],[evidence_mean_RR]]))*(Table4[[#This Row],[Indicator_12.5pct]])</f>
        <v>12.5</v>
      </c>
      <c r="AP40" s="201">
        <f>VLOOKUP(Table4[[#This Row],[risk_id]],Table3[],21, FALSE)</f>
        <v>0</v>
      </c>
      <c r="AQ40" s="201">
        <f>VLOOKUP(Table4[[#This Row],[risk_id]],Table3[],23, FALSE)</f>
        <v>1</v>
      </c>
      <c r="AR40" s="201">
        <f>VLOOKUP(Table4[[#This Row],[risk_id]],Table3[],25, FALSE)</f>
        <v>0</v>
      </c>
      <c r="AS40" s="201">
        <f>VLOOKUP(Table4[[#This Row],[risk_id]],Table3[],27, FALSE)</f>
        <v>0</v>
      </c>
      <c r="AT40" s="183">
        <f>(MAX(Table4[[#This Row],[C]:[U]]))*Table4[[#This Row],[Indicator_20pct]]</f>
        <v>10</v>
      </c>
      <c r="AU40" s="205">
        <f>COUNTIFS(Table4[[#This Row],[C]], "&gt;0", Table4[[#This Row],[U]], "&gt;0") + COUNTIFS(Table4[[#This Row],[H]], "&gt;0", Table4[[#This Row],[U]], "&gt;0") + COUNTIFS(Table4[[#This Row],[C]], "&gt;0", Table4[[#This Row],[M]], "&gt;0")</f>
        <v>0</v>
      </c>
      <c r="AV40" s="219">
        <f>((-(Table4[[#This Row],[different_scores_count]]-3))/3)*Table4[[#This Row],[Indicator_20pct]]</f>
        <v>10</v>
      </c>
      <c r="AW40" s="183">
        <f>IF(Table4[[#This Row],[data_observations]]&gt;=5, 30, IF(Table4[[#This Row],[data_observations]]&gt;=3, 15, 0))</f>
        <v>0</v>
      </c>
      <c r="AX40" s="26" t="s">
        <v>2737</v>
      </c>
    </row>
    <row r="41" spans="1:50" s="60" customFormat="1" ht="32" customHeight="1" x14ac:dyDescent="0.2">
      <c r="A41" s="16" t="s">
        <v>2722</v>
      </c>
      <c r="B41" s="16" t="str">
        <f>VLOOKUP(Table4[[#This Row],[risk_id]], Table3[], 35, FALSE)</f>
        <v>Hazard</v>
      </c>
      <c r="C41" s="16" t="str">
        <f>VLOOKUP(Table4[[#This Row],[risk_id]], Table3[], 2, FALSE)</f>
        <v>Operational</v>
      </c>
      <c r="D41" s="15" t="str">
        <f>VLOOKUP(Table4[[#This Row],[risk_id]], Table3[], 3, FALSE)</f>
        <v>Unsafe re-fueling operations</v>
      </c>
      <c r="E41"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41" s="300">
        <f t="shared" si="2"/>
        <v>28</v>
      </c>
      <c r="G41" s="31">
        <f>Table4[[#This Row],[DataQuality_Score]]</f>
        <v>0.42007978723404255</v>
      </c>
      <c r="H41"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41" s="27" t="str">
        <f>Table4[[#This Row],[LoA - Metric]]&amp; ", " &amp;Table4[[#This Row],[ES - Metric]]</f>
        <v>Medium agreement, Medium evidence</v>
      </c>
      <c r="J41" s="222">
        <f>(Table4[[#This Row],[LoA_SCORE]]+Table4[[#This Row],[ES_SCORE]])/100</f>
        <v>0.42007978723404255</v>
      </c>
      <c r="K41"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41"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41" s="179">
        <f>Table4[[#This Row],[probability_average]]</f>
        <v>4</v>
      </c>
      <c r="N41" s="181">
        <f>Table4[[#This Row],[consequence_average]]</f>
        <v>7</v>
      </c>
      <c r="O41" s="220">
        <f>Table4[[#This Row],[agreementPCT_score]]+Table4[[#This Row],[agreement_dist_score]]+Table4[[#This Row],[LoA_AQ_score]]</f>
        <v>20</v>
      </c>
      <c r="P41" s="203">
        <f>Table4[[#This Row],[evidenceconsistency_score]]+Table4[[#This Row],[EQ_score]]+Table4[[#This Row],[EA_score]]+Table4[[#This Row],[ET_score]]</f>
        <v>22.007978723404257</v>
      </c>
      <c r="Q41" s="181">
        <f>VLOOKUP(Table4[[#This Row],[risk_id]],Table3[],10,FALSE)</f>
        <v>7</v>
      </c>
      <c r="R41" s="181">
        <f>VLOOKUP(Table4[[#This Row],[risk_id]],Table3[],9,FALSE)</f>
        <v>7</v>
      </c>
      <c r="S41" s="179">
        <f>VLOOKUP(Table4[[#This Row],[risk_id]],Table3[],7,FALSE)</f>
        <v>4</v>
      </c>
      <c r="T41" s="179">
        <f>VLOOKUP(Table4[[#This Row],[risk_id]],Table3[],6,FALSE)</f>
        <v>4</v>
      </c>
      <c r="U41" s="177">
        <f t="shared" si="3"/>
        <v>12.5</v>
      </c>
      <c r="V41" s="187">
        <f>10</f>
        <v>10</v>
      </c>
      <c r="W41" s="187">
        <f>30</f>
        <v>30</v>
      </c>
      <c r="X41" s="17">
        <f>VLOOKUP(Table4[[#This Row],[risk_id]],Table3[],5,FALSE)</f>
        <v>1</v>
      </c>
      <c r="Y41" s="17">
        <f>94</f>
        <v>94</v>
      </c>
      <c r="Z41" s="177">
        <f>Table4[[#This Row],[EStype_summed]]*Table4[[#This Row],[Indicator_12.5pct]]</f>
        <v>3.125</v>
      </c>
      <c r="AA41" s="190">
        <f>(IF(Table4[[#This Row],[all_evtype]]&gt;=4,"4", IF(Table4[[#This Row],[all_evtype]]&gt;=3,"3", IF(Table4[[#This Row],[all_evtype]]&gt;=2,"2", IF(Table4[[#This Row],[all_evtype]]&gt;=1,"1","0")))))/Table4[[#This Row],[HPS_et]]</f>
        <v>0.25</v>
      </c>
      <c r="AB41" s="191">
        <f>VLOOKUP(Table4[[#This Row],[risk_id]],Table3[], 14, FALSE)</f>
        <v>1</v>
      </c>
      <c r="AC41" s="191">
        <f>VLOOKUP(Table4[[#This Row],[risk_id]],Table3[], 15, FALSE)</f>
        <v>0</v>
      </c>
      <c r="AD41" s="191">
        <f>VLOOKUP(Table4[[#This Row],[risk_id]], Table3[], 16, FALSE)</f>
        <v>0</v>
      </c>
      <c r="AE41" s="191">
        <f>VLOOKUP(Table4[[#This Row],[risk_id]], Table3[], 17, )</f>
        <v>0</v>
      </c>
      <c r="AF41" s="191">
        <f>4</f>
        <v>4</v>
      </c>
      <c r="AG41" s="191">
        <f>COUNTIF(Table4[[#This Row],[THEO]:[MOD]], "&gt;=1")</f>
        <v>1</v>
      </c>
      <c r="AH41" s="192">
        <f>Table4[[#This Row],[data_observations]]/Table4[[#This Row],[AllObservations_count]]</f>
        <v>1.0638297872340425E-2</v>
      </c>
      <c r="AI41" s="189">
        <f>Table4[[#This Row],[evidenceamount_pct]]*(Table4[[#This Row],[Indicator_12.5pct]])</f>
        <v>0.13297872340425532</v>
      </c>
      <c r="AJ41" s="198">
        <f>(1-(VLOOKUP(Table4[[#This Row],[risk_id]],Table3[],18, FALSE))/(Table4[[#This Row],[data_observations]]))</f>
        <v>1</v>
      </c>
      <c r="AK41" s="198">
        <f>((VLOOKUP(Table4[[#This Row],[risk_id]],Table3[],19, FALSE))+((VLOOKUP(Table4[[#This Row],[risk_id]],Table3[],36, FALSE))*0.5))/(Table4[[#This Row],[data_observations]])</f>
        <v>0</v>
      </c>
      <c r="AL41" s="177">
        <f>((Table4[[#This Row],[ev_data_deficient_score]]*0.5)+(Table4[[#This Row],[ev_data_availability_score]]*0.5))*(Table4[[#This Row],[Indicator_12.5pct]])</f>
        <v>6.25</v>
      </c>
      <c r="AM41" s="199">
        <f>Table4[[#This Row],[RiskScore]]</f>
        <v>28</v>
      </c>
      <c r="AN41" s="200">
        <f>VLOOKUP(Table4[[#This Row],[risk_id]], Table3[], 13, FALSE)</f>
        <v>0</v>
      </c>
      <c r="AO41" s="185">
        <f>(1-(Table4[[#This Row],[evidence_SD_RR]]/Table4[[#This Row],[evidence_mean_RR]]))*(Table4[[#This Row],[Indicator_12.5pct]])</f>
        <v>12.5</v>
      </c>
      <c r="AP41" s="201">
        <f>VLOOKUP(Table4[[#This Row],[risk_id]],Table3[],21, FALSE)</f>
        <v>0</v>
      </c>
      <c r="AQ41" s="201">
        <f>VLOOKUP(Table4[[#This Row],[risk_id]],Table3[],23, FALSE)</f>
        <v>1</v>
      </c>
      <c r="AR41" s="201">
        <f>VLOOKUP(Table4[[#This Row],[risk_id]],Table3[],25, FALSE)</f>
        <v>0</v>
      </c>
      <c r="AS41" s="201">
        <f>VLOOKUP(Table4[[#This Row],[risk_id]],Table3[],27, FALSE)</f>
        <v>0</v>
      </c>
      <c r="AT41" s="183">
        <f>(MAX(Table4[[#This Row],[C]:[U]]))*Table4[[#This Row],[Indicator_20pct]]</f>
        <v>10</v>
      </c>
      <c r="AU41" s="205">
        <f>COUNTIFS(Table4[[#This Row],[C]], "&gt;0", Table4[[#This Row],[U]], "&gt;0") + COUNTIFS(Table4[[#This Row],[H]], "&gt;0", Table4[[#This Row],[U]], "&gt;0") + COUNTIFS(Table4[[#This Row],[C]], "&gt;0", Table4[[#This Row],[M]], "&gt;0")</f>
        <v>0</v>
      </c>
      <c r="AV41" s="219">
        <f>((-(Table4[[#This Row],[different_scores_count]]-3))/3)*Table4[[#This Row],[Indicator_20pct]]</f>
        <v>10</v>
      </c>
      <c r="AW41" s="183">
        <f>IF(Table4[[#This Row],[data_observations]]&gt;=5, 30, IF(Table4[[#This Row],[data_observations]]&gt;=3, 15, 0))</f>
        <v>0</v>
      </c>
      <c r="AX41" s="26" t="s">
        <v>2737</v>
      </c>
    </row>
    <row r="42" spans="1:50" ht="32" hidden="1" customHeight="1" x14ac:dyDescent="0.2">
      <c r="A42" s="16" t="s">
        <v>666</v>
      </c>
      <c r="B42" s="16" t="str">
        <f>VLOOKUP(Table4[[#This Row],[risk_id]], Table3[], 35, FALSE)</f>
        <v>Risk</v>
      </c>
      <c r="C42" s="16" t="str">
        <f>VLOOKUP(Table4[[#This Row],[risk_id]], Table3[], 2, FALSE)</f>
        <v>Environmental</v>
      </c>
      <c r="D42" s="15" t="str">
        <f>VLOOKUP(Table4[[#This Row],[risk_id]], Table3[], 3, FALSE)</f>
        <v>Vulnerability of Arctic marine mammals</v>
      </c>
      <c r="E42"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42" s="300">
        <f t="shared" si="2"/>
        <v>28</v>
      </c>
      <c r="G42" s="31">
        <f>Table4[[#This Row],[DataQuality_Score]]</f>
        <v>0.41828457446808515</v>
      </c>
      <c r="H42"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42" s="27" t="str">
        <f>Table4[[#This Row],[LoA - Metric]]&amp; ", " &amp;Table4[[#This Row],[ES - Metric]]</f>
        <v>Low agreement, Medium evidence</v>
      </c>
      <c r="J42" s="222">
        <f>(Table4[[#This Row],[LoA_SCORE]]+Table4[[#This Row],[ES_SCORE]])/100</f>
        <v>0.41828457446808515</v>
      </c>
      <c r="K42"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42"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42" s="179">
        <f>Table4[[#This Row],[probability_average]]</f>
        <v>4</v>
      </c>
      <c r="N42" s="181">
        <f>Table4[[#This Row],[consequence_average]]</f>
        <v>7</v>
      </c>
      <c r="O42" s="220">
        <f>Table4[[#This Row],[agreementPCT_score]]+Table4[[#This Row],[agreement_dist_score]]+Table4[[#This Row],[LoA_AQ_score]]</f>
        <v>15</v>
      </c>
      <c r="P42" s="203">
        <f>Table4[[#This Row],[evidenceconsistency_score]]+Table4[[#This Row],[EQ_score]]+Table4[[#This Row],[EA_score]]+Table4[[#This Row],[ET_score]]</f>
        <v>26.82845744680851</v>
      </c>
      <c r="Q42" s="181">
        <f>VLOOKUP(Table4[[#This Row],[risk_id]],Table3[],10,FALSE)</f>
        <v>7</v>
      </c>
      <c r="R42" s="181">
        <f>VLOOKUP(Table4[[#This Row],[risk_id]],Table3[],9,FALSE)</f>
        <v>14</v>
      </c>
      <c r="S42" s="179">
        <f>VLOOKUP(Table4[[#This Row],[risk_id]],Table3[],7,FALSE)</f>
        <v>4</v>
      </c>
      <c r="T42" s="179">
        <f>VLOOKUP(Table4[[#This Row],[risk_id]],Table3[],6,FALSE)</f>
        <v>8</v>
      </c>
      <c r="U42" s="177">
        <f t="shared" si="3"/>
        <v>12.5</v>
      </c>
      <c r="V42" s="187">
        <f>10</f>
        <v>10</v>
      </c>
      <c r="W42" s="187">
        <f>30</f>
        <v>30</v>
      </c>
      <c r="X42" s="17">
        <f>VLOOKUP(Table4[[#This Row],[risk_id]],Table3[],5,FALSE)</f>
        <v>2</v>
      </c>
      <c r="Y42" s="17">
        <f>94</f>
        <v>94</v>
      </c>
      <c r="Z42" s="177">
        <f>Table4[[#This Row],[EStype_summed]]*Table4[[#This Row],[Indicator_12.5pct]]</f>
        <v>6.25</v>
      </c>
      <c r="AA42" s="190">
        <f>(IF(Table4[[#This Row],[all_evtype]]&gt;=4,"4", IF(Table4[[#This Row],[all_evtype]]&gt;=3,"3", IF(Table4[[#This Row],[all_evtype]]&gt;=2,"2", IF(Table4[[#This Row],[all_evtype]]&gt;=1,"1","0")))))/Table4[[#This Row],[HPS_et]]</f>
        <v>0.5</v>
      </c>
      <c r="AB42" s="191">
        <f>VLOOKUP(Table4[[#This Row],[risk_id]],Table3[], 14, FALSE)</f>
        <v>0</v>
      </c>
      <c r="AC42" s="191">
        <f>VLOOKUP(Table4[[#This Row],[risk_id]],Table3[], 15, FALSE)</f>
        <v>1</v>
      </c>
      <c r="AD42" s="191">
        <f>VLOOKUP(Table4[[#This Row],[risk_id]], Table3[], 16, FALSE)</f>
        <v>1</v>
      </c>
      <c r="AE42" s="191">
        <f>VLOOKUP(Table4[[#This Row],[risk_id]], Table3[], 17, )</f>
        <v>0</v>
      </c>
      <c r="AF42" s="191">
        <f>4</f>
        <v>4</v>
      </c>
      <c r="AG42" s="191">
        <f>COUNTIF(Table4[[#This Row],[THEO]:[MOD]], "&gt;=1")</f>
        <v>2</v>
      </c>
      <c r="AH42" s="192">
        <f>Table4[[#This Row],[data_observations]]/Table4[[#This Row],[AllObservations_count]]</f>
        <v>2.1276595744680851E-2</v>
      </c>
      <c r="AI42" s="189">
        <f>Table4[[#This Row],[evidenceamount_pct]]*(Table4[[#This Row],[Indicator_12.5pct]])</f>
        <v>0.26595744680851063</v>
      </c>
      <c r="AJ42" s="198">
        <f>(1-(VLOOKUP(Table4[[#This Row],[risk_id]],Table3[],18, FALSE))/(Table4[[#This Row],[data_observations]]))</f>
        <v>1</v>
      </c>
      <c r="AK42" s="198">
        <f>((VLOOKUP(Table4[[#This Row],[risk_id]],Table3[],19, FALSE))+((VLOOKUP(Table4[[#This Row],[risk_id]],Table3[],36, FALSE))*0.5))/(Table4[[#This Row],[data_observations]])</f>
        <v>0.75</v>
      </c>
      <c r="AL42" s="177">
        <f>((Table4[[#This Row],[ev_data_deficient_score]]*0.5)+(Table4[[#This Row],[ev_data_availability_score]]*0.5))*(Table4[[#This Row],[Indicator_12.5pct]])</f>
        <v>10.9375</v>
      </c>
      <c r="AM42" s="199">
        <f>Table4[[#This Row],[RiskScore]]</f>
        <v>28</v>
      </c>
      <c r="AN42" s="200">
        <f>VLOOKUP(Table4[[#This Row],[risk_id]], Table3[], 13, FALSE)</f>
        <v>7</v>
      </c>
      <c r="AO42" s="185">
        <f>(1-(Table4[[#This Row],[evidence_SD_RR]]/Table4[[#This Row],[evidence_mean_RR]]))*(Table4[[#This Row],[Indicator_12.5pct]])</f>
        <v>9.375</v>
      </c>
      <c r="AP42" s="201">
        <f>VLOOKUP(Table4[[#This Row],[risk_id]],Table3[],21, FALSE)</f>
        <v>0</v>
      </c>
      <c r="AQ42" s="201">
        <f>VLOOKUP(Table4[[#This Row],[risk_id]],Table3[],23, FALSE)</f>
        <v>0.5</v>
      </c>
      <c r="AR42" s="201">
        <f>VLOOKUP(Table4[[#This Row],[risk_id]],Table3[],25, FALSE)</f>
        <v>0.5</v>
      </c>
      <c r="AS42" s="201">
        <f>VLOOKUP(Table4[[#This Row],[risk_id]],Table3[],27, FALSE)</f>
        <v>0</v>
      </c>
      <c r="AT42" s="183">
        <f>(MAX(Table4[[#This Row],[C]:[U]]))*Table4[[#This Row],[Indicator_20pct]]</f>
        <v>5</v>
      </c>
      <c r="AU42" s="205">
        <f>COUNTIFS(Table4[[#This Row],[C]], "&gt;0", Table4[[#This Row],[U]], "&gt;0") + COUNTIFS(Table4[[#This Row],[H]], "&gt;0", Table4[[#This Row],[U]], "&gt;0") + COUNTIFS(Table4[[#This Row],[C]], "&gt;0", Table4[[#This Row],[M]], "&gt;0")</f>
        <v>0</v>
      </c>
      <c r="AV42" s="219">
        <f>((-(Table4[[#This Row],[different_scores_count]]-3))/3)*Table4[[#This Row],[Indicator_20pct]]</f>
        <v>10</v>
      </c>
      <c r="AW42" s="183">
        <f>IF(Table4[[#This Row],[data_observations]]&gt;=5, 30, IF(Table4[[#This Row],[data_observations]]&gt;=3, 15, 0))</f>
        <v>0</v>
      </c>
      <c r="AX42" s="26" t="s">
        <v>2736</v>
      </c>
    </row>
    <row r="43" spans="1:50" ht="32" hidden="1" customHeight="1" x14ac:dyDescent="0.2">
      <c r="A43" s="16" t="s">
        <v>507</v>
      </c>
      <c r="B43" s="16" t="str">
        <f>VLOOKUP(Table4[[#This Row],[risk_id]], Table3[], 35, FALSE)</f>
        <v>Risk</v>
      </c>
      <c r="C43" s="16" t="str">
        <f>VLOOKUP(Table4[[#This Row],[risk_id]], Table3[], 2, FALSE)</f>
        <v>Community</v>
      </c>
      <c r="D43" s="15" t="str">
        <f>VLOOKUP(Table4[[#This Row],[risk_id]], Table3[], 3, FALSE)</f>
        <v>Declining physical health of community</v>
      </c>
      <c r="E43"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43" s="300">
        <f t="shared" si="2"/>
        <v>28</v>
      </c>
      <c r="G43" s="31">
        <f>Table4[[#This Row],[DataQuality_Score]]</f>
        <v>0.37825481256332316</v>
      </c>
      <c r="H43"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LOW</v>
      </c>
      <c r="I43" s="27" t="str">
        <f>Table4[[#This Row],[LoA - Metric]]&amp; ", " &amp;Table4[[#This Row],[ES - Metric]]</f>
        <v>Low agreement, Medium evidence</v>
      </c>
      <c r="J43" s="222">
        <f>(Table4[[#This Row],[LoA_SCORE]]+Table4[[#This Row],[ES_SCORE]])/100</f>
        <v>0.37825481256332316</v>
      </c>
      <c r="K43"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43"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43" s="179">
        <f>Table4[[#This Row],[probability_average]]</f>
        <v>4</v>
      </c>
      <c r="N43" s="181">
        <f>Table4[[#This Row],[consequence_average]]</f>
        <v>7</v>
      </c>
      <c r="O43" s="220">
        <f>Table4[[#This Row],[agreementPCT_score]]+Table4[[#This Row],[agreement_dist_score]]+Table4[[#This Row],[LoA_AQ_score]]</f>
        <v>11.666666666666666</v>
      </c>
      <c r="P43" s="203">
        <f>Table4[[#This Row],[evidenceconsistency_score]]+Table4[[#This Row],[EQ_score]]+Table4[[#This Row],[EA_score]]+Table4[[#This Row],[ET_score]]</f>
        <v>26.158814589665653</v>
      </c>
      <c r="Q43" s="181">
        <f>VLOOKUP(Table4[[#This Row],[risk_id]],Table3[],10,FALSE)</f>
        <v>7</v>
      </c>
      <c r="R43" s="181">
        <f>VLOOKUP(Table4[[#This Row],[risk_id]],Table3[],9,FALSE)</f>
        <v>14</v>
      </c>
      <c r="S43" s="179">
        <f>VLOOKUP(Table4[[#This Row],[risk_id]],Table3[],7,FALSE)</f>
        <v>4</v>
      </c>
      <c r="T43" s="179">
        <f>VLOOKUP(Table4[[#This Row],[risk_id]],Table3[],6,FALSE)</f>
        <v>8</v>
      </c>
      <c r="U43" s="177">
        <f t="shared" si="3"/>
        <v>12.5</v>
      </c>
      <c r="V43" s="187">
        <f>10</f>
        <v>10</v>
      </c>
      <c r="W43" s="187">
        <f>30</f>
        <v>30</v>
      </c>
      <c r="X43" s="17">
        <f>VLOOKUP(Table4[[#This Row],[risk_id]],Table3[],5,FALSE)</f>
        <v>2</v>
      </c>
      <c r="Y43" s="17">
        <f>94</f>
        <v>94</v>
      </c>
      <c r="Z43" s="177">
        <f>Table4[[#This Row],[EStype_summed]]*Table4[[#This Row],[Indicator_12.5pct]]</f>
        <v>6.25</v>
      </c>
      <c r="AA43" s="190">
        <f>(IF(Table4[[#This Row],[all_evtype]]&gt;=4,"4", IF(Table4[[#This Row],[all_evtype]]&gt;=3,"3", IF(Table4[[#This Row],[all_evtype]]&gt;=2,"2", IF(Table4[[#This Row],[all_evtype]]&gt;=1,"1","0")))))/Table4[[#This Row],[HPS_et]]</f>
        <v>0.5</v>
      </c>
      <c r="AB43" s="191">
        <f>VLOOKUP(Table4[[#This Row],[risk_id]],Table3[], 14, FALSE)</f>
        <v>0</v>
      </c>
      <c r="AC43" s="191">
        <f>VLOOKUP(Table4[[#This Row],[risk_id]],Table3[], 15, FALSE)</f>
        <v>1</v>
      </c>
      <c r="AD43" s="191">
        <f>VLOOKUP(Table4[[#This Row],[risk_id]], Table3[], 16, FALSE)</f>
        <v>1</v>
      </c>
      <c r="AE43" s="191">
        <f>VLOOKUP(Table4[[#This Row],[risk_id]], Table3[], 17, )</f>
        <v>0</v>
      </c>
      <c r="AF43" s="191">
        <f>4</f>
        <v>4</v>
      </c>
      <c r="AG43" s="191">
        <f>COUNTIF(Table4[[#This Row],[THEO]:[MOD]], "&gt;=1")</f>
        <v>2</v>
      </c>
      <c r="AH43" s="192">
        <f>Table4[[#This Row],[data_observations]]/Table4[[#This Row],[AllObservations_count]]</f>
        <v>2.1276595744680851E-2</v>
      </c>
      <c r="AI43" s="189">
        <f>Table4[[#This Row],[evidenceamount_pct]]*(Table4[[#This Row],[Indicator_12.5pct]])</f>
        <v>0.26595744680851063</v>
      </c>
      <c r="AJ43" s="198">
        <f>(1-(VLOOKUP(Table4[[#This Row],[risk_id]],Table3[],18, FALSE))/(Table4[[#This Row],[data_observations]]))</f>
        <v>1</v>
      </c>
      <c r="AK43" s="198">
        <f>((VLOOKUP(Table4[[#This Row],[risk_id]],Table3[],19, FALSE))+((VLOOKUP(Table4[[#This Row],[risk_id]],Table3[],36, FALSE))*0.5))/(Table4[[#This Row],[data_observations]])</f>
        <v>1</v>
      </c>
      <c r="AL43" s="177">
        <f>((Table4[[#This Row],[ev_data_deficient_score]]*0.5)+(Table4[[#This Row],[ev_data_availability_score]]*0.5))*(Table4[[#This Row],[Indicator_12.5pct]])</f>
        <v>12.5</v>
      </c>
      <c r="AM43" s="199">
        <f>Table4[[#This Row],[RiskScore]]</f>
        <v>28</v>
      </c>
      <c r="AN43" s="200">
        <f>VLOOKUP(Table4[[#This Row],[risk_id]], Table3[], 13, FALSE)</f>
        <v>12</v>
      </c>
      <c r="AO43" s="185">
        <f>(1-(Table4[[#This Row],[evidence_SD_RR]]/Table4[[#This Row],[evidence_mean_RR]]))*(Table4[[#This Row],[Indicator_12.5pct]])</f>
        <v>7.1428571428571423</v>
      </c>
      <c r="AP43" s="201">
        <f>VLOOKUP(Table4[[#This Row],[risk_id]],Table3[],21, FALSE)</f>
        <v>0.5</v>
      </c>
      <c r="AQ43" s="201">
        <f>VLOOKUP(Table4[[#This Row],[risk_id]],Table3[],23, FALSE)</f>
        <v>0</v>
      </c>
      <c r="AR43" s="201">
        <f>VLOOKUP(Table4[[#This Row],[risk_id]],Table3[],25, FALSE)</f>
        <v>0.5</v>
      </c>
      <c r="AS43" s="201">
        <f>VLOOKUP(Table4[[#This Row],[risk_id]],Table3[],27, FALSE)</f>
        <v>0</v>
      </c>
      <c r="AT43" s="183">
        <f>(MAX(Table4[[#This Row],[C]:[U]]))*Table4[[#This Row],[Indicator_20pct]]</f>
        <v>5</v>
      </c>
      <c r="AU43" s="205">
        <f>COUNTIFS(Table4[[#This Row],[C]], "&gt;0", Table4[[#This Row],[U]], "&gt;0") + COUNTIFS(Table4[[#This Row],[H]], "&gt;0", Table4[[#This Row],[U]], "&gt;0") + COUNTIFS(Table4[[#This Row],[C]], "&gt;0", Table4[[#This Row],[M]], "&gt;0")</f>
        <v>1</v>
      </c>
      <c r="AV43" s="219">
        <f>((-(Table4[[#This Row],[different_scores_count]]-3))/3)*Table4[[#This Row],[Indicator_20pct]]</f>
        <v>6.6666666666666661</v>
      </c>
      <c r="AW43" s="183">
        <f>IF(Table4[[#This Row],[data_observations]]&gt;=5, 30, IF(Table4[[#This Row],[data_observations]]&gt;=3, 15, 0))</f>
        <v>0</v>
      </c>
      <c r="AX43" s="26" t="s">
        <v>2737</v>
      </c>
    </row>
    <row r="44" spans="1:50" ht="32" customHeight="1" x14ac:dyDescent="0.2">
      <c r="A44" s="16" t="s">
        <v>2680</v>
      </c>
      <c r="B44" s="16" t="str">
        <f>VLOOKUP(Table4[[#This Row],[risk_id]], Table3[], 35, FALSE)</f>
        <v>Hazard</v>
      </c>
      <c r="C44" s="16" t="str">
        <f>VLOOKUP(Table4[[#This Row],[risk_id]], Table3[], 2, FALSE)</f>
        <v>Operational</v>
      </c>
      <c r="D44" s="15" t="str">
        <f>VLOOKUP(Table4[[#This Row],[risk_id]], Table3[], 3, FALSE)</f>
        <v>Fire onboard</v>
      </c>
      <c r="E44"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44" s="300">
        <f t="shared" si="2"/>
        <v>27.75</v>
      </c>
      <c r="G44" s="31">
        <f>Table4[[#This Row],[DataQuality_Score]]</f>
        <v>0.60862160107302754</v>
      </c>
      <c r="H44"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44" s="27" t="str">
        <f>Table4[[#This Row],[LoA - Metric]]&amp; ", " &amp;Table4[[#This Row],[ES - Metric]]</f>
        <v>Medium agreement, Medium evidence</v>
      </c>
      <c r="J44" s="222">
        <f>(Table4[[#This Row],[LoA_SCORE]]+Table4[[#This Row],[ES_SCORE]])/100</f>
        <v>0.60862160107302754</v>
      </c>
      <c r="K44"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44"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44" s="179">
        <f>Table4[[#This Row],[probability_average]]</f>
        <v>3</v>
      </c>
      <c r="N44" s="181">
        <f>Table4[[#This Row],[consequence_average]]</f>
        <v>9.25</v>
      </c>
      <c r="O44" s="220">
        <f>Table4[[#This Row],[agreementPCT_score]]+Table4[[#This Row],[agreement_dist_score]]+Table4[[#This Row],[LoA_AQ_score]]</f>
        <v>32.5</v>
      </c>
      <c r="P44" s="203">
        <f>Table4[[#This Row],[evidenceconsistency_score]]+Table4[[#This Row],[EQ_score]]+Table4[[#This Row],[EA_score]]+Table4[[#This Row],[ET_score]]</f>
        <v>28.36216010730276</v>
      </c>
      <c r="Q44" s="181">
        <f>VLOOKUP(Table4[[#This Row],[risk_id]],Table3[],10,FALSE)</f>
        <v>9.25</v>
      </c>
      <c r="R44" s="181">
        <f>VLOOKUP(Table4[[#This Row],[risk_id]],Table3[],9,FALSE)</f>
        <v>37</v>
      </c>
      <c r="S44" s="179">
        <f>VLOOKUP(Table4[[#This Row],[risk_id]],Table3[],7,FALSE)</f>
        <v>3</v>
      </c>
      <c r="T44" s="179">
        <f>VLOOKUP(Table4[[#This Row],[risk_id]],Table3[],6,FALSE)</f>
        <v>12</v>
      </c>
      <c r="U44" s="177">
        <f t="shared" si="3"/>
        <v>12.5</v>
      </c>
      <c r="V44" s="187">
        <f>10</f>
        <v>10</v>
      </c>
      <c r="W44" s="187">
        <f>30</f>
        <v>30</v>
      </c>
      <c r="X44" s="17">
        <f>VLOOKUP(Table4[[#This Row],[risk_id]],Table3[],5,FALSE)</f>
        <v>4</v>
      </c>
      <c r="Y44" s="17">
        <f>94</f>
        <v>94</v>
      </c>
      <c r="Z44" s="177">
        <f>Table4[[#This Row],[EStype_summed]]*Table4[[#This Row],[Indicator_12.5pct]]</f>
        <v>6.25</v>
      </c>
      <c r="AA44" s="190">
        <f>(IF(Table4[[#This Row],[all_evtype]]&gt;=4,"4", IF(Table4[[#This Row],[all_evtype]]&gt;=3,"3", IF(Table4[[#This Row],[all_evtype]]&gt;=2,"2", IF(Table4[[#This Row],[all_evtype]]&gt;=1,"1","0")))))/Table4[[#This Row],[HPS_et]]</f>
        <v>0.5</v>
      </c>
      <c r="AB44" s="191">
        <f>VLOOKUP(Table4[[#This Row],[risk_id]],Table3[], 14, FALSE)</f>
        <v>0</v>
      </c>
      <c r="AC44" s="191">
        <f>VLOOKUP(Table4[[#This Row],[risk_id]],Table3[], 15, FALSE)</f>
        <v>3</v>
      </c>
      <c r="AD44" s="191">
        <f>VLOOKUP(Table4[[#This Row],[risk_id]], Table3[], 16, FALSE)</f>
        <v>1</v>
      </c>
      <c r="AE44" s="191">
        <f>VLOOKUP(Table4[[#This Row],[risk_id]], Table3[], 17, )</f>
        <v>0</v>
      </c>
      <c r="AF44" s="191">
        <f>4</f>
        <v>4</v>
      </c>
      <c r="AG44" s="191">
        <f>COUNTIF(Table4[[#This Row],[THEO]:[MOD]], "&gt;=1")</f>
        <v>2</v>
      </c>
      <c r="AH44" s="192">
        <f>Table4[[#This Row],[data_observations]]/Table4[[#This Row],[AllObservations_count]]</f>
        <v>4.2553191489361701E-2</v>
      </c>
      <c r="AI44" s="189">
        <f>Table4[[#This Row],[evidenceamount_pct]]*(Table4[[#This Row],[Indicator_12.5pct]])</f>
        <v>0.53191489361702127</v>
      </c>
      <c r="AJ44" s="198">
        <f>(1-(VLOOKUP(Table4[[#This Row],[risk_id]],Table3[],18, FALSE))/(Table4[[#This Row],[data_observations]]))</f>
        <v>1</v>
      </c>
      <c r="AK44" s="198">
        <f>((VLOOKUP(Table4[[#This Row],[risk_id]],Table3[],19, FALSE))+((VLOOKUP(Table4[[#This Row],[risk_id]],Table3[],36, FALSE))*0.5))/(Table4[[#This Row],[data_observations]])</f>
        <v>0.75</v>
      </c>
      <c r="AL44" s="177">
        <f>((Table4[[#This Row],[ev_data_deficient_score]]*0.5)+(Table4[[#This Row],[ev_data_availability_score]]*0.5))*(Table4[[#This Row],[Indicator_12.5pct]])</f>
        <v>10.9375</v>
      </c>
      <c r="AM44" s="199">
        <f>Table4[[#This Row],[RiskScore]]</f>
        <v>27.75</v>
      </c>
      <c r="AN44" s="200">
        <f>VLOOKUP(Table4[[#This Row],[risk_id]], Table3[], 13, FALSE)</f>
        <v>4.1231056256176606</v>
      </c>
      <c r="AO44" s="185">
        <f>(1-(Table4[[#This Row],[evidence_SD_RR]]/Table4[[#This Row],[evidence_mean_RR]]))*(Table4[[#This Row],[Indicator_12.5pct]])</f>
        <v>10.642745213685739</v>
      </c>
      <c r="AP44" s="201">
        <f>VLOOKUP(Table4[[#This Row],[risk_id]],Table3[],21, FALSE)</f>
        <v>0</v>
      </c>
      <c r="AQ44" s="201">
        <f>VLOOKUP(Table4[[#This Row],[risk_id]],Table3[],23, FALSE)</f>
        <v>0.75</v>
      </c>
      <c r="AR44" s="201">
        <f>VLOOKUP(Table4[[#This Row],[risk_id]],Table3[],25, FALSE)</f>
        <v>0.25</v>
      </c>
      <c r="AS44" s="201">
        <f>VLOOKUP(Table4[[#This Row],[risk_id]],Table3[],27, FALSE)</f>
        <v>0</v>
      </c>
      <c r="AT44" s="183">
        <f>(MAX(Table4[[#This Row],[C]:[U]]))*Table4[[#This Row],[Indicator_20pct]]</f>
        <v>7.5</v>
      </c>
      <c r="AU44" s="205">
        <f>COUNTIFS(Table4[[#This Row],[C]], "&gt;0", Table4[[#This Row],[U]], "&gt;0") + COUNTIFS(Table4[[#This Row],[H]], "&gt;0", Table4[[#This Row],[U]], "&gt;0") + COUNTIFS(Table4[[#This Row],[C]], "&gt;0", Table4[[#This Row],[M]], "&gt;0")</f>
        <v>0</v>
      </c>
      <c r="AV44" s="219">
        <f>((-(Table4[[#This Row],[different_scores_count]]-3))/3)*Table4[[#This Row],[Indicator_20pct]]</f>
        <v>10</v>
      </c>
      <c r="AW44" s="183">
        <f>IF(Table4[[#This Row],[data_observations]]&gt;=5, 30, IF(Table4[[#This Row],[data_observations]]&gt;=3, 15, 0))</f>
        <v>15</v>
      </c>
      <c r="AX44" s="26" t="s">
        <v>2737</v>
      </c>
    </row>
    <row r="45" spans="1:50" ht="32" customHeight="1" x14ac:dyDescent="0.2">
      <c r="A45" s="16" t="s">
        <v>2711</v>
      </c>
      <c r="B45" s="16" t="str">
        <f>VLOOKUP(Table4[[#This Row],[risk_id]], Table3[], 35, FALSE)</f>
        <v>Hazard</v>
      </c>
      <c r="C45" s="16" t="str">
        <f>VLOOKUP(Table4[[#This Row],[risk_id]], Table3[], 2, FALSE)</f>
        <v>Sea Ice</v>
      </c>
      <c r="D45" s="15" t="str">
        <f>VLOOKUP(Table4[[#This Row],[risk_id]], Table3[], 3, FALSE)</f>
        <v>Sea ice consentration</v>
      </c>
      <c r="E45"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45" s="300">
        <f t="shared" si="2"/>
        <v>27.25925925925926</v>
      </c>
      <c r="G45" s="31">
        <f>Table4[[#This Row],[DataQuality_Score]]</f>
        <v>0.69649320099855605</v>
      </c>
      <c r="H45"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45" s="27" t="str">
        <f>Table4[[#This Row],[LoA - Metric]]&amp; ", " &amp;Table4[[#This Row],[ES - Metric]]</f>
        <v>High agreement, Robust evidence</v>
      </c>
      <c r="J45" s="222">
        <f>(Table4[[#This Row],[LoA_SCORE]]+Table4[[#This Row],[ES_SCORE]])/100</f>
        <v>0.69649320099855605</v>
      </c>
      <c r="K45"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45"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Robust evidence</v>
      </c>
      <c r="M45" s="179">
        <f>Table4[[#This Row],[probability_average]]</f>
        <v>3.8333333333333335</v>
      </c>
      <c r="N45" s="181">
        <f>Table4[[#This Row],[consequence_average]]</f>
        <v>7.1111111111111107</v>
      </c>
      <c r="O45" s="220">
        <f>Table4[[#This Row],[agreementPCT_score]]+Table4[[#This Row],[agreement_dist_score]]+Table4[[#This Row],[LoA_AQ_score]]</f>
        <v>36.111111111111114</v>
      </c>
      <c r="P45" s="203">
        <f>Table4[[#This Row],[evidenceconsistency_score]]+Table4[[#This Row],[EQ_score]]+Table4[[#This Row],[EA_score]]+Table4[[#This Row],[ET_score]]</f>
        <v>33.538208988744486</v>
      </c>
      <c r="Q45" s="181">
        <f>VLOOKUP(Table4[[#This Row],[risk_id]],Table3[],10,FALSE)</f>
        <v>7.1111111111111107</v>
      </c>
      <c r="R45" s="181">
        <f>VLOOKUP(Table4[[#This Row],[risk_id]],Table3[],9,FALSE)</f>
        <v>128</v>
      </c>
      <c r="S45" s="179">
        <f>VLOOKUP(Table4[[#This Row],[risk_id]],Table3[],7,FALSE)</f>
        <v>3.8333333333333335</v>
      </c>
      <c r="T45" s="179">
        <f>VLOOKUP(Table4[[#This Row],[risk_id]],Table3[],6,FALSE)</f>
        <v>69</v>
      </c>
      <c r="U45" s="177">
        <f t="shared" si="3"/>
        <v>12.5</v>
      </c>
      <c r="V45" s="187">
        <f>10</f>
        <v>10</v>
      </c>
      <c r="W45" s="187">
        <f>30</f>
        <v>30</v>
      </c>
      <c r="X45" s="17">
        <f>VLOOKUP(Table4[[#This Row],[risk_id]],Table3[],5,FALSE)</f>
        <v>18</v>
      </c>
      <c r="Y45" s="17">
        <f>94</f>
        <v>94</v>
      </c>
      <c r="Z45" s="177">
        <f>Table4[[#This Row],[EStype_summed]]*Table4[[#This Row],[Indicator_12.5pct]]</f>
        <v>12.5</v>
      </c>
      <c r="AA45" s="190">
        <f>(IF(Table4[[#This Row],[all_evtype]]&gt;=4,"4", IF(Table4[[#This Row],[all_evtype]]&gt;=3,"3", IF(Table4[[#This Row],[all_evtype]]&gt;=2,"2", IF(Table4[[#This Row],[all_evtype]]&gt;=1,"1","0")))))/Table4[[#This Row],[HPS_et]]</f>
        <v>1</v>
      </c>
      <c r="AB45" s="191">
        <f>VLOOKUP(Table4[[#This Row],[risk_id]],Table3[], 14, FALSE)</f>
        <v>4</v>
      </c>
      <c r="AC45" s="191">
        <f>VLOOKUP(Table4[[#This Row],[risk_id]],Table3[], 15, FALSE)</f>
        <v>10</v>
      </c>
      <c r="AD45" s="191">
        <f>VLOOKUP(Table4[[#This Row],[risk_id]], Table3[], 16, FALSE)</f>
        <v>2</v>
      </c>
      <c r="AE45" s="191">
        <f>VLOOKUP(Table4[[#This Row],[risk_id]], Table3[], 17, )</f>
        <v>2</v>
      </c>
      <c r="AF45" s="191">
        <f>4</f>
        <v>4</v>
      </c>
      <c r="AG45" s="191">
        <f>COUNTIF(Table4[[#This Row],[THEO]:[MOD]], "&gt;=1")</f>
        <v>4</v>
      </c>
      <c r="AH45" s="192">
        <f>Table4[[#This Row],[data_observations]]/Table4[[#This Row],[AllObservations_count]]</f>
        <v>0.19148936170212766</v>
      </c>
      <c r="AI45" s="189">
        <f>Table4[[#This Row],[evidenceamount_pct]]*(Table4[[#This Row],[Indicator_12.5pct]])</f>
        <v>2.3936170212765959</v>
      </c>
      <c r="AJ45" s="198">
        <f>(1-(VLOOKUP(Table4[[#This Row],[risk_id]],Table3[],18, FALSE))/(Table4[[#This Row],[data_observations]]))</f>
        <v>1</v>
      </c>
      <c r="AK45" s="198">
        <f>((VLOOKUP(Table4[[#This Row],[risk_id]],Table3[],19, FALSE))+((VLOOKUP(Table4[[#This Row],[risk_id]],Table3[],36, FALSE))*0.5))/(Table4[[#This Row],[data_observations]])</f>
        <v>0.66666666666666663</v>
      </c>
      <c r="AL45" s="177">
        <f>((Table4[[#This Row],[ev_data_deficient_score]]*0.5)+(Table4[[#This Row],[ev_data_availability_score]]*0.5))*(Table4[[#This Row],[Indicator_12.5pct]])</f>
        <v>10.416666666666666</v>
      </c>
      <c r="AM45" s="199">
        <f>Table4[[#This Row],[RiskScore]]</f>
        <v>27.25925925925926</v>
      </c>
      <c r="AN45" s="200">
        <f>VLOOKUP(Table4[[#This Row],[risk_id]], Table3[], 13, FALSE)</f>
        <v>9.3162873440305187</v>
      </c>
      <c r="AO45" s="185">
        <f>(1-(Table4[[#This Row],[evidence_SD_RR]]/Table4[[#This Row],[evidence_mean_RR]]))*(Table4[[#This Row],[Indicator_12.5pct]])</f>
        <v>8.227925300801223</v>
      </c>
      <c r="AP45" s="201">
        <f>VLOOKUP(Table4[[#This Row],[risk_id]],Table3[],21, FALSE)</f>
        <v>0.1111111111111111</v>
      </c>
      <c r="AQ45" s="201">
        <f>VLOOKUP(Table4[[#This Row],[risk_id]],Table3[],23, FALSE)</f>
        <v>0.61111111111111116</v>
      </c>
      <c r="AR45" s="201">
        <f>VLOOKUP(Table4[[#This Row],[risk_id]],Table3[],25, FALSE)</f>
        <v>0.22222222222222221</v>
      </c>
      <c r="AS45" s="201">
        <f>VLOOKUP(Table4[[#This Row],[risk_id]],Table3[],27, FALSE)</f>
        <v>5.5555555555555552E-2</v>
      </c>
      <c r="AT45" s="183">
        <f>(MAX(Table4[[#This Row],[C]:[U]]))*Table4[[#This Row],[Indicator_20pct]]</f>
        <v>6.1111111111111116</v>
      </c>
      <c r="AU45" s="205">
        <f>COUNTIFS(Table4[[#This Row],[C]], "&gt;0", Table4[[#This Row],[U]], "&gt;0") + COUNTIFS(Table4[[#This Row],[H]], "&gt;0", Table4[[#This Row],[U]], "&gt;0") + COUNTIFS(Table4[[#This Row],[C]], "&gt;0", Table4[[#This Row],[M]], "&gt;0")</f>
        <v>3</v>
      </c>
      <c r="AV45" s="219">
        <f>((-(Table4[[#This Row],[different_scores_count]]-3))/3)*Table4[[#This Row],[Indicator_20pct]]</f>
        <v>0</v>
      </c>
      <c r="AW45" s="183">
        <f>IF(Table4[[#This Row],[data_observations]]&gt;=5, 30, IF(Table4[[#This Row],[data_observations]]&gt;=3, 15, 0))</f>
        <v>30</v>
      </c>
      <c r="AX45" s="26" t="s">
        <v>2737</v>
      </c>
    </row>
    <row r="46" spans="1:50" ht="32" hidden="1" customHeight="1" x14ac:dyDescent="0.2">
      <c r="A46" s="16" t="s">
        <v>616</v>
      </c>
      <c r="B46" s="16" t="str">
        <f>VLOOKUP(Table4[[#This Row],[risk_id]], Table3[], 35, FALSE)</f>
        <v>Risk</v>
      </c>
      <c r="C46" s="16" t="str">
        <f>VLOOKUP(Table4[[#This Row],[risk_id]], Table3[], 2, FALSE)</f>
        <v>Political</v>
      </c>
      <c r="D46" s="15" t="str">
        <f>VLOOKUP(Table4[[#This Row],[risk_id]], Table3[], 3, FALSE)</f>
        <v>Sovereignty claims and disputes</v>
      </c>
      <c r="E46"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46" s="300">
        <f t="shared" si="2"/>
        <v>27.083333333333336</v>
      </c>
      <c r="G46" s="31">
        <f>Table4[[#This Row],[DataQuality_Score]]</f>
        <v>0.74711581520551362</v>
      </c>
      <c r="H46"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46" s="27" t="str">
        <f>Table4[[#This Row],[LoA - Metric]]&amp; ", " &amp;Table4[[#This Row],[ES - Metric]]</f>
        <v>High agreement, Medium evidence</v>
      </c>
      <c r="J46" s="222">
        <f>(Table4[[#This Row],[LoA_SCORE]]+Table4[[#This Row],[ES_SCORE]])/100</f>
        <v>0.74711581520551362</v>
      </c>
      <c r="K46"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46"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46" s="179">
        <f>Table4[[#This Row],[probability_average]]</f>
        <v>4.166666666666667</v>
      </c>
      <c r="N46" s="181">
        <f>Table4[[#This Row],[consequence_average]]</f>
        <v>6.5</v>
      </c>
      <c r="O46" s="220">
        <f>Table4[[#This Row],[agreementPCT_score]]+Table4[[#This Row],[agreement_dist_score]]+Table4[[#This Row],[LoA_AQ_score]]</f>
        <v>46.666666666666664</v>
      </c>
      <c r="P46" s="203">
        <f>Table4[[#This Row],[evidenceconsistency_score]]+Table4[[#This Row],[EQ_score]]+Table4[[#This Row],[EA_score]]+Table4[[#This Row],[ET_score]]</f>
        <v>28.044914853884702</v>
      </c>
      <c r="Q46" s="181">
        <f>VLOOKUP(Table4[[#This Row],[risk_id]],Table3[],10,FALSE)</f>
        <v>6.5</v>
      </c>
      <c r="R46" s="181">
        <f>VLOOKUP(Table4[[#This Row],[risk_id]],Table3[],9,FALSE)</f>
        <v>39</v>
      </c>
      <c r="S46" s="179">
        <f>VLOOKUP(Table4[[#This Row],[risk_id]],Table3[],7,FALSE)</f>
        <v>4.166666666666667</v>
      </c>
      <c r="T46" s="179">
        <f>VLOOKUP(Table4[[#This Row],[risk_id]],Table3[],6,FALSE)</f>
        <v>25</v>
      </c>
      <c r="U46" s="177">
        <f t="shared" si="3"/>
        <v>12.5</v>
      </c>
      <c r="V46" s="187">
        <f>10</f>
        <v>10</v>
      </c>
      <c r="W46" s="187">
        <f>30</f>
        <v>30</v>
      </c>
      <c r="X46" s="17">
        <f>VLOOKUP(Table4[[#This Row],[risk_id]],Table3[],5,FALSE)</f>
        <v>6</v>
      </c>
      <c r="Y46" s="17">
        <f>94</f>
        <v>94</v>
      </c>
      <c r="Z46" s="177">
        <f>Table4[[#This Row],[EStype_summed]]*Table4[[#This Row],[Indicator_12.5pct]]</f>
        <v>9.375</v>
      </c>
      <c r="AA46" s="190">
        <f>(IF(Table4[[#This Row],[all_evtype]]&gt;=4,"4", IF(Table4[[#This Row],[all_evtype]]&gt;=3,"3", IF(Table4[[#This Row],[all_evtype]]&gt;=2,"2", IF(Table4[[#This Row],[all_evtype]]&gt;=1,"1","0")))))/Table4[[#This Row],[HPS_et]]</f>
        <v>0.75</v>
      </c>
      <c r="AB46" s="191">
        <f>VLOOKUP(Table4[[#This Row],[risk_id]],Table3[], 14, FALSE)</f>
        <v>3</v>
      </c>
      <c r="AC46" s="191">
        <f>VLOOKUP(Table4[[#This Row],[risk_id]],Table3[], 15, FALSE)</f>
        <v>1</v>
      </c>
      <c r="AD46" s="191">
        <f>VLOOKUP(Table4[[#This Row],[risk_id]], Table3[], 16, FALSE)</f>
        <v>2</v>
      </c>
      <c r="AE46" s="191">
        <f>VLOOKUP(Table4[[#This Row],[risk_id]], Table3[], 17, )</f>
        <v>0</v>
      </c>
      <c r="AF46" s="191">
        <f>4</f>
        <v>4</v>
      </c>
      <c r="AG46" s="191">
        <f>COUNTIF(Table4[[#This Row],[THEO]:[MOD]], "&gt;=1")</f>
        <v>3</v>
      </c>
      <c r="AH46" s="192">
        <f>Table4[[#This Row],[data_observations]]/Table4[[#This Row],[AllObservations_count]]</f>
        <v>6.3829787234042548E-2</v>
      </c>
      <c r="AI46" s="189">
        <f>Table4[[#This Row],[evidenceamount_pct]]*(Table4[[#This Row],[Indicator_12.5pct]])</f>
        <v>0.7978723404255319</v>
      </c>
      <c r="AJ46" s="198">
        <f>(1-(VLOOKUP(Table4[[#This Row],[risk_id]],Table3[],18, FALSE))/(Table4[[#This Row],[data_observations]]))</f>
        <v>1</v>
      </c>
      <c r="AK46" s="198">
        <f>((VLOOKUP(Table4[[#This Row],[risk_id]],Table3[],19, FALSE))+((VLOOKUP(Table4[[#This Row],[risk_id]],Table3[],36, FALSE))*0.5))/(Table4[[#This Row],[data_observations]])</f>
        <v>0.5</v>
      </c>
      <c r="AL46" s="177">
        <f>((Table4[[#This Row],[ev_data_deficient_score]]*0.5)+(Table4[[#This Row],[ev_data_availability_score]]*0.5))*(Table4[[#This Row],[Indicator_12.5pct]])</f>
        <v>9.375</v>
      </c>
      <c r="AM46" s="199">
        <f>Table4[[#This Row],[RiskScore]]</f>
        <v>27.083333333333336</v>
      </c>
      <c r="AN46" s="200">
        <f>VLOOKUP(Table4[[#This Row],[risk_id]], Table3[], 13, FALSE)</f>
        <v>8.6730745541717926</v>
      </c>
      <c r="AO46" s="185">
        <f>(1-(Table4[[#This Row],[evidence_SD_RR]]/Table4[[#This Row],[evidence_mean_RR]]))*(Table4[[#This Row],[Indicator_12.5pct]])</f>
        <v>8.4970425134591725</v>
      </c>
      <c r="AP46" s="201">
        <f>VLOOKUP(Table4[[#This Row],[risk_id]],Table3[],21, FALSE)</f>
        <v>0</v>
      </c>
      <c r="AQ46" s="201">
        <f>VLOOKUP(Table4[[#This Row],[risk_id]],Table3[],23, FALSE)</f>
        <v>0.66666666666666663</v>
      </c>
      <c r="AR46" s="201">
        <f>VLOOKUP(Table4[[#This Row],[risk_id]],Table3[],25, FALSE)</f>
        <v>0.33333333333333331</v>
      </c>
      <c r="AS46" s="201">
        <f>VLOOKUP(Table4[[#This Row],[risk_id]],Table3[],27, FALSE)</f>
        <v>0</v>
      </c>
      <c r="AT46" s="183">
        <f>(MAX(Table4[[#This Row],[C]:[U]]))*Table4[[#This Row],[Indicator_20pct]]</f>
        <v>6.6666666666666661</v>
      </c>
      <c r="AU46" s="205">
        <f>COUNTIFS(Table4[[#This Row],[C]], "&gt;0", Table4[[#This Row],[U]], "&gt;0") + COUNTIFS(Table4[[#This Row],[H]], "&gt;0", Table4[[#This Row],[U]], "&gt;0") + COUNTIFS(Table4[[#This Row],[C]], "&gt;0", Table4[[#This Row],[M]], "&gt;0")</f>
        <v>0</v>
      </c>
      <c r="AV46" s="219">
        <f>((-(Table4[[#This Row],[different_scores_count]]-3))/3)*Table4[[#This Row],[Indicator_20pct]]</f>
        <v>10</v>
      </c>
      <c r="AW46" s="183">
        <f>IF(Table4[[#This Row],[data_observations]]&gt;=5, 30, IF(Table4[[#This Row],[data_observations]]&gt;=3, 15, 0))</f>
        <v>30</v>
      </c>
      <c r="AX46" s="26" t="s">
        <v>2736</v>
      </c>
    </row>
    <row r="47" spans="1:50" ht="32" customHeight="1" x14ac:dyDescent="0.2">
      <c r="A47" s="16" t="s">
        <v>2661</v>
      </c>
      <c r="B47" s="16" t="str">
        <f>VLOOKUP(Table4[[#This Row],[risk_id]], Table3[], 35, FALSE)</f>
        <v>Hazard</v>
      </c>
      <c r="C47" s="16" t="str">
        <f>VLOOKUP(Table4[[#This Row],[risk_id]], Table3[], 2, FALSE)</f>
        <v>Environmental</v>
      </c>
      <c r="D47" s="15" t="str">
        <f>VLOOKUP(Table4[[#This Row],[risk_id]], Table3[], 3, FALSE)</f>
        <v>Animal displacement</v>
      </c>
      <c r="E47"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47" s="300">
        <f t="shared" si="2"/>
        <v>27</v>
      </c>
      <c r="G47" s="31">
        <f>Table4[[#This Row],[DataQuality_Score]]</f>
        <v>0.50309984492559545</v>
      </c>
      <c r="H47"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47" s="27" t="str">
        <f>Table4[[#This Row],[LoA - Metric]]&amp; ", " &amp;Table4[[#This Row],[ES - Metric]]</f>
        <v>Medium agreement, Medium evidence</v>
      </c>
      <c r="J47" s="222">
        <f>(Table4[[#This Row],[LoA_SCORE]]+Table4[[#This Row],[ES_SCORE]])/100</f>
        <v>0.50309984492559545</v>
      </c>
      <c r="K47"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47"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47" s="179">
        <f>Table4[[#This Row],[probability_average]]</f>
        <v>3</v>
      </c>
      <c r="N47" s="181">
        <f>Table4[[#This Row],[consequence_average]]</f>
        <v>9</v>
      </c>
      <c r="O47" s="220">
        <f>Table4[[#This Row],[agreementPCT_score]]+Table4[[#This Row],[agreement_dist_score]]+Table4[[#This Row],[LoA_AQ_score]]</f>
        <v>28.333333333333332</v>
      </c>
      <c r="P47" s="203">
        <f>Table4[[#This Row],[evidenceconsistency_score]]+Table4[[#This Row],[EQ_score]]+Table4[[#This Row],[EA_score]]+Table4[[#This Row],[ET_score]]</f>
        <v>21.976651159226215</v>
      </c>
      <c r="Q47" s="181">
        <f>VLOOKUP(Table4[[#This Row],[risk_id]],Table3[],10,FALSE)</f>
        <v>9</v>
      </c>
      <c r="R47" s="181">
        <f>VLOOKUP(Table4[[#This Row],[risk_id]],Table3[],9,FALSE)</f>
        <v>27</v>
      </c>
      <c r="S47" s="179">
        <f>VLOOKUP(Table4[[#This Row],[risk_id]],Table3[],7,FALSE)</f>
        <v>3</v>
      </c>
      <c r="T47" s="179">
        <f>VLOOKUP(Table4[[#This Row],[risk_id]],Table3[],6,FALSE)</f>
        <v>6</v>
      </c>
      <c r="U47" s="177">
        <f t="shared" si="3"/>
        <v>12.5</v>
      </c>
      <c r="V47" s="187">
        <f>10</f>
        <v>10</v>
      </c>
      <c r="W47" s="187">
        <f>30</f>
        <v>30</v>
      </c>
      <c r="X47" s="17">
        <f>VLOOKUP(Table4[[#This Row],[risk_id]],Table3[],5,FALSE)</f>
        <v>3</v>
      </c>
      <c r="Y47" s="17">
        <f>94</f>
        <v>94</v>
      </c>
      <c r="Z47" s="177">
        <f>Table4[[#This Row],[EStype_summed]]*Table4[[#This Row],[Indicator_12.5pct]]</f>
        <v>3.125</v>
      </c>
      <c r="AA47" s="190">
        <f>(IF(Table4[[#This Row],[all_evtype]]&gt;=4,"4", IF(Table4[[#This Row],[all_evtype]]&gt;=3,"3", IF(Table4[[#This Row],[all_evtype]]&gt;=2,"2", IF(Table4[[#This Row],[all_evtype]]&gt;=1,"1","0")))))/Table4[[#This Row],[HPS_et]]</f>
        <v>0.25</v>
      </c>
      <c r="AB47" s="191">
        <f>VLOOKUP(Table4[[#This Row],[risk_id]],Table3[], 14, FALSE)</f>
        <v>0</v>
      </c>
      <c r="AC47" s="191">
        <f>VLOOKUP(Table4[[#This Row],[risk_id]],Table3[], 15, FALSE)</f>
        <v>3</v>
      </c>
      <c r="AD47" s="191">
        <f>VLOOKUP(Table4[[#This Row],[risk_id]], Table3[], 16, FALSE)</f>
        <v>0</v>
      </c>
      <c r="AE47" s="191">
        <f>VLOOKUP(Table4[[#This Row],[risk_id]], Table3[], 17, )</f>
        <v>0</v>
      </c>
      <c r="AF47" s="191">
        <f>4</f>
        <v>4</v>
      </c>
      <c r="AG47" s="191">
        <f>COUNTIF(Table4[[#This Row],[THEO]:[MOD]], "&gt;=1")</f>
        <v>1</v>
      </c>
      <c r="AH47" s="192">
        <f>Table4[[#This Row],[data_observations]]/Table4[[#This Row],[AllObservations_count]]</f>
        <v>3.1914893617021274E-2</v>
      </c>
      <c r="AI47" s="189">
        <f>Table4[[#This Row],[evidenceamount_pct]]*(Table4[[#This Row],[Indicator_12.5pct]])</f>
        <v>0.39893617021276595</v>
      </c>
      <c r="AJ47" s="198">
        <f>(1-(VLOOKUP(Table4[[#This Row],[risk_id]],Table3[],18, FALSE))/(Table4[[#This Row],[data_observations]]))</f>
        <v>1</v>
      </c>
      <c r="AK47" s="198">
        <f>((VLOOKUP(Table4[[#This Row],[risk_id]],Table3[],19, FALSE))+((VLOOKUP(Table4[[#This Row],[risk_id]],Table3[],36, FALSE))*0.5))/(Table4[[#This Row],[data_observations]])</f>
        <v>1</v>
      </c>
      <c r="AL47" s="177">
        <f>((Table4[[#This Row],[ev_data_deficient_score]]*0.5)+(Table4[[#This Row],[ev_data_availability_score]]*0.5))*(Table4[[#This Row],[Indicator_12.5pct]])</f>
        <v>12.5</v>
      </c>
      <c r="AM47" s="199">
        <f>Table4[[#This Row],[RiskScore]]</f>
        <v>27</v>
      </c>
      <c r="AN47" s="200">
        <f>VLOOKUP(Table4[[#This Row],[risk_id]], Table3[], 13, FALSE)</f>
        <v>14.142135623730951</v>
      </c>
      <c r="AO47" s="185">
        <f>(1-(Table4[[#This Row],[evidence_SD_RR]]/Table4[[#This Row],[evidence_mean_RR]]))*(Table4[[#This Row],[Indicator_12.5pct]])</f>
        <v>5.9527149890134483</v>
      </c>
      <c r="AP47" s="201">
        <f>VLOOKUP(Table4[[#This Row],[risk_id]],Table3[],21, FALSE)</f>
        <v>0</v>
      </c>
      <c r="AQ47" s="201">
        <f>VLOOKUP(Table4[[#This Row],[risk_id]],Table3[],23, FALSE)</f>
        <v>0.66666666666666663</v>
      </c>
      <c r="AR47" s="201">
        <f>VLOOKUP(Table4[[#This Row],[risk_id]],Table3[],25, FALSE)</f>
        <v>0</v>
      </c>
      <c r="AS47" s="201">
        <f>VLOOKUP(Table4[[#This Row],[risk_id]],Table3[],27, FALSE)</f>
        <v>0.33333333333333331</v>
      </c>
      <c r="AT47" s="183">
        <f>(MAX(Table4[[#This Row],[C]:[U]]))*Table4[[#This Row],[Indicator_20pct]]</f>
        <v>6.6666666666666661</v>
      </c>
      <c r="AU47" s="205">
        <f>COUNTIFS(Table4[[#This Row],[C]], "&gt;0", Table4[[#This Row],[U]], "&gt;0") + COUNTIFS(Table4[[#This Row],[H]], "&gt;0", Table4[[#This Row],[U]], "&gt;0") + COUNTIFS(Table4[[#This Row],[C]], "&gt;0", Table4[[#This Row],[M]], "&gt;0")</f>
        <v>1</v>
      </c>
      <c r="AV47" s="219">
        <f>((-(Table4[[#This Row],[different_scores_count]]-3))/3)*Table4[[#This Row],[Indicator_20pct]]</f>
        <v>6.6666666666666661</v>
      </c>
      <c r="AW47" s="183">
        <f>IF(Table4[[#This Row],[data_observations]]&gt;=5, 30, IF(Table4[[#This Row],[data_observations]]&gt;=3, 15, 0))</f>
        <v>15</v>
      </c>
      <c r="AX47" s="26" t="s">
        <v>2737</v>
      </c>
    </row>
    <row r="48" spans="1:50" ht="32" customHeight="1" x14ac:dyDescent="0.2">
      <c r="A48" s="16" t="s">
        <v>2679</v>
      </c>
      <c r="B48" s="16" t="str">
        <f>VLOOKUP(Table4[[#This Row],[risk_id]], Table3[], 35, FALSE)</f>
        <v>Hazard</v>
      </c>
      <c r="C48" s="16" t="str">
        <f>VLOOKUP(Table4[[#This Row],[risk_id]], Table3[], 2, FALSE)</f>
        <v>Environmental</v>
      </c>
      <c r="D48" s="15" t="str">
        <f>VLOOKUP(Table4[[#This Row],[risk_id]], Table3[], 3, FALSE)</f>
        <v>Extreme winter conditions</v>
      </c>
      <c r="E48"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48" s="300">
        <f t="shared" si="2"/>
        <v>26.833333333333336</v>
      </c>
      <c r="G48" s="31">
        <f>Table4[[#This Row],[DataQuality_Score]]</f>
        <v>0.63685672372677016</v>
      </c>
      <c r="H48"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48" s="27" t="str">
        <f>Table4[[#This Row],[LoA - Metric]]&amp; ", " &amp;Table4[[#This Row],[ES - Metric]]</f>
        <v>High agreement, Medium evidence</v>
      </c>
      <c r="J48" s="222">
        <f>(Table4[[#This Row],[LoA_SCORE]]+Table4[[#This Row],[ES_SCORE]])/100</f>
        <v>0.63685672372677016</v>
      </c>
      <c r="K48"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48"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48" s="179">
        <f>Table4[[#This Row],[probability_average]]</f>
        <v>3.8333333333333335</v>
      </c>
      <c r="N48" s="181">
        <f>Table4[[#This Row],[consequence_average]]</f>
        <v>7</v>
      </c>
      <c r="O48" s="220">
        <f>Table4[[#This Row],[agreementPCT_score]]+Table4[[#This Row],[agreement_dist_score]]+Table4[[#This Row],[LoA_AQ_score]]</f>
        <v>41.666666666666664</v>
      </c>
      <c r="P48" s="203">
        <f>Table4[[#This Row],[evidenceconsistency_score]]+Table4[[#This Row],[EQ_score]]+Table4[[#This Row],[EA_score]]+Table4[[#This Row],[ET_score]]</f>
        <v>22.019005706010354</v>
      </c>
      <c r="Q48" s="181">
        <f>VLOOKUP(Table4[[#This Row],[risk_id]],Table3[],10,FALSE)</f>
        <v>7</v>
      </c>
      <c r="R48" s="181">
        <f>VLOOKUP(Table4[[#This Row],[risk_id]],Table3[],9,FALSE)</f>
        <v>42</v>
      </c>
      <c r="S48" s="179">
        <f>VLOOKUP(Table4[[#This Row],[risk_id]],Table3[],7,FALSE)</f>
        <v>3.8333333333333335</v>
      </c>
      <c r="T48" s="179">
        <f>VLOOKUP(Table4[[#This Row],[risk_id]],Table3[],6,FALSE)</f>
        <v>23</v>
      </c>
      <c r="U48" s="177">
        <f t="shared" si="3"/>
        <v>12.5</v>
      </c>
      <c r="V48" s="187">
        <f>10</f>
        <v>10</v>
      </c>
      <c r="W48" s="187">
        <f>30</f>
        <v>30</v>
      </c>
      <c r="X48" s="17">
        <f>VLOOKUP(Table4[[#This Row],[risk_id]],Table3[],5,FALSE)</f>
        <v>6</v>
      </c>
      <c r="Y48" s="17">
        <f>94</f>
        <v>94</v>
      </c>
      <c r="Z48" s="177">
        <f>Table4[[#This Row],[EStype_summed]]*Table4[[#This Row],[Indicator_12.5pct]]</f>
        <v>9.375</v>
      </c>
      <c r="AA48" s="190">
        <f>(IF(Table4[[#This Row],[all_evtype]]&gt;=4,"4", IF(Table4[[#This Row],[all_evtype]]&gt;=3,"3", IF(Table4[[#This Row],[all_evtype]]&gt;=2,"2", IF(Table4[[#This Row],[all_evtype]]&gt;=1,"1","0")))))/Table4[[#This Row],[HPS_et]]</f>
        <v>0.75</v>
      </c>
      <c r="AB48" s="191">
        <f>VLOOKUP(Table4[[#This Row],[risk_id]],Table3[], 14, FALSE)</f>
        <v>4</v>
      </c>
      <c r="AC48" s="191">
        <f>VLOOKUP(Table4[[#This Row],[risk_id]],Table3[], 15, FALSE)</f>
        <v>1</v>
      </c>
      <c r="AD48" s="191">
        <f>VLOOKUP(Table4[[#This Row],[risk_id]], Table3[], 16, FALSE)</f>
        <v>0</v>
      </c>
      <c r="AE48" s="191">
        <f>VLOOKUP(Table4[[#This Row],[risk_id]], Table3[], 17, )</f>
        <v>1</v>
      </c>
      <c r="AF48" s="191">
        <f>4</f>
        <v>4</v>
      </c>
      <c r="AG48" s="191">
        <f>COUNTIF(Table4[[#This Row],[THEO]:[MOD]], "&gt;=1")</f>
        <v>3</v>
      </c>
      <c r="AH48" s="192">
        <f>Table4[[#This Row],[data_observations]]/Table4[[#This Row],[AllObservations_count]]</f>
        <v>6.3829787234042548E-2</v>
      </c>
      <c r="AI48" s="189">
        <f>Table4[[#This Row],[evidenceamount_pct]]*(Table4[[#This Row],[Indicator_12.5pct]])</f>
        <v>0.7978723404255319</v>
      </c>
      <c r="AJ48" s="198">
        <f>(1-(VLOOKUP(Table4[[#This Row],[risk_id]],Table3[],18, FALSE))/(Table4[[#This Row],[data_observations]]))</f>
        <v>0.5</v>
      </c>
      <c r="AK48" s="198">
        <f>((VLOOKUP(Table4[[#This Row],[risk_id]],Table3[],19, FALSE))+((VLOOKUP(Table4[[#This Row],[risk_id]],Table3[],36, FALSE))*0.5))/(Table4[[#This Row],[data_observations]])</f>
        <v>0.25</v>
      </c>
      <c r="AL48" s="177">
        <f>((Table4[[#This Row],[ev_data_deficient_score]]*0.5)+(Table4[[#This Row],[ev_data_availability_score]]*0.5))*(Table4[[#This Row],[Indicator_12.5pct]])</f>
        <v>4.6875</v>
      </c>
      <c r="AM48" s="199">
        <f>Table4[[#This Row],[RiskScore]]</f>
        <v>26.833333333333336</v>
      </c>
      <c r="AN48" s="200">
        <f>VLOOKUP(Table4[[#This Row],[risk_id]], Table3[], 13, FALSE)</f>
        <v>11.466133708544577</v>
      </c>
      <c r="AO48" s="185">
        <f>(1-(Table4[[#This Row],[evidence_SD_RR]]/Table4[[#This Row],[evidence_mean_RR]]))*(Table4[[#This Row],[Indicator_12.5pct]])</f>
        <v>7.1586333655848238</v>
      </c>
      <c r="AP48" s="201">
        <f>VLOOKUP(Table4[[#This Row],[risk_id]],Table3[],21, FALSE)</f>
        <v>0.16666666666666666</v>
      </c>
      <c r="AQ48" s="201">
        <f>VLOOKUP(Table4[[#This Row],[risk_id]],Table3[],23, FALSE)</f>
        <v>0.5</v>
      </c>
      <c r="AR48" s="201">
        <f>VLOOKUP(Table4[[#This Row],[risk_id]],Table3[],25, FALSE)</f>
        <v>0.33333333333333331</v>
      </c>
      <c r="AS48" s="201">
        <f>VLOOKUP(Table4[[#This Row],[risk_id]],Table3[],27, FALSE)</f>
        <v>0</v>
      </c>
      <c r="AT48" s="183">
        <f>(MAX(Table4[[#This Row],[C]:[U]]))*Table4[[#This Row],[Indicator_20pct]]</f>
        <v>5</v>
      </c>
      <c r="AU48" s="205">
        <f>COUNTIFS(Table4[[#This Row],[C]], "&gt;0", Table4[[#This Row],[U]], "&gt;0") + COUNTIFS(Table4[[#This Row],[H]], "&gt;0", Table4[[#This Row],[U]], "&gt;0") + COUNTIFS(Table4[[#This Row],[C]], "&gt;0", Table4[[#This Row],[M]], "&gt;0")</f>
        <v>1</v>
      </c>
      <c r="AV48" s="219">
        <f>((-(Table4[[#This Row],[different_scores_count]]-3))/3)*Table4[[#This Row],[Indicator_20pct]]</f>
        <v>6.6666666666666661</v>
      </c>
      <c r="AW48" s="183">
        <f>IF(Table4[[#This Row],[data_observations]]&gt;=5, 30, IF(Table4[[#This Row],[data_observations]]&gt;=3, 15, 0))</f>
        <v>30</v>
      </c>
      <c r="AX48" s="26" t="s">
        <v>2737</v>
      </c>
    </row>
    <row r="49" spans="1:50" ht="32" customHeight="1" x14ac:dyDescent="0.2">
      <c r="A49" s="16" t="s">
        <v>2713</v>
      </c>
      <c r="B49" s="16" t="str">
        <f>VLOOKUP(Table4[[#This Row],[risk_id]], Table3[], 35, FALSE)</f>
        <v>Hazard</v>
      </c>
      <c r="C49" s="16" t="str">
        <f>VLOOKUP(Table4[[#This Row],[risk_id]], Table3[], 2, FALSE)</f>
        <v>Environmental</v>
      </c>
      <c r="D49" s="15" t="str">
        <f>VLOOKUP(Table4[[#This Row],[risk_id]], Table3[], 3, FALSE)</f>
        <v>Severe weather</v>
      </c>
      <c r="E49"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49" s="300">
        <f t="shared" si="2"/>
        <v>26.583333333333332</v>
      </c>
      <c r="G49" s="31">
        <f>Table4[[#This Row],[DataQuality_Score]]</f>
        <v>0.67612559747708811</v>
      </c>
      <c r="H49"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49" s="27" t="str">
        <f>Table4[[#This Row],[LoA - Metric]]&amp; ", " &amp;Table4[[#This Row],[ES - Metric]]</f>
        <v>High agreement, Medium evidence</v>
      </c>
      <c r="J49" s="222">
        <f>(Table4[[#This Row],[LoA_SCORE]]+Table4[[#This Row],[ES_SCORE]])/100</f>
        <v>0.67612559747708811</v>
      </c>
      <c r="K49"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49"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49" s="179">
        <f>Table4[[#This Row],[probability_average]]</f>
        <v>3.6666666666666665</v>
      </c>
      <c r="N49" s="181">
        <f>Table4[[#This Row],[consequence_average]]</f>
        <v>7.25</v>
      </c>
      <c r="O49" s="220">
        <f>Table4[[#This Row],[agreementPCT_score]]+Table4[[#This Row],[agreement_dist_score]]+Table4[[#This Row],[LoA_AQ_score]]</f>
        <v>35.833333333333336</v>
      </c>
      <c r="P49" s="203">
        <f>Table4[[#This Row],[evidenceconsistency_score]]+Table4[[#This Row],[EQ_score]]+Table4[[#This Row],[EA_score]]+Table4[[#This Row],[ET_score]]</f>
        <v>31.779226414375479</v>
      </c>
      <c r="Q49" s="181">
        <f>VLOOKUP(Table4[[#This Row],[risk_id]],Table3[],10,FALSE)</f>
        <v>7.25</v>
      </c>
      <c r="R49" s="181">
        <f>VLOOKUP(Table4[[#This Row],[risk_id]],Table3[],9,FALSE)</f>
        <v>87</v>
      </c>
      <c r="S49" s="179">
        <f>VLOOKUP(Table4[[#This Row],[risk_id]],Table3[],7,FALSE)</f>
        <v>3.6666666666666665</v>
      </c>
      <c r="T49" s="179">
        <f>VLOOKUP(Table4[[#This Row],[risk_id]],Table3[],6,FALSE)</f>
        <v>44</v>
      </c>
      <c r="U49" s="177">
        <f t="shared" si="3"/>
        <v>12.5</v>
      </c>
      <c r="V49" s="187">
        <f>10</f>
        <v>10</v>
      </c>
      <c r="W49" s="187">
        <f>30</f>
        <v>30</v>
      </c>
      <c r="X49" s="17">
        <f>VLOOKUP(Table4[[#This Row],[risk_id]],Table3[],5,FALSE)</f>
        <v>12</v>
      </c>
      <c r="Y49" s="17">
        <f>94</f>
        <v>94</v>
      </c>
      <c r="Z49" s="177">
        <f>Table4[[#This Row],[EStype_summed]]*Table4[[#This Row],[Indicator_12.5pct]]</f>
        <v>12.5</v>
      </c>
      <c r="AA49" s="190">
        <f>(IF(Table4[[#This Row],[all_evtype]]&gt;=4,"4", IF(Table4[[#This Row],[all_evtype]]&gt;=3,"3", IF(Table4[[#This Row],[all_evtype]]&gt;=2,"2", IF(Table4[[#This Row],[all_evtype]]&gt;=1,"1","0")))))/Table4[[#This Row],[HPS_et]]</f>
        <v>1</v>
      </c>
      <c r="AB49" s="191">
        <f>VLOOKUP(Table4[[#This Row],[risk_id]],Table3[], 14, FALSE)</f>
        <v>2</v>
      </c>
      <c r="AC49" s="191">
        <f>VLOOKUP(Table4[[#This Row],[risk_id]],Table3[], 15, FALSE)</f>
        <v>5</v>
      </c>
      <c r="AD49" s="191">
        <f>VLOOKUP(Table4[[#This Row],[risk_id]], Table3[], 16, FALSE)</f>
        <v>3</v>
      </c>
      <c r="AE49" s="191">
        <f>VLOOKUP(Table4[[#This Row],[risk_id]], Table3[], 17, )</f>
        <v>2</v>
      </c>
      <c r="AF49" s="191">
        <f>4</f>
        <v>4</v>
      </c>
      <c r="AG49" s="191">
        <f>COUNTIF(Table4[[#This Row],[THEO]:[MOD]], "&gt;=1")</f>
        <v>4</v>
      </c>
      <c r="AH49" s="192">
        <f>Table4[[#This Row],[data_observations]]/Table4[[#This Row],[AllObservations_count]]</f>
        <v>0.1276595744680851</v>
      </c>
      <c r="AI49" s="189">
        <f>Table4[[#This Row],[evidenceamount_pct]]*(Table4[[#This Row],[Indicator_12.5pct]])</f>
        <v>1.5957446808510638</v>
      </c>
      <c r="AJ49" s="198">
        <f>(1-(VLOOKUP(Table4[[#This Row],[risk_id]],Table3[],18, FALSE))/(Table4[[#This Row],[data_observations]]))</f>
        <v>0.83333333333333337</v>
      </c>
      <c r="AK49" s="198">
        <f>((VLOOKUP(Table4[[#This Row],[risk_id]],Table3[],19, FALSE))+((VLOOKUP(Table4[[#This Row],[risk_id]],Table3[],36, FALSE))*0.5))/(Table4[[#This Row],[data_observations]])</f>
        <v>0.70833333333333337</v>
      </c>
      <c r="AL49" s="177">
        <f>((Table4[[#This Row],[ev_data_deficient_score]]*0.5)+(Table4[[#This Row],[ev_data_availability_score]]*0.5))*(Table4[[#This Row],[Indicator_12.5pct]])</f>
        <v>9.6354166666666679</v>
      </c>
      <c r="AM49" s="199">
        <f>Table4[[#This Row],[RiskScore]]</f>
        <v>26.583333333333332</v>
      </c>
      <c r="AN49" s="200">
        <f>VLOOKUP(Table4[[#This Row],[risk_id]], Table3[], 13, FALSE)</f>
        <v>9.4677816244825213</v>
      </c>
      <c r="AO49" s="185">
        <f>(1-(Table4[[#This Row],[evidence_SD_RR]]/Table4[[#This Row],[evidence_mean_RR]]))*(Table4[[#This Row],[Indicator_12.5pct]])</f>
        <v>8.0480650668577489</v>
      </c>
      <c r="AP49" s="201">
        <f>VLOOKUP(Table4[[#This Row],[risk_id]],Table3[],21, FALSE)</f>
        <v>8.3333333333333329E-2</v>
      </c>
      <c r="AQ49" s="201">
        <f>VLOOKUP(Table4[[#This Row],[risk_id]],Table3[],23, FALSE)</f>
        <v>0.58333333333333337</v>
      </c>
      <c r="AR49" s="201">
        <f>VLOOKUP(Table4[[#This Row],[risk_id]],Table3[],25, FALSE)</f>
        <v>0.25</v>
      </c>
      <c r="AS49" s="201">
        <f>VLOOKUP(Table4[[#This Row],[risk_id]],Table3[],27, FALSE)</f>
        <v>8.3333333333333329E-2</v>
      </c>
      <c r="AT49" s="183">
        <f>(MAX(Table4[[#This Row],[C]:[U]]))*Table4[[#This Row],[Indicator_20pct]]</f>
        <v>5.8333333333333339</v>
      </c>
      <c r="AU49" s="205">
        <f>COUNTIFS(Table4[[#This Row],[C]], "&gt;0", Table4[[#This Row],[U]], "&gt;0") + COUNTIFS(Table4[[#This Row],[H]], "&gt;0", Table4[[#This Row],[U]], "&gt;0") + COUNTIFS(Table4[[#This Row],[C]], "&gt;0", Table4[[#This Row],[M]], "&gt;0")</f>
        <v>3</v>
      </c>
      <c r="AV49" s="219">
        <f>((-(Table4[[#This Row],[different_scores_count]]-3))/3)*Table4[[#This Row],[Indicator_20pct]]</f>
        <v>0</v>
      </c>
      <c r="AW49" s="183">
        <f>IF(Table4[[#This Row],[data_observations]]&gt;=5, 30, IF(Table4[[#This Row],[data_observations]]&gt;=3, 15, 0))</f>
        <v>30</v>
      </c>
      <c r="AX49" s="26" t="s">
        <v>2737</v>
      </c>
    </row>
    <row r="50" spans="1:50" ht="32" customHeight="1" x14ac:dyDescent="0.2">
      <c r="A50" s="16" t="s">
        <v>2681</v>
      </c>
      <c r="B50" s="16" t="str">
        <f>VLOOKUP(Table4[[#This Row],[risk_id]], Table3[], 35, FALSE)</f>
        <v>Hazard</v>
      </c>
      <c r="C50" s="16" t="str">
        <f>VLOOKUP(Table4[[#This Row],[risk_id]], Table3[], 2, FALSE)</f>
        <v>Sea Ice</v>
      </c>
      <c r="D50" s="15" t="str">
        <f>VLOOKUP(Table4[[#This Row],[risk_id]], Table3[], 3, FALSE)</f>
        <v>First-year sea ice</v>
      </c>
      <c r="E50"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50" s="300">
        <f t="shared" si="2"/>
        <v>26.5625</v>
      </c>
      <c r="G50" s="31">
        <f>Table4[[#This Row],[DataQuality_Score]]</f>
        <v>0.57160217748036679</v>
      </c>
      <c r="H50"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50" s="27" t="str">
        <f>Table4[[#This Row],[LoA - Metric]]&amp; ", " &amp;Table4[[#This Row],[ES - Metric]]</f>
        <v>Medium agreement, Medium evidence</v>
      </c>
      <c r="J50" s="222">
        <f>(Table4[[#This Row],[LoA_SCORE]]+Table4[[#This Row],[ES_SCORE]])/100</f>
        <v>0.57160217748036679</v>
      </c>
      <c r="K50"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50"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50" s="179">
        <f>Table4[[#This Row],[probability_average]]</f>
        <v>4.25</v>
      </c>
      <c r="N50" s="181">
        <f>Table4[[#This Row],[consequence_average]]</f>
        <v>6.25</v>
      </c>
      <c r="O50" s="220">
        <f>Table4[[#This Row],[agreementPCT_score]]+Table4[[#This Row],[agreement_dist_score]]+Table4[[#This Row],[LoA_AQ_score]]</f>
        <v>32.5</v>
      </c>
      <c r="P50" s="203">
        <f>Table4[[#This Row],[evidenceconsistency_score]]+Table4[[#This Row],[EQ_score]]+Table4[[#This Row],[EA_score]]+Table4[[#This Row],[ET_score]]</f>
        <v>24.660217748036679</v>
      </c>
      <c r="Q50" s="181">
        <f>VLOOKUP(Table4[[#This Row],[risk_id]],Table3[],10,FALSE)</f>
        <v>6.25</v>
      </c>
      <c r="R50" s="181">
        <f>VLOOKUP(Table4[[#This Row],[risk_id]],Table3[],9,FALSE)</f>
        <v>25</v>
      </c>
      <c r="S50" s="179">
        <f>VLOOKUP(Table4[[#This Row],[risk_id]],Table3[],7,FALSE)</f>
        <v>4.25</v>
      </c>
      <c r="T50" s="179">
        <f>VLOOKUP(Table4[[#This Row],[risk_id]],Table3[],6,FALSE)</f>
        <v>17</v>
      </c>
      <c r="U50" s="177">
        <f t="shared" si="3"/>
        <v>12.5</v>
      </c>
      <c r="V50" s="187">
        <f>10</f>
        <v>10</v>
      </c>
      <c r="W50" s="187">
        <f>30</f>
        <v>30</v>
      </c>
      <c r="X50" s="17">
        <f>VLOOKUP(Table4[[#This Row],[risk_id]],Table3[],5,FALSE)</f>
        <v>4</v>
      </c>
      <c r="Y50" s="17">
        <f>94</f>
        <v>94</v>
      </c>
      <c r="Z50" s="177">
        <f>Table4[[#This Row],[EStype_summed]]*Table4[[#This Row],[Indicator_12.5pct]]</f>
        <v>3.125</v>
      </c>
      <c r="AA50" s="190">
        <f>(IF(Table4[[#This Row],[all_evtype]]&gt;=4,"4", IF(Table4[[#This Row],[all_evtype]]&gt;=3,"3", IF(Table4[[#This Row],[all_evtype]]&gt;=2,"2", IF(Table4[[#This Row],[all_evtype]]&gt;=1,"1","0")))))/Table4[[#This Row],[HPS_et]]</f>
        <v>0.25</v>
      </c>
      <c r="AB50" s="191">
        <f>VLOOKUP(Table4[[#This Row],[risk_id]],Table3[], 14, FALSE)</f>
        <v>0</v>
      </c>
      <c r="AC50" s="191">
        <f>VLOOKUP(Table4[[#This Row],[risk_id]],Table3[], 15, FALSE)</f>
        <v>4</v>
      </c>
      <c r="AD50" s="191">
        <f>VLOOKUP(Table4[[#This Row],[risk_id]], Table3[], 16, FALSE)</f>
        <v>0</v>
      </c>
      <c r="AE50" s="191">
        <f>VLOOKUP(Table4[[#This Row],[risk_id]], Table3[], 17, )</f>
        <v>0</v>
      </c>
      <c r="AF50" s="191">
        <f>4</f>
        <v>4</v>
      </c>
      <c r="AG50" s="191">
        <f>COUNTIF(Table4[[#This Row],[THEO]:[MOD]], "&gt;=1")</f>
        <v>1</v>
      </c>
      <c r="AH50" s="192">
        <f>Table4[[#This Row],[data_observations]]/Table4[[#This Row],[AllObservations_count]]</f>
        <v>4.2553191489361701E-2</v>
      </c>
      <c r="AI50" s="189">
        <f>Table4[[#This Row],[evidenceamount_pct]]*(Table4[[#This Row],[Indicator_12.5pct]])</f>
        <v>0.53191489361702127</v>
      </c>
      <c r="AJ50" s="198">
        <f>(1-(VLOOKUP(Table4[[#This Row],[risk_id]],Table3[],18, FALSE))/(Table4[[#This Row],[data_observations]]))</f>
        <v>1</v>
      </c>
      <c r="AK50" s="198">
        <f>((VLOOKUP(Table4[[#This Row],[risk_id]],Table3[],19, FALSE))+((VLOOKUP(Table4[[#This Row],[risk_id]],Table3[],36, FALSE))*0.5))/(Table4[[#This Row],[data_observations]])</f>
        <v>0.875</v>
      </c>
      <c r="AL50" s="177">
        <f>((Table4[[#This Row],[ev_data_deficient_score]]*0.5)+(Table4[[#This Row],[ev_data_availability_score]]*0.5))*(Table4[[#This Row],[Indicator_12.5pct]])</f>
        <v>11.71875</v>
      </c>
      <c r="AM50" s="199">
        <f>Table4[[#This Row],[RiskScore]]</f>
        <v>26.5625</v>
      </c>
      <c r="AN50" s="200">
        <f>VLOOKUP(Table4[[#This Row],[risk_id]], Table3[], 13, FALSE)</f>
        <v>6.8328251843582244</v>
      </c>
      <c r="AO50" s="185">
        <f>(1-(Table4[[#This Row],[evidence_SD_RR]]/Table4[[#This Row],[evidence_mean_RR]]))*(Table4[[#This Row],[Indicator_12.5pct]])</f>
        <v>9.2845528544196583</v>
      </c>
      <c r="AP50" s="201">
        <f>VLOOKUP(Table4[[#This Row],[risk_id]],Table3[],21, FALSE)</f>
        <v>0</v>
      </c>
      <c r="AQ50" s="201">
        <f>VLOOKUP(Table4[[#This Row],[risk_id]],Table3[],23, FALSE)</f>
        <v>0.75</v>
      </c>
      <c r="AR50" s="201">
        <f>VLOOKUP(Table4[[#This Row],[risk_id]],Table3[],25, FALSE)</f>
        <v>0.25</v>
      </c>
      <c r="AS50" s="201">
        <f>VLOOKUP(Table4[[#This Row],[risk_id]],Table3[],27, FALSE)</f>
        <v>0</v>
      </c>
      <c r="AT50" s="183">
        <f>(MAX(Table4[[#This Row],[C]:[U]]))*Table4[[#This Row],[Indicator_20pct]]</f>
        <v>7.5</v>
      </c>
      <c r="AU50" s="205">
        <f>COUNTIFS(Table4[[#This Row],[C]], "&gt;0", Table4[[#This Row],[U]], "&gt;0") + COUNTIFS(Table4[[#This Row],[H]], "&gt;0", Table4[[#This Row],[U]], "&gt;0") + COUNTIFS(Table4[[#This Row],[C]], "&gt;0", Table4[[#This Row],[M]], "&gt;0")</f>
        <v>0</v>
      </c>
      <c r="AV50" s="219">
        <f>((-(Table4[[#This Row],[different_scores_count]]-3))/3)*Table4[[#This Row],[Indicator_20pct]]</f>
        <v>10</v>
      </c>
      <c r="AW50" s="183">
        <f>IF(Table4[[#This Row],[data_observations]]&gt;=5, 30, IF(Table4[[#This Row],[data_observations]]&gt;=3, 15, 0))</f>
        <v>15</v>
      </c>
      <c r="AX50" s="26" t="s">
        <v>2737</v>
      </c>
    </row>
    <row r="51" spans="1:50" ht="32" hidden="1" customHeight="1" x14ac:dyDescent="0.2">
      <c r="A51" s="16" t="s">
        <v>544</v>
      </c>
      <c r="B51" s="16" t="str">
        <f>VLOOKUP(Table4[[#This Row],[risk_id]], Table3[], 35, FALSE)</f>
        <v>Risk</v>
      </c>
      <c r="C51" s="16" t="str">
        <f>VLOOKUP(Table4[[#This Row],[risk_id]], Table3[], 2, FALSE)</f>
        <v>Operational</v>
      </c>
      <c r="D51" s="15" t="str">
        <f>VLOOKUP(Table4[[#This Row],[risk_id]], Table3[], 3, FALSE)</f>
        <v>Insufficient training and/or expertise</v>
      </c>
      <c r="E51"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51" s="300">
        <f t="shared" si="2"/>
        <v>26.5625</v>
      </c>
      <c r="G51" s="31">
        <f>Table4[[#This Row],[DataQuality_Score]]</f>
        <v>0.56649313832697745</v>
      </c>
      <c r="H51"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51" s="27" t="str">
        <f>Table4[[#This Row],[LoA - Metric]]&amp; ", " &amp;Table4[[#This Row],[ES - Metric]]</f>
        <v>Medium agreement, Medium evidence</v>
      </c>
      <c r="J51" s="222">
        <f>(Table4[[#This Row],[LoA_SCORE]]+Table4[[#This Row],[ES_SCORE]])/100</f>
        <v>0.56649313832697745</v>
      </c>
      <c r="K51"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51"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51" s="179">
        <f>Table4[[#This Row],[probability_average]]</f>
        <v>4.25</v>
      </c>
      <c r="N51" s="181">
        <f>Table4[[#This Row],[consequence_average]]</f>
        <v>6.25</v>
      </c>
      <c r="O51" s="220">
        <f>Table4[[#This Row],[agreementPCT_score]]+Table4[[#This Row],[agreement_dist_score]]+Table4[[#This Row],[LoA_AQ_score]]</f>
        <v>30</v>
      </c>
      <c r="P51" s="203">
        <f>Table4[[#This Row],[evidenceconsistency_score]]+Table4[[#This Row],[EQ_score]]+Table4[[#This Row],[EA_score]]+Table4[[#This Row],[ET_score]]</f>
        <v>26.649313832697743</v>
      </c>
      <c r="Q51" s="181">
        <f>VLOOKUP(Table4[[#This Row],[risk_id]],Table3[],10,FALSE)</f>
        <v>6.25</v>
      </c>
      <c r="R51" s="181">
        <f>VLOOKUP(Table4[[#This Row],[risk_id]],Table3[],9,FALSE)</f>
        <v>25</v>
      </c>
      <c r="S51" s="179">
        <f>VLOOKUP(Table4[[#This Row],[risk_id]],Table3[],7,FALSE)</f>
        <v>4.25</v>
      </c>
      <c r="T51" s="179">
        <f>VLOOKUP(Table4[[#This Row],[risk_id]],Table3[],6,FALSE)</f>
        <v>17</v>
      </c>
      <c r="U51" s="177">
        <f t="shared" si="3"/>
        <v>12.5</v>
      </c>
      <c r="V51" s="187">
        <f>10</f>
        <v>10</v>
      </c>
      <c r="W51" s="187">
        <f>30</f>
        <v>30</v>
      </c>
      <c r="X51" s="17">
        <f>VLOOKUP(Table4[[#This Row],[risk_id]],Table3[],5,FALSE)</f>
        <v>4</v>
      </c>
      <c r="Y51" s="17">
        <f>94</f>
        <v>94</v>
      </c>
      <c r="Z51" s="177">
        <f>Table4[[#This Row],[EStype_summed]]*Table4[[#This Row],[Indicator_12.5pct]]</f>
        <v>9.375</v>
      </c>
      <c r="AA51" s="190">
        <f>(IF(Table4[[#This Row],[all_evtype]]&gt;=4,"4", IF(Table4[[#This Row],[all_evtype]]&gt;=3,"3", IF(Table4[[#This Row],[all_evtype]]&gt;=2,"2", IF(Table4[[#This Row],[all_evtype]]&gt;=1,"1","0")))))/Table4[[#This Row],[HPS_et]]</f>
        <v>0.75</v>
      </c>
      <c r="AB51" s="191">
        <f>VLOOKUP(Table4[[#This Row],[risk_id]],Table3[], 14, FALSE)</f>
        <v>2</v>
      </c>
      <c r="AC51" s="191">
        <f>VLOOKUP(Table4[[#This Row],[risk_id]],Table3[], 15, FALSE)</f>
        <v>1</v>
      </c>
      <c r="AD51" s="191">
        <f>VLOOKUP(Table4[[#This Row],[risk_id]], Table3[], 16, FALSE)</f>
        <v>1</v>
      </c>
      <c r="AE51" s="191">
        <f>VLOOKUP(Table4[[#This Row],[risk_id]], Table3[], 17, )</f>
        <v>0</v>
      </c>
      <c r="AF51" s="191">
        <f>4</f>
        <v>4</v>
      </c>
      <c r="AG51" s="191">
        <f>COUNTIF(Table4[[#This Row],[THEO]:[MOD]], "&gt;=1")</f>
        <v>3</v>
      </c>
      <c r="AH51" s="192">
        <f>Table4[[#This Row],[data_observations]]/Table4[[#This Row],[AllObservations_count]]</f>
        <v>4.2553191489361701E-2</v>
      </c>
      <c r="AI51" s="189">
        <f>Table4[[#This Row],[evidenceamount_pct]]*(Table4[[#This Row],[Indicator_12.5pct]])</f>
        <v>0.53191489361702127</v>
      </c>
      <c r="AJ51" s="198">
        <f>(1-(VLOOKUP(Table4[[#This Row],[risk_id]],Table3[],18, FALSE))/(Table4[[#This Row],[data_observations]]))</f>
        <v>1</v>
      </c>
      <c r="AK51" s="198">
        <f>((VLOOKUP(Table4[[#This Row],[risk_id]],Table3[],19, FALSE))+((VLOOKUP(Table4[[#This Row],[risk_id]],Table3[],36, FALSE))*0.5))/(Table4[[#This Row],[data_observations]])</f>
        <v>0.375</v>
      </c>
      <c r="AL51" s="177">
        <f>((Table4[[#This Row],[ev_data_deficient_score]]*0.5)+(Table4[[#This Row],[ev_data_availability_score]]*0.5))*(Table4[[#This Row],[Indicator_12.5pct]])</f>
        <v>8.59375</v>
      </c>
      <c r="AM51" s="199">
        <f>Table4[[#This Row],[RiskScore]]</f>
        <v>26.5625</v>
      </c>
      <c r="AN51" s="200">
        <f>VLOOKUP(Table4[[#This Row],[risk_id]], Table3[], 13, FALSE)</f>
        <v>9.2466210044534645</v>
      </c>
      <c r="AO51" s="185">
        <f>(1-(Table4[[#This Row],[evidence_SD_RR]]/Table4[[#This Row],[evidence_mean_RR]]))*(Table4[[#This Row],[Indicator_12.5pct]])</f>
        <v>8.1486489390807222</v>
      </c>
      <c r="AP51" s="201">
        <f>VLOOKUP(Table4[[#This Row],[risk_id]],Table3[],21, FALSE)</f>
        <v>0</v>
      </c>
      <c r="AQ51" s="201">
        <f>VLOOKUP(Table4[[#This Row],[risk_id]],Table3[],23, FALSE)</f>
        <v>0.5</v>
      </c>
      <c r="AR51" s="201">
        <f>VLOOKUP(Table4[[#This Row],[risk_id]],Table3[],25, FALSE)</f>
        <v>0.5</v>
      </c>
      <c r="AS51" s="201">
        <f>VLOOKUP(Table4[[#This Row],[risk_id]],Table3[],27, FALSE)</f>
        <v>0</v>
      </c>
      <c r="AT51" s="183">
        <f>(MAX(Table4[[#This Row],[C]:[U]]))*Table4[[#This Row],[Indicator_20pct]]</f>
        <v>5</v>
      </c>
      <c r="AU51" s="205">
        <f>COUNTIFS(Table4[[#This Row],[C]], "&gt;0", Table4[[#This Row],[U]], "&gt;0") + COUNTIFS(Table4[[#This Row],[H]], "&gt;0", Table4[[#This Row],[U]], "&gt;0") + COUNTIFS(Table4[[#This Row],[C]], "&gt;0", Table4[[#This Row],[M]], "&gt;0")</f>
        <v>0</v>
      </c>
      <c r="AV51" s="219">
        <f>((-(Table4[[#This Row],[different_scores_count]]-3))/3)*Table4[[#This Row],[Indicator_20pct]]</f>
        <v>10</v>
      </c>
      <c r="AW51" s="183">
        <f>IF(Table4[[#This Row],[data_observations]]&gt;=5, 30, IF(Table4[[#This Row],[data_observations]]&gt;=3, 15, 0))</f>
        <v>15</v>
      </c>
      <c r="AX51" s="26" t="s">
        <v>2737</v>
      </c>
    </row>
    <row r="52" spans="1:50" ht="32" hidden="1" customHeight="1" x14ac:dyDescent="0.2">
      <c r="A52" s="16" t="s">
        <v>614</v>
      </c>
      <c r="B52" s="16" t="str">
        <f>VLOOKUP(Table4[[#This Row],[risk_id]], Table3[], 35, FALSE)</f>
        <v>Risk</v>
      </c>
      <c r="C52" s="16" t="str">
        <f>VLOOKUP(Table4[[#This Row],[risk_id]], Table3[], 2, FALSE)</f>
        <v>Sea Ice</v>
      </c>
      <c r="D52" s="15" t="str">
        <f>VLOOKUP(Table4[[#This Row],[risk_id]], Table3[], 3, FALSE)</f>
        <v>Sea ice (generalized)</v>
      </c>
      <c r="E52"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52" s="300">
        <f t="shared" si="2"/>
        <v>26.513888888888889</v>
      </c>
      <c r="G52" s="31">
        <f>Table4[[#This Row],[DataQuality_Score]]</f>
        <v>0.69063823783051759</v>
      </c>
      <c r="H52"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52" s="27" t="str">
        <f>Table4[[#This Row],[LoA - Metric]]&amp; ", " &amp;Table4[[#This Row],[ES - Metric]]</f>
        <v>High agreement, Medium evidence</v>
      </c>
      <c r="J52" s="222">
        <f>(Table4[[#This Row],[LoA_SCORE]]+Table4[[#This Row],[ES_SCORE]])/100</f>
        <v>0.69063823783051759</v>
      </c>
      <c r="K52"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52"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52" s="179">
        <f>Table4[[#This Row],[probability_average]]</f>
        <v>3.8333333333333335</v>
      </c>
      <c r="N52" s="181">
        <f>Table4[[#This Row],[consequence_average]]</f>
        <v>6.916666666666667</v>
      </c>
      <c r="O52" s="220">
        <f>Table4[[#This Row],[agreementPCT_score]]+Table4[[#This Row],[agreement_dist_score]]+Table4[[#This Row],[LoA_AQ_score]]</f>
        <v>35.833333333333336</v>
      </c>
      <c r="P52" s="203">
        <f>Table4[[#This Row],[evidenceconsistency_score]]+Table4[[#This Row],[EQ_score]]+Table4[[#This Row],[EA_score]]+Table4[[#This Row],[ET_score]]</f>
        <v>33.230490449718417</v>
      </c>
      <c r="Q52" s="181">
        <f>VLOOKUP(Table4[[#This Row],[risk_id]],Table3[],10,FALSE)</f>
        <v>6.916666666666667</v>
      </c>
      <c r="R52" s="181">
        <f>VLOOKUP(Table4[[#This Row],[risk_id]],Table3[],9,FALSE)</f>
        <v>166</v>
      </c>
      <c r="S52" s="179">
        <f>VLOOKUP(Table4[[#This Row],[risk_id]],Table3[],7,FALSE)</f>
        <v>3.8333333333333335</v>
      </c>
      <c r="T52" s="179">
        <f>VLOOKUP(Table4[[#This Row],[risk_id]],Table3[],6,FALSE)</f>
        <v>92</v>
      </c>
      <c r="U52" s="177">
        <f t="shared" si="3"/>
        <v>12.5</v>
      </c>
      <c r="V52" s="187">
        <f>10</f>
        <v>10</v>
      </c>
      <c r="W52" s="187">
        <f>30</f>
        <v>30</v>
      </c>
      <c r="X52" s="17">
        <f>VLOOKUP(Table4[[#This Row],[risk_id]],Table3[],5,FALSE)</f>
        <v>24</v>
      </c>
      <c r="Y52" s="17">
        <f>94</f>
        <v>94</v>
      </c>
      <c r="Z52" s="177">
        <f>Table4[[#This Row],[EStype_summed]]*Table4[[#This Row],[Indicator_12.5pct]]</f>
        <v>12.5</v>
      </c>
      <c r="AA52" s="190">
        <f>(IF(Table4[[#This Row],[all_evtype]]&gt;=4,"4", IF(Table4[[#This Row],[all_evtype]]&gt;=3,"3", IF(Table4[[#This Row],[all_evtype]]&gt;=2,"2", IF(Table4[[#This Row],[all_evtype]]&gt;=1,"1","0")))))/Table4[[#This Row],[HPS_et]]</f>
        <v>1</v>
      </c>
      <c r="AB52" s="191">
        <f>VLOOKUP(Table4[[#This Row],[risk_id]],Table3[], 14, FALSE)</f>
        <v>5</v>
      </c>
      <c r="AC52" s="191">
        <f>VLOOKUP(Table4[[#This Row],[risk_id]],Table3[], 15, FALSE)</f>
        <v>13</v>
      </c>
      <c r="AD52" s="191">
        <f>VLOOKUP(Table4[[#This Row],[risk_id]], Table3[], 16, FALSE)</f>
        <v>4</v>
      </c>
      <c r="AE52" s="191">
        <f>VLOOKUP(Table4[[#This Row],[risk_id]], Table3[], 17, )</f>
        <v>2</v>
      </c>
      <c r="AF52" s="191">
        <f>4</f>
        <v>4</v>
      </c>
      <c r="AG52" s="191">
        <f>COUNTIF(Table4[[#This Row],[THEO]:[MOD]], "&gt;=1")</f>
        <v>4</v>
      </c>
      <c r="AH52" s="192">
        <f>Table4[[#This Row],[data_observations]]/Table4[[#This Row],[AllObservations_count]]</f>
        <v>0.25531914893617019</v>
      </c>
      <c r="AI52" s="189">
        <f>Table4[[#This Row],[evidenceamount_pct]]*(Table4[[#This Row],[Indicator_12.5pct]])</f>
        <v>3.1914893617021276</v>
      </c>
      <c r="AJ52" s="198">
        <f>(1-(VLOOKUP(Table4[[#This Row],[risk_id]],Table3[],18, FALSE))/(Table4[[#This Row],[data_observations]]))</f>
        <v>0.91666666666666663</v>
      </c>
      <c r="AK52" s="198">
        <f>((VLOOKUP(Table4[[#This Row],[risk_id]],Table3[],19, FALSE))+((VLOOKUP(Table4[[#This Row],[risk_id]],Table3[],36, FALSE))*0.5))/(Table4[[#This Row],[data_observations]])</f>
        <v>0.5625</v>
      </c>
      <c r="AL52" s="177">
        <f>((Table4[[#This Row],[ev_data_deficient_score]]*0.5)+(Table4[[#This Row],[ev_data_availability_score]]*0.5))*(Table4[[#This Row],[Indicator_12.5pct]])</f>
        <v>9.2447916666666661</v>
      </c>
      <c r="AM52" s="199">
        <f>Table4[[#This Row],[RiskScore]]</f>
        <v>26.513888888888889</v>
      </c>
      <c r="AN52" s="200">
        <f>VLOOKUP(Table4[[#This Row],[risk_id]], Table3[], 13, FALSE)</f>
        <v>8.9209491273817569</v>
      </c>
      <c r="AO52" s="185">
        <f>(1-(Table4[[#This Row],[evidence_SD_RR]]/Table4[[#This Row],[evidence_mean_RR]]))*(Table4[[#This Row],[Indicator_12.5pct]])</f>
        <v>8.2942094213496169</v>
      </c>
      <c r="AP52" s="201">
        <f>VLOOKUP(Table4[[#This Row],[risk_id]],Table3[],21, FALSE)</f>
        <v>8.3333333333333329E-2</v>
      </c>
      <c r="AQ52" s="201">
        <f>VLOOKUP(Table4[[#This Row],[risk_id]],Table3[],23, FALSE)</f>
        <v>0.58333333333333337</v>
      </c>
      <c r="AR52" s="201">
        <f>VLOOKUP(Table4[[#This Row],[risk_id]],Table3[],25, FALSE)</f>
        <v>0.29166666666666669</v>
      </c>
      <c r="AS52" s="201">
        <f>VLOOKUP(Table4[[#This Row],[risk_id]],Table3[],27, FALSE)</f>
        <v>4.1666666666666664E-2</v>
      </c>
      <c r="AT52" s="183">
        <f>(MAX(Table4[[#This Row],[C]:[U]]))*Table4[[#This Row],[Indicator_20pct]]</f>
        <v>5.8333333333333339</v>
      </c>
      <c r="AU52" s="205">
        <f>COUNTIFS(Table4[[#This Row],[C]], "&gt;0", Table4[[#This Row],[U]], "&gt;0") + COUNTIFS(Table4[[#This Row],[H]], "&gt;0", Table4[[#This Row],[U]], "&gt;0") + COUNTIFS(Table4[[#This Row],[C]], "&gt;0", Table4[[#This Row],[M]], "&gt;0")</f>
        <v>3</v>
      </c>
      <c r="AV52" s="219">
        <f>((-(Table4[[#This Row],[different_scores_count]]-3))/3)*Table4[[#This Row],[Indicator_20pct]]</f>
        <v>0</v>
      </c>
      <c r="AW52" s="183">
        <f>IF(Table4[[#This Row],[data_observations]]&gt;=5, 30, IF(Table4[[#This Row],[data_observations]]&gt;=3, 15, 0))</f>
        <v>30</v>
      </c>
      <c r="AX52" s="26" t="s">
        <v>2737</v>
      </c>
    </row>
    <row r="53" spans="1:50" ht="32" hidden="1" customHeight="1" x14ac:dyDescent="0.2">
      <c r="A53" s="16" t="s">
        <v>2662</v>
      </c>
      <c r="B53" s="16" t="str">
        <f>VLOOKUP(Table4[[#This Row],[risk_id]], Table3[], 35, FALSE)</f>
        <v>Risk</v>
      </c>
      <c r="C53" s="16" t="str">
        <f>VLOOKUP(Table4[[#This Row],[risk_id]], Table3[], 2, FALSE)</f>
        <v>Environmental</v>
      </c>
      <c r="D53" s="15" t="str">
        <f>VLOOKUP(Table4[[#This Row],[risk_id]], Table3[], 3, FALSE)</f>
        <v>Animal disturbance</v>
      </c>
      <c r="E53"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53" s="300">
        <f t="shared" si="2"/>
        <v>26.25</v>
      </c>
      <c r="G53" s="31">
        <f>Table4[[#This Row],[DataQuality_Score]]</f>
        <v>0.70996926981202801</v>
      </c>
      <c r="H53"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53" s="27" t="str">
        <f>Table4[[#This Row],[LoA - Metric]]&amp; ", " &amp;Table4[[#This Row],[ES - Metric]]</f>
        <v>High agreement, Medium evidence</v>
      </c>
      <c r="J53" s="222">
        <f>(Table4[[#This Row],[LoA_SCORE]]+Table4[[#This Row],[ES_SCORE]])/100</f>
        <v>0.70996926981202801</v>
      </c>
      <c r="K53"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53"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53" s="179">
        <f>Table4[[#This Row],[probability_average]]</f>
        <v>3.5</v>
      </c>
      <c r="N53" s="181">
        <f>Table4[[#This Row],[consequence_average]]</f>
        <v>7.5</v>
      </c>
      <c r="O53" s="220">
        <f>Table4[[#This Row],[agreementPCT_score]]+Table4[[#This Row],[agreement_dist_score]]+Table4[[#This Row],[LoA_AQ_score]]</f>
        <v>41.666666666666664</v>
      </c>
      <c r="P53" s="203">
        <f>Table4[[#This Row],[evidenceconsistency_score]]+Table4[[#This Row],[EQ_score]]+Table4[[#This Row],[EA_score]]+Table4[[#This Row],[ET_score]]</f>
        <v>29.33026031453614</v>
      </c>
      <c r="Q53" s="181">
        <f>VLOOKUP(Table4[[#This Row],[risk_id]],Table3[],10,FALSE)</f>
        <v>7.5</v>
      </c>
      <c r="R53" s="181">
        <f>VLOOKUP(Table4[[#This Row],[risk_id]],Table3[],9,FALSE)</f>
        <v>45</v>
      </c>
      <c r="S53" s="179">
        <f>VLOOKUP(Table4[[#This Row],[risk_id]],Table3[],7,FALSE)</f>
        <v>3.5</v>
      </c>
      <c r="T53" s="179">
        <f>VLOOKUP(Table4[[#This Row],[risk_id]],Table3[],6,FALSE)</f>
        <v>21</v>
      </c>
      <c r="U53" s="177">
        <f t="shared" si="3"/>
        <v>12.5</v>
      </c>
      <c r="V53" s="187">
        <f>10</f>
        <v>10</v>
      </c>
      <c r="W53" s="187">
        <f>30</f>
        <v>30</v>
      </c>
      <c r="X53" s="17">
        <f>VLOOKUP(Table4[[#This Row],[risk_id]],Table3[],5,FALSE)</f>
        <v>6</v>
      </c>
      <c r="Y53" s="17">
        <f>94</f>
        <v>94</v>
      </c>
      <c r="Z53" s="177">
        <f>Table4[[#This Row],[EStype_summed]]*Table4[[#This Row],[Indicator_12.5pct]]</f>
        <v>9.375</v>
      </c>
      <c r="AA53" s="190">
        <f>(IF(Table4[[#This Row],[all_evtype]]&gt;=4,"4", IF(Table4[[#This Row],[all_evtype]]&gt;=3,"3", IF(Table4[[#This Row],[all_evtype]]&gt;=2,"2", IF(Table4[[#This Row],[all_evtype]]&gt;=1,"1","0")))))/Table4[[#This Row],[HPS_et]]</f>
        <v>0.75</v>
      </c>
      <c r="AB53" s="191">
        <f>VLOOKUP(Table4[[#This Row],[risk_id]],Table3[], 14, FALSE)</f>
        <v>0</v>
      </c>
      <c r="AC53" s="191">
        <f>VLOOKUP(Table4[[#This Row],[risk_id]],Table3[], 15, FALSE)</f>
        <v>4</v>
      </c>
      <c r="AD53" s="191">
        <f>VLOOKUP(Table4[[#This Row],[risk_id]], Table3[], 16, FALSE)</f>
        <v>1</v>
      </c>
      <c r="AE53" s="191">
        <f>VLOOKUP(Table4[[#This Row],[risk_id]], Table3[], 17, )</f>
        <v>1</v>
      </c>
      <c r="AF53" s="191">
        <f>4</f>
        <v>4</v>
      </c>
      <c r="AG53" s="191">
        <f>COUNTIF(Table4[[#This Row],[THEO]:[MOD]], "&gt;=1")</f>
        <v>3</v>
      </c>
      <c r="AH53" s="192">
        <f>Table4[[#This Row],[data_observations]]/Table4[[#This Row],[AllObservations_count]]</f>
        <v>6.3829787234042548E-2</v>
      </c>
      <c r="AI53" s="189">
        <f>Table4[[#This Row],[evidenceamount_pct]]*(Table4[[#This Row],[Indicator_12.5pct]])</f>
        <v>0.7978723404255319</v>
      </c>
      <c r="AJ53" s="198">
        <f>(1-(VLOOKUP(Table4[[#This Row],[risk_id]],Table3[],18, FALSE))/(Table4[[#This Row],[data_observations]]))</f>
        <v>0.83333333333333337</v>
      </c>
      <c r="AK53" s="198">
        <f>((VLOOKUP(Table4[[#This Row],[risk_id]],Table3[],19, FALSE))+((VLOOKUP(Table4[[#This Row],[risk_id]],Table3[],36, FALSE))*0.5))/(Table4[[#This Row],[data_observations]])</f>
        <v>0.75</v>
      </c>
      <c r="AL53" s="177">
        <f>((Table4[[#This Row],[ev_data_deficient_score]]*0.5)+(Table4[[#This Row],[ev_data_availability_score]]*0.5))*(Table4[[#This Row],[Indicator_12.5pct]])</f>
        <v>9.8958333333333339</v>
      </c>
      <c r="AM53" s="199">
        <f>Table4[[#This Row],[RiskScore]]</f>
        <v>26.25</v>
      </c>
      <c r="AN53" s="200">
        <f>VLOOKUP(Table4[[#This Row],[risk_id]], Table3[], 13, FALSE)</f>
        <v>6.800735254367722</v>
      </c>
      <c r="AO53" s="185">
        <f>(1-(Table4[[#This Row],[evidence_SD_RR]]/Table4[[#This Row],[evidence_mean_RR]]))*(Table4[[#This Row],[Indicator_12.5pct]])</f>
        <v>9.2615546407772751</v>
      </c>
      <c r="AP53" s="201">
        <f>VLOOKUP(Table4[[#This Row],[risk_id]],Table3[],21, FALSE)</f>
        <v>0.16666666666666666</v>
      </c>
      <c r="AQ53" s="201">
        <f>VLOOKUP(Table4[[#This Row],[risk_id]],Table3[],23, FALSE)</f>
        <v>0.33333333333333331</v>
      </c>
      <c r="AR53" s="201">
        <f>VLOOKUP(Table4[[#This Row],[risk_id]],Table3[],25, FALSE)</f>
        <v>0.5</v>
      </c>
      <c r="AS53" s="201">
        <f>VLOOKUP(Table4[[#This Row],[risk_id]],Table3[],27, FALSE)</f>
        <v>0</v>
      </c>
      <c r="AT53" s="183">
        <f>(MAX(Table4[[#This Row],[C]:[U]]))*Table4[[#This Row],[Indicator_20pct]]</f>
        <v>5</v>
      </c>
      <c r="AU53" s="205">
        <f>COUNTIFS(Table4[[#This Row],[C]], "&gt;0", Table4[[#This Row],[U]], "&gt;0") + COUNTIFS(Table4[[#This Row],[H]], "&gt;0", Table4[[#This Row],[U]], "&gt;0") + COUNTIFS(Table4[[#This Row],[C]], "&gt;0", Table4[[#This Row],[M]], "&gt;0")</f>
        <v>1</v>
      </c>
      <c r="AV53" s="219">
        <f>((-(Table4[[#This Row],[different_scores_count]]-3))/3)*Table4[[#This Row],[Indicator_20pct]]</f>
        <v>6.6666666666666661</v>
      </c>
      <c r="AW53" s="183">
        <f>IF(Table4[[#This Row],[data_observations]]&gt;=5, 30, IF(Table4[[#This Row],[data_observations]]&gt;=3, 15, 0))</f>
        <v>30</v>
      </c>
      <c r="AX53" s="26" t="s">
        <v>2737</v>
      </c>
    </row>
    <row r="54" spans="1:50" ht="32" customHeight="1" x14ac:dyDescent="0.2">
      <c r="A54" s="16" t="s">
        <v>2694</v>
      </c>
      <c r="B54" s="16" t="str">
        <f>VLOOKUP(Table4[[#This Row],[risk_id]], Table3[], 35, FALSE)</f>
        <v>Hazard</v>
      </c>
      <c r="C54" s="16" t="str">
        <f>VLOOKUP(Table4[[#This Row],[risk_id]], Table3[], 2, FALSE)</f>
        <v>Environmental</v>
      </c>
      <c r="D54" s="15" t="str">
        <f>VLOOKUP(Table4[[#This Row],[risk_id]], Table3[], 3, FALSE)</f>
        <v>Low air temperature</v>
      </c>
      <c r="E54"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54" s="300">
        <f t="shared" si="2"/>
        <v>26.25</v>
      </c>
      <c r="G54" s="31">
        <f>Table4[[#This Row],[DataQuality_Score]]</f>
        <v>0.61276039220642953</v>
      </c>
      <c r="H54"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54" s="27" t="str">
        <f>Table4[[#This Row],[LoA - Metric]]&amp; ", " &amp;Table4[[#This Row],[ES - Metric]]</f>
        <v>Medium agreement, Medium evidence</v>
      </c>
      <c r="J54" s="222">
        <f>(Table4[[#This Row],[LoA_SCORE]]+Table4[[#This Row],[ES_SCORE]])/100</f>
        <v>0.61276039220642953</v>
      </c>
      <c r="K54"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54"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54" s="179">
        <f>Table4[[#This Row],[probability_average]]</f>
        <v>3.75</v>
      </c>
      <c r="N54" s="181">
        <f>Table4[[#This Row],[consequence_average]]</f>
        <v>7</v>
      </c>
      <c r="O54" s="220">
        <f>Table4[[#This Row],[agreementPCT_score]]+Table4[[#This Row],[agreement_dist_score]]+Table4[[#This Row],[LoA_AQ_score]]</f>
        <v>32.5</v>
      </c>
      <c r="P54" s="203">
        <f>Table4[[#This Row],[evidenceconsistency_score]]+Table4[[#This Row],[EQ_score]]+Table4[[#This Row],[EA_score]]+Table4[[#This Row],[ET_score]]</f>
        <v>28.776039220642957</v>
      </c>
      <c r="Q54" s="181">
        <f>VLOOKUP(Table4[[#This Row],[risk_id]],Table3[],10,FALSE)</f>
        <v>7</v>
      </c>
      <c r="R54" s="181">
        <f>VLOOKUP(Table4[[#This Row],[risk_id]],Table3[],9,FALSE)</f>
        <v>28</v>
      </c>
      <c r="S54" s="179">
        <f>VLOOKUP(Table4[[#This Row],[risk_id]],Table3[],7,FALSE)</f>
        <v>3.75</v>
      </c>
      <c r="T54" s="179">
        <f>VLOOKUP(Table4[[#This Row],[risk_id]],Table3[],6,FALSE)</f>
        <v>15</v>
      </c>
      <c r="U54" s="177">
        <f t="shared" si="3"/>
        <v>12.5</v>
      </c>
      <c r="V54" s="187">
        <f>10</f>
        <v>10</v>
      </c>
      <c r="W54" s="187">
        <f>30</f>
        <v>30</v>
      </c>
      <c r="X54" s="17">
        <f>VLOOKUP(Table4[[#This Row],[risk_id]],Table3[],5,FALSE)</f>
        <v>4</v>
      </c>
      <c r="Y54" s="17">
        <f>94</f>
        <v>94</v>
      </c>
      <c r="Z54" s="177">
        <f>Table4[[#This Row],[EStype_summed]]*Table4[[#This Row],[Indicator_12.5pct]]</f>
        <v>6.25</v>
      </c>
      <c r="AA54" s="190">
        <f>(IF(Table4[[#This Row],[all_evtype]]&gt;=4,"4", IF(Table4[[#This Row],[all_evtype]]&gt;=3,"3", IF(Table4[[#This Row],[all_evtype]]&gt;=2,"2", IF(Table4[[#This Row],[all_evtype]]&gt;=1,"1","0")))))/Table4[[#This Row],[HPS_et]]</f>
        <v>0.5</v>
      </c>
      <c r="AB54" s="191">
        <f>VLOOKUP(Table4[[#This Row],[risk_id]],Table3[], 14, FALSE)</f>
        <v>0</v>
      </c>
      <c r="AC54" s="191">
        <f>VLOOKUP(Table4[[#This Row],[risk_id]],Table3[], 15, FALSE)</f>
        <v>3</v>
      </c>
      <c r="AD54" s="191">
        <f>VLOOKUP(Table4[[#This Row],[risk_id]], Table3[], 16, FALSE)</f>
        <v>1</v>
      </c>
      <c r="AE54" s="191">
        <f>VLOOKUP(Table4[[#This Row],[risk_id]], Table3[], 17, )</f>
        <v>0</v>
      </c>
      <c r="AF54" s="191">
        <f>4</f>
        <v>4</v>
      </c>
      <c r="AG54" s="191">
        <f>COUNTIF(Table4[[#This Row],[THEO]:[MOD]], "&gt;=1")</f>
        <v>2</v>
      </c>
      <c r="AH54" s="192">
        <f>Table4[[#This Row],[data_observations]]/Table4[[#This Row],[AllObservations_count]]</f>
        <v>4.2553191489361701E-2</v>
      </c>
      <c r="AI54" s="189">
        <f>Table4[[#This Row],[evidenceamount_pct]]*(Table4[[#This Row],[Indicator_12.5pct]])</f>
        <v>0.53191489361702127</v>
      </c>
      <c r="AJ54" s="198">
        <f>(1-(VLOOKUP(Table4[[#This Row],[risk_id]],Table3[],18, FALSE))/(Table4[[#This Row],[data_observations]]))</f>
        <v>1</v>
      </c>
      <c r="AK54" s="198">
        <f>((VLOOKUP(Table4[[#This Row],[risk_id]],Table3[],19, FALSE))+((VLOOKUP(Table4[[#This Row],[risk_id]],Table3[],36, FALSE))*0.5))/(Table4[[#This Row],[data_observations]])</f>
        <v>0.75</v>
      </c>
      <c r="AL54" s="177">
        <f>((Table4[[#This Row],[ev_data_deficient_score]]*0.5)+(Table4[[#This Row],[ev_data_availability_score]]*0.5))*(Table4[[#This Row],[Indicator_12.5pct]])</f>
        <v>10.9375</v>
      </c>
      <c r="AM54" s="199">
        <f>Table4[[#This Row],[RiskScore]]</f>
        <v>26.25</v>
      </c>
      <c r="AN54" s="200">
        <f>VLOOKUP(Table4[[#This Row],[risk_id]], Table3[], 13, FALSE)</f>
        <v>3.0310889132455352</v>
      </c>
      <c r="AO54" s="185">
        <f>(1-(Table4[[#This Row],[evidence_SD_RR]]/Table4[[#This Row],[evidence_mean_RR]]))*(Table4[[#This Row],[Indicator_12.5pct]])</f>
        <v>11.056624327025935</v>
      </c>
      <c r="AP54" s="201">
        <f>VLOOKUP(Table4[[#This Row],[risk_id]],Table3[],21, FALSE)</f>
        <v>0</v>
      </c>
      <c r="AQ54" s="201">
        <f>VLOOKUP(Table4[[#This Row],[risk_id]],Table3[],23, FALSE)</f>
        <v>0.75</v>
      </c>
      <c r="AR54" s="201">
        <f>VLOOKUP(Table4[[#This Row],[risk_id]],Table3[],25, FALSE)</f>
        <v>0.25</v>
      </c>
      <c r="AS54" s="201">
        <f>VLOOKUP(Table4[[#This Row],[risk_id]],Table3[],27, FALSE)</f>
        <v>0</v>
      </c>
      <c r="AT54" s="183">
        <f>(MAX(Table4[[#This Row],[C]:[U]]))*Table4[[#This Row],[Indicator_20pct]]</f>
        <v>7.5</v>
      </c>
      <c r="AU54" s="205">
        <f>COUNTIFS(Table4[[#This Row],[C]], "&gt;0", Table4[[#This Row],[U]], "&gt;0") + COUNTIFS(Table4[[#This Row],[H]], "&gt;0", Table4[[#This Row],[U]], "&gt;0") + COUNTIFS(Table4[[#This Row],[C]], "&gt;0", Table4[[#This Row],[M]], "&gt;0")</f>
        <v>0</v>
      </c>
      <c r="AV54" s="219">
        <f>((-(Table4[[#This Row],[different_scores_count]]-3))/3)*Table4[[#This Row],[Indicator_20pct]]</f>
        <v>10</v>
      </c>
      <c r="AW54" s="183">
        <f>IF(Table4[[#This Row],[data_observations]]&gt;=5, 30, IF(Table4[[#This Row],[data_observations]]&gt;=3, 15, 0))</f>
        <v>15</v>
      </c>
      <c r="AX54" s="26" t="s">
        <v>2737</v>
      </c>
    </row>
    <row r="55" spans="1:50" ht="32" hidden="1" customHeight="1" x14ac:dyDescent="0.2">
      <c r="A55" s="16" t="s">
        <v>34</v>
      </c>
      <c r="B55" s="16" t="str">
        <f>VLOOKUP(Table4[[#This Row],[risk_id]], Table3[], 35, FALSE)</f>
        <v>Risk</v>
      </c>
      <c r="C55" s="16" t="str">
        <f>VLOOKUP(Table4[[#This Row],[risk_id]], Table3[], 2, FALSE)</f>
        <v>Social</v>
      </c>
      <c r="D55" s="15" t="str">
        <f>VLOOKUP(Table4[[#This Row],[risk_id]], Table3[], 3, FALSE)</f>
        <v>Accessibility to local communities</v>
      </c>
      <c r="E55"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55" s="300">
        <f t="shared" si="2"/>
        <v>26.25</v>
      </c>
      <c r="G55" s="31">
        <f>Table4[[#This Row],[DataQuality_Score]]</f>
        <v>0.34105243161094223</v>
      </c>
      <c r="H55"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LOW</v>
      </c>
      <c r="I55" s="27" t="str">
        <f>Table4[[#This Row],[LoA - Metric]]&amp; ", " &amp;Table4[[#This Row],[ES - Metric]]</f>
        <v>Low agreement, Medium evidence</v>
      </c>
      <c r="J55" s="222">
        <f>(Table4[[#This Row],[LoA_SCORE]]+Table4[[#This Row],[ES_SCORE]])/100</f>
        <v>0.34105243161094223</v>
      </c>
      <c r="K55"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55"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55" s="179">
        <f>Table4[[#This Row],[probability_average]]</f>
        <v>3.5</v>
      </c>
      <c r="N55" s="181">
        <f>Table4[[#This Row],[consequence_average]]</f>
        <v>7.5</v>
      </c>
      <c r="O55" s="220">
        <f>Table4[[#This Row],[agreementPCT_score]]+Table4[[#This Row],[agreement_dist_score]]+Table4[[#This Row],[LoA_AQ_score]]</f>
        <v>11.666666666666666</v>
      </c>
      <c r="P55" s="203">
        <f>Table4[[#This Row],[evidenceconsistency_score]]+Table4[[#This Row],[EQ_score]]+Table4[[#This Row],[EA_score]]+Table4[[#This Row],[ET_score]]</f>
        <v>22.438576494427558</v>
      </c>
      <c r="Q55" s="181">
        <f>VLOOKUP(Table4[[#This Row],[risk_id]],Table3[],10,FALSE)</f>
        <v>7.5</v>
      </c>
      <c r="R55" s="181">
        <f>VLOOKUP(Table4[[#This Row],[risk_id]],Table3[],9,FALSE)</f>
        <v>15</v>
      </c>
      <c r="S55" s="179">
        <f>VLOOKUP(Table4[[#This Row],[risk_id]],Table3[],7,FALSE)</f>
        <v>3.5</v>
      </c>
      <c r="T55" s="179">
        <f>VLOOKUP(Table4[[#This Row],[risk_id]],Table3[],6,FALSE)</f>
        <v>7</v>
      </c>
      <c r="U55" s="177">
        <f t="shared" si="3"/>
        <v>12.5</v>
      </c>
      <c r="V55" s="187">
        <f>10</f>
        <v>10</v>
      </c>
      <c r="W55" s="187">
        <f>30</f>
        <v>30</v>
      </c>
      <c r="X55" s="17">
        <f>VLOOKUP(Table4[[#This Row],[risk_id]],Table3[],5,FALSE)</f>
        <v>2</v>
      </c>
      <c r="Y55" s="17">
        <f>94</f>
        <v>94</v>
      </c>
      <c r="Z55" s="177">
        <f>Table4[[#This Row],[EStype_summed]]*Table4[[#This Row],[Indicator_12.5pct]]</f>
        <v>6.25</v>
      </c>
      <c r="AA55" s="190">
        <f>(IF(Table4[[#This Row],[all_evtype]]&gt;=4,"4", IF(Table4[[#This Row],[all_evtype]]&gt;=3,"3", IF(Table4[[#This Row],[all_evtype]]&gt;=2,"2", IF(Table4[[#This Row],[all_evtype]]&gt;=1,"1","0")))))/Table4[[#This Row],[HPS_et]]</f>
        <v>0.5</v>
      </c>
      <c r="AB55" s="191">
        <f>VLOOKUP(Table4[[#This Row],[risk_id]],Table3[], 14, FALSE)</f>
        <v>0</v>
      </c>
      <c r="AC55" s="191">
        <f>VLOOKUP(Table4[[#This Row],[risk_id]],Table3[], 15, FALSE)</f>
        <v>1</v>
      </c>
      <c r="AD55" s="191">
        <f>VLOOKUP(Table4[[#This Row],[risk_id]], Table3[], 16, FALSE)</f>
        <v>0</v>
      </c>
      <c r="AE55" s="191">
        <f>VLOOKUP(Table4[[#This Row],[risk_id]], Table3[], 17, )</f>
        <v>1</v>
      </c>
      <c r="AF55" s="191">
        <f>4</f>
        <v>4</v>
      </c>
      <c r="AG55" s="191">
        <f>COUNTIF(Table4[[#This Row],[THEO]:[MOD]], "&gt;=1")</f>
        <v>2</v>
      </c>
      <c r="AH55" s="192">
        <f>Table4[[#This Row],[data_observations]]/Table4[[#This Row],[AllObservations_count]]</f>
        <v>2.1276595744680851E-2</v>
      </c>
      <c r="AI55" s="189">
        <f>Table4[[#This Row],[evidenceamount_pct]]*(Table4[[#This Row],[Indicator_12.5pct]])</f>
        <v>0.26595744680851063</v>
      </c>
      <c r="AJ55" s="198">
        <f>(1-(VLOOKUP(Table4[[#This Row],[risk_id]],Table3[],18, FALSE))/(Table4[[#This Row],[data_observations]]))</f>
        <v>0.5</v>
      </c>
      <c r="AK55" s="198">
        <f>((VLOOKUP(Table4[[#This Row],[risk_id]],Table3[],19, FALSE))+((VLOOKUP(Table4[[#This Row],[risk_id]],Table3[],36, FALSE))*0.5))/(Table4[[#This Row],[data_observations]])</f>
        <v>1</v>
      </c>
      <c r="AL55" s="177">
        <f>((Table4[[#This Row],[ev_data_deficient_score]]*0.5)+(Table4[[#This Row],[ev_data_availability_score]]*0.5))*(Table4[[#This Row],[Indicator_12.5pct]])</f>
        <v>9.375</v>
      </c>
      <c r="AM55" s="199">
        <f>Table4[[#This Row],[RiskScore]]</f>
        <v>26.25</v>
      </c>
      <c r="AN55" s="200">
        <f>VLOOKUP(Table4[[#This Row],[risk_id]], Table3[], 13, FALSE)</f>
        <v>12.5</v>
      </c>
      <c r="AO55" s="185">
        <f>(1-(Table4[[#This Row],[evidence_SD_RR]]/Table4[[#This Row],[evidence_mean_RR]]))*(Table4[[#This Row],[Indicator_12.5pct]])</f>
        <v>6.5476190476190483</v>
      </c>
      <c r="AP55" s="201">
        <f>VLOOKUP(Table4[[#This Row],[risk_id]],Table3[],21, FALSE)</f>
        <v>0.5</v>
      </c>
      <c r="AQ55" s="201">
        <f>VLOOKUP(Table4[[#This Row],[risk_id]],Table3[],23, FALSE)</f>
        <v>0</v>
      </c>
      <c r="AR55" s="201">
        <f>VLOOKUP(Table4[[#This Row],[risk_id]],Table3[],25, FALSE)</f>
        <v>0.5</v>
      </c>
      <c r="AS55" s="201">
        <f>VLOOKUP(Table4[[#This Row],[risk_id]],Table3[],27, FALSE)</f>
        <v>0</v>
      </c>
      <c r="AT55" s="183">
        <f>(MAX(Table4[[#This Row],[C]:[U]]))*Table4[[#This Row],[Indicator_20pct]]</f>
        <v>5</v>
      </c>
      <c r="AU55" s="205">
        <f>COUNTIFS(Table4[[#This Row],[C]], "&gt;0", Table4[[#This Row],[U]], "&gt;0") + COUNTIFS(Table4[[#This Row],[H]], "&gt;0", Table4[[#This Row],[U]], "&gt;0") + COUNTIFS(Table4[[#This Row],[C]], "&gt;0", Table4[[#This Row],[M]], "&gt;0")</f>
        <v>1</v>
      </c>
      <c r="AV55" s="219">
        <f>((-(Table4[[#This Row],[different_scores_count]]-3))/3)*Table4[[#This Row],[Indicator_20pct]]</f>
        <v>6.6666666666666661</v>
      </c>
      <c r="AW55" s="183">
        <f>IF(Table4[[#This Row],[data_observations]]&gt;=5, 30, IF(Table4[[#This Row],[data_observations]]&gt;=3, 15, 0))</f>
        <v>0</v>
      </c>
      <c r="AX55" s="26" t="s">
        <v>2737</v>
      </c>
    </row>
    <row r="56" spans="1:50" ht="32" customHeight="1" x14ac:dyDescent="0.2">
      <c r="A56" s="16" t="s">
        <v>613</v>
      </c>
      <c r="B56" s="16" t="str">
        <f>VLOOKUP(Table4[[#This Row],[risk_id]], Table3[], 35, FALSE)</f>
        <v>Hazard</v>
      </c>
      <c r="C56" s="16" t="str">
        <f>VLOOKUP(Table4[[#This Row],[risk_id]], Table3[], 2, FALSE)</f>
        <v>Environmental</v>
      </c>
      <c r="D56" s="15" t="str">
        <f>VLOOKUP(Table4[[#This Row],[risk_id]], Table3[], 3, FALSE)</f>
        <v>Remoteness</v>
      </c>
      <c r="E56"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56" s="300">
        <f t="shared" si="2"/>
        <v>25.938775510204081</v>
      </c>
      <c r="G56" s="31">
        <f>Table4[[#This Row],[DataQuality_Score]]</f>
        <v>0.67510579236494694</v>
      </c>
      <c r="H56"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56" s="27" t="str">
        <f>Table4[[#This Row],[LoA - Metric]]&amp; ", " &amp;Table4[[#This Row],[ES - Metric]]</f>
        <v>High agreement, Medium evidence</v>
      </c>
      <c r="J56" s="222">
        <f>(Table4[[#This Row],[LoA_SCORE]]+Table4[[#This Row],[ES_SCORE]])/100</f>
        <v>0.67510579236494694</v>
      </c>
      <c r="K56"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56"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56" s="179">
        <f>Table4[[#This Row],[probability_average]]</f>
        <v>4.4285714285714288</v>
      </c>
      <c r="N56" s="181">
        <f>Table4[[#This Row],[consequence_average]]</f>
        <v>5.8571428571428568</v>
      </c>
      <c r="O56" s="220">
        <f>Table4[[#This Row],[agreementPCT_score]]+Table4[[#This Row],[agreement_dist_score]]+Table4[[#This Row],[LoA_AQ_score]]</f>
        <v>42.38095238095238</v>
      </c>
      <c r="P56" s="203">
        <f>Table4[[#This Row],[evidenceconsistency_score]]+Table4[[#This Row],[EQ_score]]+Table4[[#This Row],[EA_score]]+Table4[[#This Row],[ET_score]]</f>
        <v>25.129626855542305</v>
      </c>
      <c r="Q56" s="181">
        <f>VLOOKUP(Table4[[#This Row],[risk_id]],Table3[],10,FALSE)</f>
        <v>5.8571428571428568</v>
      </c>
      <c r="R56" s="181">
        <f>VLOOKUP(Table4[[#This Row],[risk_id]],Table3[],9,FALSE)</f>
        <v>41</v>
      </c>
      <c r="S56" s="179">
        <f>VLOOKUP(Table4[[#This Row],[risk_id]],Table3[],7,FALSE)</f>
        <v>4.4285714285714288</v>
      </c>
      <c r="T56" s="179">
        <f>VLOOKUP(Table4[[#This Row],[risk_id]],Table3[],6,FALSE)</f>
        <v>31</v>
      </c>
      <c r="U56" s="177">
        <f t="shared" si="3"/>
        <v>12.5</v>
      </c>
      <c r="V56" s="187">
        <f>10</f>
        <v>10</v>
      </c>
      <c r="W56" s="187">
        <f>30</f>
        <v>30</v>
      </c>
      <c r="X56" s="17">
        <f>VLOOKUP(Table4[[#This Row],[risk_id]],Table3[],5,FALSE)</f>
        <v>7</v>
      </c>
      <c r="Y56" s="17">
        <f>94</f>
        <v>94</v>
      </c>
      <c r="Z56" s="177">
        <f>Table4[[#This Row],[EStype_summed]]*Table4[[#This Row],[Indicator_12.5pct]]</f>
        <v>9.375</v>
      </c>
      <c r="AA56" s="190">
        <f>(IF(Table4[[#This Row],[all_evtype]]&gt;=4,"4", IF(Table4[[#This Row],[all_evtype]]&gt;=3,"3", IF(Table4[[#This Row],[all_evtype]]&gt;=2,"2", IF(Table4[[#This Row],[all_evtype]]&gt;=1,"1","0")))))/Table4[[#This Row],[HPS_et]]</f>
        <v>0.75</v>
      </c>
      <c r="AB56" s="191">
        <f>VLOOKUP(Table4[[#This Row],[risk_id]],Table3[], 14, FALSE)</f>
        <v>4</v>
      </c>
      <c r="AC56" s="191">
        <f>VLOOKUP(Table4[[#This Row],[risk_id]],Table3[], 15, FALSE)</f>
        <v>1</v>
      </c>
      <c r="AD56" s="191">
        <f>VLOOKUP(Table4[[#This Row],[risk_id]], Table3[], 16, FALSE)</f>
        <v>2</v>
      </c>
      <c r="AE56" s="191">
        <f>VLOOKUP(Table4[[#This Row],[risk_id]], Table3[], 17, )</f>
        <v>0</v>
      </c>
      <c r="AF56" s="191">
        <f>4</f>
        <v>4</v>
      </c>
      <c r="AG56" s="191">
        <f>COUNTIF(Table4[[#This Row],[THEO]:[MOD]], "&gt;=1")</f>
        <v>3</v>
      </c>
      <c r="AH56" s="192">
        <f>Table4[[#This Row],[data_observations]]/Table4[[#This Row],[AllObservations_count]]</f>
        <v>7.4468085106382975E-2</v>
      </c>
      <c r="AI56" s="189">
        <f>Table4[[#This Row],[evidenceamount_pct]]*(Table4[[#This Row],[Indicator_12.5pct]])</f>
        <v>0.93085106382978722</v>
      </c>
      <c r="AJ56" s="198">
        <f>(1-(VLOOKUP(Table4[[#This Row],[risk_id]],Table3[],18, FALSE))/(Table4[[#This Row],[data_observations]]))</f>
        <v>0.85714285714285721</v>
      </c>
      <c r="AK56" s="198">
        <f>((VLOOKUP(Table4[[#This Row],[risk_id]],Table3[],19, FALSE))+((VLOOKUP(Table4[[#This Row],[risk_id]],Table3[],36, FALSE))*0.5))/(Table4[[#This Row],[data_observations]])</f>
        <v>0.35714285714285715</v>
      </c>
      <c r="AL56" s="177">
        <f>((Table4[[#This Row],[ev_data_deficient_score]]*0.5)+(Table4[[#This Row],[ev_data_availability_score]]*0.5))*(Table4[[#This Row],[Indicator_12.5pct]])</f>
        <v>7.5892857142857153</v>
      </c>
      <c r="AM56" s="199">
        <f>Table4[[#This Row],[RiskScore]]</f>
        <v>25.938775510204081</v>
      </c>
      <c r="AN56" s="200">
        <f>VLOOKUP(Table4[[#This Row],[risk_id]], Table3[], 13, FALSE)</f>
        <v>10.926470386270253</v>
      </c>
      <c r="AO56" s="185">
        <f>(1-(Table4[[#This Row],[evidence_SD_RR]]/Table4[[#This Row],[evidence_mean_RR]]))*(Table4[[#This Row],[Indicator_12.5pct]])</f>
        <v>7.2344900774268055</v>
      </c>
      <c r="AP56" s="201">
        <f>VLOOKUP(Table4[[#This Row],[risk_id]],Table3[],21, FALSE)</f>
        <v>0</v>
      </c>
      <c r="AQ56" s="201">
        <f>VLOOKUP(Table4[[#This Row],[risk_id]],Table3[],23, FALSE)</f>
        <v>0.5714285714285714</v>
      </c>
      <c r="AR56" s="201">
        <f>VLOOKUP(Table4[[#This Row],[risk_id]],Table3[],25, FALSE)</f>
        <v>0.2857142857142857</v>
      </c>
      <c r="AS56" s="201">
        <f>VLOOKUP(Table4[[#This Row],[risk_id]],Table3[],27, FALSE)</f>
        <v>0.14285714285714285</v>
      </c>
      <c r="AT56" s="183">
        <f>(MAX(Table4[[#This Row],[C]:[U]]))*Table4[[#This Row],[Indicator_20pct]]</f>
        <v>5.7142857142857135</v>
      </c>
      <c r="AU56" s="205">
        <f>COUNTIFS(Table4[[#This Row],[C]], "&gt;0", Table4[[#This Row],[U]], "&gt;0") + COUNTIFS(Table4[[#This Row],[H]], "&gt;0", Table4[[#This Row],[U]], "&gt;0") + COUNTIFS(Table4[[#This Row],[C]], "&gt;0", Table4[[#This Row],[M]], "&gt;0")</f>
        <v>1</v>
      </c>
      <c r="AV56" s="219">
        <f>((-(Table4[[#This Row],[different_scores_count]]-3))/3)*Table4[[#This Row],[Indicator_20pct]]</f>
        <v>6.6666666666666661</v>
      </c>
      <c r="AW56" s="183">
        <f>IF(Table4[[#This Row],[data_observations]]&gt;=5, 30, IF(Table4[[#This Row],[data_observations]]&gt;=3, 15, 0))</f>
        <v>30</v>
      </c>
      <c r="AX56" s="26" t="s">
        <v>2737</v>
      </c>
    </row>
    <row r="57" spans="1:50" ht="32" hidden="1" customHeight="1" x14ac:dyDescent="0.2">
      <c r="A57" s="16" t="s">
        <v>655</v>
      </c>
      <c r="B57" s="16" t="str">
        <f>VLOOKUP(Table4[[#This Row],[risk_id]], Table3[], 35, FALSE)</f>
        <v>Risk</v>
      </c>
      <c r="C57" s="16" t="str">
        <f>VLOOKUP(Table4[[#This Row],[risk_id]], Table3[], 2, FALSE)</f>
        <v>Economic</v>
      </c>
      <c r="D57" s="15" t="str">
        <f>VLOOKUP(Table4[[#This Row],[risk_id]], Table3[], 3, FALSE)</f>
        <v>Variable insurance costs</v>
      </c>
      <c r="E57"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57" s="300">
        <f t="shared" si="2"/>
        <v>25.78125</v>
      </c>
      <c r="G57" s="31">
        <f>Table4[[#This Row],[DataQuality_Score]]</f>
        <v>0.68237056713050481</v>
      </c>
      <c r="H57"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57" s="27" t="str">
        <f>Table4[[#This Row],[LoA - Metric]]&amp; ", " &amp;Table4[[#This Row],[ES - Metric]]</f>
        <v>High agreement, Medium evidence</v>
      </c>
      <c r="J57" s="222">
        <f>(Table4[[#This Row],[LoA_SCORE]]+Table4[[#This Row],[ES_SCORE]])/100</f>
        <v>0.68237056713050481</v>
      </c>
      <c r="K57"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57"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57" s="179">
        <f>Table4[[#This Row],[probability_average]]</f>
        <v>4.125</v>
      </c>
      <c r="N57" s="181">
        <f>Table4[[#This Row],[consequence_average]]</f>
        <v>6.25</v>
      </c>
      <c r="O57" s="220">
        <f>Table4[[#This Row],[agreementPCT_score]]+Table4[[#This Row],[agreement_dist_score]]+Table4[[#This Row],[LoA_AQ_score]]</f>
        <v>41.666666666666664</v>
      </c>
      <c r="P57" s="203">
        <f>Table4[[#This Row],[evidenceconsistency_score]]+Table4[[#This Row],[EQ_score]]+Table4[[#This Row],[EA_score]]+Table4[[#This Row],[ET_score]]</f>
        <v>26.570390046383814</v>
      </c>
      <c r="Q57" s="181">
        <f>VLOOKUP(Table4[[#This Row],[risk_id]],Table3[],10,FALSE)</f>
        <v>6.25</v>
      </c>
      <c r="R57" s="181">
        <f>VLOOKUP(Table4[[#This Row],[risk_id]],Table3[],9,FALSE)</f>
        <v>50</v>
      </c>
      <c r="S57" s="179">
        <f>VLOOKUP(Table4[[#This Row],[risk_id]],Table3[],7,FALSE)</f>
        <v>4.125</v>
      </c>
      <c r="T57" s="179">
        <f>VLOOKUP(Table4[[#This Row],[risk_id]],Table3[],6,FALSE)</f>
        <v>33</v>
      </c>
      <c r="U57" s="177">
        <f t="shared" si="3"/>
        <v>12.5</v>
      </c>
      <c r="V57" s="187">
        <f>10</f>
        <v>10</v>
      </c>
      <c r="W57" s="187">
        <f>30</f>
        <v>30</v>
      </c>
      <c r="X57" s="17">
        <f>VLOOKUP(Table4[[#This Row],[risk_id]],Table3[],5,FALSE)</f>
        <v>8</v>
      </c>
      <c r="Y57" s="17">
        <f>94</f>
        <v>94</v>
      </c>
      <c r="Z57" s="177">
        <f>Table4[[#This Row],[EStype_summed]]*Table4[[#This Row],[Indicator_12.5pct]]</f>
        <v>9.375</v>
      </c>
      <c r="AA57" s="190">
        <f>(IF(Table4[[#This Row],[all_evtype]]&gt;=4,"4", IF(Table4[[#This Row],[all_evtype]]&gt;=3,"3", IF(Table4[[#This Row],[all_evtype]]&gt;=2,"2", IF(Table4[[#This Row],[all_evtype]]&gt;=1,"1","0")))))/Table4[[#This Row],[HPS_et]]</f>
        <v>0.75</v>
      </c>
      <c r="AB57" s="191">
        <f>VLOOKUP(Table4[[#This Row],[risk_id]],Table3[], 14, FALSE)</f>
        <v>1</v>
      </c>
      <c r="AC57" s="191">
        <f>VLOOKUP(Table4[[#This Row],[risk_id]],Table3[], 15, FALSE)</f>
        <v>5</v>
      </c>
      <c r="AD57" s="191">
        <f>VLOOKUP(Table4[[#This Row],[risk_id]], Table3[], 16, FALSE)</f>
        <v>2</v>
      </c>
      <c r="AE57" s="191">
        <f>VLOOKUP(Table4[[#This Row],[risk_id]], Table3[], 17, )</f>
        <v>0</v>
      </c>
      <c r="AF57" s="191">
        <f>4</f>
        <v>4</v>
      </c>
      <c r="AG57" s="191">
        <f>COUNTIF(Table4[[#This Row],[THEO]:[MOD]], "&gt;=1")</f>
        <v>3</v>
      </c>
      <c r="AH57" s="192">
        <f>Table4[[#This Row],[data_observations]]/Table4[[#This Row],[AllObservations_count]]</f>
        <v>8.5106382978723402E-2</v>
      </c>
      <c r="AI57" s="189">
        <f>Table4[[#This Row],[evidenceamount_pct]]*(Table4[[#This Row],[Indicator_12.5pct]])</f>
        <v>1.0638297872340425</v>
      </c>
      <c r="AJ57" s="198">
        <f>(1-(VLOOKUP(Table4[[#This Row],[risk_id]],Table3[],18, FALSE))/(Table4[[#This Row],[data_observations]]))</f>
        <v>0.75</v>
      </c>
      <c r="AK57" s="198">
        <f>((VLOOKUP(Table4[[#This Row],[risk_id]],Table3[],19, FALSE))+((VLOOKUP(Table4[[#This Row],[risk_id]],Table3[],36, FALSE))*0.5))/(Table4[[#This Row],[data_observations]])</f>
        <v>0.5</v>
      </c>
      <c r="AL57" s="177">
        <f>((Table4[[#This Row],[ev_data_deficient_score]]*0.5)+(Table4[[#This Row],[ev_data_availability_score]]*0.5))*(Table4[[#This Row],[Indicator_12.5pct]])</f>
        <v>7.8125</v>
      </c>
      <c r="AM57" s="199">
        <f>Table4[[#This Row],[RiskScore]]</f>
        <v>25.78125</v>
      </c>
      <c r="AN57" s="200">
        <f>VLOOKUP(Table4[[#This Row],[risk_id]], Table3[], 13, FALSE)</f>
        <v>8.6231882155035908</v>
      </c>
      <c r="AO57" s="185">
        <f>(1-(Table4[[#This Row],[evidence_SD_RR]]/Table4[[#This Row],[evidence_mean_RR]]))*(Table4[[#This Row],[Indicator_12.5pct]])</f>
        <v>8.319060259149774</v>
      </c>
      <c r="AP57" s="201">
        <f>VLOOKUP(Table4[[#This Row],[risk_id]],Table3[],21, FALSE)</f>
        <v>0.125</v>
      </c>
      <c r="AQ57" s="201">
        <f>VLOOKUP(Table4[[#This Row],[risk_id]],Table3[],23, FALSE)</f>
        <v>0.375</v>
      </c>
      <c r="AR57" s="201">
        <f>VLOOKUP(Table4[[#This Row],[risk_id]],Table3[],25, FALSE)</f>
        <v>0.5</v>
      </c>
      <c r="AS57" s="201">
        <f>VLOOKUP(Table4[[#This Row],[risk_id]],Table3[],27, FALSE)</f>
        <v>0</v>
      </c>
      <c r="AT57" s="183">
        <f>(MAX(Table4[[#This Row],[C]:[U]]))*Table4[[#This Row],[Indicator_20pct]]</f>
        <v>5</v>
      </c>
      <c r="AU57" s="205">
        <f>COUNTIFS(Table4[[#This Row],[C]], "&gt;0", Table4[[#This Row],[U]], "&gt;0") + COUNTIFS(Table4[[#This Row],[H]], "&gt;0", Table4[[#This Row],[U]], "&gt;0") + COUNTIFS(Table4[[#This Row],[C]], "&gt;0", Table4[[#This Row],[M]], "&gt;0")</f>
        <v>1</v>
      </c>
      <c r="AV57" s="219">
        <f>((-(Table4[[#This Row],[different_scores_count]]-3))/3)*Table4[[#This Row],[Indicator_20pct]]</f>
        <v>6.6666666666666661</v>
      </c>
      <c r="AW57" s="183">
        <f>IF(Table4[[#This Row],[data_observations]]&gt;=5, 30, IF(Table4[[#This Row],[data_observations]]&gt;=3, 15, 0))</f>
        <v>30</v>
      </c>
      <c r="AX57" s="26" t="s">
        <v>2736</v>
      </c>
    </row>
    <row r="58" spans="1:50" ht="32" customHeight="1" x14ac:dyDescent="0.2">
      <c r="A58" s="16" t="s">
        <v>2673</v>
      </c>
      <c r="B58" s="16" t="str">
        <f>VLOOKUP(Table4[[#This Row],[risk_id]], Table3[], 35, FALSE)</f>
        <v>Hazard</v>
      </c>
      <c r="C58" s="16" t="str">
        <f>VLOOKUP(Table4[[#This Row],[risk_id]], Table3[], 2, FALSE)</f>
        <v>Environmental</v>
      </c>
      <c r="D58" s="15" t="str">
        <f>VLOOKUP(Table4[[#This Row],[risk_id]], Table3[], 3, FALSE)</f>
        <v>Climate impacts</v>
      </c>
      <c r="E58"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58" s="300">
        <f t="shared" si="2"/>
        <v>25.666666666666664</v>
      </c>
      <c r="G58" s="31">
        <f>Table4[[#This Row],[DataQuality_Score]]</f>
        <v>0.52104677338799799</v>
      </c>
      <c r="H58"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58" s="27" t="str">
        <f>Table4[[#This Row],[LoA - Metric]]&amp; ", " &amp;Table4[[#This Row],[ES - Metric]]</f>
        <v>Medium agreement, Medium evidence</v>
      </c>
      <c r="J58" s="222">
        <f>(Table4[[#This Row],[LoA_SCORE]]+Table4[[#This Row],[ES_SCORE]])/100</f>
        <v>0.52104677338799799</v>
      </c>
      <c r="K58"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58"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58" s="179">
        <f>Table4[[#This Row],[probability_average]]</f>
        <v>3.6666666666666665</v>
      </c>
      <c r="N58" s="181">
        <f>Table4[[#This Row],[consequence_average]]</f>
        <v>7</v>
      </c>
      <c r="O58" s="220">
        <f>Table4[[#This Row],[agreementPCT_score]]+Table4[[#This Row],[agreement_dist_score]]+Table4[[#This Row],[LoA_AQ_score]]</f>
        <v>25</v>
      </c>
      <c r="P58" s="203">
        <f>Table4[[#This Row],[evidenceconsistency_score]]+Table4[[#This Row],[EQ_score]]+Table4[[#This Row],[EA_score]]+Table4[[#This Row],[ET_score]]</f>
        <v>27.104677338799807</v>
      </c>
      <c r="Q58" s="181">
        <f>VLOOKUP(Table4[[#This Row],[risk_id]],Table3[],10,FALSE)</f>
        <v>7</v>
      </c>
      <c r="R58" s="181">
        <f>VLOOKUP(Table4[[#This Row],[risk_id]],Table3[],9,FALSE)</f>
        <v>21</v>
      </c>
      <c r="S58" s="179">
        <f>VLOOKUP(Table4[[#This Row],[risk_id]],Table3[],7,FALSE)</f>
        <v>3.6666666666666665</v>
      </c>
      <c r="T58" s="179">
        <f>VLOOKUP(Table4[[#This Row],[risk_id]],Table3[],6,FALSE)</f>
        <v>11</v>
      </c>
      <c r="U58" s="177">
        <f t="shared" si="3"/>
        <v>12.5</v>
      </c>
      <c r="V58" s="187">
        <f>10</f>
        <v>10</v>
      </c>
      <c r="W58" s="187">
        <f>30</f>
        <v>30</v>
      </c>
      <c r="X58" s="17">
        <f>VLOOKUP(Table4[[#This Row],[risk_id]],Table3[],5,FALSE)</f>
        <v>3</v>
      </c>
      <c r="Y58" s="17">
        <f>94</f>
        <v>94</v>
      </c>
      <c r="Z58" s="177">
        <f>Table4[[#This Row],[EStype_summed]]*Table4[[#This Row],[Indicator_12.5pct]]</f>
        <v>9.375</v>
      </c>
      <c r="AA58" s="190">
        <f>(IF(Table4[[#This Row],[all_evtype]]&gt;=4,"4", IF(Table4[[#This Row],[all_evtype]]&gt;=3,"3", IF(Table4[[#This Row],[all_evtype]]&gt;=2,"2", IF(Table4[[#This Row],[all_evtype]]&gt;=1,"1","0")))))/Table4[[#This Row],[HPS_et]]</f>
        <v>0.75</v>
      </c>
      <c r="AB58" s="191">
        <f>VLOOKUP(Table4[[#This Row],[risk_id]],Table3[], 14, FALSE)</f>
        <v>1</v>
      </c>
      <c r="AC58" s="191">
        <f>VLOOKUP(Table4[[#This Row],[risk_id]],Table3[], 15, FALSE)</f>
        <v>1</v>
      </c>
      <c r="AD58" s="191">
        <f>VLOOKUP(Table4[[#This Row],[risk_id]], Table3[], 16, FALSE)</f>
        <v>1</v>
      </c>
      <c r="AE58" s="191">
        <f>VLOOKUP(Table4[[#This Row],[risk_id]], Table3[], 17, )</f>
        <v>0</v>
      </c>
      <c r="AF58" s="191">
        <f>4</f>
        <v>4</v>
      </c>
      <c r="AG58" s="191">
        <f>COUNTIF(Table4[[#This Row],[THEO]:[MOD]], "&gt;=1")</f>
        <v>3</v>
      </c>
      <c r="AH58" s="192">
        <f>Table4[[#This Row],[data_observations]]/Table4[[#This Row],[AllObservations_count]]</f>
        <v>3.1914893617021274E-2</v>
      </c>
      <c r="AI58" s="189">
        <f>Table4[[#This Row],[evidenceamount_pct]]*(Table4[[#This Row],[Indicator_12.5pct]])</f>
        <v>0.39893617021276595</v>
      </c>
      <c r="AJ58" s="198">
        <f>(1-(VLOOKUP(Table4[[#This Row],[risk_id]],Table3[],18, FALSE))/(Table4[[#This Row],[data_observations]]))</f>
        <v>1</v>
      </c>
      <c r="AK58" s="198">
        <f>((VLOOKUP(Table4[[#This Row],[risk_id]],Table3[],19, FALSE))+((VLOOKUP(Table4[[#This Row],[risk_id]],Table3[],36, FALSE))*0.5))/(Table4[[#This Row],[data_observations]])</f>
        <v>0.66666666666666663</v>
      </c>
      <c r="AL58" s="177">
        <f>((Table4[[#This Row],[ev_data_deficient_score]]*0.5)+(Table4[[#This Row],[ev_data_availability_score]]*0.5))*(Table4[[#This Row],[Indicator_12.5pct]])</f>
        <v>10.416666666666666</v>
      </c>
      <c r="AM58" s="199">
        <f>Table4[[#This Row],[RiskScore]]</f>
        <v>25.666666666666664</v>
      </c>
      <c r="AN58" s="200">
        <f>VLOOKUP(Table4[[#This Row],[risk_id]], Table3[], 13, FALSE)</f>
        <v>11.469767022723502</v>
      </c>
      <c r="AO58" s="185">
        <f>(1-(Table4[[#This Row],[evidence_SD_RR]]/Table4[[#This Row],[evidence_mean_RR]]))*(Table4[[#This Row],[Indicator_12.5pct]])</f>
        <v>6.9140745019203722</v>
      </c>
      <c r="AP58" s="201">
        <f>VLOOKUP(Table4[[#This Row],[risk_id]],Table3[],21, FALSE)</f>
        <v>0.33333333333333331</v>
      </c>
      <c r="AQ58" s="201">
        <f>VLOOKUP(Table4[[#This Row],[risk_id]],Table3[],23, FALSE)</f>
        <v>0.33333333333333331</v>
      </c>
      <c r="AR58" s="201">
        <f>VLOOKUP(Table4[[#This Row],[risk_id]],Table3[],25, FALSE)</f>
        <v>0.33333333333333331</v>
      </c>
      <c r="AS58" s="201">
        <f>VLOOKUP(Table4[[#This Row],[risk_id]],Table3[],27, FALSE)</f>
        <v>0</v>
      </c>
      <c r="AT58" s="183">
        <f>(MAX(Table4[[#This Row],[C]:[U]]))*Table4[[#This Row],[Indicator_20pct]]</f>
        <v>3.333333333333333</v>
      </c>
      <c r="AU58" s="205">
        <f>COUNTIFS(Table4[[#This Row],[C]], "&gt;0", Table4[[#This Row],[U]], "&gt;0") + COUNTIFS(Table4[[#This Row],[H]], "&gt;0", Table4[[#This Row],[U]], "&gt;0") + COUNTIFS(Table4[[#This Row],[C]], "&gt;0", Table4[[#This Row],[M]], "&gt;0")</f>
        <v>1</v>
      </c>
      <c r="AV58" s="219">
        <f>((-(Table4[[#This Row],[different_scores_count]]-3))/3)*Table4[[#This Row],[Indicator_20pct]]</f>
        <v>6.6666666666666661</v>
      </c>
      <c r="AW58" s="183">
        <f>IF(Table4[[#This Row],[data_observations]]&gt;=5, 30, IF(Table4[[#This Row],[data_observations]]&gt;=3, 15, 0))</f>
        <v>15</v>
      </c>
      <c r="AX58" s="26" t="s">
        <v>2737</v>
      </c>
    </row>
    <row r="59" spans="1:50" ht="32" hidden="1" customHeight="1" x14ac:dyDescent="0.2">
      <c r="A59" s="16" t="s">
        <v>2664</v>
      </c>
      <c r="B59" s="16" t="str">
        <f>VLOOKUP(Table4[[#This Row],[risk_id]], Table3[], 35, FALSE)</f>
        <v>Risk</v>
      </c>
      <c r="C59" s="16" t="str">
        <f>VLOOKUP(Table4[[#This Row],[risk_id]], Table3[], 2, FALSE)</f>
        <v>Pollutants</v>
      </c>
      <c r="D59" s="15" t="str">
        <f>VLOOKUP(Table4[[#This Row],[risk_id]], Table3[], 3, FALSE)</f>
        <v>BC Climate Forcing</v>
      </c>
      <c r="E59"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59" s="300">
        <f t="shared" si="2"/>
        <v>25.6</v>
      </c>
      <c r="G59" s="31">
        <f>Table4[[#This Row],[DataQuality_Score]]</f>
        <v>0.68196805533562221</v>
      </c>
      <c r="H59"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59" s="27" t="str">
        <f>Table4[[#This Row],[LoA - Metric]]&amp; ", " &amp;Table4[[#This Row],[ES - Metric]]</f>
        <v>High agreement, Medium evidence</v>
      </c>
      <c r="J59" s="222">
        <f>(Table4[[#This Row],[LoA_SCORE]]+Table4[[#This Row],[ES_SCORE]])/100</f>
        <v>0.68196805533562221</v>
      </c>
      <c r="K59"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59"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59" s="179">
        <f>Table4[[#This Row],[probability_average]]</f>
        <v>4</v>
      </c>
      <c r="N59" s="181">
        <f>Table4[[#This Row],[consequence_average]]</f>
        <v>6.4</v>
      </c>
      <c r="O59" s="220">
        <f>Table4[[#This Row],[agreementPCT_score]]+Table4[[#This Row],[agreement_dist_score]]+Table4[[#This Row],[LoA_AQ_score]]</f>
        <v>40.666666666666664</v>
      </c>
      <c r="P59" s="203">
        <f>Table4[[#This Row],[evidenceconsistency_score]]+Table4[[#This Row],[EQ_score]]+Table4[[#This Row],[EA_score]]+Table4[[#This Row],[ET_score]]</f>
        <v>27.530138866895562</v>
      </c>
      <c r="Q59" s="181">
        <f>VLOOKUP(Table4[[#This Row],[risk_id]],Table3[],10,FALSE)</f>
        <v>6.4</v>
      </c>
      <c r="R59" s="181">
        <f>VLOOKUP(Table4[[#This Row],[risk_id]],Table3[],9,FALSE)</f>
        <v>32</v>
      </c>
      <c r="S59" s="179">
        <f>VLOOKUP(Table4[[#This Row],[risk_id]],Table3[],7,FALSE)</f>
        <v>4</v>
      </c>
      <c r="T59" s="179">
        <f>VLOOKUP(Table4[[#This Row],[risk_id]],Table3[],6,FALSE)</f>
        <v>20</v>
      </c>
      <c r="U59" s="177">
        <f t="shared" si="3"/>
        <v>12.5</v>
      </c>
      <c r="V59" s="187">
        <f>10</f>
        <v>10</v>
      </c>
      <c r="W59" s="187">
        <f>30</f>
        <v>30</v>
      </c>
      <c r="X59" s="17">
        <f>VLOOKUP(Table4[[#This Row],[risk_id]],Table3[],5,FALSE)</f>
        <v>5</v>
      </c>
      <c r="Y59" s="17">
        <f>94</f>
        <v>94</v>
      </c>
      <c r="Z59" s="177">
        <f>Table4[[#This Row],[EStype_summed]]*Table4[[#This Row],[Indicator_12.5pct]]</f>
        <v>9.375</v>
      </c>
      <c r="AA59" s="190">
        <f>(IF(Table4[[#This Row],[all_evtype]]&gt;=4,"4", IF(Table4[[#This Row],[all_evtype]]&gt;=3,"3", IF(Table4[[#This Row],[all_evtype]]&gt;=2,"2", IF(Table4[[#This Row],[all_evtype]]&gt;=1,"1","0")))))/Table4[[#This Row],[HPS_et]]</f>
        <v>0.75</v>
      </c>
      <c r="AB59" s="191">
        <f>VLOOKUP(Table4[[#This Row],[risk_id]],Table3[], 14, FALSE)</f>
        <v>1</v>
      </c>
      <c r="AC59" s="191">
        <f>VLOOKUP(Table4[[#This Row],[risk_id]],Table3[], 15, FALSE)</f>
        <v>1</v>
      </c>
      <c r="AD59" s="191">
        <f>VLOOKUP(Table4[[#This Row],[risk_id]], Table3[], 16, FALSE)</f>
        <v>3</v>
      </c>
      <c r="AE59" s="191">
        <f>VLOOKUP(Table4[[#This Row],[risk_id]], Table3[], 17, )</f>
        <v>0</v>
      </c>
      <c r="AF59" s="191">
        <f>4</f>
        <v>4</v>
      </c>
      <c r="AG59" s="191">
        <f>COUNTIF(Table4[[#This Row],[THEO]:[MOD]], "&gt;=1")</f>
        <v>3</v>
      </c>
      <c r="AH59" s="192">
        <f>Table4[[#This Row],[data_observations]]/Table4[[#This Row],[AllObservations_count]]</f>
        <v>5.3191489361702128E-2</v>
      </c>
      <c r="AI59" s="189">
        <f>Table4[[#This Row],[evidenceamount_pct]]*(Table4[[#This Row],[Indicator_12.5pct]])</f>
        <v>0.66489361702127658</v>
      </c>
      <c r="AJ59" s="198">
        <f>(1-(VLOOKUP(Table4[[#This Row],[risk_id]],Table3[],18, FALSE))/(Table4[[#This Row],[data_observations]]))</f>
        <v>1</v>
      </c>
      <c r="AK59" s="198">
        <f>((VLOOKUP(Table4[[#This Row],[risk_id]],Table3[],19, FALSE))+((VLOOKUP(Table4[[#This Row],[risk_id]],Table3[],36, FALSE))*0.5))/(Table4[[#This Row],[data_observations]])</f>
        <v>0.5</v>
      </c>
      <c r="AL59" s="177">
        <f>((Table4[[#This Row],[ev_data_deficient_score]]*0.5)+(Table4[[#This Row],[ev_data_availability_score]]*0.5))*(Table4[[#This Row],[Indicator_12.5pct]])</f>
        <v>9.375</v>
      </c>
      <c r="AM59" s="199">
        <f>Table4[[#This Row],[RiskScore]]</f>
        <v>25.6</v>
      </c>
      <c r="AN59" s="200">
        <f>VLOOKUP(Table4[[#This Row],[risk_id]], Table3[], 13, FALSE)</f>
        <v>8.9799777282574595</v>
      </c>
      <c r="AO59" s="185">
        <f>(1-(Table4[[#This Row],[evidence_SD_RR]]/Table4[[#This Row],[evidence_mean_RR]]))*(Table4[[#This Row],[Indicator_12.5pct]])</f>
        <v>8.1152452498742864</v>
      </c>
      <c r="AP59" s="201">
        <f>VLOOKUP(Table4[[#This Row],[risk_id]],Table3[],21, FALSE)</f>
        <v>0.2</v>
      </c>
      <c r="AQ59" s="201">
        <f>VLOOKUP(Table4[[#This Row],[risk_id]],Table3[],23, FALSE)</f>
        <v>0.4</v>
      </c>
      <c r="AR59" s="201">
        <f>VLOOKUP(Table4[[#This Row],[risk_id]],Table3[],25, FALSE)</f>
        <v>0.4</v>
      </c>
      <c r="AS59" s="201">
        <f>VLOOKUP(Table4[[#This Row],[risk_id]],Table3[],27, FALSE)</f>
        <v>0</v>
      </c>
      <c r="AT59" s="183">
        <f>(MAX(Table4[[#This Row],[C]:[U]]))*Table4[[#This Row],[Indicator_20pct]]</f>
        <v>4</v>
      </c>
      <c r="AU59" s="205">
        <f>COUNTIFS(Table4[[#This Row],[C]], "&gt;0", Table4[[#This Row],[U]], "&gt;0") + COUNTIFS(Table4[[#This Row],[H]], "&gt;0", Table4[[#This Row],[U]], "&gt;0") + COUNTIFS(Table4[[#This Row],[C]], "&gt;0", Table4[[#This Row],[M]], "&gt;0")</f>
        <v>1</v>
      </c>
      <c r="AV59" s="219">
        <f>((-(Table4[[#This Row],[different_scores_count]]-3))/3)*Table4[[#This Row],[Indicator_20pct]]</f>
        <v>6.6666666666666661</v>
      </c>
      <c r="AW59" s="183">
        <f>IF(Table4[[#This Row],[data_observations]]&gt;=5, 30, IF(Table4[[#This Row],[data_observations]]&gt;=3, 15, 0))</f>
        <v>30</v>
      </c>
      <c r="AX59" s="26" t="s">
        <v>2737</v>
      </c>
    </row>
    <row r="60" spans="1:50" ht="32" hidden="1" customHeight="1" x14ac:dyDescent="0.2">
      <c r="A60" s="16" t="s">
        <v>505</v>
      </c>
      <c r="B60" s="16" t="str">
        <f>VLOOKUP(Table4[[#This Row],[risk_id]], Table3[], 35, FALSE)</f>
        <v>Risk</v>
      </c>
      <c r="C60" s="16" t="str">
        <f>VLOOKUP(Table4[[#This Row],[risk_id]], Table3[], 2, FALSE)</f>
        <v>Human</v>
      </c>
      <c r="D60" s="15" t="str">
        <f>VLOOKUP(Table4[[#This Row],[risk_id]], Table3[], 3, FALSE)</f>
        <v>Decision failure</v>
      </c>
      <c r="E60"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60" s="300">
        <f t="shared" si="2"/>
        <v>25.5</v>
      </c>
      <c r="G60" s="31">
        <f>Table4[[#This Row],[DataQuality_Score]]</f>
        <v>0.39867673133083015</v>
      </c>
      <c r="H60"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LOW</v>
      </c>
      <c r="I60" s="27" t="str">
        <f>Table4[[#This Row],[LoA - Metric]]&amp; ", " &amp;Table4[[#This Row],[ES - Metric]]</f>
        <v>Low agreement, Medium evidence</v>
      </c>
      <c r="J60" s="222">
        <f>(Table4[[#This Row],[LoA_SCORE]]+Table4[[#This Row],[ES_SCORE]])/100</f>
        <v>0.39867673133083015</v>
      </c>
      <c r="K60"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60"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60" s="179">
        <f>Table4[[#This Row],[probability_average]]</f>
        <v>3</v>
      </c>
      <c r="N60" s="181">
        <f>Table4[[#This Row],[consequence_average]]</f>
        <v>8.5</v>
      </c>
      <c r="O60" s="220">
        <f>Table4[[#This Row],[agreementPCT_score]]+Table4[[#This Row],[agreement_dist_score]]+Table4[[#This Row],[LoA_AQ_score]]</f>
        <v>15</v>
      </c>
      <c r="P60" s="203">
        <f>Table4[[#This Row],[evidenceconsistency_score]]+Table4[[#This Row],[EQ_score]]+Table4[[#This Row],[EA_score]]+Table4[[#This Row],[ET_score]]</f>
        <v>24.86767313308302</v>
      </c>
      <c r="Q60" s="181">
        <f>VLOOKUP(Table4[[#This Row],[risk_id]],Table3[],10,FALSE)</f>
        <v>8.5</v>
      </c>
      <c r="R60" s="181">
        <f>VLOOKUP(Table4[[#This Row],[risk_id]],Table3[],9,FALSE)</f>
        <v>17</v>
      </c>
      <c r="S60" s="179">
        <f>VLOOKUP(Table4[[#This Row],[risk_id]],Table3[],7,FALSE)</f>
        <v>3</v>
      </c>
      <c r="T60" s="179">
        <f>VLOOKUP(Table4[[#This Row],[risk_id]],Table3[],6,FALSE)</f>
        <v>6</v>
      </c>
      <c r="U60" s="177">
        <f t="shared" si="3"/>
        <v>12.5</v>
      </c>
      <c r="V60" s="187">
        <f>10</f>
        <v>10</v>
      </c>
      <c r="W60" s="187">
        <f>30</f>
        <v>30</v>
      </c>
      <c r="X60" s="17">
        <f>VLOOKUP(Table4[[#This Row],[risk_id]],Table3[],5,FALSE)</f>
        <v>2</v>
      </c>
      <c r="Y60" s="17">
        <f>94</f>
        <v>94</v>
      </c>
      <c r="Z60" s="177">
        <f>Table4[[#This Row],[EStype_summed]]*Table4[[#This Row],[Indicator_12.5pct]]</f>
        <v>3.125</v>
      </c>
      <c r="AA60" s="190">
        <f>(IF(Table4[[#This Row],[all_evtype]]&gt;=4,"4", IF(Table4[[#This Row],[all_evtype]]&gt;=3,"3", IF(Table4[[#This Row],[all_evtype]]&gt;=2,"2", IF(Table4[[#This Row],[all_evtype]]&gt;=1,"1","0")))))/Table4[[#This Row],[HPS_et]]</f>
        <v>0.25</v>
      </c>
      <c r="AB60" s="191">
        <f>VLOOKUP(Table4[[#This Row],[risk_id]],Table3[], 14, FALSE)</f>
        <v>0</v>
      </c>
      <c r="AC60" s="191">
        <f>VLOOKUP(Table4[[#This Row],[risk_id]],Table3[], 15, FALSE)</f>
        <v>2</v>
      </c>
      <c r="AD60" s="191">
        <f>VLOOKUP(Table4[[#This Row],[risk_id]], Table3[], 16, FALSE)</f>
        <v>0</v>
      </c>
      <c r="AE60" s="191">
        <f>VLOOKUP(Table4[[#This Row],[risk_id]], Table3[], 17, )</f>
        <v>0</v>
      </c>
      <c r="AF60" s="191">
        <f>4</f>
        <v>4</v>
      </c>
      <c r="AG60" s="191">
        <f>COUNTIF(Table4[[#This Row],[THEO]:[MOD]], "&gt;=1")</f>
        <v>1</v>
      </c>
      <c r="AH60" s="192">
        <f>Table4[[#This Row],[data_observations]]/Table4[[#This Row],[AllObservations_count]]</f>
        <v>2.1276595744680851E-2</v>
      </c>
      <c r="AI60" s="189">
        <f>Table4[[#This Row],[evidenceamount_pct]]*(Table4[[#This Row],[Indicator_12.5pct]])</f>
        <v>0.26595744680851063</v>
      </c>
      <c r="AJ60" s="198">
        <f>(1-(VLOOKUP(Table4[[#This Row],[risk_id]],Table3[],18, FALSE))/(Table4[[#This Row],[data_observations]]))</f>
        <v>1</v>
      </c>
      <c r="AK60" s="198">
        <f>((VLOOKUP(Table4[[#This Row],[risk_id]],Table3[],19, FALSE))+((VLOOKUP(Table4[[#This Row],[risk_id]],Table3[],36, FALSE))*0.5))/(Table4[[#This Row],[data_observations]])</f>
        <v>0.75</v>
      </c>
      <c r="AL60" s="177">
        <f>((Table4[[#This Row],[ev_data_deficient_score]]*0.5)+(Table4[[#This Row],[ev_data_availability_score]]*0.5))*(Table4[[#This Row],[Indicator_12.5pct]])</f>
        <v>10.9375</v>
      </c>
      <c r="AM60" s="199">
        <f>Table4[[#This Row],[RiskScore]]</f>
        <v>25.5</v>
      </c>
      <c r="AN60" s="200">
        <f>VLOOKUP(Table4[[#This Row],[risk_id]], Table3[], 13, FALSE)</f>
        <v>4</v>
      </c>
      <c r="AO60" s="185">
        <f>(1-(Table4[[#This Row],[evidence_SD_RR]]/Table4[[#This Row],[evidence_mean_RR]]))*(Table4[[#This Row],[Indicator_12.5pct]])</f>
        <v>10.53921568627451</v>
      </c>
      <c r="AP60" s="201">
        <f>VLOOKUP(Table4[[#This Row],[risk_id]],Table3[],21, FALSE)</f>
        <v>0</v>
      </c>
      <c r="AQ60" s="201">
        <f>VLOOKUP(Table4[[#This Row],[risk_id]],Table3[],23, FALSE)</f>
        <v>0.5</v>
      </c>
      <c r="AR60" s="201">
        <f>VLOOKUP(Table4[[#This Row],[risk_id]],Table3[],25, FALSE)</f>
        <v>0.5</v>
      </c>
      <c r="AS60" s="201">
        <f>VLOOKUP(Table4[[#This Row],[risk_id]],Table3[],27, FALSE)</f>
        <v>0</v>
      </c>
      <c r="AT60" s="183">
        <f>(MAX(Table4[[#This Row],[C]:[U]]))*Table4[[#This Row],[Indicator_20pct]]</f>
        <v>5</v>
      </c>
      <c r="AU60" s="205">
        <f>COUNTIFS(Table4[[#This Row],[C]], "&gt;0", Table4[[#This Row],[U]], "&gt;0") + COUNTIFS(Table4[[#This Row],[H]], "&gt;0", Table4[[#This Row],[U]], "&gt;0") + COUNTIFS(Table4[[#This Row],[C]], "&gt;0", Table4[[#This Row],[M]], "&gt;0")</f>
        <v>0</v>
      </c>
      <c r="AV60" s="219">
        <f>((-(Table4[[#This Row],[different_scores_count]]-3))/3)*Table4[[#This Row],[Indicator_20pct]]</f>
        <v>10</v>
      </c>
      <c r="AW60" s="183">
        <f>IF(Table4[[#This Row],[data_observations]]&gt;=5, 30, IF(Table4[[#This Row],[data_observations]]&gt;=3, 15, 0))</f>
        <v>0</v>
      </c>
      <c r="AX60" s="26" t="s">
        <v>2736</v>
      </c>
    </row>
    <row r="61" spans="1:50" ht="32" hidden="1" customHeight="1" x14ac:dyDescent="0.2">
      <c r="A61" s="16" t="s">
        <v>607</v>
      </c>
      <c r="B61" s="16" t="str">
        <f>VLOOKUP(Table4[[#This Row],[risk_id]], Table3[], 35, FALSE)</f>
        <v>Risk</v>
      </c>
      <c r="C61" s="16" t="str">
        <f>VLOOKUP(Table4[[#This Row],[risk_id]], Table3[], 2, FALSE)</f>
        <v>Human</v>
      </c>
      <c r="D61" s="15" t="str">
        <f>VLOOKUP(Table4[[#This Row],[risk_id]], Table3[], 3, FALSE)</f>
        <v>Operator miscommunication</v>
      </c>
      <c r="E61"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61" s="300">
        <f t="shared" si="2"/>
        <v>25.5</v>
      </c>
      <c r="G61" s="31">
        <f>Table4[[#This Row],[DataQuality_Score]]</f>
        <v>0.39867673133083015</v>
      </c>
      <c r="H61"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LOW</v>
      </c>
      <c r="I61" s="27" t="str">
        <f>Table4[[#This Row],[LoA - Metric]]&amp; ", " &amp;Table4[[#This Row],[ES - Metric]]</f>
        <v>Low agreement, Medium evidence</v>
      </c>
      <c r="J61" s="222">
        <f>(Table4[[#This Row],[LoA_SCORE]]+Table4[[#This Row],[ES_SCORE]])/100</f>
        <v>0.39867673133083015</v>
      </c>
      <c r="K61"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61"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61" s="179">
        <f>Table4[[#This Row],[probability_average]]</f>
        <v>3</v>
      </c>
      <c r="N61" s="181">
        <f>Table4[[#This Row],[consequence_average]]</f>
        <v>8.5</v>
      </c>
      <c r="O61" s="220">
        <f>Table4[[#This Row],[agreementPCT_score]]+Table4[[#This Row],[agreement_dist_score]]+Table4[[#This Row],[LoA_AQ_score]]</f>
        <v>15</v>
      </c>
      <c r="P61" s="203">
        <f>Table4[[#This Row],[evidenceconsistency_score]]+Table4[[#This Row],[EQ_score]]+Table4[[#This Row],[EA_score]]+Table4[[#This Row],[ET_score]]</f>
        <v>24.86767313308302</v>
      </c>
      <c r="Q61" s="181">
        <f>VLOOKUP(Table4[[#This Row],[risk_id]],Table3[],10,FALSE)</f>
        <v>8.5</v>
      </c>
      <c r="R61" s="181">
        <f>VLOOKUP(Table4[[#This Row],[risk_id]],Table3[],9,FALSE)</f>
        <v>17</v>
      </c>
      <c r="S61" s="179">
        <f>VLOOKUP(Table4[[#This Row],[risk_id]],Table3[],7,FALSE)</f>
        <v>3</v>
      </c>
      <c r="T61" s="179">
        <f>VLOOKUP(Table4[[#This Row],[risk_id]],Table3[],6,FALSE)</f>
        <v>6</v>
      </c>
      <c r="U61" s="177">
        <f t="shared" si="3"/>
        <v>12.5</v>
      </c>
      <c r="V61" s="187">
        <f>10</f>
        <v>10</v>
      </c>
      <c r="W61" s="187">
        <f>30</f>
        <v>30</v>
      </c>
      <c r="X61" s="17">
        <f>VLOOKUP(Table4[[#This Row],[risk_id]],Table3[],5,FALSE)</f>
        <v>2</v>
      </c>
      <c r="Y61" s="17">
        <f>94</f>
        <v>94</v>
      </c>
      <c r="Z61" s="177">
        <f>Table4[[#This Row],[EStype_summed]]*Table4[[#This Row],[Indicator_12.5pct]]</f>
        <v>3.125</v>
      </c>
      <c r="AA61" s="190">
        <f>(IF(Table4[[#This Row],[all_evtype]]&gt;=4,"4", IF(Table4[[#This Row],[all_evtype]]&gt;=3,"3", IF(Table4[[#This Row],[all_evtype]]&gt;=2,"2", IF(Table4[[#This Row],[all_evtype]]&gt;=1,"1","0")))))/Table4[[#This Row],[HPS_et]]</f>
        <v>0.25</v>
      </c>
      <c r="AB61" s="191">
        <f>VLOOKUP(Table4[[#This Row],[risk_id]],Table3[], 14, FALSE)</f>
        <v>0</v>
      </c>
      <c r="AC61" s="191">
        <f>VLOOKUP(Table4[[#This Row],[risk_id]],Table3[], 15, FALSE)</f>
        <v>2</v>
      </c>
      <c r="AD61" s="191">
        <f>VLOOKUP(Table4[[#This Row],[risk_id]], Table3[], 16, FALSE)</f>
        <v>0</v>
      </c>
      <c r="AE61" s="191">
        <f>VLOOKUP(Table4[[#This Row],[risk_id]], Table3[], 17, )</f>
        <v>0</v>
      </c>
      <c r="AF61" s="191">
        <f>4</f>
        <v>4</v>
      </c>
      <c r="AG61" s="191">
        <f>COUNTIF(Table4[[#This Row],[THEO]:[MOD]], "&gt;=1")</f>
        <v>1</v>
      </c>
      <c r="AH61" s="192">
        <f>Table4[[#This Row],[data_observations]]/Table4[[#This Row],[AllObservations_count]]</f>
        <v>2.1276595744680851E-2</v>
      </c>
      <c r="AI61" s="189">
        <f>Table4[[#This Row],[evidenceamount_pct]]*(Table4[[#This Row],[Indicator_12.5pct]])</f>
        <v>0.26595744680851063</v>
      </c>
      <c r="AJ61" s="198">
        <f>(1-(VLOOKUP(Table4[[#This Row],[risk_id]],Table3[],18, FALSE))/(Table4[[#This Row],[data_observations]]))</f>
        <v>1</v>
      </c>
      <c r="AK61" s="198">
        <f>((VLOOKUP(Table4[[#This Row],[risk_id]],Table3[],19, FALSE))+((VLOOKUP(Table4[[#This Row],[risk_id]],Table3[],36, FALSE))*0.5))/(Table4[[#This Row],[data_observations]])</f>
        <v>0.75</v>
      </c>
      <c r="AL61" s="177">
        <f>((Table4[[#This Row],[ev_data_deficient_score]]*0.5)+(Table4[[#This Row],[ev_data_availability_score]]*0.5))*(Table4[[#This Row],[Indicator_12.5pct]])</f>
        <v>10.9375</v>
      </c>
      <c r="AM61" s="199">
        <f>Table4[[#This Row],[RiskScore]]</f>
        <v>25.5</v>
      </c>
      <c r="AN61" s="200">
        <f>VLOOKUP(Table4[[#This Row],[risk_id]], Table3[], 13, FALSE)</f>
        <v>4</v>
      </c>
      <c r="AO61" s="185">
        <f>(1-(Table4[[#This Row],[evidence_SD_RR]]/Table4[[#This Row],[evidence_mean_RR]]))*(Table4[[#This Row],[Indicator_12.5pct]])</f>
        <v>10.53921568627451</v>
      </c>
      <c r="AP61" s="201">
        <f>VLOOKUP(Table4[[#This Row],[risk_id]],Table3[],21, FALSE)</f>
        <v>0</v>
      </c>
      <c r="AQ61" s="201">
        <f>VLOOKUP(Table4[[#This Row],[risk_id]],Table3[],23, FALSE)</f>
        <v>0.5</v>
      </c>
      <c r="AR61" s="201">
        <f>VLOOKUP(Table4[[#This Row],[risk_id]],Table3[],25, FALSE)</f>
        <v>0.5</v>
      </c>
      <c r="AS61" s="201">
        <f>VLOOKUP(Table4[[#This Row],[risk_id]],Table3[],27, FALSE)</f>
        <v>0</v>
      </c>
      <c r="AT61" s="183">
        <f>(MAX(Table4[[#This Row],[C]:[U]]))*Table4[[#This Row],[Indicator_20pct]]</f>
        <v>5</v>
      </c>
      <c r="AU61" s="205">
        <f>COUNTIFS(Table4[[#This Row],[C]], "&gt;0", Table4[[#This Row],[U]], "&gt;0") + COUNTIFS(Table4[[#This Row],[H]], "&gt;0", Table4[[#This Row],[U]], "&gt;0") + COUNTIFS(Table4[[#This Row],[C]], "&gt;0", Table4[[#This Row],[M]], "&gt;0")</f>
        <v>0</v>
      </c>
      <c r="AV61" s="219">
        <f>((-(Table4[[#This Row],[different_scores_count]]-3))/3)*Table4[[#This Row],[Indicator_20pct]]</f>
        <v>10</v>
      </c>
      <c r="AW61" s="183">
        <f>IF(Table4[[#This Row],[data_observations]]&gt;=5, 30, IF(Table4[[#This Row],[data_observations]]&gt;=3, 15, 0))</f>
        <v>0</v>
      </c>
      <c r="AX61" s="26" t="s">
        <v>2737</v>
      </c>
    </row>
    <row r="62" spans="1:50" ht="32" customHeight="1" x14ac:dyDescent="0.2">
      <c r="A62" s="16" t="s">
        <v>2708</v>
      </c>
      <c r="B62" s="16" t="str">
        <f>VLOOKUP(Table4[[#This Row],[risk_id]], Table3[], 35, FALSE)</f>
        <v>Hazard</v>
      </c>
      <c r="C62" s="16" t="str">
        <f>VLOOKUP(Table4[[#This Row],[risk_id]], Table3[], 2, FALSE)</f>
        <v>Environmental</v>
      </c>
      <c r="D62" s="15" t="str">
        <f>VLOOKUP(Table4[[#This Row],[risk_id]], Table3[], 3, FALSE)</f>
        <v>Pysical disturbance to wildlife</v>
      </c>
      <c r="E62"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62" s="300">
        <f t="shared" si="2"/>
        <v>25.5</v>
      </c>
      <c r="G62" s="31">
        <f>Table4[[#This Row],[DataQuality_Score]]</f>
        <v>0.38060075093867335</v>
      </c>
      <c r="H62"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LOW</v>
      </c>
      <c r="I62" s="27" t="str">
        <f>Table4[[#This Row],[LoA - Metric]]&amp; ", " &amp;Table4[[#This Row],[ES - Metric]]</f>
        <v>Low agreement, Medium evidence</v>
      </c>
      <c r="J62" s="222">
        <f>(Table4[[#This Row],[LoA_SCORE]]+Table4[[#This Row],[ES_SCORE]])/100</f>
        <v>0.38060075093867335</v>
      </c>
      <c r="K62"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62"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62" s="179">
        <f>Table4[[#This Row],[probability_average]]</f>
        <v>3</v>
      </c>
      <c r="N62" s="181">
        <f>Table4[[#This Row],[consequence_average]]</f>
        <v>8.5</v>
      </c>
      <c r="O62" s="220">
        <f>Table4[[#This Row],[agreementPCT_score]]+Table4[[#This Row],[agreement_dist_score]]+Table4[[#This Row],[LoA_AQ_score]]</f>
        <v>15</v>
      </c>
      <c r="P62" s="203">
        <f>Table4[[#This Row],[evidenceconsistency_score]]+Table4[[#This Row],[EQ_score]]+Table4[[#This Row],[EA_score]]+Table4[[#This Row],[ET_score]]</f>
        <v>23.060075093867333</v>
      </c>
      <c r="Q62" s="181">
        <f>VLOOKUP(Table4[[#This Row],[risk_id]],Table3[],10,FALSE)</f>
        <v>8.5</v>
      </c>
      <c r="R62" s="181">
        <f>VLOOKUP(Table4[[#This Row],[risk_id]],Table3[],9,FALSE)</f>
        <v>17</v>
      </c>
      <c r="S62" s="179">
        <f>VLOOKUP(Table4[[#This Row],[risk_id]],Table3[],7,FALSE)</f>
        <v>3</v>
      </c>
      <c r="T62" s="179">
        <f>VLOOKUP(Table4[[#This Row],[risk_id]],Table3[],6,FALSE)</f>
        <v>6</v>
      </c>
      <c r="U62" s="177">
        <f t="shared" si="3"/>
        <v>12.5</v>
      </c>
      <c r="V62" s="187">
        <f>10</f>
        <v>10</v>
      </c>
      <c r="W62" s="187">
        <f>30</f>
        <v>30</v>
      </c>
      <c r="X62" s="17">
        <f>VLOOKUP(Table4[[#This Row],[risk_id]],Table3[],5,FALSE)</f>
        <v>2</v>
      </c>
      <c r="Y62" s="17">
        <f>94</f>
        <v>94</v>
      </c>
      <c r="Z62" s="177">
        <f>Table4[[#This Row],[EStype_summed]]*Table4[[#This Row],[Indicator_12.5pct]]</f>
        <v>6.25</v>
      </c>
      <c r="AA62" s="190">
        <f>(IF(Table4[[#This Row],[all_evtype]]&gt;=4,"4", IF(Table4[[#This Row],[all_evtype]]&gt;=3,"3", IF(Table4[[#This Row],[all_evtype]]&gt;=2,"2", IF(Table4[[#This Row],[all_evtype]]&gt;=1,"1","0")))))/Table4[[#This Row],[HPS_et]]</f>
        <v>0.5</v>
      </c>
      <c r="AB62" s="191">
        <f>VLOOKUP(Table4[[#This Row],[risk_id]],Table3[], 14, FALSE)</f>
        <v>1</v>
      </c>
      <c r="AC62" s="191">
        <f>VLOOKUP(Table4[[#This Row],[risk_id]],Table3[], 15, FALSE)</f>
        <v>1</v>
      </c>
      <c r="AD62" s="191">
        <f>VLOOKUP(Table4[[#This Row],[risk_id]], Table3[], 16, FALSE)</f>
        <v>0</v>
      </c>
      <c r="AE62" s="191">
        <f>VLOOKUP(Table4[[#This Row],[risk_id]], Table3[], 17, )</f>
        <v>0</v>
      </c>
      <c r="AF62" s="191">
        <f>4</f>
        <v>4</v>
      </c>
      <c r="AG62" s="191">
        <f>COUNTIF(Table4[[#This Row],[THEO]:[MOD]], "&gt;=1")</f>
        <v>2</v>
      </c>
      <c r="AH62" s="192">
        <f>Table4[[#This Row],[data_observations]]/Table4[[#This Row],[AllObservations_count]]</f>
        <v>2.1276595744680851E-2</v>
      </c>
      <c r="AI62" s="189">
        <f>Table4[[#This Row],[evidenceamount_pct]]*(Table4[[#This Row],[Indicator_12.5pct]])</f>
        <v>0.26595744680851063</v>
      </c>
      <c r="AJ62" s="198">
        <f>(1-(VLOOKUP(Table4[[#This Row],[risk_id]],Table3[],18, FALSE))/(Table4[[#This Row],[data_observations]]))</f>
        <v>0.5</v>
      </c>
      <c r="AK62" s="198">
        <f>((VLOOKUP(Table4[[#This Row],[risk_id]],Table3[],19, FALSE))+((VLOOKUP(Table4[[#This Row],[risk_id]],Table3[],36, FALSE))*0.5))/(Table4[[#This Row],[data_observations]])</f>
        <v>0.5</v>
      </c>
      <c r="AL62" s="177">
        <f>((Table4[[#This Row],[ev_data_deficient_score]]*0.5)+(Table4[[#This Row],[ev_data_availability_score]]*0.5))*(Table4[[#This Row],[Indicator_12.5pct]])</f>
        <v>6.25</v>
      </c>
      <c r="AM62" s="199">
        <f>Table4[[#This Row],[RiskScore]]</f>
        <v>25.5</v>
      </c>
      <c r="AN62" s="200">
        <f>VLOOKUP(Table4[[#This Row],[risk_id]], Table3[], 13, FALSE)</f>
        <v>4.5</v>
      </c>
      <c r="AO62" s="185">
        <f>(1-(Table4[[#This Row],[evidence_SD_RR]]/Table4[[#This Row],[evidence_mean_RR]]))*(Table4[[#This Row],[Indicator_12.5pct]])</f>
        <v>10.294117647058822</v>
      </c>
      <c r="AP62" s="201">
        <f>VLOOKUP(Table4[[#This Row],[risk_id]],Table3[],21, FALSE)</f>
        <v>0</v>
      </c>
      <c r="AQ62" s="201">
        <f>VLOOKUP(Table4[[#This Row],[risk_id]],Table3[],23, FALSE)</f>
        <v>0.5</v>
      </c>
      <c r="AR62" s="201">
        <f>VLOOKUP(Table4[[#This Row],[risk_id]],Table3[],25, FALSE)</f>
        <v>0.5</v>
      </c>
      <c r="AS62" s="201">
        <f>VLOOKUP(Table4[[#This Row],[risk_id]],Table3[],27, FALSE)</f>
        <v>0</v>
      </c>
      <c r="AT62" s="183">
        <f>(MAX(Table4[[#This Row],[C]:[U]]))*Table4[[#This Row],[Indicator_20pct]]</f>
        <v>5</v>
      </c>
      <c r="AU62" s="205">
        <f>COUNTIFS(Table4[[#This Row],[C]], "&gt;0", Table4[[#This Row],[U]], "&gt;0") + COUNTIFS(Table4[[#This Row],[H]], "&gt;0", Table4[[#This Row],[U]], "&gt;0") + COUNTIFS(Table4[[#This Row],[C]], "&gt;0", Table4[[#This Row],[M]], "&gt;0")</f>
        <v>0</v>
      </c>
      <c r="AV62" s="219">
        <f>((-(Table4[[#This Row],[different_scores_count]]-3))/3)*Table4[[#This Row],[Indicator_20pct]]</f>
        <v>10</v>
      </c>
      <c r="AW62" s="183">
        <f>IF(Table4[[#This Row],[data_observations]]&gt;=5, 30, IF(Table4[[#This Row],[data_observations]]&gt;=3, 15, 0))</f>
        <v>0</v>
      </c>
      <c r="AX62" s="26" t="s">
        <v>2737</v>
      </c>
    </row>
    <row r="63" spans="1:50" ht="32" hidden="1" customHeight="1" x14ac:dyDescent="0.2">
      <c r="A63" s="16" t="s">
        <v>2703</v>
      </c>
      <c r="B63" s="16" t="str">
        <f>VLOOKUP(Table4[[#This Row],[risk_id]], Table3[], 35, FALSE)</f>
        <v>Risk</v>
      </c>
      <c r="C63" s="16" t="str">
        <f>VLOOKUP(Table4[[#This Row],[risk_id]], Table3[], 2, FALSE)</f>
        <v>Pollutants</v>
      </c>
      <c r="D63" s="15" t="str">
        <f>VLOOKUP(Table4[[#This Row],[risk_id]], Table3[], 3, FALSE)</f>
        <v>Oil spills on ice</v>
      </c>
      <c r="E63"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63" s="300">
        <f t="shared" si="2"/>
        <v>25.5</v>
      </c>
      <c r="G63" s="31">
        <f>Table4[[#This Row],[DataQuality_Score]]</f>
        <v>0.36742673133083015</v>
      </c>
      <c r="H63"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LOW</v>
      </c>
      <c r="I63" s="27" t="str">
        <f>Table4[[#This Row],[LoA - Metric]]&amp; ", " &amp;Table4[[#This Row],[ES - Metric]]</f>
        <v>Low agreement, Medium evidence</v>
      </c>
      <c r="J63" s="222">
        <f>(Table4[[#This Row],[LoA_SCORE]]+Table4[[#This Row],[ES_SCORE]])/100</f>
        <v>0.36742673133083015</v>
      </c>
      <c r="K63"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63"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63" s="179">
        <f>Table4[[#This Row],[probability_average]]</f>
        <v>3</v>
      </c>
      <c r="N63" s="181">
        <f>Table4[[#This Row],[consequence_average]]</f>
        <v>8.5</v>
      </c>
      <c r="O63" s="220">
        <f>Table4[[#This Row],[agreementPCT_score]]+Table4[[#This Row],[agreement_dist_score]]+Table4[[#This Row],[LoA_AQ_score]]</f>
        <v>15</v>
      </c>
      <c r="P63" s="203">
        <f>Table4[[#This Row],[evidenceconsistency_score]]+Table4[[#This Row],[EQ_score]]+Table4[[#This Row],[EA_score]]+Table4[[#This Row],[ET_score]]</f>
        <v>21.74267313308302</v>
      </c>
      <c r="Q63" s="181">
        <f>VLOOKUP(Table4[[#This Row],[risk_id]],Table3[],10,FALSE)</f>
        <v>8.5</v>
      </c>
      <c r="R63" s="181">
        <f>VLOOKUP(Table4[[#This Row],[risk_id]],Table3[],9,FALSE)</f>
        <v>17</v>
      </c>
      <c r="S63" s="179">
        <f>VLOOKUP(Table4[[#This Row],[risk_id]],Table3[],7,FALSE)</f>
        <v>3</v>
      </c>
      <c r="T63" s="179">
        <f>VLOOKUP(Table4[[#This Row],[risk_id]],Table3[],6,FALSE)</f>
        <v>6</v>
      </c>
      <c r="U63" s="177">
        <f t="shared" si="3"/>
        <v>12.5</v>
      </c>
      <c r="V63" s="187">
        <f>10</f>
        <v>10</v>
      </c>
      <c r="W63" s="187">
        <f>30</f>
        <v>30</v>
      </c>
      <c r="X63" s="17">
        <f>VLOOKUP(Table4[[#This Row],[risk_id]],Table3[],5,FALSE)</f>
        <v>2</v>
      </c>
      <c r="Y63" s="17">
        <f>94</f>
        <v>94</v>
      </c>
      <c r="Z63" s="177">
        <f>Table4[[#This Row],[EStype_summed]]*Table4[[#This Row],[Indicator_12.5pct]]</f>
        <v>6.25</v>
      </c>
      <c r="AA63" s="190">
        <f>(IF(Table4[[#This Row],[all_evtype]]&gt;=4,"4", IF(Table4[[#This Row],[all_evtype]]&gt;=3,"3", IF(Table4[[#This Row],[all_evtype]]&gt;=2,"2", IF(Table4[[#This Row],[all_evtype]]&gt;=1,"1","0")))))/Table4[[#This Row],[HPS_et]]</f>
        <v>0.5</v>
      </c>
      <c r="AB63" s="191">
        <f>VLOOKUP(Table4[[#This Row],[risk_id]],Table3[], 14, FALSE)</f>
        <v>1</v>
      </c>
      <c r="AC63" s="191">
        <f>VLOOKUP(Table4[[#This Row],[risk_id]],Table3[], 15, FALSE)</f>
        <v>1</v>
      </c>
      <c r="AD63" s="191">
        <f>VLOOKUP(Table4[[#This Row],[risk_id]], Table3[], 16, FALSE)</f>
        <v>0</v>
      </c>
      <c r="AE63" s="191">
        <f>VLOOKUP(Table4[[#This Row],[risk_id]], Table3[], 17, )</f>
        <v>0</v>
      </c>
      <c r="AF63" s="191">
        <f>4</f>
        <v>4</v>
      </c>
      <c r="AG63" s="191">
        <f>COUNTIF(Table4[[#This Row],[THEO]:[MOD]], "&gt;=1")</f>
        <v>2</v>
      </c>
      <c r="AH63" s="192">
        <f>Table4[[#This Row],[data_observations]]/Table4[[#This Row],[AllObservations_count]]</f>
        <v>2.1276595744680851E-2</v>
      </c>
      <c r="AI63" s="189">
        <f>Table4[[#This Row],[evidenceamount_pct]]*(Table4[[#This Row],[Indicator_12.5pct]])</f>
        <v>0.26595744680851063</v>
      </c>
      <c r="AJ63" s="198">
        <f>(1-(VLOOKUP(Table4[[#This Row],[risk_id]],Table3[],18, FALSE))/(Table4[[#This Row],[data_observations]]))</f>
        <v>0.5</v>
      </c>
      <c r="AK63" s="198">
        <f>((VLOOKUP(Table4[[#This Row],[risk_id]],Table3[],19, FALSE))+((VLOOKUP(Table4[[#This Row],[risk_id]],Table3[],36, FALSE))*0.5))/(Table4[[#This Row],[data_observations]])</f>
        <v>0.25</v>
      </c>
      <c r="AL63" s="177">
        <f>((Table4[[#This Row],[ev_data_deficient_score]]*0.5)+(Table4[[#This Row],[ev_data_availability_score]]*0.5))*(Table4[[#This Row],[Indicator_12.5pct]])</f>
        <v>4.6875</v>
      </c>
      <c r="AM63" s="199">
        <f>Table4[[#This Row],[RiskScore]]</f>
        <v>25.5</v>
      </c>
      <c r="AN63" s="200">
        <f>VLOOKUP(Table4[[#This Row],[risk_id]], Table3[], 13, FALSE)</f>
        <v>4</v>
      </c>
      <c r="AO63" s="185">
        <f>(1-(Table4[[#This Row],[evidence_SD_RR]]/Table4[[#This Row],[evidence_mean_RR]]))*(Table4[[#This Row],[Indicator_12.5pct]])</f>
        <v>10.53921568627451</v>
      </c>
      <c r="AP63" s="201">
        <f>VLOOKUP(Table4[[#This Row],[risk_id]],Table3[],21, FALSE)</f>
        <v>0</v>
      </c>
      <c r="AQ63" s="201">
        <f>VLOOKUP(Table4[[#This Row],[risk_id]],Table3[],23, FALSE)</f>
        <v>0.5</v>
      </c>
      <c r="AR63" s="201">
        <f>VLOOKUP(Table4[[#This Row],[risk_id]],Table3[],25, FALSE)</f>
        <v>0.5</v>
      </c>
      <c r="AS63" s="201">
        <f>VLOOKUP(Table4[[#This Row],[risk_id]],Table3[],27, FALSE)</f>
        <v>0</v>
      </c>
      <c r="AT63" s="183">
        <f>(MAX(Table4[[#This Row],[C]:[U]]))*Table4[[#This Row],[Indicator_20pct]]</f>
        <v>5</v>
      </c>
      <c r="AU63" s="205">
        <f>COUNTIFS(Table4[[#This Row],[C]], "&gt;0", Table4[[#This Row],[U]], "&gt;0") + COUNTIFS(Table4[[#This Row],[H]], "&gt;0", Table4[[#This Row],[U]], "&gt;0") + COUNTIFS(Table4[[#This Row],[C]], "&gt;0", Table4[[#This Row],[M]], "&gt;0")</f>
        <v>0</v>
      </c>
      <c r="AV63" s="219">
        <f>((-(Table4[[#This Row],[different_scores_count]]-3))/3)*Table4[[#This Row],[Indicator_20pct]]</f>
        <v>10</v>
      </c>
      <c r="AW63" s="183">
        <f>IF(Table4[[#This Row],[data_observations]]&gt;=5, 30, IF(Table4[[#This Row],[data_observations]]&gt;=3, 15, 0))</f>
        <v>0</v>
      </c>
      <c r="AX63" s="26" t="s">
        <v>2737</v>
      </c>
    </row>
    <row r="64" spans="1:50" ht="32" hidden="1" customHeight="1" x14ac:dyDescent="0.2">
      <c r="A64" s="16" t="s">
        <v>511</v>
      </c>
      <c r="B64" s="16" t="str">
        <f>VLOOKUP(Table4[[#This Row],[risk_id]], Table3[], 35, FALSE)</f>
        <v>Risk</v>
      </c>
      <c r="C64" s="16" t="str">
        <f>VLOOKUP(Table4[[#This Row],[risk_id]], Table3[], 2, FALSE)</f>
        <v>Political</v>
      </c>
      <c r="D64" s="15" t="str">
        <f>VLOOKUP(Table4[[#This Row],[risk_id]], Table3[], 3, FALSE)</f>
        <v>Enforceability and accountability limitations regarding laws/regulations</v>
      </c>
      <c r="E64"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64" s="300">
        <f t="shared" si="2"/>
        <v>25.333333333333336</v>
      </c>
      <c r="G64" s="31">
        <f>Table4[[#This Row],[DataQuality_Score]]</f>
        <v>0.73403545096536449</v>
      </c>
      <c r="H64"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64" s="27" t="str">
        <f>Table4[[#This Row],[LoA - Metric]]&amp; ", " &amp;Table4[[#This Row],[ES - Metric]]</f>
        <v>High agreement, Medium evidence</v>
      </c>
      <c r="J64" s="222">
        <f>(Table4[[#This Row],[LoA_SCORE]]+Table4[[#This Row],[ES_SCORE]])/100</f>
        <v>0.73403545096536449</v>
      </c>
      <c r="K64"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64"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64" s="179">
        <f>Table4[[#This Row],[probability_average]]</f>
        <v>4.2222222222222223</v>
      </c>
      <c r="N64" s="181">
        <f>Table4[[#This Row],[consequence_average]]</f>
        <v>6</v>
      </c>
      <c r="O64" s="220">
        <f>Table4[[#This Row],[agreementPCT_score]]+Table4[[#This Row],[agreement_dist_score]]+Table4[[#This Row],[LoA_AQ_score]]</f>
        <v>45.555555555555557</v>
      </c>
      <c r="P64" s="203">
        <f>Table4[[#This Row],[evidenceconsistency_score]]+Table4[[#This Row],[EQ_score]]+Table4[[#This Row],[EA_score]]+Table4[[#This Row],[ET_score]]</f>
        <v>27.84798954098089</v>
      </c>
      <c r="Q64" s="181">
        <f>VLOOKUP(Table4[[#This Row],[risk_id]],Table3[],10,FALSE)</f>
        <v>6</v>
      </c>
      <c r="R64" s="181">
        <f>VLOOKUP(Table4[[#This Row],[risk_id]],Table3[],9,FALSE)</f>
        <v>54</v>
      </c>
      <c r="S64" s="179">
        <f>VLOOKUP(Table4[[#This Row],[risk_id]],Table3[],7,FALSE)</f>
        <v>4.2222222222222223</v>
      </c>
      <c r="T64" s="179">
        <f>VLOOKUP(Table4[[#This Row],[risk_id]],Table3[],6,FALSE)</f>
        <v>38</v>
      </c>
      <c r="U64" s="177">
        <f t="shared" si="3"/>
        <v>12.5</v>
      </c>
      <c r="V64" s="187">
        <f>10</f>
        <v>10</v>
      </c>
      <c r="W64" s="187">
        <f>30</f>
        <v>30</v>
      </c>
      <c r="X64" s="17">
        <f>VLOOKUP(Table4[[#This Row],[risk_id]],Table3[],5,FALSE)</f>
        <v>9</v>
      </c>
      <c r="Y64" s="17">
        <f>94</f>
        <v>94</v>
      </c>
      <c r="Z64" s="177">
        <f>Table4[[#This Row],[EStype_summed]]*Table4[[#This Row],[Indicator_12.5pct]]</f>
        <v>9.375</v>
      </c>
      <c r="AA64" s="190">
        <f>(IF(Table4[[#This Row],[all_evtype]]&gt;=4,"4", IF(Table4[[#This Row],[all_evtype]]&gt;=3,"3", IF(Table4[[#This Row],[all_evtype]]&gt;=2,"2", IF(Table4[[#This Row],[all_evtype]]&gt;=1,"1","0")))))/Table4[[#This Row],[HPS_et]]</f>
        <v>0.75</v>
      </c>
      <c r="AB64" s="191">
        <f>VLOOKUP(Table4[[#This Row],[risk_id]],Table3[], 14, FALSE)</f>
        <v>4</v>
      </c>
      <c r="AC64" s="191">
        <f>VLOOKUP(Table4[[#This Row],[risk_id]],Table3[], 15, FALSE)</f>
        <v>3</v>
      </c>
      <c r="AD64" s="191">
        <f>VLOOKUP(Table4[[#This Row],[risk_id]], Table3[], 16, FALSE)</f>
        <v>2</v>
      </c>
      <c r="AE64" s="191">
        <f>VLOOKUP(Table4[[#This Row],[risk_id]], Table3[], 17, )</f>
        <v>0</v>
      </c>
      <c r="AF64" s="191">
        <f>4</f>
        <v>4</v>
      </c>
      <c r="AG64" s="191">
        <f>COUNTIF(Table4[[#This Row],[THEO]:[MOD]], "&gt;=1")</f>
        <v>3</v>
      </c>
      <c r="AH64" s="192">
        <f>Table4[[#This Row],[data_observations]]/Table4[[#This Row],[AllObservations_count]]</f>
        <v>9.5744680851063829E-2</v>
      </c>
      <c r="AI64" s="189">
        <f>Table4[[#This Row],[evidenceamount_pct]]*(Table4[[#This Row],[Indicator_12.5pct]])</f>
        <v>1.196808510638298</v>
      </c>
      <c r="AJ64" s="198">
        <f>(1-(VLOOKUP(Table4[[#This Row],[risk_id]],Table3[],18, FALSE))/(Table4[[#This Row],[data_observations]]))</f>
        <v>0.77777777777777779</v>
      </c>
      <c r="AK64" s="198">
        <f>((VLOOKUP(Table4[[#This Row],[risk_id]],Table3[],19, FALSE))+((VLOOKUP(Table4[[#This Row],[risk_id]],Table3[],36, FALSE))*0.5))/(Table4[[#This Row],[data_observations]])</f>
        <v>0.5</v>
      </c>
      <c r="AL64" s="177">
        <f>((Table4[[#This Row],[ev_data_deficient_score]]*0.5)+(Table4[[#This Row],[ev_data_availability_score]]*0.5))*(Table4[[#This Row],[Indicator_12.5pct]])</f>
        <v>7.9861111111111107</v>
      </c>
      <c r="AM64" s="199">
        <f>Table4[[#This Row],[RiskScore]]</f>
        <v>25.333333333333336</v>
      </c>
      <c r="AN64" s="200">
        <f>VLOOKUP(Table4[[#This Row],[risk_id]], Table3[], 13, FALSE)</f>
        <v>6.505458297024199</v>
      </c>
      <c r="AO64" s="185">
        <f>(1-(Table4[[#This Row],[evidence_SD_RR]]/Table4[[#This Row],[evidence_mean_RR]]))*(Table4[[#This Row],[Indicator_12.5pct]])</f>
        <v>9.2900699192314811</v>
      </c>
      <c r="AP64" s="201">
        <f>VLOOKUP(Table4[[#This Row],[risk_id]],Table3[],21, FALSE)</f>
        <v>0</v>
      </c>
      <c r="AQ64" s="201">
        <f>VLOOKUP(Table4[[#This Row],[risk_id]],Table3[],23, FALSE)</f>
        <v>0.44444444444444442</v>
      </c>
      <c r="AR64" s="201">
        <f>VLOOKUP(Table4[[#This Row],[risk_id]],Table3[],25, FALSE)</f>
        <v>0.55555555555555558</v>
      </c>
      <c r="AS64" s="201">
        <f>VLOOKUP(Table4[[#This Row],[risk_id]],Table3[],27, FALSE)</f>
        <v>0</v>
      </c>
      <c r="AT64" s="183">
        <f>(MAX(Table4[[#This Row],[C]:[U]]))*Table4[[#This Row],[Indicator_20pct]]</f>
        <v>5.5555555555555554</v>
      </c>
      <c r="AU64" s="205">
        <f>COUNTIFS(Table4[[#This Row],[C]], "&gt;0", Table4[[#This Row],[U]], "&gt;0") + COUNTIFS(Table4[[#This Row],[H]], "&gt;0", Table4[[#This Row],[U]], "&gt;0") + COUNTIFS(Table4[[#This Row],[C]], "&gt;0", Table4[[#This Row],[M]], "&gt;0")</f>
        <v>0</v>
      </c>
      <c r="AV64" s="219">
        <f>((-(Table4[[#This Row],[different_scores_count]]-3))/3)*Table4[[#This Row],[Indicator_20pct]]</f>
        <v>10</v>
      </c>
      <c r="AW64" s="183">
        <f>IF(Table4[[#This Row],[data_observations]]&gt;=5, 30, IF(Table4[[#This Row],[data_observations]]&gt;=3, 15, 0))</f>
        <v>30</v>
      </c>
      <c r="AX64" s="26" t="s">
        <v>2736</v>
      </c>
    </row>
    <row r="65" spans="1:50" ht="32" hidden="1" customHeight="1" x14ac:dyDescent="0.2">
      <c r="A65" s="16" t="s">
        <v>549</v>
      </c>
      <c r="B65" s="16" t="str">
        <f>VLOOKUP(Table4[[#This Row],[risk_id]], Table3[], 35, FALSE)</f>
        <v>Risk</v>
      </c>
      <c r="C65" s="16" t="str">
        <f>VLOOKUP(Table4[[#This Row],[risk_id]], Table3[], 2, FALSE)</f>
        <v>Environmental</v>
      </c>
      <c r="D65" s="15" t="str">
        <f>VLOOKUP(Table4[[#This Row],[risk_id]], Table3[], 3, FALSE)</f>
        <v>Introduction of invasive species</v>
      </c>
      <c r="E65"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65" s="300">
        <f t="shared" si="2"/>
        <v>25.333333333333332</v>
      </c>
      <c r="G65" s="31">
        <f>Table4[[#This Row],[DataQuality_Score]]</f>
        <v>0.75405600219305147</v>
      </c>
      <c r="H65"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65" s="27" t="str">
        <f>Table4[[#This Row],[LoA - Metric]]&amp; ", " &amp;Table4[[#This Row],[ES - Metric]]</f>
        <v>High agreement, Medium evidence</v>
      </c>
      <c r="J65" s="222">
        <f>(Table4[[#This Row],[LoA_SCORE]]+Table4[[#This Row],[ES_SCORE]])/100</f>
        <v>0.75405600219305147</v>
      </c>
      <c r="K65"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65"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65" s="179">
        <f>Table4[[#This Row],[probability_average]]</f>
        <v>4</v>
      </c>
      <c r="N65" s="181">
        <f>Table4[[#This Row],[consequence_average]]</f>
        <v>6.333333333333333</v>
      </c>
      <c r="O65" s="220">
        <f>Table4[[#This Row],[agreementPCT_score]]+Table4[[#This Row],[agreement_dist_score]]+Table4[[#This Row],[LoA_AQ_score]]</f>
        <v>45.555555555555557</v>
      </c>
      <c r="P65" s="203">
        <f>Table4[[#This Row],[evidenceconsistency_score]]+Table4[[#This Row],[EQ_score]]+Table4[[#This Row],[EA_score]]+Table4[[#This Row],[ET_score]]</f>
        <v>29.850044663749578</v>
      </c>
      <c r="Q65" s="181">
        <f>VLOOKUP(Table4[[#This Row],[risk_id]],Table3[],10,FALSE)</f>
        <v>6.333333333333333</v>
      </c>
      <c r="R65" s="181">
        <f>VLOOKUP(Table4[[#This Row],[risk_id]],Table3[],9,FALSE)</f>
        <v>57</v>
      </c>
      <c r="S65" s="179">
        <f>VLOOKUP(Table4[[#This Row],[risk_id]],Table3[],7,FALSE)</f>
        <v>4</v>
      </c>
      <c r="T65" s="179">
        <f>VLOOKUP(Table4[[#This Row],[risk_id]],Table3[],6,FALSE)</f>
        <v>36</v>
      </c>
      <c r="U65" s="177">
        <f t="shared" si="3"/>
        <v>12.5</v>
      </c>
      <c r="V65" s="187">
        <f>10</f>
        <v>10</v>
      </c>
      <c r="W65" s="187">
        <f>30</f>
        <v>30</v>
      </c>
      <c r="X65" s="17">
        <f>VLOOKUP(Table4[[#This Row],[risk_id]],Table3[],5,FALSE)</f>
        <v>9</v>
      </c>
      <c r="Y65" s="17">
        <f>94</f>
        <v>94</v>
      </c>
      <c r="Z65" s="177">
        <f>Table4[[#This Row],[EStype_summed]]*Table4[[#This Row],[Indicator_12.5pct]]</f>
        <v>12.5</v>
      </c>
      <c r="AA65" s="190">
        <f>(IF(Table4[[#This Row],[all_evtype]]&gt;=4,"4", IF(Table4[[#This Row],[all_evtype]]&gt;=3,"3", IF(Table4[[#This Row],[all_evtype]]&gt;=2,"2", IF(Table4[[#This Row],[all_evtype]]&gt;=1,"1","0")))))/Table4[[#This Row],[HPS_et]]</f>
        <v>1</v>
      </c>
      <c r="AB65" s="191">
        <f>VLOOKUP(Table4[[#This Row],[risk_id]],Table3[], 14, FALSE)</f>
        <v>2</v>
      </c>
      <c r="AC65" s="191">
        <f>VLOOKUP(Table4[[#This Row],[risk_id]],Table3[], 15, FALSE)</f>
        <v>5</v>
      </c>
      <c r="AD65" s="191">
        <f>VLOOKUP(Table4[[#This Row],[risk_id]], Table3[], 16, FALSE)</f>
        <v>1</v>
      </c>
      <c r="AE65" s="191">
        <f>VLOOKUP(Table4[[#This Row],[risk_id]], Table3[], 17, )</f>
        <v>1</v>
      </c>
      <c r="AF65" s="191">
        <f>4</f>
        <v>4</v>
      </c>
      <c r="AG65" s="191">
        <f>COUNTIF(Table4[[#This Row],[THEO]:[MOD]], "&gt;=1")</f>
        <v>4</v>
      </c>
      <c r="AH65" s="192">
        <f>Table4[[#This Row],[data_observations]]/Table4[[#This Row],[AllObservations_count]]</f>
        <v>9.5744680851063829E-2</v>
      </c>
      <c r="AI65" s="189">
        <f>Table4[[#This Row],[evidenceamount_pct]]*(Table4[[#This Row],[Indicator_12.5pct]])</f>
        <v>1.196808510638298</v>
      </c>
      <c r="AJ65" s="198">
        <f>(1-(VLOOKUP(Table4[[#This Row],[risk_id]],Table3[],18, FALSE))/(Table4[[#This Row],[data_observations]]))</f>
        <v>0.77777777777777779</v>
      </c>
      <c r="AK65" s="198">
        <f>((VLOOKUP(Table4[[#This Row],[risk_id]],Table3[],19, FALSE))+((VLOOKUP(Table4[[#This Row],[risk_id]],Table3[],36, FALSE))*0.5))/(Table4[[#This Row],[data_observations]])</f>
        <v>0.5</v>
      </c>
      <c r="AL65" s="177">
        <f>((Table4[[#This Row],[ev_data_deficient_score]]*0.5)+(Table4[[#This Row],[ev_data_availability_score]]*0.5))*(Table4[[#This Row],[Indicator_12.5pct]])</f>
        <v>7.9861111111111107</v>
      </c>
      <c r="AM65" s="199">
        <f>Table4[[#This Row],[RiskScore]]</f>
        <v>25.333333333333332</v>
      </c>
      <c r="AN65" s="200">
        <f>VLOOKUP(Table4[[#This Row],[risk_id]], Table3[], 13, FALSE)</f>
        <v>8.7812932482129948</v>
      </c>
      <c r="AO65" s="185">
        <f>(1-(Table4[[#This Row],[evidence_SD_RR]]/Table4[[#This Row],[evidence_mean_RR]]))*(Table4[[#This Row],[Indicator_12.5pct]])</f>
        <v>8.1671250420001673</v>
      </c>
      <c r="AP65" s="201">
        <f>VLOOKUP(Table4[[#This Row],[risk_id]],Table3[],21, FALSE)</f>
        <v>0</v>
      </c>
      <c r="AQ65" s="201">
        <f>VLOOKUP(Table4[[#This Row],[risk_id]],Table3[],23, FALSE)</f>
        <v>0.44444444444444442</v>
      </c>
      <c r="AR65" s="201">
        <f>VLOOKUP(Table4[[#This Row],[risk_id]],Table3[],25, FALSE)</f>
        <v>0.55555555555555558</v>
      </c>
      <c r="AS65" s="201">
        <f>VLOOKUP(Table4[[#This Row],[risk_id]],Table3[],27, FALSE)</f>
        <v>0</v>
      </c>
      <c r="AT65" s="183">
        <f>(MAX(Table4[[#This Row],[C]:[U]]))*Table4[[#This Row],[Indicator_20pct]]</f>
        <v>5.5555555555555554</v>
      </c>
      <c r="AU65" s="205">
        <f>COUNTIFS(Table4[[#This Row],[C]], "&gt;0", Table4[[#This Row],[U]], "&gt;0") + COUNTIFS(Table4[[#This Row],[H]], "&gt;0", Table4[[#This Row],[U]], "&gt;0") + COUNTIFS(Table4[[#This Row],[C]], "&gt;0", Table4[[#This Row],[M]], "&gt;0")</f>
        <v>0</v>
      </c>
      <c r="AV65" s="219">
        <f>((-(Table4[[#This Row],[different_scores_count]]-3))/3)*Table4[[#This Row],[Indicator_20pct]]</f>
        <v>10</v>
      </c>
      <c r="AW65" s="183">
        <f>IF(Table4[[#This Row],[data_observations]]&gt;=5, 30, IF(Table4[[#This Row],[data_observations]]&gt;=3, 15, 0))</f>
        <v>30</v>
      </c>
      <c r="AX65" s="26" t="s">
        <v>2737</v>
      </c>
    </row>
    <row r="66" spans="1:50" ht="32" hidden="1" customHeight="1" x14ac:dyDescent="0.2">
      <c r="A66" s="16" t="s">
        <v>2724</v>
      </c>
      <c r="B66" s="16" t="str">
        <f>VLOOKUP(Table4[[#This Row],[risk_id]], Table3[], 35, FALSE)</f>
        <v>Risk</v>
      </c>
      <c r="C66" s="16" t="str">
        <f>VLOOKUP(Table4[[#This Row],[risk_id]], Table3[], 2, FALSE)</f>
        <v>Navigational</v>
      </c>
      <c r="D66" s="15" t="str">
        <f>VLOOKUP(Table4[[#This Row],[risk_id]], Table3[], 3, FALSE)</f>
        <v>Vessel-animal collision</v>
      </c>
      <c r="E66"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66" s="300">
        <f t="shared" ref="F66:F97" si="4">M66*N66</f>
        <v>25.1875</v>
      </c>
      <c r="G66" s="31">
        <f>Table4[[#This Row],[DataQuality_Score]]</f>
        <v>0.56006369710823056</v>
      </c>
      <c r="H66"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66" s="27" t="str">
        <f>Table4[[#This Row],[LoA - Metric]]&amp; ", " &amp;Table4[[#This Row],[ES - Metric]]</f>
        <v>Medium agreement, Medium evidence</v>
      </c>
      <c r="J66" s="222">
        <f>(Table4[[#This Row],[LoA_SCORE]]+Table4[[#This Row],[ES_SCORE]])/100</f>
        <v>0.56006369710823056</v>
      </c>
      <c r="K66"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66"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66" s="179">
        <f>Table4[[#This Row],[probability_average]]</f>
        <v>3.25</v>
      </c>
      <c r="N66" s="181">
        <f>Table4[[#This Row],[consequence_average]]</f>
        <v>7.75</v>
      </c>
      <c r="O66" s="220">
        <f>Table4[[#This Row],[agreementPCT_score]]+Table4[[#This Row],[agreement_dist_score]]+Table4[[#This Row],[LoA_AQ_score]]</f>
        <v>30</v>
      </c>
      <c r="P66" s="203">
        <f>Table4[[#This Row],[evidenceconsistency_score]]+Table4[[#This Row],[EQ_score]]+Table4[[#This Row],[EA_score]]+Table4[[#This Row],[ET_score]]</f>
        <v>26.006369710823055</v>
      </c>
      <c r="Q66" s="181">
        <f>VLOOKUP(Table4[[#This Row],[risk_id]],Table3[],10,FALSE)</f>
        <v>7.75</v>
      </c>
      <c r="R66" s="181">
        <f>VLOOKUP(Table4[[#This Row],[risk_id]],Table3[],9,FALSE)</f>
        <v>31</v>
      </c>
      <c r="S66" s="179">
        <f>VLOOKUP(Table4[[#This Row],[risk_id]],Table3[],7,FALSE)</f>
        <v>3.25</v>
      </c>
      <c r="T66" s="179">
        <f>VLOOKUP(Table4[[#This Row],[risk_id]],Table3[],6,FALSE)</f>
        <v>13</v>
      </c>
      <c r="U66" s="177">
        <f t="shared" ref="U66:U97" si="5">12.5</f>
        <v>12.5</v>
      </c>
      <c r="V66" s="187">
        <f>10</f>
        <v>10</v>
      </c>
      <c r="W66" s="187">
        <f>30</f>
        <v>30</v>
      </c>
      <c r="X66" s="17">
        <f>VLOOKUP(Table4[[#This Row],[risk_id]],Table3[],5,FALSE)</f>
        <v>4</v>
      </c>
      <c r="Y66" s="17">
        <f>94</f>
        <v>94</v>
      </c>
      <c r="Z66" s="177">
        <f>Table4[[#This Row],[EStype_summed]]*Table4[[#This Row],[Indicator_12.5pct]]</f>
        <v>6.25</v>
      </c>
      <c r="AA66" s="190">
        <f>(IF(Table4[[#This Row],[all_evtype]]&gt;=4,"4", IF(Table4[[#This Row],[all_evtype]]&gt;=3,"3", IF(Table4[[#This Row],[all_evtype]]&gt;=2,"2", IF(Table4[[#This Row],[all_evtype]]&gt;=1,"1","0")))))/Table4[[#This Row],[HPS_et]]</f>
        <v>0.5</v>
      </c>
      <c r="AB66" s="191">
        <f>VLOOKUP(Table4[[#This Row],[risk_id]],Table3[], 14, FALSE)</f>
        <v>1</v>
      </c>
      <c r="AC66" s="191">
        <f>VLOOKUP(Table4[[#This Row],[risk_id]],Table3[], 15, FALSE)</f>
        <v>3</v>
      </c>
      <c r="AD66" s="191">
        <f>VLOOKUP(Table4[[#This Row],[risk_id]], Table3[], 16, FALSE)</f>
        <v>0</v>
      </c>
      <c r="AE66" s="191">
        <f>VLOOKUP(Table4[[#This Row],[risk_id]], Table3[], 17, )</f>
        <v>0</v>
      </c>
      <c r="AF66" s="191">
        <f>4</f>
        <v>4</v>
      </c>
      <c r="AG66" s="191">
        <f>COUNTIF(Table4[[#This Row],[THEO]:[MOD]], "&gt;=1")</f>
        <v>2</v>
      </c>
      <c r="AH66" s="192">
        <f>Table4[[#This Row],[data_observations]]/Table4[[#This Row],[AllObservations_count]]</f>
        <v>4.2553191489361701E-2</v>
      </c>
      <c r="AI66" s="189">
        <f>Table4[[#This Row],[evidenceamount_pct]]*(Table4[[#This Row],[Indicator_12.5pct]])</f>
        <v>0.53191489361702127</v>
      </c>
      <c r="AJ66" s="198">
        <f>(1-(VLOOKUP(Table4[[#This Row],[risk_id]],Table3[],18, FALSE))/(Table4[[#This Row],[data_observations]]))</f>
        <v>0.75</v>
      </c>
      <c r="AK66" s="198">
        <f>((VLOOKUP(Table4[[#This Row],[risk_id]],Table3[],19, FALSE))+((VLOOKUP(Table4[[#This Row],[risk_id]],Table3[],36, FALSE))*0.5))/(Table4[[#This Row],[data_observations]])</f>
        <v>0.625</v>
      </c>
      <c r="AL66" s="177">
        <f>((Table4[[#This Row],[ev_data_deficient_score]]*0.5)+(Table4[[#This Row],[ev_data_availability_score]]*0.5))*(Table4[[#This Row],[Indicator_12.5pct]])</f>
        <v>8.59375</v>
      </c>
      <c r="AM66" s="199">
        <f>Table4[[#This Row],[RiskScore]]</f>
        <v>25.1875</v>
      </c>
      <c r="AN66" s="200">
        <f>VLOOKUP(Table4[[#This Row],[risk_id]], Table3[], 13, FALSE)</f>
        <v>3.7666297933298409</v>
      </c>
      <c r="AO66" s="185">
        <f>(1-(Table4[[#This Row],[evidence_SD_RR]]/Table4[[#This Row],[evidence_mean_RR]]))*(Table4[[#This Row],[Indicator_12.5pct]])</f>
        <v>10.630704817206034</v>
      </c>
      <c r="AP66" s="201">
        <f>VLOOKUP(Table4[[#This Row],[risk_id]],Table3[],21, FALSE)</f>
        <v>0</v>
      </c>
      <c r="AQ66" s="201">
        <f>VLOOKUP(Table4[[#This Row],[risk_id]],Table3[],23, FALSE)</f>
        <v>0.5</v>
      </c>
      <c r="AR66" s="201">
        <f>VLOOKUP(Table4[[#This Row],[risk_id]],Table3[],25, FALSE)</f>
        <v>0.5</v>
      </c>
      <c r="AS66" s="201">
        <f>VLOOKUP(Table4[[#This Row],[risk_id]],Table3[],27, FALSE)</f>
        <v>0</v>
      </c>
      <c r="AT66" s="183">
        <f>(MAX(Table4[[#This Row],[C]:[U]]))*Table4[[#This Row],[Indicator_20pct]]</f>
        <v>5</v>
      </c>
      <c r="AU66" s="205">
        <f>COUNTIFS(Table4[[#This Row],[C]], "&gt;0", Table4[[#This Row],[U]], "&gt;0") + COUNTIFS(Table4[[#This Row],[H]], "&gt;0", Table4[[#This Row],[U]], "&gt;0") + COUNTIFS(Table4[[#This Row],[C]], "&gt;0", Table4[[#This Row],[M]], "&gt;0")</f>
        <v>0</v>
      </c>
      <c r="AV66" s="219">
        <f>((-(Table4[[#This Row],[different_scores_count]]-3))/3)*Table4[[#This Row],[Indicator_20pct]]</f>
        <v>10</v>
      </c>
      <c r="AW66" s="183">
        <f>IF(Table4[[#This Row],[data_observations]]&gt;=5, 30, IF(Table4[[#This Row],[data_observations]]&gt;=3, 15, 0))</f>
        <v>15</v>
      </c>
      <c r="AX66" s="26" t="s">
        <v>2737</v>
      </c>
    </row>
    <row r="67" spans="1:50" ht="32" hidden="1" customHeight="1" x14ac:dyDescent="0.2">
      <c r="A67" s="16" t="s">
        <v>8</v>
      </c>
      <c r="B67" s="16" t="str">
        <f>VLOOKUP(Table4[[#This Row],[risk_id]], Table3[], 35, FALSE)</f>
        <v>Risk</v>
      </c>
      <c r="C67" s="16" t="str">
        <f>VLOOKUP(Table4[[#This Row],[risk_id]], Table3[], 2, FALSE)</f>
        <v>Navigational</v>
      </c>
      <c r="D67" s="15" t="str">
        <f>VLOOKUP(Table4[[#This Row],[risk_id]], Table3[], 3, FALSE)</f>
        <v>Absence of layover sites</v>
      </c>
      <c r="E67"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HIGH</v>
      </c>
      <c r="F67" s="300">
        <f t="shared" si="4"/>
        <v>25</v>
      </c>
      <c r="G67" s="31">
        <f>Table4[[#This Row],[DataQuality_Score]]</f>
        <v>0.5610966550698856</v>
      </c>
      <c r="H67"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67" s="27" t="str">
        <f>Table4[[#This Row],[LoA - Metric]]&amp; ", " &amp;Table4[[#This Row],[ES - Metric]]</f>
        <v>Medium agreement, Medium evidence</v>
      </c>
      <c r="J67" s="222">
        <f>(Table4[[#This Row],[LoA_SCORE]]+Table4[[#This Row],[ES_SCORE]])/100</f>
        <v>0.5610966550698856</v>
      </c>
      <c r="K67" s="27"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67" s="27"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67" s="179">
        <f>Table4[[#This Row],[probability_average]]</f>
        <v>4</v>
      </c>
      <c r="N67" s="181">
        <f>Table4[[#This Row],[consequence_average]]</f>
        <v>6.25</v>
      </c>
      <c r="O67" s="220">
        <f>Table4[[#This Row],[agreementPCT_score]]+Table4[[#This Row],[agreement_dist_score]]+Table4[[#This Row],[LoA_AQ_score]]</f>
        <v>30</v>
      </c>
      <c r="P67" s="203">
        <f>Table4[[#This Row],[evidenceconsistency_score]]+Table4[[#This Row],[EQ_score]]+Table4[[#This Row],[EA_score]]+Table4[[#This Row],[ET_score]]</f>
        <v>26.109665506988559</v>
      </c>
      <c r="Q67" s="181">
        <f>VLOOKUP(Table4[[#This Row],[risk_id]],Table3[],10,FALSE)</f>
        <v>6.25</v>
      </c>
      <c r="R67" s="181">
        <f>VLOOKUP(Table4[[#This Row],[risk_id]],Table3[],9,FALSE)</f>
        <v>25</v>
      </c>
      <c r="S67" s="179">
        <f>VLOOKUP(Table4[[#This Row],[risk_id]],Table3[],7,FALSE)</f>
        <v>4</v>
      </c>
      <c r="T67" s="179">
        <f>VLOOKUP(Table4[[#This Row],[risk_id]],Table3[],6,FALSE)</f>
        <v>16</v>
      </c>
      <c r="U67" s="177">
        <f t="shared" si="5"/>
        <v>12.5</v>
      </c>
      <c r="V67" s="187">
        <f>10</f>
        <v>10</v>
      </c>
      <c r="W67" s="187">
        <f>30</f>
        <v>30</v>
      </c>
      <c r="X67" s="17">
        <f>VLOOKUP(Table4[[#This Row],[risk_id]],Table3[],5,FALSE)</f>
        <v>4</v>
      </c>
      <c r="Y67" s="17">
        <f>94</f>
        <v>94</v>
      </c>
      <c r="Z67" s="177">
        <f>Table4[[#This Row],[EStype_summed]]*Table4[[#This Row],[Indicator_12.5pct]]</f>
        <v>9.375</v>
      </c>
      <c r="AA67" s="190">
        <f>(IF(Table4[[#This Row],[all_evtype]]&gt;=4,"4", IF(Table4[[#This Row],[all_evtype]]&gt;=3,"3", IF(Table4[[#This Row],[all_evtype]]&gt;=2,"2", IF(Table4[[#This Row],[all_evtype]]&gt;=1,"1","0")))))/Table4[[#This Row],[HPS_et]]</f>
        <v>0.75</v>
      </c>
      <c r="AB67" s="191">
        <f>VLOOKUP(Table4[[#This Row],[risk_id]],Table3[], 14, FALSE)</f>
        <v>1</v>
      </c>
      <c r="AC67" s="191">
        <f>VLOOKUP(Table4[[#This Row],[risk_id]],Table3[], 15, FALSE)</f>
        <v>1</v>
      </c>
      <c r="AD67" s="191">
        <f>VLOOKUP(Table4[[#This Row],[risk_id]], Table3[], 16, FALSE)</f>
        <v>2</v>
      </c>
      <c r="AE67" s="191">
        <f>VLOOKUP(Table4[[#This Row],[risk_id]], Table3[], 17, )</f>
        <v>0</v>
      </c>
      <c r="AF67" s="191">
        <f>4</f>
        <v>4</v>
      </c>
      <c r="AG67" s="191">
        <f>COUNTIF(Table4[[#This Row],[THEO]:[MOD]], "&gt;=1")</f>
        <v>3</v>
      </c>
      <c r="AH67" s="192">
        <f>Table4[[#This Row],[data_observations]]/Table4[[#This Row],[AllObservations_count]]</f>
        <v>4.2553191489361701E-2</v>
      </c>
      <c r="AI67" s="189">
        <f>Table4[[#This Row],[evidenceamount_pct]]*(Table4[[#This Row],[Indicator_12.5pct]])</f>
        <v>0.53191489361702127</v>
      </c>
      <c r="AJ67" s="198">
        <f>(1-(VLOOKUP(Table4[[#This Row],[risk_id]],Table3[],18, FALSE))/(Table4[[#This Row],[data_observations]]))</f>
        <v>1</v>
      </c>
      <c r="AK67" s="198">
        <f>((VLOOKUP(Table4[[#This Row],[risk_id]],Table3[],19, FALSE))+((VLOOKUP(Table4[[#This Row],[risk_id]],Table3[],36, FALSE))*0.5))/(Table4[[#This Row],[data_observations]])</f>
        <v>0.375</v>
      </c>
      <c r="AL67" s="177">
        <f>((Table4[[#This Row],[ev_data_deficient_score]]*0.5)+(Table4[[#This Row],[ev_data_availability_score]]*0.5))*(Table4[[#This Row],[Indicator_12.5pct]])</f>
        <v>8.59375</v>
      </c>
      <c r="AM67" s="199">
        <f>Table4[[#This Row],[RiskScore]]</f>
        <v>25</v>
      </c>
      <c r="AN67" s="200">
        <f>VLOOKUP(Table4[[#This Row],[risk_id]], Table3[], 13, FALSE)</f>
        <v>9.7819987732569249</v>
      </c>
      <c r="AO67" s="185">
        <f>(1-(Table4[[#This Row],[evidence_SD_RR]]/Table4[[#This Row],[evidence_mean_RR]]))*(Table4[[#This Row],[Indicator_12.5pct]])</f>
        <v>7.6090006133715375</v>
      </c>
      <c r="AP67" s="201">
        <f>VLOOKUP(Table4[[#This Row],[risk_id]],Table3[],21, FALSE)</f>
        <v>0</v>
      </c>
      <c r="AQ67" s="201">
        <f>VLOOKUP(Table4[[#This Row],[risk_id]],Table3[],23, FALSE)</f>
        <v>0.5</v>
      </c>
      <c r="AR67" s="201">
        <f>VLOOKUP(Table4[[#This Row],[risk_id]],Table3[],25, FALSE)</f>
        <v>0.5</v>
      </c>
      <c r="AS67" s="201">
        <f>VLOOKUP(Table4[[#This Row],[risk_id]],Table3[],27, FALSE)</f>
        <v>0</v>
      </c>
      <c r="AT67" s="183">
        <f>(MAX(Table4[[#This Row],[C]:[U]]))*Table4[[#This Row],[Indicator_20pct]]</f>
        <v>5</v>
      </c>
      <c r="AU67" s="205">
        <f>COUNTIFS(Table4[[#This Row],[C]], "&gt;0", Table4[[#This Row],[U]], "&gt;0") + COUNTIFS(Table4[[#This Row],[H]], "&gt;0", Table4[[#This Row],[U]], "&gt;0") + COUNTIFS(Table4[[#This Row],[C]], "&gt;0", Table4[[#This Row],[M]], "&gt;0")</f>
        <v>0</v>
      </c>
      <c r="AV67" s="219">
        <f>((-(Table4[[#This Row],[different_scores_count]]-3))/3)*Table4[[#This Row],[Indicator_20pct]]</f>
        <v>10</v>
      </c>
      <c r="AW67" s="183">
        <f>IF(Table4[[#This Row],[data_observations]]&gt;=5, 30, IF(Table4[[#This Row],[data_observations]]&gt;=3, 15, 0))</f>
        <v>15</v>
      </c>
      <c r="AX67" s="26" t="s">
        <v>2737</v>
      </c>
    </row>
    <row r="68" spans="1:50" ht="32" hidden="1" customHeight="1" x14ac:dyDescent="0.2">
      <c r="A68" s="16" t="s">
        <v>2702</v>
      </c>
      <c r="B68" s="16" t="str">
        <f>VLOOKUP(Table4[[#This Row],[risk_id]], Table3[], 35, FALSE)</f>
        <v>Risk</v>
      </c>
      <c r="C68" s="16" t="str">
        <f>VLOOKUP(Table4[[#This Row],[risk_id]], Table3[], 2, FALSE)</f>
        <v>Pollutants</v>
      </c>
      <c r="D68" s="15" t="str">
        <f>VLOOKUP(Table4[[#This Row],[risk_id]], Table3[], 3, FALSE)</f>
        <v>Oil spill (HFO)</v>
      </c>
      <c r="E68"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68" s="300">
        <f t="shared" si="4"/>
        <v>24.921875</v>
      </c>
      <c r="G68" s="31">
        <f>Table4[[#This Row],[DataQuality_Score]]</f>
        <v>0.63519775971909609</v>
      </c>
      <c r="H68"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68" s="27" t="str">
        <f>Table4[[#This Row],[LoA - Metric]]&amp; ", " &amp;Table4[[#This Row],[ES - Metric]]</f>
        <v>High agreement, Medium evidence</v>
      </c>
      <c r="J68" s="222">
        <f>(Table4[[#This Row],[LoA_SCORE]]+Table4[[#This Row],[ES_SCORE]])/100</f>
        <v>0.63519775971909609</v>
      </c>
      <c r="K68"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68"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68" s="179">
        <f>Table4[[#This Row],[probability_average]]</f>
        <v>2.75</v>
      </c>
      <c r="N68" s="181">
        <f>Table4[[#This Row],[consequence_average]]</f>
        <v>9.0625</v>
      </c>
      <c r="O68" s="220">
        <f>Table4[[#This Row],[agreementPCT_score]]+Table4[[#This Row],[agreement_dist_score]]+Table4[[#This Row],[LoA_AQ_score]]</f>
        <v>34.117647058823529</v>
      </c>
      <c r="P68" s="203">
        <f>Table4[[#This Row],[evidenceconsistency_score]]+Table4[[#This Row],[EQ_score]]+Table4[[#This Row],[EA_score]]+Table4[[#This Row],[ET_score]]</f>
        <v>29.402128913086077</v>
      </c>
      <c r="Q68" s="181">
        <f>VLOOKUP(Table4[[#This Row],[risk_id]],Table3[],10,FALSE)</f>
        <v>9.0625</v>
      </c>
      <c r="R68" s="181">
        <f>VLOOKUP(Table4[[#This Row],[risk_id]],Table3[],9,FALSE)</f>
        <v>145</v>
      </c>
      <c r="S68" s="179">
        <f>VLOOKUP(Table4[[#This Row],[risk_id]],Table3[],7,FALSE)</f>
        <v>2.75</v>
      </c>
      <c r="T68" s="179">
        <f>VLOOKUP(Table4[[#This Row],[risk_id]],Table3[],6,FALSE)</f>
        <v>44</v>
      </c>
      <c r="U68" s="177">
        <f t="shared" si="5"/>
        <v>12.5</v>
      </c>
      <c r="V68" s="187">
        <f>10</f>
        <v>10</v>
      </c>
      <c r="W68" s="187">
        <f>30</f>
        <v>30</v>
      </c>
      <c r="X68" s="17">
        <f>VLOOKUP(Table4[[#This Row],[risk_id]],Table3[],5,FALSE)</f>
        <v>17</v>
      </c>
      <c r="Y68" s="17">
        <f>94</f>
        <v>94</v>
      </c>
      <c r="Z68" s="177">
        <f>Table4[[#This Row],[EStype_summed]]*Table4[[#This Row],[Indicator_12.5pct]]</f>
        <v>12.5</v>
      </c>
      <c r="AA68" s="190">
        <f>(IF(Table4[[#This Row],[all_evtype]]&gt;=4,"4", IF(Table4[[#This Row],[all_evtype]]&gt;=3,"3", IF(Table4[[#This Row],[all_evtype]]&gt;=2,"2", IF(Table4[[#This Row],[all_evtype]]&gt;=1,"1","0")))))/Table4[[#This Row],[HPS_et]]</f>
        <v>1</v>
      </c>
      <c r="AB68" s="191">
        <f>VLOOKUP(Table4[[#This Row],[risk_id]],Table3[], 14, FALSE)</f>
        <v>7</v>
      </c>
      <c r="AC68" s="191">
        <f>VLOOKUP(Table4[[#This Row],[risk_id]],Table3[], 15, FALSE)</f>
        <v>6</v>
      </c>
      <c r="AD68" s="191">
        <f>VLOOKUP(Table4[[#This Row],[risk_id]], Table3[], 16, FALSE)</f>
        <v>2</v>
      </c>
      <c r="AE68" s="191">
        <f>VLOOKUP(Table4[[#This Row],[risk_id]], Table3[], 17, )</f>
        <v>2</v>
      </c>
      <c r="AF68" s="191">
        <f>4</f>
        <v>4</v>
      </c>
      <c r="AG68" s="191">
        <f>COUNTIF(Table4[[#This Row],[THEO]:[MOD]], "&gt;=1")</f>
        <v>4</v>
      </c>
      <c r="AH68" s="192">
        <f>Table4[[#This Row],[data_observations]]/Table4[[#This Row],[AllObservations_count]]</f>
        <v>0.18085106382978725</v>
      </c>
      <c r="AI68" s="189">
        <f>Table4[[#This Row],[evidenceamount_pct]]*(Table4[[#This Row],[Indicator_12.5pct]])</f>
        <v>2.2606382978723407</v>
      </c>
      <c r="AJ68" s="198">
        <f>(1-(VLOOKUP(Table4[[#This Row],[risk_id]],Table3[],18, FALSE))/(Table4[[#This Row],[data_observations]]))</f>
        <v>0.82352941176470584</v>
      </c>
      <c r="AK68" s="198">
        <f>((VLOOKUP(Table4[[#This Row],[risk_id]],Table3[],19, FALSE))+((VLOOKUP(Table4[[#This Row],[risk_id]],Table3[],36, FALSE))*0.5))/(Table4[[#This Row],[data_observations]])</f>
        <v>0.38235294117647056</v>
      </c>
      <c r="AL68" s="177">
        <f>((Table4[[#This Row],[ev_data_deficient_score]]*0.5)+(Table4[[#This Row],[ev_data_availability_score]]*0.5))*(Table4[[#This Row],[Indicator_12.5pct]])</f>
        <v>7.5367647058823524</v>
      </c>
      <c r="AM68" s="199">
        <f>Table4[[#This Row],[RiskScore]]</f>
        <v>24.921875</v>
      </c>
      <c r="AN68" s="200">
        <f>VLOOKUP(Table4[[#This Row],[risk_id]], Table3[], 13, FALSE)</f>
        <v>10.756827718270552</v>
      </c>
      <c r="AO68" s="185">
        <f>(1-(Table4[[#This Row],[evidence_SD_RR]]/Table4[[#This Row],[evidence_mean_RR]]))*(Table4[[#This Row],[Indicator_12.5pct]])</f>
        <v>7.1047259093313846</v>
      </c>
      <c r="AP68" s="201">
        <f>VLOOKUP(Table4[[#This Row],[risk_id]],Table3[],21, FALSE)</f>
        <v>5.8823529411764705E-2</v>
      </c>
      <c r="AQ68" s="201">
        <f>VLOOKUP(Table4[[#This Row],[risk_id]],Table3[],23, FALSE)</f>
        <v>0.41176470588235292</v>
      </c>
      <c r="AR68" s="201">
        <f>VLOOKUP(Table4[[#This Row],[risk_id]],Table3[],25, FALSE)</f>
        <v>0.41176470588235292</v>
      </c>
      <c r="AS68" s="201">
        <f>VLOOKUP(Table4[[#This Row],[risk_id]],Table3[],27, FALSE)</f>
        <v>0.11764705882352941</v>
      </c>
      <c r="AT68" s="183">
        <f>(MAX(Table4[[#This Row],[C]:[U]]))*Table4[[#This Row],[Indicator_20pct]]</f>
        <v>4.117647058823529</v>
      </c>
      <c r="AU68" s="205">
        <f>COUNTIFS(Table4[[#This Row],[C]], "&gt;0", Table4[[#This Row],[U]], "&gt;0") + COUNTIFS(Table4[[#This Row],[H]], "&gt;0", Table4[[#This Row],[U]], "&gt;0") + COUNTIFS(Table4[[#This Row],[C]], "&gt;0", Table4[[#This Row],[M]], "&gt;0")</f>
        <v>3</v>
      </c>
      <c r="AV68" s="219">
        <f>((-(Table4[[#This Row],[different_scores_count]]-3))/3)*Table4[[#This Row],[Indicator_20pct]]</f>
        <v>0</v>
      </c>
      <c r="AW68" s="183">
        <f>IF(Table4[[#This Row],[data_observations]]&gt;=5, 30, IF(Table4[[#This Row],[data_observations]]&gt;=3, 15, 0))</f>
        <v>30</v>
      </c>
      <c r="AX68" s="26" t="s">
        <v>2737</v>
      </c>
    </row>
    <row r="69" spans="1:50" ht="32" hidden="1" customHeight="1" x14ac:dyDescent="0.2">
      <c r="A69" s="16" t="s">
        <v>570</v>
      </c>
      <c r="B69" s="16" t="str">
        <f>VLOOKUP(Table4[[#This Row],[risk_id]], Table3[], 35, FALSE)</f>
        <v>Risk</v>
      </c>
      <c r="C69" s="16" t="str">
        <f>VLOOKUP(Table4[[#This Row],[risk_id]], Table3[], 2, FALSE)</f>
        <v>Assessment</v>
      </c>
      <c r="D69" s="15" t="str">
        <f>VLOOKUP(Table4[[#This Row],[risk_id]], Table3[], 3, FALSE)</f>
        <v>Lack of risk analysis</v>
      </c>
      <c r="E69"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69" s="300">
        <f t="shared" si="4"/>
        <v>24.84</v>
      </c>
      <c r="G69" s="31">
        <f>Table4[[#This Row],[DataQuality_Score]]</f>
        <v>0.74954647911837724</v>
      </c>
      <c r="H69"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69" s="27" t="str">
        <f>Table4[[#This Row],[LoA - Metric]]&amp; ", " &amp;Table4[[#This Row],[ES - Metric]]</f>
        <v>High agreement, Medium evidence</v>
      </c>
      <c r="J69" s="222">
        <f>(Table4[[#This Row],[LoA_SCORE]]+Table4[[#This Row],[ES_SCORE]])/100</f>
        <v>0.74954647911837724</v>
      </c>
      <c r="K69"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69"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69" s="179">
        <f>Table4[[#This Row],[probability_average]]</f>
        <v>4.5999999999999996</v>
      </c>
      <c r="N69" s="181">
        <f>Table4[[#This Row],[consequence_average]]</f>
        <v>5.4</v>
      </c>
      <c r="O69" s="220">
        <f>Table4[[#This Row],[agreementPCT_score]]+Table4[[#This Row],[agreement_dist_score]]+Table4[[#This Row],[LoA_AQ_score]]</f>
        <v>46</v>
      </c>
      <c r="P69" s="203">
        <f>Table4[[#This Row],[evidenceconsistency_score]]+Table4[[#This Row],[EQ_score]]+Table4[[#This Row],[EA_score]]+Table4[[#This Row],[ET_score]]</f>
        <v>28.954647911837728</v>
      </c>
      <c r="Q69" s="181">
        <f>VLOOKUP(Table4[[#This Row],[risk_id]],Table3[],10,FALSE)</f>
        <v>5.4</v>
      </c>
      <c r="R69" s="181">
        <f>VLOOKUP(Table4[[#This Row],[risk_id]],Table3[],9,FALSE)</f>
        <v>27</v>
      </c>
      <c r="S69" s="179">
        <f>VLOOKUP(Table4[[#This Row],[risk_id]],Table3[],7,FALSE)</f>
        <v>4.5999999999999996</v>
      </c>
      <c r="T69" s="179">
        <f>VLOOKUP(Table4[[#This Row],[risk_id]],Table3[],6,FALSE)</f>
        <v>23</v>
      </c>
      <c r="U69" s="177">
        <f t="shared" si="5"/>
        <v>12.5</v>
      </c>
      <c r="V69" s="187">
        <f>10</f>
        <v>10</v>
      </c>
      <c r="W69" s="187">
        <f>30</f>
        <v>30</v>
      </c>
      <c r="X69" s="17">
        <f>VLOOKUP(Table4[[#This Row],[risk_id]],Table3[],5,FALSE)</f>
        <v>5</v>
      </c>
      <c r="Y69" s="17">
        <f>94</f>
        <v>94</v>
      </c>
      <c r="Z69" s="177">
        <f>Table4[[#This Row],[EStype_summed]]*Table4[[#This Row],[Indicator_12.5pct]]</f>
        <v>12.5</v>
      </c>
      <c r="AA69" s="190">
        <f>(IF(Table4[[#This Row],[all_evtype]]&gt;=4,"4", IF(Table4[[#This Row],[all_evtype]]&gt;=3,"3", IF(Table4[[#This Row],[all_evtype]]&gt;=2,"2", IF(Table4[[#This Row],[all_evtype]]&gt;=1,"1","0")))))/Table4[[#This Row],[HPS_et]]</f>
        <v>1</v>
      </c>
      <c r="AB69" s="191">
        <f>VLOOKUP(Table4[[#This Row],[risk_id]],Table3[], 14, FALSE)</f>
        <v>2</v>
      </c>
      <c r="AC69" s="191">
        <f>VLOOKUP(Table4[[#This Row],[risk_id]],Table3[], 15, FALSE)</f>
        <v>1</v>
      </c>
      <c r="AD69" s="191">
        <f>VLOOKUP(Table4[[#This Row],[risk_id]], Table3[], 16, FALSE)</f>
        <v>1</v>
      </c>
      <c r="AE69" s="191">
        <f>VLOOKUP(Table4[[#This Row],[risk_id]], Table3[], 17, )</f>
        <v>1</v>
      </c>
      <c r="AF69" s="191">
        <f>4</f>
        <v>4</v>
      </c>
      <c r="AG69" s="191">
        <f>COUNTIF(Table4[[#This Row],[THEO]:[MOD]], "&gt;=1")</f>
        <v>4</v>
      </c>
      <c r="AH69" s="192">
        <f>Table4[[#This Row],[data_observations]]/Table4[[#This Row],[AllObservations_count]]</f>
        <v>5.3191489361702128E-2</v>
      </c>
      <c r="AI69" s="189">
        <f>Table4[[#This Row],[evidenceamount_pct]]*(Table4[[#This Row],[Indicator_12.5pct]])</f>
        <v>0.66489361702127658</v>
      </c>
      <c r="AJ69" s="198">
        <f>(1-(VLOOKUP(Table4[[#This Row],[risk_id]],Table3[],18, FALSE))/(Table4[[#This Row],[data_observations]]))</f>
        <v>0.8</v>
      </c>
      <c r="AK69" s="198">
        <f>((VLOOKUP(Table4[[#This Row],[risk_id]],Table3[],19, FALSE))+((VLOOKUP(Table4[[#This Row],[risk_id]],Table3[],36, FALSE))*0.5))/(Table4[[#This Row],[data_observations]])</f>
        <v>0.4</v>
      </c>
      <c r="AL69" s="177">
        <f>((Table4[[#This Row],[ev_data_deficient_score]]*0.5)+(Table4[[#This Row],[ev_data_availability_score]]*0.5))*(Table4[[#This Row],[Indicator_12.5pct]])</f>
        <v>7.5000000000000009</v>
      </c>
      <c r="AM69" s="199">
        <f>Table4[[#This Row],[RiskScore]]</f>
        <v>24.84</v>
      </c>
      <c r="AN69" s="200">
        <f>VLOOKUP(Table4[[#This Row],[risk_id]], Table3[], 13, FALSE)</f>
        <v>8.3666002653407556</v>
      </c>
      <c r="AO69" s="185">
        <f>(1-(Table4[[#This Row],[evidence_SD_RR]]/Table4[[#This Row],[evidence_mean_RR]]))*(Table4[[#This Row],[Indicator_12.5pct]])</f>
        <v>8.2897542948164489</v>
      </c>
      <c r="AP69" s="201">
        <f>VLOOKUP(Table4[[#This Row],[risk_id]],Table3[],21, FALSE)</f>
        <v>0</v>
      </c>
      <c r="AQ69" s="201">
        <f>VLOOKUP(Table4[[#This Row],[risk_id]],Table3[],23, FALSE)</f>
        <v>0.4</v>
      </c>
      <c r="AR69" s="201">
        <f>VLOOKUP(Table4[[#This Row],[risk_id]],Table3[],25, FALSE)</f>
        <v>0.6</v>
      </c>
      <c r="AS69" s="201">
        <f>VLOOKUP(Table4[[#This Row],[risk_id]],Table3[],27, FALSE)</f>
        <v>0</v>
      </c>
      <c r="AT69" s="183">
        <f>(MAX(Table4[[#This Row],[C]:[U]]))*Table4[[#This Row],[Indicator_20pct]]</f>
        <v>6</v>
      </c>
      <c r="AU69" s="205">
        <f>COUNTIFS(Table4[[#This Row],[C]], "&gt;0", Table4[[#This Row],[U]], "&gt;0") + COUNTIFS(Table4[[#This Row],[H]], "&gt;0", Table4[[#This Row],[U]], "&gt;0") + COUNTIFS(Table4[[#This Row],[C]], "&gt;0", Table4[[#This Row],[M]], "&gt;0")</f>
        <v>0</v>
      </c>
      <c r="AV69" s="219">
        <f>((-(Table4[[#This Row],[different_scores_count]]-3))/3)*Table4[[#This Row],[Indicator_20pct]]</f>
        <v>10</v>
      </c>
      <c r="AW69" s="183">
        <f>IF(Table4[[#This Row],[data_observations]]&gt;=5, 30, IF(Table4[[#This Row],[data_observations]]&gt;=3, 15, 0))</f>
        <v>30</v>
      </c>
      <c r="AX69" s="26" t="s">
        <v>2736</v>
      </c>
    </row>
    <row r="70" spans="1:50" ht="32" hidden="1" customHeight="1" x14ac:dyDescent="0.2">
      <c r="A70" s="16" t="s">
        <v>512</v>
      </c>
      <c r="B70" s="16" t="str">
        <f>VLOOKUP(Table4[[#This Row],[risk_id]], Table3[], 35, FALSE)</f>
        <v>Risk</v>
      </c>
      <c r="C70" s="16" t="str">
        <f>VLOOKUP(Table4[[#This Row],[risk_id]], Table3[], 2, FALSE)</f>
        <v>Assessment</v>
      </c>
      <c r="D70" s="15" t="str">
        <f>VLOOKUP(Table4[[#This Row],[risk_id]], Table3[], 3, FALSE)</f>
        <v>Field-model descrepencies</v>
      </c>
      <c r="E70"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70" s="300">
        <f t="shared" si="4"/>
        <v>24.75</v>
      </c>
      <c r="G70" s="31">
        <f>Table4[[#This Row],[DataQuality_Score]]</f>
        <v>0.44495755426606493</v>
      </c>
      <c r="H70"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70" s="27" t="str">
        <f>Table4[[#This Row],[LoA - Metric]]&amp; ", " &amp;Table4[[#This Row],[ES - Metric]]</f>
        <v>Low agreement, Medium evidence</v>
      </c>
      <c r="J70" s="222">
        <f>(Table4[[#This Row],[LoA_SCORE]]+Table4[[#This Row],[ES_SCORE]])/100</f>
        <v>0.44495755426606493</v>
      </c>
      <c r="K70"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70"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70" s="179">
        <f>Table4[[#This Row],[probability_average]]</f>
        <v>4.5</v>
      </c>
      <c r="N70" s="181">
        <f>Table4[[#This Row],[consequence_average]]</f>
        <v>5.5</v>
      </c>
      <c r="O70" s="220">
        <f>Table4[[#This Row],[agreementPCT_score]]+Table4[[#This Row],[agreement_dist_score]]+Table4[[#This Row],[LoA_AQ_score]]</f>
        <v>15</v>
      </c>
      <c r="P70" s="203">
        <f>Table4[[#This Row],[evidenceconsistency_score]]+Table4[[#This Row],[EQ_score]]+Table4[[#This Row],[EA_score]]+Table4[[#This Row],[ET_score]]</f>
        <v>29.49575542660649</v>
      </c>
      <c r="Q70" s="181">
        <f>VLOOKUP(Table4[[#This Row],[risk_id]],Table3[],10,FALSE)</f>
        <v>5.5</v>
      </c>
      <c r="R70" s="181">
        <f>VLOOKUP(Table4[[#This Row],[risk_id]],Table3[],9,FALSE)</f>
        <v>11</v>
      </c>
      <c r="S70" s="179">
        <f>VLOOKUP(Table4[[#This Row],[risk_id]],Table3[],7,FALSE)</f>
        <v>4.5</v>
      </c>
      <c r="T70" s="179">
        <f>VLOOKUP(Table4[[#This Row],[risk_id]],Table3[],6,FALSE)</f>
        <v>9</v>
      </c>
      <c r="U70" s="177">
        <f t="shared" si="5"/>
        <v>12.5</v>
      </c>
      <c r="V70" s="187">
        <f>10</f>
        <v>10</v>
      </c>
      <c r="W70" s="187">
        <f>30</f>
        <v>30</v>
      </c>
      <c r="X70" s="17">
        <f>VLOOKUP(Table4[[#This Row],[risk_id]],Table3[],5,FALSE)</f>
        <v>2</v>
      </c>
      <c r="Y70" s="17">
        <f>94</f>
        <v>94</v>
      </c>
      <c r="Z70" s="177">
        <f>Table4[[#This Row],[EStype_summed]]*Table4[[#This Row],[Indicator_12.5pct]]</f>
        <v>6.25</v>
      </c>
      <c r="AA70" s="190">
        <f>(IF(Table4[[#This Row],[all_evtype]]&gt;=4,"4", IF(Table4[[#This Row],[all_evtype]]&gt;=3,"3", IF(Table4[[#This Row],[all_evtype]]&gt;=2,"2", IF(Table4[[#This Row],[all_evtype]]&gt;=1,"1","0")))))/Table4[[#This Row],[HPS_et]]</f>
        <v>0.5</v>
      </c>
      <c r="AB70" s="191">
        <f>VLOOKUP(Table4[[#This Row],[risk_id]],Table3[], 14, FALSE)</f>
        <v>0</v>
      </c>
      <c r="AC70" s="191">
        <f>VLOOKUP(Table4[[#This Row],[risk_id]],Table3[], 15, FALSE)</f>
        <v>1</v>
      </c>
      <c r="AD70" s="191">
        <f>VLOOKUP(Table4[[#This Row],[risk_id]], Table3[], 16, FALSE)</f>
        <v>0</v>
      </c>
      <c r="AE70" s="191">
        <f>VLOOKUP(Table4[[#This Row],[risk_id]], Table3[], 17, )</f>
        <v>1</v>
      </c>
      <c r="AF70" s="191">
        <f>4</f>
        <v>4</v>
      </c>
      <c r="AG70" s="191">
        <f>COUNTIF(Table4[[#This Row],[THEO]:[MOD]], "&gt;=1")</f>
        <v>2</v>
      </c>
      <c r="AH70" s="192">
        <f>Table4[[#This Row],[data_observations]]/Table4[[#This Row],[AllObservations_count]]</f>
        <v>2.1276595744680851E-2</v>
      </c>
      <c r="AI70" s="189">
        <f>Table4[[#This Row],[evidenceamount_pct]]*(Table4[[#This Row],[Indicator_12.5pct]])</f>
        <v>0.26595744680851063</v>
      </c>
      <c r="AJ70" s="198">
        <f>(1-(VLOOKUP(Table4[[#This Row],[risk_id]],Table3[],18, FALSE))/(Table4[[#This Row],[data_observations]]))</f>
        <v>1</v>
      </c>
      <c r="AK70" s="198">
        <f>((VLOOKUP(Table4[[#This Row],[risk_id]],Table3[],19, FALSE))+((VLOOKUP(Table4[[#This Row],[risk_id]],Table3[],36, FALSE))*0.5))/(Table4[[#This Row],[data_observations]])</f>
        <v>1</v>
      </c>
      <c r="AL70" s="177">
        <f>((Table4[[#This Row],[ev_data_deficient_score]]*0.5)+(Table4[[#This Row],[ev_data_availability_score]]*0.5))*(Table4[[#This Row],[Indicator_12.5pct]])</f>
        <v>12.5</v>
      </c>
      <c r="AM70" s="199">
        <f>Table4[[#This Row],[RiskScore]]</f>
        <v>24.75</v>
      </c>
      <c r="AN70" s="200">
        <f>VLOOKUP(Table4[[#This Row],[risk_id]], Table3[], 13, FALSE)</f>
        <v>4</v>
      </c>
      <c r="AO70" s="185">
        <f>(1-(Table4[[#This Row],[evidence_SD_RR]]/Table4[[#This Row],[evidence_mean_RR]]))*(Table4[[#This Row],[Indicator_12.5pct]])</f>
        <v>10.479797979797979</v>
      </c>
      <c r="AP70" s="201">
        <f>VLOOKUP(Table4[[#This Row],[risk_id]],Table3[],21, FALSE)</f>
        <v>0</v>
      </c>
      <c r="AQ70" s="201">
        <f>VLOOKUP(Table4[[#This Row],[risk_id]],Table3[],23, FALSE)</f>
        <v>0.5</v>
      </c>
      <c r="AR70" s="201">
        <f>VLOOKUP(Table4[[#This Row],[risk_id]],Table3[],25, FALSE)</f>
        <v>0.5</v>
      </c>
      <c r="AS70" s="201">
        <f>VLOOKUP(Table4[[#This Row],[risk_id]],Table3[],27, FALSE)</f>
        <v>0</v>
      </c>
      <c r="AT70" s="183">
        <f>(MAX(Table4[[#This Row],[C]:[U]]))*Table4[[#This Row],[Indicator_20pct]]</f>
        <v>5</v>
      </c>
      <c r="AU70" s="205">
        <f>COUNTIFS(Table4[[#This Row],[C]], "&gt;0", Table4[[#This Row],[U]], "&gt;0") + COUNTIFS(Table4[[#This Row],[H]], "&gt;0", Table4[[#This Row],[U]], "&gt;0") + COUNTIFS(Table4[[#This Row],[C]], "&gt;0", Table4[[#This Row],[M]], "&gt;0")</f>
        <v>0</v>
      </c>
      <c r="AV70" s="219">
        <f>((-(Table4[[#This Row],[different_scores_count]]-3))/3)*Table4[[#This Row],[Indicator_20pct]]</f>
        <v>10</v>
      </c>
      <c r="AW70" s="183">
        <f>IF(Table4[[#This Row],[data_observations]]&gt;=5, 30, IF(Table4[[#This Row],[data_observations]]&gt;=3, 15, 0))</f>
        <v>0</v>
      </c>
      <c r="AX70" s="26" t="s">
        <v>2737</v>
      </c>
    </row>
    <row r="71" spans="1:50" ht="32" hidden="1" customHeight="1" x14ac:dyDescent="0.2">
      <c r="A71" s="16" t="s">
        <v>509</v>
      </c>
      <c r="B71" s="16" t="str">
        <f>VLOOKUP(Table4[[#This Row],[risk_id]], Table3[], 35, FALSE)</f>
        <v>Risk</v>
      </c>
      <c r="C71" s="16" t="str">
        <f>VLOOKUP(Table4[[#This Row],[risk_id]], Table3[], 2, FALSE)</f>
        <v>Assessment</v>
      </c>
      <c r="D71" s="15" t="str">
        <f>VLOOKUP(Table4[[#This Row],[risk_id]], Table3[], 3, FALSE)</f>
        <v>Dependance on climate modelling</v>
      </c>
      <c r="E71"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71" s="300">
        <f t="shared" si="4"/>
        <v>24.75</v>
      </c>
      <c r="G71" s="31">
        <f>Table4[[#This Row],[DataQuality_Score]]</f>
        <v>0.41370755426606493</v>
      </c>
      <c r="H71"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71" s="27" t="str">
        <f>Table4[[#This Row],[LoA - Metric]]&amp; ", " &amp;Table4[[#This Row],[ES - Metric]]</f>
        <v>Low agreement, Medium evidence</v>
      </c>
      <c r="J71" s="222">
        <f>(Table4[[#This Row],[LoA_SCORE]]+Table4[[#This Row],[ES_SCORE]])/100</f>
        <v>0.41370755426606493</v>
      </c>
      <c r="K71"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71"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71" s="179">
        <f>Table4[[#This Row],[probability_average]]</f>
        <v>4.5</v>
      </c>
      <c r="N71" s="181">
        <f>Table4[[#This Row],[consequence_average]]</f>
        <v>5.5</v>
      </c>
      <c r="O71" s="220">
        <f>Table4[[#This Row],[agreementPCT_score]]+Table4[[#This Row],[agreement_dist_score]]+Table4[[#This Row],[LoA_AQ_score]]</f>
        <v>15</v>
      </c>
      <c r="P71" s="203">
        <f>Table4[[#This Row],[evidenceconsistency_score]]+Table4[[#This Row],[EQ_score]]+Table4[[#This Row],[EA_score]]+Table4[[#This Row],[ET_score]]</f>
        <v>26.37075542660649</v>
      </c>
      <c r="Q71" s="181">
        <f>VLOOKUP(Table4[[#This Row],[risk_id]],Table3[],10,FALSE)</f>
        <v>5.5</v>
      </c>
      <c r="R71" s="181">
        <f>VLOOKUP(Table4[[#This Row],[risk_id]],Table3[],9,FALSE)</f>
        <v>11</v>
      </c>
      <c r="S71" s="179">
        <f>VLOOKUP(Table4[[#This Row],[risk_id]],Table3[],7,FALSE)</f>
        <v>4.5</v>
      </c>
      <c r="T71" s="179">
        <f>VLOOKUP(Table4[[#This Row],[risk_id]],Table3[],6,FALSE)</f>
        <v>9</v>
      </c>
      <c r="U71" s="177">
        <f t="shared" si="5"/>
        <v>12.5</v>
      </c>
      <c r="V71" s="187">
        <f>10</f>
        <v>10</v>
      </c>
      <c r="W71" s="187">
        <f>30</f>
        <v>30</v>
      </c>
      <c r="X71" s="17">
        <f>VLOOKUP(Table4[[#This Row],[risk_id]],Table3[],5,FALSE)</f>
        <v>2</v>
      </c>
      <c r="Y71" s="17">
        <f>94</f>
        <v>94</v>
      </c>
      <c r="Z71" s="177">
        <f>Table4[[#This Row],[EStype_summed]]*Table4[[#This Row],[Indicator_12.5pct]]</f>
        <v>6.25</v>
      </c>
      <c r="AA71" s="190">
        <f>(IF(Table4[[#This Row],[all_evtype]]&gt;=4,"4", IF(Table4[[#This Row],[all_evtype]]&gt;=3,"3", IF(Table4[[#This Row],[all_evtype]]&gt;=2,"2", IF(Table4[[#This Row],[all_evtype]]&gt;=1,"1","0")))))/Table4[[#This Row],[HPS_et]]</f>
        <v>0.5</v>
      </c>
      <c r="AB71" s="191">
        <f>VLOOKUP(Table4[[#This Row],[risk_id]],Table3[], 14, FALSE)</f>
        <v>0</v>
      </c>
      <c r="AC71" s="191">
        <f>VLOOKUP(Table4[[#This Row],[risk_id]],Table3[], 15, FALSE)</f>
        <v>1</v>
      </c>
      <c r="AD71" s="191">
        <f>VLOOKUP(Table4[[#This Row],[risk_id]], Table3[], 16, FALSE)</f>
        <v>1</v>
      </c>
      <c r="AE71" s="191">
        <f>VLOOKUP(Table4[[#This Row],[risk_id]], Table3[], 17, )</f>
        <v>0</v>
      </c>
      <c r="AF71" s="191">
        <f>4</f>
        <v>4</v>
      </c>
      <c r="AG71" s="191">
        <f>COUNTIF(Table4[[#This Row],[THEO]:[MOD]], "&gt;=1")</f>
        <v>2</v>
      </c>
      <c r="AH71" s="192">
        <f>Table4[[#This Row],[data_observations]]/Table4[[#This Row],[AllObservations_count]]</f>
        <v>2.1276595744680851E-2</v>
      </c>
      <c r="AI71" s="189">
        <f>Table4[[#This Row],[evidenceamount_pct]]*(Table4[[#This Row],[Indicator_12.5pct]])</f>
        <v>0.26595744680851063</v>
      </c>
      <c r="AJ71" s="198">
        <f>(1-(VLOOKUP(Table4[[#This Row],[risk_id]],Table3[],18, FALSE))/(Table4[[#This Row],[data_observations]]))</f>
        <v>1</v>
      </c>
      <c r="AK71" s="198">
        <f>((VLOOKUP(Table4[[#This Row],[risk_id]],Table3[],19, FALSE))+((VLOOKUP(Table4[[#This Row],[risk_id]],Table3[],36, FALSE))*0.5))/(Table4[[#This Row],[data_observations]])</f>
        <v>0.5</v>
      </c>
      <c r="AL71" s="177">
        <f>((Table4[[#This Row],[ev_data_deficient_score]]*0.5)+(Table4[[#This Row],[ev_data_availability_score]]*0.5))*(Table4[[#This Row],[Indicator_12.5pct]])</f>
        <v>9.375</v>
      </c>
      <c r="AM71" s="199">
        <f>Table4[[#This Row],[RiskScore]]</f>
        <v>24.75</v>
      </c>
      <c r="AN71" s="200">
        <f>VLOOKUP(Table4[[#This Row],[risk_id]], Table3[], 13, FALSE)</f>
        <v>4</v>
      </c>
      <c r="AO71" s="185">
        <f>(1-(Table4[[#This Row],[evidence_SD_RR]]/Table4[[#This Row],[evidence_mean_RR]]))*(Table4[[#This Row],[Indicator_12.5pct]])</f>
        <v>10.479797979797979</v>
      </c>
      <c r="AP71" s="201">
        <f>VLOOKUP(Table4[[#This Row],[risk_id]],Table3[],21, FALSE)</f>
        <v>0</v>
      </c>
      <c r="AQ71" s="201">
        <f>VLOOKUP(Table4[[#This Row],[risk_id]],Table3[],23, FALSE)</f>
        <v>0.5</v>
      </c>
      <c r="AR71" s="201">
        <f>VLOOKUP(Table4[[#This Row],[risk_id]],Table3[],25, FALSE)</f>
        <v>0.5</v>
      </c>
      <c r="AS71" s="201">
        <f>VLOOKUP(Table4[[#This Row],[risk_id]],Table3[],27, FALSE)</f>
        <v>0</v>
      </c>
      <c r="AT71" s="183">
        <f>(MAX(Table4[[#This Row],[C]:[U]]))*Table4[[#This Row],[Indicator_20pct]]</f>
        <v>5</v>
      </c>
      <c r="AU71" s="205">
        <f>COUNTIFS(Table4[[#This Row],[C]], "&gt;0", Table4[[#This Row],[U]], "&gt;0") + COUNTIFS(Table4[[#This Row],[H]], "&gt;0", Table4[[#This Row],[U]], "&gt;0") + COUNTIFS(Table4[[#This Row],[C]], "&gt;0", Table4[[#This Row],[M]], "&gt;0")</f>
        <v>0</v>
      </c>
      <c r="AV71" s="219">
        <f>((-(Table4[[#This Row],[different_scores_count]]-3))/3)*Table4[[#This Row],[Indicator_20pct]]</f>
        <v>10</v>
      </c>
      <c r="AW71" s="183">
        <f>IF(Table4[[#This Row],[data_observations]]&gt;=5, 30, IF(Table4[[#This Row],[data_observations]]&gt;=3, 15, 0))</f>
        <v>0</v>
      </c>
      <c r="AX71" s="26" t="s">
        <v>2737</v>
      </c>
    </row>
    <row r="72" spans="1:50" ht="32" hidden="1" customHeight="1" x14ac:dyDescent="0.2">
      <c r="A72" s="16" t="s">
        <v>518</v>
      </c>
      <c r="B72" s="16" t="str">
        <f>VLOOKUP(Table4[[#This Row],[risk_id]], Table3[], 35, FALSE)</f>
        <v>Risk</v>
      </c>
      <c r="C72" s="16" t="str">
        <f>VLOOKUP(Table4[[#This Row],[risk_id]], Table3[], 2, FALSE)</f>
        <v>Political</v>
      </c>
      <c r="D72" s="15" t="str">
        <f>VLOOKUP(Table4[[#This Row],[risk_id]], Table3[], 3, FALSE)</f>
        <v>Geo-cultural differences</v>
      </c>
      <c r="E72"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72" s="300">
        <f t="shared" si="4"/>
        <v>24.75</v>
      </c>
      <c r="G72" s="31">
        <f>Table4[[#This Row],[DataQuality_Score]]</f>
        <v>0.41370755426606493</v>
      </c>
      <c r="H72"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72" s="27" t="str">
        <f>Table4[[#This Row],[LoA - Metric]]&amp; ", " &amp;Table4[[#This Row],[ES - Metric]]</f>
        <v>Low agreement, Medium evidence</v>
      </c>
      <c r="J72" s="222">
        <f>(Table4[[#This Row],[LoA_SCORE]]+Table4[[#This Row],[ES_SCORE]])/100</f>
        <v>0.41370755426606493</v>
      </c>
      <c r="K72"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72"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72" s="179">
        <f>Table4[[#This Row],[probability_average]]</f>
        <v>4.5</v>
      </c>
      <c r="N72" s="181">
        <f>Table4[[#This Row],[consequence_average]]</f>
        <v>5.5</v>
      </c>
      <c r="O72" s="220">
        <f>Table4[[#This Row],[agreementPCT_score]]+Table4[[#This Row],[agreement_dist_score]]+Table4[[#This Row],[LoA_AQ_score]]</f>
        <v>15</v>
      </c>
      <c r="P72" s="203">
        <f>Table4[[#This Row],[evidenceconsistency_score]]+Table4[[#This Row],[EQ_score]]+Table4[[#This Row],[EA_score]]+Table4[[#This Row],[ET_score]]</f>
        <v>26.37075542660649</v>
      </c>
      <c r="Q72" s="181">
        <f>VLOOKUP(Table4[[#This Row],[risk_id]],Table3[],10,FALSE)</f>
        <v>5.5</v>
      </c>
      <c r="R72" s="181">
        <f>VLOOKUP(Table4[[#This Row],[risk_id]],Table3[],9,FALSE)</f>
        <v>11</v>
      </c>
      <c r="S72" s="179">
        <f>VLOOKUP(Table4[[#This Row],[risk_id]],Table3[],7,FALSE)</f>
        <v>4.5</v>
      </c>
      <c r="T72" s="179">
        <f>VLOOKUP(Table4[[#This Row],[risk_id]],Table3[],6,FALSE)</f>
        <v>9</v>
      </c>
      <c r="U72" s="177">
        <f t="shared" si="5"/>
        <v>12.5</v>
      </c>
      <c r="V72" s="187">
        <f>10</f>
        <v>10</v>
      </c>
      <c r="W72" s="187">
        <f>30</f>
        <v>30</v>
      </c>
      <c r="X72" s="17">
        <f>VLOOKUP(Table4[[#This Row],[risk_id]],Table3[],5,FALSE)</f>
        <v>2</v>
      </c>
      <c r="Y72" s="17">
        <f>94</f>
        <v>94</v>
      </c>
      <c r="Z72" s="177">
        <f>Table4[[#This Row],[EStype_summed]]*Table4[[#This Row],[Indicator_12.5pct]]</f>
        <v>6.25</v>
      </c>
      <c r="AA72" s="190">
        <f>(IF(Table4[[#This Row],[all_evtype]]&gt;=4,"4", IF(Table4[[#This Row],[all_evtype]]&gt;=3,"3", IF(Table4[[#This Row],[all_evtype]]&gt;=2,"2", IF(Table4[[#This Row],[all_evtype]]&gt;=1,"1","0")))))/Table4[[#This Row],[HPS_et]]</f>
        <v>0.5</v>
      </c>
      <c r="AB72" s="191">
        <f>VLOOKUP(Table4[[#This Row],[risk_id]],Table3[], 14, FALSE)</f>
        <v>1</v>
      </c>
      <c r="AC72" s="191">
        <f>VLOOKUP(Table4[[#This Row],[risk_id]],Table3[], 15, FALSE)</f>
        <v>1</v>
      </c>
      <c r="AD72" s="191">
        <f>VLOOKUP(Table4[[#This Row],[risk_id]], Table3[], 16, FALSE)</f>
        <v>0</v>
      </c>
      <c r="AE72" s="191">
        <f>VLOOKUP(Table4[[#This Row],[risk_id]], Table3[], 17, )</f>
        <v>0</v>
      </c>
      <c r="AF72" s="191">
        <f>4</f>
        <v>4</v>
      </c>
      <c r="AG72" s="191">
        <f>COUNTIF(Table4[[#This Row],[THEO]:[MOD]], "&gt;=1")</f>
        <v>2</v>
      </c>
      <c r="AH72" s="192">
        <f>Table4[[#This Row],[data_observations]]/Table4[[#This Row],[AllObservations_count]]</f>
        <v>2.1276595744680851E-2</v>
      </c>
      <c r="AI72" s="189">
        <f>Table4[[#This Row],[evidenceamount_pct]]*(Table4[[#This Row],[Indicator_12.5pct]])</f>
        <v>0.26595744680851063</v>
      </c>
      <c r="AJ72" s="198">
        <f>(1-(VLOOKUP(Table4[[#This Row],[risk_id]],Table3[],18, FALSE))/(Table4[[#This Row],[data_observations]]))</f>
        <v>1</v>
      </c>
      <c r="AK72" s="198">
        <f>((VLOOKUP(Table4[[#This Row],[risk_id]],Table3[],19, FALSE))+((VLOOKUP(Table4[[#This Row],[risk_id]],Table3[],36, FALSE))*0.5))/(Table4[[#This Row],[data_observations]])</f>
        <v>0.5</v>
      </c>
      <c r="AL72" s="177">
        <f>((Table4[[#This Row],[ev_data_deficient_score]]*0.5)+(Table4[[#This Row],[ev_data_availability_score]]*0.5))*(Table4[[#This Row],[Indicator_12.5pct]])</f>
        <v>9.375</v>
      </c>
      <c r="AM72" s="199">
        <f>Table4[[#This Row],[RiskScore]]</f>
        <v>24.75</v>
      </c>
      <c r="AN72" s="200">
        <f>VLOOKUP(Table4[[#This Row],[risk_id]], Table3[], 13, FALSE)</f>
        <v>4</v>
      </c>
      <c r="AO72" s="185">
        <f>(1-(Table4[[#This Row],[evidence_SD_RR]]/Table4[[#This Row],[evidence_mean_RR]]))*(Table4[[#This Row],[Indicator_12.5pct]])</f>
        <v>10.479797979797979</v>
      </c>
      <c r="AP72" s="201">
        <f>VLOOKUP(Table4[[#This Row],[risk_id]],Table3[],21, FALSE)</f>
        <v>0</v>
      </c>
      <c r="AQ72" s="201">
        <f>VLOOKUP(Table4[[#This Row],[risk_id]],Table3[],23, FALSE)</f>
        <v>0.5</v>
      </c>
      <c r="AR72" s="201">
        <f>VLOOKUP(Table4[[#This Row],[risk_id]],Table3[],25, FALSE)</f>
        <v>0.5</v>
      </c>
      <c r="AS72" s="201">
        <f>VLOOKUP(Table4[[#This Row],[risk_id]],Table3[],27, FALSE)</f>
        <v>0</v>
      </c>
      <c r="AT72" s="183">
        <f>(MAX(Table4[[#This Row],[C]:[U]]))*Table4[[#This Row],[Indicator_20pct]]</f>
        <v>5</v>
      </c>
      <c r="AU72" s="205">
        <f>COUNTIFS(Table4[[#This Row],[C]], "&gt;0", Table4[[#This Row],[U]], "&gt;0") + COUNTIFS(Table4[[#This Row],[H]], "&gt;0", Table4[[#This Row],[U]], "&gt;0") + COUNTIFS(Table4[[#This Row],[C]], "&gt;0", Table4[[#This Row],[M]], "&gt;0")</f>
        <v>0</v>
      </c>
      <c r="AV72" s="219">
        <f>((-(Table4[[#This Row],[different_scores_count]]-3))/3)*Table4[[#This Row],[Indicator_20pct]]</f>
        <v>10</v>
      </c>
      <c r="AW72" s="183">
        <f>IF(Table4[[#This Row],[data_observations]]&gt;=5, 30, IF(Table4[[#This Row],[data_observations]]&gt;=3, 15, 0))</f>
        <v>0</v>
      </c>
      <c r="AX72" s="26" t="s">
        <v>2736</v>
      </c>
    </row>
    <row r="73" spans="1:50" ht="32" hidden="1" customHeight="1" x14ac:dyDescent="0.2">
      <c r="A73" s="16" t="s">
        <v>660</v>
      </c>
      <c r="B73" s="16" t="str">
        <f>VLOOKUP(Table4[[#This Row],[risk_id]], Table3[], 35, FALSE)</f>
        <v>Risk</v>
      </c>
      <c r="C73" s="16" t="str">
        <f>VLOOKUP(Table4[[#This Row],[risk_id]], Table3[], 2, FALSE)</f>
        <v>Operational</v>
      </c>
      <c r="D73" s="15" t="str">
        <f>VLOOKUP(Table4[[#This Row],[risk_id]], Table3[], 3, FALSE)</f>
        <v>Vessel equipment and safety</v>
      </c>
      <c r="E73"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73" s="300">
        <f t="shared" si="4"/>
        <v>24.75</v>
      </c>
      <c r="G73" s="31">
        <f>Table4[[#This Row],[DataQuality_Score]]</f>
        <v>0.33905477648828708</v>
      </c>
      <c r="H73"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LOW</v>
      </c>
      <c r="I73" s="27" t="str">
        <f>Table4[[#This Row],[LoA - Metric]]&amp; ", " &amp;Table4[[#This Row],[ES - Metric]]</f>
        <v>Low agreement, Medium evidence</v>
      </c>
      <c r="J73" s="222">
        <f>(Table4[[#This Row],[LoA_SCORE]]+Table4[[#This Row],[ES_SCORE]])/100</f>
        <v>0.33905477648828708</v>
      </c>
      <c r="K73"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73"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73" s="179">
        <f>Table4[[#This Row],[probability_average]]</f>
        <v>4.5</v>
      </c>
      <c r="N73" s="181">
        <f>Table4[[#This Row],[consequence_average]]</f>
        <v>5.5</v>
      </c>
      <c r="O73" s="220">
        <f>Table4[[#This Row],[agreementPCT_score]]+Table4[[#This Row],[agreement_dist_score]]+Table4[[#This Row],[LoA_AQ_score]]</f>
        <v>15</v>
      </c>
      <c r="P73" s="203">
        <f>Table4[[#This Row],[evidenceconsistency_score]]+Table4[[#This Row],[EQ_score]]+Table4[[#This Row],[EA_score]]+Table4[[#This Row],[ET_score]]</f>
        <v>18.905477648828711</v>
      </c>
      <c r="Q73" s="181">
        <f>VLOOKUP(Table4[[#This Row],[risk_id]],Table3[],10,FALSE)</f>
        <v>5.5</v>
      </c>
      <c r="R73" s="181">
        <f>VLOOKUP(Table4[[#This Row],[risk_id]],Table3[],9,FALSE)</f>
        <v>11</v>
      </c>
      <c r="S73" s="179">
        <f>VLOOKUP(Table4[[#This Row],[risk_id]],Table3[],7,FALSE)</f>
        <v>4.5</v>
      </c>
      <c r="T73" s="179">
        <f>VLOOKUP(Table4[[#This Row],[risk_id]],Table3[],6,FALSE)</f>
        <v>9</v>
      </c>
      <c r="U73" s="177">
        <f t="shared" si="5"/>
        <v>12.5</v>
      </c>
      <c r="V73" s="187">
        <f>10</f>
        <v>10</v>
      </c>
      <c r="W73" s="187">
        <f>30</f>
        <v>30</v>
      </c>
      <c r="X73" s="17">
        <f>VLOOKUP(Table4[[#This Row],[risk_id]],Table3[],5,FALSE)</f>
        <v>2</v>
      </c>
      <c r="Y73" s="17">
        <f>94</f>
        <v>94</v>
      </c>
      <c r="Z73" s="177">
        <f>Table4[[#This Row],[EStype_summed]]*Table4[[#This Row],[Indicator_12.5pct]]</f>
        <v>6.25</v>
      </c>
      <c r="AA73" s="190">
        <f>(IF(Table4[[#This Row],[all_evtype]]&gt;=4,"4", IF(Table4[[#This Row],[all_evtype]]&gt;=3,"3", IF(Table4[[#This Row],[all_evtype]]&gt;=2,"2", IF(Table4[[#This Row],[all_evtype]]&gt;=1,"1","0")))))/Table4[[#This Row],[HPS_et]]</f>
        <v>0.5</v>
      </c>
      <c r="AB73" s="191">
        <f>VLOOKUP(Table4[[#This Row],[risk_id]],Table3[], 14, FALSE)</f>
        <v>1</v>
      </c>
      <c r="AC73" s="191">
        <f>VLOOKUP(Table4[[#This Row],[risk_id]],Table3[], 15, FALSE)</f>
        <v>0</v>
      </c>
      <c r="AD73" s="191">
        <f>VLOOKUP(Table4[[#This Row],[risk_id]], Table3[], 16, FALSE)</f>
        <v>0</v>
      </c>
      <c r="AE73" s="191">
        <f>VLOOKUP(Table4[[#This Row],[risk_id]], Table3[], 17, )</f>
        <v>1</v>
      </c>
      <c r="AF73" s="191">
        <f>4</f>
        <v>4</v>
      </c>
      <c r="AG73" s="191">
        <f>COUNTIF(Table4[[#This Row],[THEO]:[MOD]], "&gt;=1")</f>
        <v>2</v>
      </c>
      <c r="AH73" s="192">
        <f>Table4[[#This Row],[data_observations]]/Table4[[#This Row],[AllObservations_count]]</f>
        <v>2.1276595744680851E-2</v>
      </c>
      <c r="AI73" s="189">
        <f>Table4[[#This Row],[evidenceamount_pct]]*(Table4[[#This Row],[Indicator_12.5pct]])</f>
        <v>0.26595744680851063</v>
      </c>
      <c r="AJ73" s="198">
        <f>(1-(VLOOKUP(Table4[[#This Row],[risk_id]],Table3[],18, FALSE))/(Table4[[#This Row],[data_observations]]))</f>
        <v>0.5</v>
      </c>
      <c r="AK73" s="198">
        <f>((VLOOKUP(Table4[[#This Row],[risk_id]],Table3[],19, FALSE))+((VLOOKUP(Table4[[#This Row],[risk_id]],Table3[],36, FALSE))*0.5))/(Table4[[#This Row],[data_observations]])</f>
        <v>0.25</v>
      </c>
      <c r="AL73" s="177">
        <f>((Table4[[#This Row],[ev_data_deficient_score]]*0.5)+(Table4[[#This Row],[ev_data_availability_score]]*0.5))*(Table4[[#This Row],[Indicator_12.5pct]])</f>
        <v>4.6875</v>
      </c>
      <c r="AM73" s="199">
        <f>Table4[[#This Row],[RiskScore]]</f>
        <v>24.75</v>
      </c>
      <c r="AN73" s="200">
        <f>VLOOKUP(Table4[[#This Row],[risk_id]], Table3[], 13, FALSE)</f>
        <v>9.5</v>
      </c>
      <c r="AO73" s="185">
        <f>(1-(Table4[[#This Row],[evidence_SD_RR]]/Table4[[#This Row],[evidence_mean_RR]]))*(Table4[[#This Row],[Indicator_12.5pct]])</f>
        <v>7.7020202020202015</v>
      </c>
      <c r="AP73" s="201">
        <f>VLOOKUP(Table4[[#This Row],[risk_id]],Table3[],21, FALSE)</f>
        <v>0</v>
      </c>
      <c r="AQ73" s="201">
        <f>VLOOKUP(Table4[[#This Row],[risk_id]],Table3[],23, FALSE)</f>
        <v>0.5</v>
      </c>
      <c r="AR73" s="201">
        <f>VLOOKUP(Table4[[#This Row],[risk_id]],Table3[],25, FALSE)</f>
        <v>0.5</v>
      </c>
      <c r="AS73" s="201">
        <f>VLOOKUP(Table4[[#This Row],[risk_id]],Table3[],27, FALSE)</f>
        <v>0</v>
      </c>
      <c r="AT73" s="183">
        <f>(MAX(Table4[[#This Row],[C]:[U]]))*Table4[[#This Row],[Indicator_20pct]]</f>
        <v>5</v>
      </c>
      <c r="AU73" s="205">
        <f>COUNTIFS(Table4[[#This Row],[C]], "&gt;0", Table4[[#This Row],[U]], "&gt;0") + COUNTIFS(Table4[[#This Row],[H]], "&gt;0", Table4[[#This Row],[U]], "&gt;0") + COUNTIFS(Table4[[#This Row],[C]], "&gt;0", Table4[[#This Row],[M]], "&gt;0")</f>
        <v>0</v>
      </c>
      <c r="AV73" s="219">
        <f>((-(Table4[[#This Row],[different_scores_count]]-3))/3)*Table4[[#This Row],[Indicator_20pct]]</f>
        <v>10</v>
      </c>
      <c r="AW73" s="183">
        <f>IF(Table4[[#This Row],[data_observations]]&gt;=5, 30, IF(Table4[[#This Row],[data_observations]]&gt;=3, 15, 0))</f>
        <v>0</v>
      </c>
      <c r="AX73" s="26" t="s">
        <v>2737</v>
      </c>
    </row>
    <row r="74" spans="1:50" ht="32" hidden="1" customHeight="1" x14ac:dyDescent="0.2">
      <c r="A74" s="16" t="s">
        <v>663</v>
      </c>
      <c r="B74" s="16" t="str">
        <f>VLOOKUP(Table4[[#This Row],[risk_id]], Table3[], 35, FALSE)</f>
        <v>Risk</v>
      </c>
      <c r="C74" s="16" t="str">
        <f>VLOOKUP(Table4[[#This Row],[risk_id]], Table3[], 2, FALSE)</f>
        <v>Navigational</v>
      </c>
      <c r="D74" s="15" t="str">
        <f>VLOOKUP(Table4[[#This Row],[risk_id]], Table3[], 3, FALSE)</f>
        <v>Vessel traffic congestion</v>
      </c>
      <c r="E74"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74" s="300">
        <f t="shared" si="4"/>
        <v>24.690311418685123</v>
      </c>
      <c r="G74" s="31">
        <f>Table4[[#This Row],[DataQuality_Score]]</f>
        <v>0.63916007581904122</v>
      </c>
      <c r="H74"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74" s="27" t="str">
        <f>Table4[[#This Row],[LoA - Metric]]&amp; ", " &amp;Table4[[#This Row],[ES - Metric]]</f>
        <v>High agreement, Medium evidence</v>
      </c>
      <c r="J74" s="222">
        <f>(Table4[[#This Row],[LoA_SCORE]]+Table4[[#This Row],[ES_SCORE]])/100</f>
        <v>0.63916007581904122</v>
      </c>
      <c r="K74"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74"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74" s="179">
        <f>Table4[[#This Row],[probability_average]]</f>
        <v>3.9411764705882355</v>
      </c>
      <c r="N74" s="181">
        <f>Table4[[#This Row],[consequence_average]]</f>
        <v>6.2647058823529411</v>
      </c>
      <c r="O74" s="220">
        <f>Table4[[#This Row],[agreementPCT_score]]+Table4[[#This Row],[agreement_dist_score]]+Table4[[#This Row],[LoA_AQ_score]]</f>
        <v>34.411764705882355</v>
      </c>
      <c r="P74" s="203">
        <f>Table4[[#This Row],[evidenceconsistency_score]]+Table4[[#This Row],[EQ_score]]+Table4[[#This Row],[EA_score]]+Table4[[#This Row],[ET_score]]</f>
        <v>29.504242876021767</v>
      </c>
      <c r="Q74" s="181">
        <f>VLOOKUP(Table4[[#This Row],[risk_id]],Table3[],10,FALSE)</f>
        <v>6.2647058823529411</v>
      </c>
      <c r="R74" s="181">
        <f>VLOOKUP(Table4[[#This Row],[risk_id]],Table3[],9,FALSE)</f>
        <v>213</v>
      </c>
      <c r="S74" s="179">
        <f>VLOOKUP(Table4[[#This Row],[risk_id]],Table3[],7,FALSE)</f>
        <v>3.9411764705882355</v>
      </c>
      <c r="T74" s="179">
        <f>VLOOKUP(Table4[[#This Row],[risk_id]],Table3[],6,FALSE)</f>
        <v>134</v>
      </c>
      <c r="U74" s="177">
        <f t="shared" si="5"/>
        <v>12.5</v>
      </c>
      <c r="V74" s="187">
        <f>10</f>
        <v>10</v>
      </c>
      <c r="W74" s="187">
        <f>30</f>
        <v>30</v>
      </c>
      <c r="X74" s="17">
        <f>VLOOKUP(Table4[[#This Row],[risk_id]],Table3[],5,FALSE)</f>
        <v>34</v>
      </c>
      <c r="Y74" s="17">
        <f>94</f>
        <v>94</v>
      </c>
      <c r="Z74" s="177">
        <f>Table4[[#This Row],[EStype_summed]]*Table4[[#This Row],[Indicator_12.5pct]]</f>
        <v>9.375</v>
      </c>
      <c r="AA74" s="190">
        <f>(IF(Table4[[#This Row],[all_evtype]]&gt;=4,"4", IF(Table4[[#This Row],[all_evtype]]&gt;=3,"3", IF(Table4[[#This Row],[all_evtype]]&gt;=2,"2", IF(Table4[[#This Row],[all_evtype]]&gt;=1,"1","0")))))/Table4[[#This Row],[HPS_et]]</f>
        <v>0.75</v>
      </c>
      <c r="AB74" s="191">
        <f>VLOOKUP(Table4[[#This Row],[risk_id]],Table3[], 14, FALSE)</f>
        <v>8</v>
      </c>
      <c r="AC74" s="191">
        <f>VLOOKUP(Table4[[#This Row],[risk_id]],Table3[], 15, FALSE)</f>
        <v>18</v>
      </c>
      <c r="AD74" s="191">
        <f>VLOOKUP(Table4[[#This Row],[risk_id]], Table3[], 16, FALSE)</f>
        <v>8</v>
      </c>
      <c r="AE74" s="191">
        <f>VLOOKUP(Table4[[#This Row],[risk_id]], Table3[], 17, )</f>
        <v>0</v>
      </c>
      <c r="AF74" s="191">
        <f>4</f>
        <v>4</v>
      </c>
      <c r="AG74" s="191">
        <f>COUNTIF(Table4[[#This Row],[THEO]:[MOD]], "&gt;=1")</f>
        <v>3</v>
      </c>
      <c r="AH74" s="192">
        <f>Table4[[#This Row],[data_observations]]/Table4[[#This Row],[AllObservations_count]]</f>
        <v>0.36170212765957449</v>
      </c>
      <c r="AI74" s="189">
        <f>Table4[[#This Row],[evidenceamount_pct]]*(Table4[[#This Row],[Indicator_12.5pct]])</f>
        <v>4.5212765957446814</v>
      </c>
      <c r="AJ74" s="198">
        <f>(1-(VLOOKUP(Table4[[#This Row],[risk_id]],Table3[],18, FALSE))/(Table4[[#This Row],[data_observations]]))</f>
        <v>0.79411764705882359</v>
      </c>
      <c r="AK74" s="198">
        <f>((VLOOKUP(Table4[[#This Row],[risk_id]],Table3[],19, FALSE))+((VLOOKUP(Table4[[#This Row],[risk_id]],Table3[],36, FALSE))*0.5))/(Table4[[#This Row],[data_observations]])</f>
        <v>0.52941176470588236</v>
      </c>
      <c r="AL74" s="177">
        <f>((Table4[[#This Row],[ev_data_deficient_score]]*0.5)+(Table4[[#This Row],[ev_data_availability_score]]*0.5))*(Table4[[#This Row],[Indicator_12.5pct]])</f>
        <v>8.272058823529413</v>
      </c>
      <c r="AM74" s="199">
        <f>Table4[[#This Row],[RiskScore]]</f>
        <v>24.690311418685123</v>
      </c>
      <c r="AN74" s="200">
        <f>VLOOKUP(Table4[[#This Row],[risk_id]], Table3[], 13, FALSE)</f>
        <v>10.20024424702477</v>
      </c>
      <c r="AO74" s="185">
        <f>(1-(Table4[[#This Row],[evidence_SD_RR]]/Table4[[#This Row],[evidence_mean_RR]]))*(Table4[[#This Row],[Indicator_12.5pct]])</f>
        <v>7.3359074567476732</v>
      </c>
      <c r="AP74" s="201">
        <f>VLOOKUP(Table4[[#This Row],[risk_id]],Table3[],21, FALSE)</f>
        <v>0.11764705882352941</v>
      </c>
      <c r="AQ74" s="201">
        <f>VLOOKUP(Table4[[#This Row],[risk_id]],Table3[],23, FALSE)</f>
        <v>0.44117647058823528</v>
      </c>
      <c r="AR74" s="201">
        <f>VLOOKUP(Table4[[#This Row],[risk_id]],Table3[],25, FALSE)</f>
        <v>0.41176470588235292</v>
      </c>
      <c r="AS74" s="201">
        <f>VLOOKUP(Table4[[#This Row],[risk_id]],Table3[],27, FALSE)</f>
        <v>2.9411764705882353E-2</v>
      </c>
      <c r="AT74" s="183">
        <f>(MAX(Table4[[#This Row],[C]:[U]]))*Table4[[#This Row],[Indicator_20pct]]</f>
        <v>4.4117647058823533</v>
      </c>
      <c r="AU74" s="205">
        <f>COUNTIFS(Table4[[#This Row],[C]], "&gt;0", Table4[[#This Row],[U]], "&gt;0") + COUNTIFS(Table4[[#This Row],[H]], "&gt;0", Table4[[#This Row],[U]], "&gt;0") + COUNTIFS(Table4[[#This Row],[C]], "&gt;0", Table4[[#This Row],[M]], "&gt;0")</f>
        <v>3</v>
      </c>
      <c r="AV74" s="219">
        <f>((-(Table4[[#This Row],[different_scores_count]]-3))/3)*Table4[[#This Row],[Indicator_20pct]]</f>
        <v>0</v>
      </c>
      <c r="AW74" s="183">
        <f>IF(Table4[[#This Row],[data_observations]]&gt;=5, 30, IF(Table4[[#This Row],[data_observations]]&gt;=3, 15, 0))</f>
        <v>30</v>
      </c>
      <c r="AX74" s="26" t="s">
        <v>2737</v>
      </c>
    </row>
    <row r="75" spans="1:50" ht="32" customHeight="1" x14ac:dyDescent="0.2">
      <c r="A75" s="16" t="s">
        <v>2675</v>
      </c>
      <c r="B75" s="16" t="str">
        <f>VLOOKUP(Table4[[#This Row],[risk_id]], Table3[], 35, FALSE)</f>
        <v>Hazard</v>
      </c>
      <c r="C75" s="16" t="str">
        <f>VLOOKUP(Table4[[#This Row],[risk_id]], Table3[], 2, FALSE)</f>
        <v>Operational</v>
      </c>
      <c r="D75" s="15" t="str">
        <f>VLOOKUP(Table4[[#This Row],[risk_id]], Table3[], 3, FALSE)</f>
        <v>Crew inexperience</v>
      </c>
      <c r="E75"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75" s="300">
        <f t="shared" si="4"/>
        <v>24.571428571428573</v>
      </c>
      <c r="G75" s="31">
        <f>Table4[[#This Row],[DataQuality_Score]]</f>
        <v>0.70777453346446262</v>
      </c>
      <c r="H75"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75" s="27" t="str">
        <f>Table4[[#This Row],[LoA - Metric]]&amp; ", " &amp;Table4[[#This Row],[ES - Metric]]</f>
        <v>High agreement, Medium evidence</v>
      </c>
      <c r="J75" s="222">
        <f>(Table4[[#This Row],[LoA_SCORE]]+Table4[[#This Row],[ES_SCORE]])/100</f>
        <v>0.70777453346446262</v>
      </c>
      <c r="K75"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75"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75" s="179">
        <f>Table4[[#This Row],[probability_average]]</f>
        <v>4</v>
      </c>
      <c r="N75" s="181">
        <f>Table4[[#This Row],[consequence_average]]</f>
        <v>6.1428571428571432</v>
      </c>
      <c r="O75" s="220">
        <f>Table4[[#This Row],[agreementPCT_score]]+Table4[[#This Row],[agreement_dist_score]]+Table4[[#This Row],[LoA_AQ_score]]</f>
        <v>42.38095238095238</v>
      </c>
      <c r="P75" s="203">
        <f>Table4[[#This Row],[evidenceconsistency_score]]+Table4[[#This Row],[EQ_score]]+Table4[[#This Row],[EA_score]]+Table4[[#This Row],[ET_score]]</f>
        <v>28.396500965493882</v>
      </c>
      <c r="Q75" s="181">
        <f>VLOOKUP(Table4[[#This Row],[risk_id]],Table3[],10,FALSE)</f>
        <v>6.1428571428571432</v>
      </c>
      <c r="R75" s="181">
        <f>VLOOKUP(Table4[[#This Row],[risk_id]],Table3[],9,FALSE)</f>
        <v>43</v>
      </c>
      <c r="S75" s="179">
        <f>VLOOKUP(Table4[[#This Row],[risk_id]],Table3[],7,FALSE)</f>
        <v>4</v>
      </c>
      <c r="T75" s="179">
        <f>VLOOKUP(Table4[[#This Row],[risk_id]],Table3[],6,FALSE)</f>
        <v>28</v>
      </c>
      <c r="U75" s="177">
        <f t="shared" si="5"/>
        <v>12.5</v>
      </c>
      <c r="V75" s="187">
        <f>10</f>
        <v>10</v>
      </c>
      <c r="W75" s="187">
        <f>30</f>
        <v>30</v>
      </c>
      <c r="X75" s="17">
        <f>VLOOKUP(Table4[[#This Row],[risk_id]],Table3[],5,FALSE)</f>
        <v>7</v>
      </c>
      <c r="Y75" s="17">
        <f>94</f>
        <v>94</v>
      </c>
      <c r="Z75" s="177">
        <f>Table4[[#This Row],[EStype_summed]]*Table4[[#This Row],[Indicator_12.5pct]]</f>
        <v>9.375</v>
      </c>
      <c r="AA75" s="190">
        <f>(IF(Table4[[#This Row],[all_evtype]]&gt;=4,"4", IF(Table4[[#This Row],[all_evtype]]&gt;=3,"3", IF(Table4[[#This Row],[all_evtype]]&gt;=2,"2", IF(Table4[[#This Row],[all_evtype]]&gt;=1,"1","0")))))/Table4[[#This Row],[HPS_et]]</f>
        <v>0.75</v>
      </c>
      <c r="AB75" s="191">
        <f>VLOOKUP(Table4[[#This Row],[risk_id]],Table3[], 14, FALSE)</f>
        <v>1</v>
      </c>
      <c r="AC75" s="191">
        <f>VLOOKUP(Table4[[#This Row],[risk_id]],Table3[], 15, FALSE)</f>
        <v>3</v>
      </c>
      <c r="AD75" s="191">
        <f>VLOOKUP(Table4[[#This Row],[risk_id]], Table3[], 16, FALSE)</f>
        <v>3</v>
      </c>
      <c r="AE75" s="191">
        <f>VLOOKUP(Table4[[#This Row],[risk_id]], Table3[], 17, )</f>
        <v>0</v>
      </c>
      <c r="AF75" s="191">
        <f>4</f>
        <v>4</v>
      </c>
      <c r="AG75" s="191">
        <f>COUNTIF(Table4[[#This Row],[THEO]:[MOD]], "&gt;=1")</f>
        <v>3</v>
      </c>
      <c r="AH75" s="192">
        <f>Table4[[#This Row],[data_observations]]/Table4[[#This Row],[AllObservations_count]]</f>
        <v>7.4468085106382975E-2</v>
      </c>
      <c r="AI75" s="189">
        <f>Table4[[#This Row],[evidenceamount_pct]]*(Table4[[#This Row],[Indicator_12.5pct]])</f>
        <v>0.93085106382978722</v>
      </c>
      <c r="AJ75" s="198">
        <f>(1-(VLOOKUP(Table4[[#This Row],[risk_id]],Table3[],18, FALSE))/(Table4[[#This Row],[data_observations]]))</f>
        <v>1</v>
      </c>
      <c r="AK75" s="198">
        <f>((VLOOKUP(Table4[[#This Row],[risk_id]],Table3[],19, FALSE))+((VLOOKUP(Table4[[#This Row],[risk_id]],Table3[],36, FALSE))*0.5))/(Table4[[#This Row],[data_observations]])</f>
        <v>0.6428571428571429</v>
      </c>
      <c r="AL75" s="177">
        <f>((Table4[[#This Row],[ev_data_deficient_score]]*0.5)+(Table4[[#This Row],[ev_data_availability_score]]*0.5))*(Table4[[#This Row],[Indicator_12.5pct]])</f>
        <v>10.267857142857142</v>
      </c>
      <c r="AM75" s="199">
        <f>Table4[[#This Row],[RiskScore]]</f>
        <v>24.571428571428573</v>
      </c>
      <c r="AN75" s="200">
        <f>VLOOKUP(Table4[[#This Row],[risk_id]], Table3[], 13, FALSE)</f>
        <v>9.1940530912594767</v>
      </c>
      <c r="AO75" s="185">
        <f>(1-(Table4[[#This Row],[evidence_SD_RR]]/Table4[[#This Row],[evidence_mean_RR]]))*(Table4[[#This Row],[Indicator_12.5pct]])</f>
        <v>7.822792758806953</v>
      </c>
      <c r="AP75" s="201">
        <f>VLOOKUP(Table4[[#This Row],[risk_id]],Table3[],21, FALSE)</f>
        <v>0.14285714285714285</v>
      </c>
      <c r="AQ75" s="201">
        <f>VLOOKUP(Table4[[#This Row],[risk_id]],Table3[],23, FALSE)</f>
        <v>0.2857142857142857</v>
      </c>
      <c r="AR75" s="201">
        <f>VLOOKUP(Table4[[#This Row],[risk_id]],Table3[],25, FALSE)</f>
        <v>0.5714285714285714</v>
      </c>
      <c r="AS75" s="201">
        <f>VLOOKUP(Table4[[#This Row],[risk_id]],Table3[],27, FALSE)</f>
        <v>0</v>
      </c>
      <c r="AT75" s="183">
        <f>(MAX(Table4[[#This Row],[C]:[U]]))*Table4[[#This Row],[Indicator_20pct]]</f>
        <v>5.7142857142857135</v>
      </c>
      <c r="AU75" s="205">
        <f>COUNTIFS(Table4[[#This Row],[C]], "&gt;0", Table4[[#This Row],[U]], "&gt;0") + COUNTIFS(Table4[[#This Row],[H]], "&gt;0", Table4[[#This Row],[U]], "&gt;0") + COUNTIFS(Table4[[#This Row],[C]], "&gt;0", Table4[[#This Row],[M]], "&gt;0")</f>
        <v>1</v>
      </c>
      <c r="AV75" s="219">
        <f>((-(Table4[[#This Row],[different_scores_count]]-3))/3)*Table4[[#This Row],[Indicator_20pct]]</f>
        <v>6.6666666666666661</v>
      </c>
      <c r="AW75" s="183">
        <f>IF(Table4[[#This Row],[data_observations]]&gt;=5, 30, IF(Table4[[#This Row],[data_observations]]&gt;=3, 15, 0))</f>
        <v>30</v>
      </c>
      <c r="AX75" s="26" t="s">
        <v>2737</v>
      </c>
    </row>
    <row r="76" spans="1:50" ht="32" hidden="1" customHeight="1" x14ac:dyDescent="0.2">
      <c r="A76" s="16" t="s">
        <v>651</v>
      </c>
      <c r="B76" s="16" t="str">
        <f>VLOOKUP(Table4[[#This Row],[risk_id]], Table3[], 35, FALSE)</f>
        <v>Risk</v>
      </c>
      <c r="C76" s="16" t="str">
        <f>VLOOKUP(Table4[[#This Row],[risk_id]], Table3[], 2, FALSE)</f>
        <v>Navigational</v>
      </c>
      <c r="D76" s="15" t="str">
        <f>VLOOKUP(Table4[[#This Row],[risk_id]], Table3[], 3, FALSE)</f>
        <v>Traffic intensification</v>
      </c>
      <c r="E76"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76" s="300">
        <f t="shared" si="4"/>
        <v>24.36</v>
      </c>
      <c r="G76" s="31">
        <f>Table4[[#This Row],[DataQuality_Score]]</f>
        <v>0.74465029841575547</v>
      </c>
      <c r="H76"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76" s="27" t="str">
        <f>Table4[[#This Row],[LoA - Metric]]&amp; ", " &amp;Table4[[#This Row],[ES - Metric]]</f>
        <v>High agreement, Medium evidence</v>
      </c>
      <c r="J76" s="222">
        <f>(Table4[[#This Row],[LoA_SCORE]]+Table4[[#This Row],[ES_SCORE]])/100</f>
        <v>0.74465029841575547</v>
      </c>
      <c r="K76"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76"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76" s="179">
        <f>Table4[[#This Row],[probability_average]]</f>
        <v>4.2</v>
      </c>
      <c r="N76" s="181">
        <f>Table4[[#This Row],[consequence_average]]</f>
        <v>5.8</v>
      </c>
      <c r="O76" s="220">
        <f>Table4[[#This Row],[agreementPCT_score]]+Table4[[#This Row],[agreement_dist_score]]+Table4[[#This Row],[LoA_AQ_score]]</f>
        <v>46</v>
      </c>
      <c r="P76" s="203">
        <f>Table4[[#This Row],[evidenceconsistency_score]]+Table4[[#This Row],[EQ_score]]+Table4[[#This Row],[EA_score]]+Table4[[#This Row],[ET_score]]</f>
        <v>28.465029841575543</v>
      </c>
      <c r="Q76" s="181">
        <f>VLOOKUP(Table4[[#This Row],[risk_id]],Table3[],10,FALSE)</f>
        <v>5.8</v>
      </c>
      <c r="R76" s="181">
        <f>VLOOKUP(Table4[[#This Row],[risk_id]],Table3[],9,FALSE)</f>
        <v>29</v>
      </c>
      <c r="S76" s="179">
        <f>VLOOKUP(Table4[[#This Row],[risk_id]],Table3[],7,FALSE)</f>
        <v>4.2</v>
      </c>
      <c r="T76" s="179">
        <f>VLOOKUP(Table4[[#This Row],[risk_id]],Table3[],6,FALSE)</f>
        <v>21</v>
      </c>
      <c r="U76" s="177">
        <f t="shared" si="5"/>
        <v>12.5</v>
      </c>
      <c r="V76" s="187">
        <f>10</f>
        <v>10</v>
      </c>
      <c r="W76" s="187">
        <f>30</f>
        <v>30</v>
      </c>
      <c r="X76" s="17">
        <f>VLOOKUP(Table4[[#This Row],[risk_id]],Table3[],5,FALSE)</f>
        <v>5</v>
      </c>
      <c r="Y76" s="17">
        <f>94</f>
        <v>94</v>
      </c>
      <c r="Z76" s="177">
        <f>Table4[[#This Row],[EStype_summed]]*Table4[[#This Row],[Indicator_12.5pct]]</f>
        <v>9.375</v>
      </c>
      <c r="AA76" s="190">
        <f>(IF(Table4[[#This Row],[all_evtype]]&gt;=4,"4", IF(Table4[[#This Row],[all_evtype]]&gt;=3,"3", IF(Table4[[#This Row],[all_evtype]]&gt;=2,"2", IF(Table4[[#This Row],[all_evtype]]&gt;=1,"1","0")))))/Table4[[#This Row],[HPS_et]]</f>
        <v>0.75</v>
      </c>
      <c r="AB76" s="191">
        <f>VLOOKUP(Table4[[#This Row],[risk_id]],Table3[], 14, FALSE)</f>
        <v>2</v>
      </c>
      <c r="AC76" s="191">
        <f>VLOOKUP(Table4[[#This Row],[risk_id]],Table3[], 15, FALSE)</f>
        <v>2</v>
      </c>
      <c r="AD76" s="191">
        <f>VLOOKUP(Table4[[#This Row],[risk_id]], Table3[], 16, FALSE)</f>
        <v>0</v>
      </c>
      <c r="AE76" s="191">
        <f>VLOOKUP(Table4[[#This Row],[risk_id]], Table3[], 17, )</f>
        <v>1</v>
      </c>
      <c r="AF76" s="191">
        <f>4</f>
        <v>4</v>
      </c>
      <c r="AG76" s="191">
        <f>COUNTIF(Table4[[#This Row],[THEO]:[MOD]], "&gt;=1")</f>
        <v>3</v>
      </c>
      <c r="AH76" s="192">
        <f>Table4[[#This Row],[data_observations]]/Table4[[#This Row],[AllObservations_count]]</f>
        <v>5.3191489361702128E-2</v>
      </c>
      <c r="AI76" s="189">
        <f>Table4[[#This Row],[evidenceamount_pct]]*(Table4[[#This Row],[Indicator_12.5pct]])</f>
        <v>0.66489361702127658</v>
      </c>
      <c r="AJ76" s="198">
        <f>(1-(VLOOKUP(Table4[[#This Row],[risk_id]],Table3[],18, FALSE))/(Table4[[#This Row],[data_observations]]))</f>
        <v>1</v>
      </c>
      <c r="AK76" s="198">
        <f>((VLOOKUP(Table4[[#This Row],[risk_id]],Table3[],19, FALSE))+((VLOOKUP(Table4[[#This Row],[risk_id]],Table3[],36, FALSE))*0.5))/(Table4[[#This Row],[data_observations]])</f>
        <v>0.5</v>
      </c>
      <c r="AL76" s="177">
        <f>((Table4[[#This Row],[ev_data_deficient_score]]*0.5)+(Table4[[#This Row],[ev_data_availability_score]]*0.5))*(Table4[[#This Row],[Indicator_12.5pct]])</f>
        <v>9.375</v>
      </c>
      <c r="AM76" s="199">
        <f>Table4[[#This Row],[RiskScore]]</f>
        <v>24.36</v>
      </c>
      <c r="AN76" s="200">
        <f>VLOOKUP(Table4[[#This Row],[risk_id]], Table3[], 13, FALSE)</f>
        <v>6.7230945255886443</v>
      </c>
      <c r="AO76" s="185">
        <f>(1-(Table4[[#This Row],[evidence_SD_RR]]/Table4[[#This Row],[evidence_mean_RR]]))*(Table4[[#This Row],[Indicator_12.5pct]])</f>
        <v>9.0501362245542669</v>
      </c>
      <c r="AP76" s="201">
        <f>VLOOKUP(Table4[[#This Row],[risk_id]],Table3[],21, FALSE)</f>
        <v>0</v>
      </c>
      <c r="AQ76" s="201">
        <f>VLOOKUP(Table4[[#This Row],[risk_id]],Table3[],23, FALSE)</f>
        <v>0.4</v>
      </c>
      <c r="AR76" s="201">
        <f>VLOOKUP(Table4[[#This Row],[risk_id]],Table3[],25, FALSE)</f>
        <v>0.6</v>
      </c>
      <c r="AS76" s="201">
        <f>VLOOKUP(Table4[[#This Row],[risk_id]],Table3[],27, FALSE)</f>
        <v>0</v>
      </c>
      <c r="AT76" s="183">
        <f>(MAX(Table4[[#This Row],[C]:[U]]))*Table4[[#This Row],[Indicator_20pct]]</f>
        <v>6</v>
      </c>
      <c r="AU76" s="205">
        <f>COUNTIFS(Table4[[#This Row],[C]], "&gt;0", Table4[[#This Row],[U]], "&gt;0") + COUNTIFS(Table4[[#This Row],[H]], "&gt;0", Table4[[#This Row],[U]], "&gt;0") + COUNTIFS(Table4[[#This Row],[C]], "&gt;0", Table4[[#This Row],[M]], "&gt;0")</f>
        <v>0</v>
      </c>
      <c r="AV76" s="219">
        <f>((-(Table4[[#This Row],[different_scores_count]]-3))/3)*Table4[[#This Row],[Indicator_20pct]]</f>
        <v>10</v>
      </c>
      <c r="AW76" s="183">
        <f>IF(Table4[[#This Row],[data_observations]]&gt;=5, 30, IF(Table4[[#This Row],[data_observations]]&gt;=3, 15, 0))</f>
        <v>30</v>
      </c>
      <c r="AX76" s="26" t="s">
        <v>2737</v>
      </c>
    </row>
    <row r="77" spans="1:50" ht="32" hidden="1" customHeight="1" x14ac:dyDescent="0.2">
      <c r="A77" s="16" t="s">
        <v>656</v>
      </c>
      <c r="B77" s="16" t="str">
        <f>VLOOKUP(Table4[[#This Row],[risk_id]], Table3[], 35, FALSE)</f>
        <v>Risk</v>
      </c>
      <c r="C77" s="16" t="str">
        <f>VLOOKUP(Table4[[#This Row],[risk_id]], Table3[], 2, FALSE)</f>
        <v>Economic</v>
      </c>
      <c r="D77" s="15" t="str">
        <f>VLOOKUP(Table4[[#This Row],[risk_id]], Table3[], 3, FALSE)</f>
        <v>Variable profit margins</v>
      </c>
      <c r="E77"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77" s="300">
        <f t="shared" si="4"/>
        <v>24</v>
      </c>
      <c r="G77" s="31">
        <f>Table4[[#This Row],[DataQuality_Score]]</f>
        <v>0.76867695959810078</v>
      </c>
      <c r="H77"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77" s="27" t="str">
        <f>Table4[[#This Row],[LoA - Metric]]&amp; ", " &amp;Table4[[#This Row],[ES - Metric]]</f>
        <v>High agreement, Medium evidence</v>
      </c>
      <c r="J77" s="222">
        <f>(Table4[[#This Row],[LoA_SCORE]]+Table4[[#This Row],[ES_SCORE]])/100</f>
        <v>0.76867695959810078</v>
      </c>
      <c r="K77"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77"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77" s="179">
        <f>Table4[[#This Row],[probability_average]]</f>
        <v>4</v>
      </c>
      <c r="N77" s="181">
        <f>Table4[[#This Row],[consequence_average]]</f>
        <v>6</v>
      </c>
      <c r="O77" s="220">
        <f>Table4[[#This Row],[agreementPCT_score]]+Table4[[#This Row],[agreement_dist_score]]+Table4[[#This Row],[LoA_AQ_score]]</f>
        <v>45.555555555555557</v>
      </c>
      <c r="P77" s="203">
        <f>Table4[[#This Row],[evidenceconsistency_score]]+Table4[[#This Row],[EQ_score]]+Table4[[#This Row],[EA_score]]+Table4[[#This Row],[ET_score]]</f>
        <v>31.312140404254514</v>
      </c>
      <c r="Q77" s="181">
        <f>VLOOKUP(Table4[[#This Row],[risk_id]],Table3[],10,FALSE)</f>
        <v>6</v>
      </c>
      <c r="R77" s="181">
        <f>VLOOKUP(Table4[[#This Row],[risk_id]],Table3[],9,FALSE)</f>
        <v>54</v>
      </c>
      <c r="S77" s="179">
        <f>VLOOKUP(Table4[[#This Row],[risk_id]],Table3[],7,FALSE)</f>
        <v>4</v>
      </c>
      <c r="T77" s="179">
        <f>VLOOKUP(Table4[[#This Row],[risk_id]],Table3[],6,FALSE)</f>
        <v>36</v>
      </c>
      <c r="U77" s="177">
        <f t="shared" si="5"/>
        <v>12.5</v>
      </c>
      <c r="V77" s="187">
        <f>10</f>
        <v>10</v>
      </c>
      <c r="W77" s="187">
        <f>30</f>
        <v>30</v>
      </c>
      <c r="X77" s="17">
        <f>VLOOKUP(Table4[[#This Row],[risk_id]],Table3[],5,FALSE)</f>
        <v>9</v>
      </c>
      <c r="Y77" s="17">
        <f>94</f>
        <v>94</v>
      </c>
      <c r="Z77" s="177">
        <f>Table4[[#This Row],[EStype_summed]]*Table4[[#This Row],[Indicator_12.5pct]]</f>
        <v>12.5</v>
      </c>
      <c r="AA77" s="190">
        <f>(IF(Table4[[#This Row],[all_evtype]]&gt;=4,"4", IF(Table4[[#This Row],[all_evtype]]&gt;=3,"3", IF(Table4[[#This Row],[all_evtype]]&gt;=2,"2", IF(Table4[[#This Row],[all_evtype]]&gt;=1,"1","0")))))/Table4[[#This Row],[HPS_et]]</f>
        <v>1</v>
      </c>
      <c r="AB77" s="191">
        <f>VLOOKUP(Table4[[#This Row],[risk_id]],Table3[], 14, FALSE)</f>
        <v>1</v>
      </c>
      <c r="AC77" s="191">
        <f>VLOOKUP(Table4[[#This Row],[risk_id]],Table3[], 15, FALSE)</f>
        <v>6</v>
      </c>
      <c r="AD77" s="191">
        <f>VLOOKUP(Table4[[#This Row],[risk_id]], Table3[], 16, FALSE)</f>
        <v>1</v>
      </c>
      <c r="AE77" s="191">
        <f>VLOOKUP(Table4[[#This Row],[risk_id]], Table3[], 17, )</f>
        <v>1</v>
      </c>
      <c r="AF77" s="191">
        <f>4</f>
        <v>4</v>
      </c>
      <c r="AG77" s="191">
        <f>COUNTIF(Table4[[#This Row],[THEO]:[MOD]], "&gt;=1")</f>
        <v>4</v>
      </c>
      <c r="AH77" s="192">
        <f>Table4[[#This Row],[data_observations]]/Table4[[#This Row],[AllObservations_count]]</f>
        <v>9.5744680851063829E-2</v>
      </c>
      <c r="AI77" s="189">
        <f>Table4[[#This Row],[evidenceamount_pct]]*(Table4[[#This Row],[Indicator_12.5pct]])</f>
        <v>1.196808510638298</v>
      </c>
      <c r="AJ77" s="198">
        <f>(1-(VLOOKUP(Table4[[#This Row],[risk_id]],Table3[],18, FALSE))/(Table4[[#This Row],[data_observations]]))</f>
        <v>0.77777777777777779</v>
      </c>
      <c r="AK77" s="198">
        <f>((VLOOKUP(Table4[[#This Row],[risk_id]],Table3[],19, FALSE))+((VLOOKUP(Table4[[#This Row],[risk_id]],Table3[],36, FALSE))*0.5))/(Table4[[#This Row],[data_observations]])</f>
        <v>0.72222222222222221</v>
      </c>
      <c r="AL77" s="177">
        <f>((Table4[[#This Row],[ev_data_deficient_score]]*0.5)+(Table4[[#This Row],[ev_data_availability_score]]*0.5))*(Table4[[#This Row],[Indicator_12.5pct]])</f>
        <v>9.375</v>
      </c>
      <c r="AM77" s="199">
        <f>Table4[[#This Row],[RiskScore]]</f>
        <v>24</v>
      </c>
      <c r="AN77" s="200">
        <f>VLOOKUP(Table4[[#This Row],[risk_id]], Table3[], 13, FALSE)</f>
        <v>8.1785627642568652</v>
      </c>
      <c r="AO77" s="185">
        <f>(1-(Table4[[#This Row],[evidence_SD_RR]]/Table4[[#This Row],[evidence_mean_RR]]))*(Table4[[#This Row],[Indicator_12.5pct]])</f>
        <v>8.2403318936162151</v>
      </c>
      <c r="AP77" s="201">
        <f>VLOOKUP(Table4[[#This Row],[risk_id]],Table3[],21, FALSE)</f>
        <v>0</v>
      </c>
      <c r="AQ77" s="201">
        <f>VLOOKUP(Table4[[#This Row],[risk_id]],Table3[],23, FALSE)</f>
        <v>0.55555555555555558</v>
      </c>
      <c r="AR77" s="201">
        <f>VLOOKUP(Table4[[#This Row],[risk_id]],Table3[],25, FALSE)</f>
        <v>0.44444444444444442</v>
      </c>
      <c r="AS77" s="201">
        <f>VLOOKUP(Table4[[#This Row],[risk_id]],Table3[],27, FALSE)</f>
        <v>0</v>
      </c>
      <c r="AT77" s="183">
        <f>(MAX(Table4[[#This Row],[C]:[U]]))*Table4[[#This Row],[Indicator_20pct]]</f>
        <v>5.5555555555555554</v>
      </c>
      <c r="AU77" s="205">
        <f>COUNTIFS(Table4[[#This Row],[C]], "&gt;0", Table4[[#This Row],[U]], "&gt;0") + COUNTIFS(Table4[[#This Row],[H]], "&gt;0", Table4[[#This Row],[U]], "&gt;0") + COUNTIFS(Table4[[#This Row],[C]], "&gt;0", Table4[[#This Row],[M]], "&gt;0")</f>
        <v>0</v>
      </c>
      <c r="AV77" s="219">
        <f>((-(Table4[[#This Row],[different_scores_count]]-3))/3)*Table4[[#This Row],[Indicator_20pct]]</f>
        <v>10</v>
      </c>
      <c r="AW77" s="183">
        <f>IF(Table4[[#This Row],[data_observations]]&gt;=5, 30, IF(Table4[[#This Row],[data_observations]]&gt;=3, 15, 0))</f>
        <v>30</v>
      </c>
      <c r="AX77" s="26" t="s">
        <v>2736</v>
      </c>
    </row>
    <row r="78" spans="1:50" ht="32" hidden="1" customHeight="1" x14ac:dyDescent="0.2">
      <c r="A78" s="16" t="s">
        <v>2718</v>
      </c>
      <c r="B78" s="16" t="str">
        <f>VLOOKUP(Table4[[#This Row],[risk_id]], Table3[], 35, FALSE)</f>
        <v>Risk</v>
      </c>
      <c r="C78" s="16" t="str">
        <f>VLOOKUP(Table4[[#This Row],[risk_id]], Table3[], 2, FALSE)</f>
        <v>Social</v>
      </c>
      <c r="D78" s="15" t="str">
        <f>VLOOKUP(Table4[[#This Row],[risk_id]], Table3[], 3, FALSE)</f>
        <v>Tourism</v>
      </c>
      <c r="E78"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78" s="300">
        <f t="shared" si="4"/>
        <v>24</v>
      </c>
      <c r="G78" s="31">
        <f>Table4[[#This Row],[DataQuality_Score]]</f>
        <v>0.72385258865666113</v>
      </c>
      <c r="H78"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78" s="27" t="str">
        <f>Table4[[#This Row],[LoA - Metric]]&amp; ", " &amp;Table4[[#This Row],[ES - Metric]]</f>
        <v>High agreement, Medium evidence</v>
      </c>
      <c r="J78" s="222">
        <f>(Table4[[#This Row],[LoA_SCORE]]+Table4[[#This Row],[ES_SCORE]])/100</f>
        <v>0.72385258865666113</v>
      </c>
      <c r="K78"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78"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78" s="179">
        <f>Table4[[#This Row],[probability_average]]</f>
        <v>4</v>
      </c>
      <c r="N78" s="181">
        <f>Table4[[#This Row],[consequence_average]]</f>
        <v>6</v>
      </c>
      <c r="O78" s="220">
        <f>Table4[[#This Row],[agreementPCT_score]]+Table4[[#This Row],[agreement_dist_score]]+Table4[[#This Row],[LoA_AQ_score]]</f>
        <v>45</v>
      </c>
      <c r="P78" s="203">
        <f>Table4[[#This Row],[evidenceconsistency_score]]+Table4[[#This Row],[EQ_score]]+Table4[[#This Row],[EA_score]]+Table4[[#This Row],[ET_score]]</f>
        <v>27.38525886566612</v>
      </c>
      <c r="Q78" s="181">
        <f>VLOOKUP(Table4[[#This Row],[risk_id]],Table3[],10,FALSE)</f>
        <v>6</v>
      </c>
      <c r="R78" s="181">
        <f>VLOOKUP(Table4[[#This Row],[risk_id]],Table3[],9,FALSE)</f>
        <v>36</v>
      </c>
      <c r="S78" s="179">
        <f>VLOOKUP(Table4[[#This Row],[risk_id]],Table3[],7,FALSE)</f>
        <v>4</v>
      </c>
      <c r="T78" s="179">
        <f>VLOOKUP(Table4[[#This Row],[risk_id]],Table3[],6,FALSE)</f>
        <v>24</v>
      </c>
      <c r="U78" s="177">
        <f t="shared" si="5"/>
        <v>12.5</v>
      </c>
      <c r="V78" s="187">
        <f>10</f>
        <v>10</v>
      </c>
      <c r="W78" s="187">
        <f>30</f>
        <v>30</v>
      </c>
      <c r="X78" s="17">
        <f>VLOOKUP(Table4[[#This Row],[risk_id]],Table3[],5,FALSE)</f>
        <v>6</v>
      </c>
      <c r="Y78" s="17">
        <f>94</f>
        <v>94</v>
      </c>
      <c r="Z78" s="177">
        <f>Table4[[#This Row],[EStype_summed]]*Table4[[#This Row],[Indicator_12.5pct]]</f>
        <v>9.375</v>
      </c>
      <c r="AA78" s="190">
        <f>(IF(Table4[[#This Row],[all_evtype]]&gt;=4,"4", IF(Table4[[#This Row],[all_evtype]]&gt;=3,"3", IF(Table4[[#This Row],[all_evtype]]&gt;=2,"2", IF(Table4[[#This Row],[all_evtype]]&gt;=1,"1","0")))))/Table4[[#This Row],[HPS_et]]</f>
        <v>0.75</v>
      </c>
      <c r="AB78" s="191">
        <f>VLOOKUP(Table4[[#This Row],[risk_id]],Table3[], 14, FALSE)</f>
        <v>1</v>
      </c>
      <c r="AC78" s="191">
        <f>VLOOKUP(Table4[[#This Row],[risk_id]],Table3[], 15, FALSE)</f>
        <v>2</v>
      </c>
      <c r="AD78" s="191">
        <f>VLOOKUP(Table4[[#This Row],[risk_id]], Table3[], 16, FALSE)</f>
        <v>3</v>
      </c>
      <c r="AE78" s="191">
        <f>VLOOKUP(Table4[[#This Row],[risk_id]], Table3[], 17, )</f>
        <v>0</v>
      </c>
      <c r="AF78" s="191">
        <f>4</f>
        <v>4</v>
      </c>
      <c r="AG78" s="191">
        <f>COUNTIF(Table4[[#This Row],[THEO]:[MOD]], "&gt;=1")</f>
        <v>3</v>
      </c>
      <c r="AH78" s="192">
        <f>Table4[[#This Row],[data_observations]]/Table4[[#This Row],[AllObservations_count]]</f>
        <v>6.3829787234042548E-2</v>
      </c>
      <c r="AI78" s="189">
        <f>Table4[[#This Row],[evidenceamount_pct]]*(Table4[[#This Row],[Indicator_12.5pct]])</f>
        <v>0.7978723404255319</v>
      </c>
      <c r="AJ78" s="198">
        <f>(1-(VLOOKUP(Table4[[#This Row],[risk_id]],Table3[],18, FALSE))/(Table4[[#This Row],[data_observations]]))</f>
        <v>0.83333333333333337</v>
      </c>
      <c r="AK78" s="198">
        <f>((VLOOKUP(Table4[[#This Row],[risk_id]],Table3[],19, FALSE))+((VLOOKUP(Table4[[#This Row],[risk_id]],Table3[],36, FALSE))*0.5))/(Table4[[#This Row],[data_observations]])</f>
        <v>0.5</v>
      </c>
      <c r="AL78" s="177">
        <f>((Table4[[#This Row],[ev_data_deficient_score]]*0.5)+(Table4[[#This Row],[ev_data_availability_score]]*0.5))*(Table4[[#This Row],[Indicator_12.5pct]])</f>
        <v>8.3333333333333339</v>
      </c>
      <c r="AM78" s="199">
        <f>Table4[[#This Row],[RiskScore]]</f>
        <v>24</v>
      </c>
      <c r="AN78" s="200">
        <f>VLOOKUP(Table4[[#This Row],[risk_id]], Table3[], 13, FALSE)</f>
        <v>6.9522178715380702</v>
      </c>
      <c r="AO78" s="185">
        <f>(1-(Table4[[#This Row],[evidence_SD_RR]]/Table4[[#This Row],[evidence_mean_RR]]))*(Table4[[#This Row],[Indicator_12.5pct]])</f>
        <v>8.8790531919072553</v>
      </c>
      <c r="AP78" s="201">
        <f>VLOOKUP(Table4[[#This Row],[risk_id]],Table3[],21, FALSE)</f>
        <v>0</v>
      </c>
      <c r="AQ78" s="201">
        <f>VLOOKUP(Table4[[#This Row],[risk_id]],Table3[],23, FALSE)</f>
        <v>0.5</v>
      </c>
      <c r="AR78" s="201">
        <f>VLOOKUP(Table4[[#This Row],[risk_id]],Table3[],25, FALSE)</f>
        <v>0.5</v>
      </c>
      <c r="AS78" s="201">
        <f>VLOOKUP(Table4[[#This Row],[risk_id]],Table3[],27, FALSE)</f>
        <v>0</v>
      </c>
      <c r="AT78" s="183">
        <f>(MAX(Table4[[#This Row],[C]:[U]]))*Table4[[#This Row],[Indicator_20pct]]</f>
        <v>5</v>
      </c>
      <c r="AU78" s="205">
        <f>COUNTIFS(Table4[[#This Row],[C]], "&gt;0", Table4[[#This Row],[U]], "&gt;0") + COUNTIFS(Table4[[#This Row],[H]], "&gt;0", Table4[[#This Row],[U]], "&gt;0") + COUNTIFS(Table4[[#This Row],[C]], "&gt;0", Table4[[#This Row],[M]], "&gt;0")</f>
        <v>0</v>
      </c>
      <c r="AV78" s="219">
        <f>((-(Table4[[#This Row],[different_scores_count]]-3))/3)*Table4[[#This Row],[Indicator_20pct]]</f>
        <v>10</v>
      </c>
      <c r="AW78" s="183">
        <f>IF(Table4[[#This Row],[data_observations]]&gt;=5, 30, IF(Table4[[#This Row],[data_observations]]&gt;=3, 15, 0))</f>
        <v>30</v>
      </c>
      <c r="AX78" s="26" t="s">
        <v>2737</v>
      </c>
    </row>
    <row r="79" spans="1:50" ht="32" hidden="1" customHeight="1" x14ac:dyDescent="0.2">
      <c r="A79" s="16" t="s">
        <v>499</v>
      </c>
      <c r="B79" s="16" t="str">
        <f>VLOOKUP(Table4[[#This Row],[risk_id]], Table3[], 35, FALSE)</f>
        <v>Risk</v>
      </c>
      <c r="C79" s="16" t="str">
        <f>VLOOKUP(Table4[[#This Row],[risk_id]], Table3[], 2, FALSE)</f>
        <v>Economic</v>
      </c>
      <c r="D79" s="15" t="str">
        <f>VLOOKUP(Table4[[#This Row],[risk_id]], Table3[], 3, FALSE)</f>
        <v>Cargo volume intensification</v>
      </c>
      <c r="E79"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79" s="300">
        <f t="shared" si="4"/>
        <v>24</v>
      </c>
      <c r="G79" s="31">
        <f>Table4[[#This Row],[DataQuality_Score]]</f>
        <v>0.61461943418123999</v>
      </c>
      <c r="H79"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79" s="27" t="str">
        <f>Table4[[#This Row],[LoA - Metric]]&amp; ", " &amp;Table4[[#This Row],[ES - Metric]]</f>
        <v>Medium agreement, Medium evidence</v>
      </c>
      <c r="J79" s="222">
        <f>(Table4[[#This Row],[LoA_SCORE]]+Table4[[#This Row],[ES_SCORE]])/100</f>
        <v>0.61461943418123999</v>
      </c>
      <c r="K79"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79"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79" s="179">
        <f>Table4[[#This Row],[probability_average]]</f>
        <v>4</v>
      </c>
      <c r="N79" s="181">
        <f>Table4[[#This Row],[consequence_average]]</f>
        <v>6</v>
      </c>
      <c r="O79" s="220">
        <f>Table4[[#This Row],[agreementPCT_score]]+Table4[[#This Row],[agreement_dist_score]]+Table4[[#This Row],[LoA_AQ_score]]</f>
        <v>31.666666666666664</v>
      </c>
      <c r="P79" s="203">
        <f>Table4[[#This Row],[evidenceconsistency_score]]+Table4[[#This Row],[EQ_score]]+Table4[[#This Row],[EA_score]]+Table4[[#This Row],[ET_score]]</f>
        <v>29.795276751457333</v>
      </c>
      <c r="Q79" s="181">
        <f>VLOOKUP(Table4[[#This Row],[risk_id]],Table3[],10,FALSE)</f>
        <v>6</v>
      </c>
      <c r="R79" s="181">
        <f>VLOOKUP(Table4[[#This Row],[risk_id]],Table3[],9,FALSE)</f>
        <v>18</v>
      </c>
      <c r="S79" s="179">
        <f>VLOOKUP(Table4[[#This Row],[risk_id]],Table3[],7,FALSE)</f>
        <v>4</v>
      </c>
      <c r="T79" s="179">
        <f>VLOOKUP(Table4[[#This Row],[risk_id]],Table3[],6,FALSE)</f>
        <v>12</v>
      </c>
      <c r="U79" s="177">
        <f t="shared" si="5"/>
        <v>12.5</v>
      </c>
      <c r="V79" s="187">
        <f>10</f>
        <v>10</v>
      </c>
      <c r="W79" s="187">
        <f>30</f>
        <v>30</v>
      </c>
      <c r="X79" s="17">
        <f>VLOOKUP(Table4[[#This Row],[risk_id]],Table3[],5,FALSE)</f>
        <v>3</v>
      </c>
      <c r="Y79" s="17">
        <f>94</f>
        <v>94</v>
      </c>
      <c r="Z79" s="177">
        <f>Table4[[#This Row],[EStype_summed]]*Table4[[#This Row],[Indicator_12.5pct]]</f>
        <v>9.375</v>
      </c>
      <c r="AA79" s="190">
        <f>(IF(Table4[[#This Row],[all_evtype]]&gt;=4,"4", IF(Table4[[#This Row],[all_evtype]]&gt;=3,"3", IF(Table4[[#This Row],[all_evtype]]&gt;=2,"2", IF(Table4[[#This Row],[all_evtype]]&gt;=1,"1","0")))))/Table4[[#This Row],[HPS_et]]</f>
        <v>0.75</v>
      </c>
      <c r="AB79" s="191">
        <f>VLOOKUP(Table4[[#This Row],[risk_id]],Table3[], 14, FALSE)</f>
        <v>1</v>
      </c>
      <c r="AC79" s="191">
        <f>VLOOKUP(Table4[[#This Row],[risk_id]],Table3[], 15, FALSE)</f>
        <v>1</v>
      </c>
      <c r="AD79" s="191">
        <f>VLOOKUP(Table4[[#This Row],[risk_id]], Table3[], 16, FALSE)</f>
        <v>0</v>
      </c>
      <c r="AE79" s="191">
        <f>VLOOKUP(Table4[[#This Row],[risk_id]], Table3[], 17, )</f>
        <v>1</v>
      </c>
      <c r="AF79" s="191">
        <f>4</f>
        <v>4</v>
      </c>
      <c r="AG79" s="191">
        <f>COUNTIF(Table4[[#This Row],[THEO]:[MOD]], "&gt;=1")</f>
        <v>3</v>
      </c>
      <c r="AH79" s="192">
        <f>Table4[[#This Row],[data_observations]]/Table4[[#This Row],[AllObservations_count]]</f>
        <v>3.1914893617021274E-2</v>
      </c>
      <c r="AI79" s="189">
        <f>Table4[[#This Row],[evidenceamount_pct]]*(Table4[[#This Row],[Indicator_12.5pct]])</f>
        <v>0.39893617021276595</v>
      </c>
      <c r="AJ79" s="198">
        <f>(1-(VLOOKUP(Table4[[#This Row],[risk_id]],Table3[],18, FALSE))/(Table4[[#This Row],[data_observations]]))</f>
        <v>1</v>
      </c>
      <c r="AK79" s="198">
        <f>((VLOOKUP(Table4[[#This Row],[risk_id]],Table3[],19, FALSE))+((VLOOKUP(Table4[[#This Row],[risk_id]],Table3[],36, FALSE))*0.5))/(Table4[[#This Row],[data_observations]])</f>
        <v>0.5</v>
      </c>
      <c r="AL79" s="177">
        <f>((Table4[[#This Row],[ev_data_deficient_score]]*0.5)+(Table4[[#This Row],[ev_data_availability_score]]*0.5))*(Table4[[#This Row],[Indicator_12.5pct]])</f>
        <v>9.375</v>
      </c>
      <c r="AM79" s="199">
        <f>Table4[[#This Row],[RiskScore]]</f>
        <v>24</v>
      </c>
      <c r="AN79" s="200">
        <f>VLOOKUP(Table4[[#This Row],[risk_id]], Table3[], 13, FALSE)</f>
        <v>3.5590260840104371</v>
      </c>
      <c r="AO79" s="185">
        <f>(1-(Table4[[#This Row],[evidence_SD_RR]]/Table4[[#This Row],[evidence_mean_RR]]))*(Table4[[#This Row],[Indicator_12.5pct]])</f>
        <v>10.646340581244564</v>
      </c>
      <c r="AP79" s="201">
        <f>VLOOKUP(Table4[[#This Row],[risk_id]],Table3[],21, FALSE)</f>
        <v>0</v>
      </c>
      <c r="AQ79" s="201">
        <f>VLOOKUP(Table4[[#This Row],[risk_id]],Table3[],23, FALSE)</f>
        <v>0.33333333333333331</v>
      </c>
      <c r="AR79" s="201">
        <f>VLOOKUP(Table4[[#This Row],[risk_id]],Table3[],25, FALSE)</f>
        <v>0.66666666666666663</v>
      </c>
      <c r="AS79" s="201">
        <f>VLOOKUP(Table4[[#This Row],[risk_id]],Table3[],27, FALSE)</f>
        <v>0</v>
      </c>
      <c r="AT79" s="183">
        <f>(MAX(Table4[[#This Row],[C]:[U]]))*Table4[[#This Row],[Indicator_20pct]]</f>
        <v>6.6666666666666661</v>
      </c>
      <c r="AU79" s="205">
        <f>COUNTIFS(Table4[[#This Row],[C]], "&gt;0", Table4[[#This Row],[U]], "&gt;0") + COUNTIFS(Table4[[#This Row],[H]], "&gt;0", Table4[[#This Row],[U]], "&gt;0") + COUNTIFS(Table4[[#This Row],[C]], "&gt;0", Table4[[#This Row],[M]], "&gt;0")</f>
        <v>0</v>
      </c>
      <c r="AV79" s="219">
        <f>((-(Table4[[#This Row],[different_scores_count]]-3))/3)*Table4[[#This Row],[Indicator_20pct]]</f>
        <v>10</v>
      </c>
      <c r="AW79" s="183">
        <f>IF(Table4[[#This Row],[data_observations]]&gt;=5, 30, IF(Table4[[#This Row],[data_observations]]&gt;=3, 15, 0))</f>
        <v>15</v>
      </c>
      <c r="AX79" s="26" t="s">
        <v>2737</v>
      </c>
    </row>
    <row r="80" spans="1:50" ht="32" hidden="1" customHeight="1" x14ac:dyDescent="0.2">
      <c r="A80" s="16" t="s">
        <v>574</v>
      </c>
      <c r="B80" s="16" t="str">
        <f>VLOOKUP(Table4[[#This Row],[risk_id]], Table3[], 35, FALSE)</f>
        <v>Risk</v>
      </c>
      <c r="C80" s="16" t="str">
        <f>VLOOKUP(Table4[[#This Row],[risk_id]], Table3[], 2, FALSE)</f>
        <v>Assessment</v>
      </c>
      <c r="D80" s="15" t="str">
        <f>VLOOKUP(Table4[[#This Row],[risk_id]], Table3[], 3, FALSE)</f>
        <v>Lacking modelling</v>
      </c>
      <c r="E80"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80" s="300">
        <f t="shared" si="4"/>
        <v>23.833333333333332</v>
      </c>
      <c r="G80" s="172">
        <f>Table4[[#This Row],[DataQuality_Score]]</f>
        <v>0.73879728777603415</v>
      </c>
      <c r="H80"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80" s="27" t="str">
        <f>Table4[[#This Row],[LoA - Metric]]&amp; ", " &amp;Table4[[#This Row],[ES - Metric]]</f>
        <v>High agreement, Medium evidence</v>
      </c>
      <c r="J80" s="222">
        <f>(Table4[[#This Row],[LoA_SCORE]]+Table4[[#This Row],[ES_SCORE]])/100</f>
        <v>0.73879728777603415</v>
      </c>
      <c r="K80"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80"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80" s="179">
        <f>Table4[[#This Row],[probability_average]]</f>
        <v>4.333333333333333</v>
      </c>
      <c r="N80" s="181">
        <f>Table4[[#This Row],[consequence_average]]</f>
        <v>5.5</v>
      </c>
      <c r="O80" s="220">
        <f>Table4[[#This Row],[agreementPCT_score]]+Table4[[#This Row],[agreement_dist_score]]+Table4[[#This Row],[LoA_AQ_score]]</f>
        <v>45</v>
      </c>
      <c r="P80" s="203">
        <f>Table4[[#This Row],[evidenceconsistency_score]]+Table4[[#This Row],[EQ_score]]+Table4[[#This Row],[EA_score]]+Table4[[#This Row],[ET_score]]</f>
        <v>28.879728777603411</v>
      </c>
      <c r="Q80" s="181">
        <f>VLOOKUP(Table4[[#This Row],[risk_id]],Table3[],10,FALSE)</f>
        <v>5.5</v>
      </c>
      <c r="R80" s="181">
        <f>VLOOKUP(Table4[[#This Row],[risk_id]],Table3[],9,FALSE)</f>
        <v>33</v>
      </c>
      <c r="S80" s="179">
        <f>VLOOKUP(Table4[[#This Row],[risk_id]],Table3[],7,FALSE)</f>
        <v>4.333333333333333</v>
      </c>
      <c r="T80" s="179">
        <f>VLOOKUP(Table4[[#This Row],[risk_id]],Table3[],6,FALSE)</f>
        <v>26</v>
      </c>
      <c r="U80" s="177">
        <f t="shared" si="5"/>
        <v>12.5</v>
      </c>
      <c r="V80" s="187">
        <f>10</f>
        <v>10</v>
      </c>
      <c r="W80" s="187">
        <f>30</f>
        <v>30</v>
      </c>
      <c r="X80" s="165">
        <f>VLOOKUP(Table4[[#This Row],[risk_id]],Table3[],5,FALSE)</f>
        <v>6</v>
      </c>
      <c r="Y80" s="17">
        <f>94</f>
        <v>94</v>
      </c>
      <c r="Z80" s="177">
        <f>Table4[[#This Row],[EStype_summed]]*Table4[[#This Row],[Indicator_12.5pct]]</f>
        <v>9.375</v>
      </c>
      <c r="AA80" s="190">
        <f>(IF(Table4[[#This Row],[all_evtype]]&gt;=4,"4", IF(Table4[[#This Row],[all_evtype]]&gt;=3,"3", IF(Table4[[#This Row],[all_evtype]]&gt;=2,"2", IF(Table4[[#This Row],[all_evtype]]&gt;=1,"1","0")))))/Table4[[#This Row],[HPS_et]]</f>
        <v>0.75</v>
      </c>
      <c r="AB80" s="191">
        <f>VLOOKUP(Table4[[#This Row],[risk_id]],Table3[], 14, FALSE)</f>
        <v>1</v>
      </c>
      <c r="AC80" s="191">
        <f>VLOOKUP(Table4[[#This Row],[risk_id]],Table3[], 15, FALSE)</f>
        <v>4</v>
      </c>
      <c r="AD80" s="191">
        <f>VLOOKUP(Table4[[#This Row],[risk_id]], Table3[], 16, FALSE)</f>
        <v>1</v>
      </c>
      <c r="AE80" s="191">
        <f>VLOOKUP(Table4[[#This Row],[risk_id]], Table3[], 17, )</f>
        <v>0</v>
      </c>
      <c r="AF80" s="191">
        <f>4</f>
        <v>4</v>
      </c>
      <c r="AG80" s="191">
        <f>COUNTIF(Table4[[#This Row],[THEO]:[MOD]], "&gt;=1")</f>
        <v>3</v>
      </c>
      <c r="AH80" s="192">
        <f>Table4[[#This Row],[data_observations]]/Table4[[#This Row],[AllObservations_count]]</f>
        <v>6.3829787234042548E-2</v>
      </c>
      <c r="AI80" s="189">
        <f>Table4[[#This Row],[evidenceamount_pct]]*(Table4[[#This Row],[Indicator_12.5pct]])</f>
        <v>0.7978723404255319</v>
      </c>
      <c r="AJ80" s="198">
        <f>(1-(VLOOKUP(Table4[[#This Row],[risk_id]],Table3[],18, FALSE))/(Table4[[#This Row],[data_observations]]))</f>
        <v>1</v>
      </c>
      <c r="AK80" s="198">
        <f>((VLOOKUP(Table4[[#This Row],[risk_id]],Table3[],19, FALSE))+((VLOOKUP(Table4[[#This Row],[risk_id]],Table3[],36, FALSE))*0.5))/(Table4[[#This Row],[data_observations]])</f>
        <v>0.58333333333333337</v>
      </c>
      <c r="AL80" s="177">
        <f>((Table4[[#This Row],[ev_data_deficient_score]]*0.5)+(Table4[[#This Row],[ev_data_availability_score]]*0.5))*(Table4[[#This Row],[Indicator_12.5pct]])</f>
        <v>9.8958333333333339</v>
      </c>
      <c r="AM80" s="199">
        <f>Table4[[#This Row],[RiskScore]]</f>
        <v>23.833333333333332</v>
      </c>
      <c r="AN80" s="200">
        <f>VLOOKUP(Table4[[#This Row],[risk_id]], Table3[], 13, FALSE)</f>
        <v>7.0336492820030641</v>
      </c>
      <c r="AO80" s="185">
        <f>(1-(Table4[[#This Row],[evidence_SD_RR]]/Table4[[#This Row],[evidence_mean_RR]]))*(Table4[[#This Row],[Indicator_12.5pct]])</f>
        <v>8.8110231038445459</v>
      </c>
      <c r="AP80" s="201">
        <f>VLOOKUP(Table4[[#This Row],[risk_id]],Table3[],21, FALSE)</f>
        <v>0</v>
      </c>
      <c r="AQ80" s="201">
        <f>VLOOKUP(Table4[[#This Row],[risk_id]],Table3[],23, FALSE)</f>
        <v>0.5</v>
      </c>
      <c r="AR80" s="201">
        <f>VLOOKUP(Table4[[#This Row],[risk_id]],Table3[],25, FALSE)</f>
        <v>0.5</v>
      </c>
      <c r="AS80" s="201">
        <f>VLOOKUP(Table4[[#This Row],[risk_id]],Table3[],27, FALSE)</f>
        <v>0</v>
      </c>
      <c r="AT80" s="183">
        <f>(MAX(Table4[[#This Row],[C]:[U]]))*Table4[[#This Row],[Indicator_20pct]]</f>
        <v>5</v>
      </c>
      <c r="AU80" s="205">
        <f>COUNTIFS(Table4[[#This Row],[C]], "&gt;0", Table4[[#This Row],[U]], "&gt;0") + COUNTIFS(Table4[[#This Row],[H]], "&gt;0", Table4[[#This Row],[U]], "&gt;0") + COUNTIFS(Table4[[#This Row],[C]], "&gt;0", Table4[[#This Row],[M]], "&gt;0")</f>
        <v>0</v>
      </c>
      <c r="AV80" s="219">
        <f>((-(Table4[[#This Row],[different_scores_count]]-3))/3)*Table4[[#This Row],[Indicator_20pct]]</f>
        <v>10</v>
      </c>
      <c r="AW80" s="183">
        <f>IF(Table4[[#This Row],[data_observations]]&gt;=5, 30, IF(Table4[[#This Row],[data_observations]]&gt;=3, 15, 0))</f>
        <v>30</v>
      </c>
      <c r="AX80" s="60" t="s">
        <v>2737</v>
      </c>
    </row>
    <row r="81" spans="1:50" ht="32" hidden="1" customHeight="1" x14ac:dyDescent="0.2">
      <c r="A81" s="16" t="s">
        <v>575</v>
      </c>
      <c r="B81" s="16" t="str">
        <f>VLOOKUP(Table4[[#This Row],[risk_id]], Table3[], 35, FALSE)</f>
        <v>Risk</v>
      </c>
      <c r="C81" s="16" t="str">
        <f>VLOOKUP(Table4[[#This Row],[risk_id]], Table3[], 2, FALSE)</f>
        <v>Navigational</v>
      </c>
      <c r="D81" s="15" t="str">
        <f>VLOOKUP(Table4[[#This Row],[risk_id]], Table3[], 3, FALSE)</f>
        <v>Lacking navigation tools</v>
      </c>
      <c r="E81"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81" s="300">
        <f t="shared" si="4"/>
        <v>23.625</v>
      </c>
      <c r="G81" s="31">
        <f>Table4[[#This Row],[DataQuality_Score]]</f>
        <v>0.75695477128219291</v>
      </c>
      <c r="H81"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81" s="27" t="str">
        <f>Table4[[#This Row],[LoA - Metric]]&amp; ", " &amp;Table4[[#This Row],[ES - Metric]]</f>
        <v>High agreement, Medium evidence</v>
      </c>
      <c r="J81" s="222">
        <f>(Table4[[#This Row],[LoA_SCORE]]+Table4[[#This Row],[ES_SCORE]])/100</f>
        <v>0.75695477128219291</v>
      </c>
      <c r="K81"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81"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81" s="179">
        <f>Table4[[#This Row],[probability_average]]</f>
        <v>3.5</v>
      </c>
      <c r="N81" s="181">
        <f>Table4[[#This Row],[consequence_average]]</f>
        <v>6.75</v>
      </c>
      <c r="O81" s="220">
        <f>Table4[[#This Row],[agreementPCT_score]]+Table4[[#This Row],[agreement_dist_score]]+Table4[[#This Row],[LoA_AQ_score]]</f>
        <v>43.541666666666664</v>
      </c>
      <c r="P81" s="203">
        <f>Table4[[#This Row],[evidenceconsistency_score]]+Table4[[#This Row],[EQ_score]]+Table4[[#This Row],[EA_score]]+Table4[[#This Row],[ET_score]]</f>
        <v>32.153810461552638</v>
      </c>
      <c r="Q81" s="181">
        <f>VLOOKUP(Table4[[#This Row],[risk_id]],Table3[],10,FALSE)</f>
        <v>6.75</v>
      </c>
      <c r="R81" s="181">
        <f>VLOOKUP(Table4[[#This Row],[risk_id]],Table3[],9,FALSE)</f>
        <v>108</v>
      </c>
      <c r="S81" s="179">
        <f>VLOOKUP(Table4[[#This Row],[risk_id]],Table3[],7,FALSE)</f>
        <v>3.5</v>
      </c>
      <c r="T81" s="179">
        <f>VLOOKUP(Table4[[#This Row],[risk_id]],Table3[],6,FALSE)</f>
        <v>56</v>
      </c>
      <c r="U81" s="177">
        <f t="shared" si="5"/>
        <v>12.5</v>
      </c>
      <c r="V81" s="187">
        <f>10</f>
        <v>10</v>
      </c>
      <c r="W81" s="187">
        <f>30</f>
        <v>30</v>
      </c>
      <c r="X81" s="17">
        <f>VLOOKUP(Table4[[#This Row],[risk_id]],Table3[],5,FALSE)</f>
        <v>16</v>
      </c>
      <c r="Y81" s="17">
        <f>94</f>
        <v>94</v>
      </c>
      <c r="Z81" s="177">
        <f>Table4[[#This Row],[EStype_summed]]*Table4[[#This Row],[Indicator_12.5pct]]</f>
        <v>12.5</v>
      </c>
      <c r="AA81" s="190">
        <f>(IF(Table4[[#This Row],[all_evtype]]&gt;=4,"4", IF(Table4[[#This Row],[all_evtype]]&gt;=3,"3", IF(Table4[[#This Row],[all_evtype]]&gt;=2,"2", IF(Table4[[#This Row],[all_evtype]]&gt;=1,"1","0")))))/Table4[[#This Row],[HPS_et]]</f>
        <v>1</v>
      </c>
      <c r="AB81" s="191">
        <f>VLOOKUP(Table4[[#This Row],[risk_id]],Table3[], 14, FALSE)</f>
        <v>5</v>
      </c>
      <c r="AC81" s="191">
        <f>VLOOKUP(Table4[[#This Row],[risk_id]],Table3[], 15, FALSE)</f>
        <v>4</v>
      </c>
      <c r="AD81" s="191">
        <f>VLOOKUP(Table4[[#This Row],[risk_id]], Table3[], 16, FALSE)</f>
        <v>5</v>
      </c>
      <c r="AE81" s="191">
        <f>VLOOKUP(Table4[[#This Row],[risk_id]], Table3[], 17, )</f>
        <v>2</v>
      </c>
      <c r="AF81" s="191">
        <f>4</f>
        <v>4</v>
      </c>
      <c r="AG81" s="191">
        <f>COUNTIF(Table4[[#This Row],[THEO]:[MOD]], "&gt;=1")</f>
        <v>4</v>
      </c>
      <c r="AH81" s="192">
        <f>Table4[[#This Row],[data_observations]]/Table4[[#This Row],[AllObservations_count]]</f>
        <v>0.1702127659574468</v>
      </c>
      <c r="AI81" s="189">
        <f>Table4[[#This Row],[evidenceamount_pct]]*(Table4[[#This Row],[Indicator_12.5pct]])</f>
        <v>2.1276595744680851</v>
      </c>
      <c r="AJ81" s="198">
        <f>(1-(VLOOKUP(Table4[[#This Row],[risk_id]],Table3[],18, FALSE))/(Table4[[#This Row],[data_observations]]))</f>
        <v>0.875</v>
      </c>
      <c r="AK81" s="198">
        <f>((VLOOKUP(Table4[[#This Row],[risk_id]],Table3[],19, FALSE))+((VLOOKUP(Table4[[#This Row],[risk_id]],Table3[],36, FALSE))*0.5))/(Table4[[#This Row],[data_observations]])</f>
        <v>0.5</v>
      </c>
      <c r="AL81" s="177">
        <f>((Table4[[#This Row],[ev_data_deficient_score]]*0.5)+(Table4[[#This Row],[ev_data_availability_score]]*0.5))*(Table4[[#This Row],[Indicator_12.5pct]])</f>
        <v>8.59375</v>
      </c>
      <c r="AM81" s="199">
        <f>Table4[[#This Row],[RiskScore]]</f>
        <v>23.625</v>
      </c>
      <c r="AN81" s="200">
        <f>VLOOKUP(Table4[[#This Row],[risk_id]], Table3[], 13, FALSE)</f>
        <v>6.742762323410191</v>
      </c>
      <c r="AO81" s="185">
        <f>(1-(Table4[[#This Row],[evidence_SD_RR]]/Table4[[#This Row],[evidence_mean_RR]]))*(Table4[[#This Row],[Indicator_12.5pct]])</f>
        <v>8.9324008870845546</v>
      </c>
      <c r="AP81" s="201">
        <f>VLOOKUP(Table4[[#This Row],[risk_id]],Table3[],21, FALSE)</f>
        <v>6.25E-2</v>
      </c>
      <c r="AQ81" s="201">
        <f>VLOOKUP(Table4[[#This Row],[risk_id]],Table3[],23, FALSE)</f>
        <v>0.25</v>
      </c>
      <c r="AR81" s="201">
        <f>VLOOKUP(Table4[[#This Row],[risk_id]],Table3[],25, FALSE)</f>
        <v>0.6875</v>
      </c>
      <c r="AS81" s="201">
        <f>VLOOKUP(Table4[[#This Row],[risk_id]],Table3[],27, FALSE)</f>
        <v>0</v>
      </c>
      <c r="AT81" s="183">
        <f>(MAX(Table4[[#This Row],[C]:[U]]))*Table4[[#This Row],[Indicator_20pct]]</f>
        <v>6.875</v>
      </c>
      <c r="AU81" s="205">
        <f>COUNTIFS(Table4[[#This Row],[C]], "&gt;0", Table4[[#This Row],[U]], "&gt;0") + COUNTIFS(Table4[[#This Row],[H]], "&gt;0", Table4[[#This Row],[U]], "&gt;0") + COUNTIFS(Table4[[#This Row],[C]], "&gt;0", Table4[[#This Row],[M]], "&gt;0")</f>
        <v>1</v>
      </c>
      <c r="AV81" s="219">
        <f>((-(Table4[[#This Row],[different_scores_count]]-3))/3)*Table4[[#This Row],[Indicator_20pct]]</f>
        <v>6.6666666666666661</v>
      </c>
      <c r="AW81" s="183">
        <f>IF(Table4[[#This Row],[data_observations]]&gt;=5, 30, IF(Table4[[#This Row],[data_observations]]&gt;=3, 15, 0))</f>
        <v>30</v>
      </c>
      <c r="AX81" s="26" t="s">
        <v>2737</v>
      </c>
    </row>
    <row r="82" spans="1:50" ht="32" customHeight="1" x14ac:dyDescent="0.2">
      <c r="A82" s="16" t="s">
        <v>2700</v>
      </c>
      <c r="B82" s="16" t="str">
        <f>VLOOKUP(Table4[[#This Row],[risk_id]], Table3[], 35, FALSE)</f>
        <v>Hazard</v>
      </c>
      <c r="C82" s="16" t="str">
        <f>VLOOKUP(Table4[[#This Row],[risk_id]], Table3[], 2, FALSE)</f>
        <v>Technological</v>
      </c>
      <c r="D82" s="15" t="str">
        <f>VLOOKUP(Table4[[#This Row],[risk_id]], Table3[], 3, FALSE)</f>
        <v>Navigational aids failure or error</v>
      </c>
      <c r="E82"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82" s="300">
        <f t="shared" si="4"/>
        <v>23.590277777777779</v>
      </c>
      <c r="G82" s="31">
        <f>Table4[[#This Row],[DataQuality_Score]]</f>
        <v>0.65693258727296888</v>
      </c>
      <c r="H82"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82" s="27" t="str">
        <f>Table4[[#This Row],[LoA - Metric]]&amp; ", " &amp;Table4[[#This Row],[ES - Metric]]</f>
        <v>High agreement, Medium evidence</v>
      </c>
      <c r="J82" s="222">
        <f>(Table4[[#This Row],[LoA_SCORE]]+Table4[[#This Row],[ES_SCORE]])/100</f>
        <v>0.65693258727296888</v>
      </c>
      <c r="K82"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82"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82" s="179">
        <f>Table4[[#This Row],[probability_average]]</f>
        <v>3.5833333333333335</v>
      </c>
      <c r="N82" s="181">
        <f>Table4[[#This Row],[consequence_average]]</f>
        <v>6.583333333333333</v>
      </c>
      <c r="O82" s="220">
        <f>Table4[[#This Row],[agreementPCT_score]]+Table4[[#This Row],[agreement_dist_score]]+Table4[[#This Row],[LoA_AQ_score]]</f>
        <v>35</v>
      </c>
      <c r="P82" s="203">
        <f>Table4[[#This Row],[evidenceconsistency_score]]+Table4[[#This Row],[EQ_score]]+Table4[[#This Row],[EA_score]]+Table4[[#This Row],[ET_score]]</f>
        <v>30.693258727296886</v>
      </c>
      <c r="Q82" s="181">
        <f>VLOOKUP(Table4[[#This Row],[risk_id]],Table3[],10,FALSE)</f>
        <v>6.583333333333333</v>
      </c>
      <c r="R82" s="181">
        <f>VLOOKUP(Table4[[#This Row],[risk_id]],Table3[],9,FALSE)</f>
        <v>79</v>
      </c>
      <c r="S82" s="179">
        <f>VLOOKUP(Table4[[#This Row],[risk_id]],Table3[],7,FALSE)</f>
        <v>3.5833333333333335</v>
      </c>
      <c r="T82" s="179">
        <f>VLOOKUP(Table4[[#This Row],[risk_id]],Table3[],6,FALSE)</f>
        <v>43</v>
      </c>
      <c r="U82" s="177">
        <f t="shared" si="5"/>
        <v>12.5</v>
      </c>
      <c r="V82" s="187">
        <f>10</f>
        <v>10</v>
      </c>
      <c r="W82" s="187">
        <f>30</f>
        <v>30</v>
      </c>
      <c r="X82" s="17">
        <f>VLOOKUP(Table4[[#This Row],[risk_id]],Table3[],5,FALSE)</f>
        <v>12</v>
      </c>
      <c r="Y82" s="17">
        <f>94</f>
        <v>94</v>
      </c>
      <c r="Z82" s="177">
        <f>Table4[[#This Row],[EStype_summed]]*Table4[[#This Row],[Indicator_12.5pct]]</f>
        <v>12.5</v>
      </c>
      <c r="AA82" s="190">
        <f>(IF(Table4[[#This Row],[all_evtype]]&gt;=4,"4", IF(Table4[[#This Row],[all_evtype]]&gt;=3,"3", IF(Table4[[#This Row],[all_evtype]]&gt;=2,"2", IF(Table4[[#This Row],[all_evtype]]&gt;=1,"1","0")))))/Table4[[#This Row],[HPS_et]]</f>
        <v>1</v>
      </c>
      <c r="AB82" s="191">
        <f>VLOOKUP(Table4[[#This Row],[risk_id]],Table3[], 14, FALSE)</f>
        <v>1</v>
      </c>
      <c r="AC82" s="191">
        <f>VLOOKUP(Table4[[#This Row],[risk_id]],Table3[], 15, FALSE)</f>
        <v>7</v>
      </c>
      <c r="AD82" s="191">
        <f>VLOOKUP(Table4[[#This Row],[risk_id]], Table3[], 16, FALSE)</f>
        <v>3</v>
      </c>
      <c r="AE82" s="191">
        <f>VLOOKUP(Table4[[#This Row],[risk_id]], Table3[], 17, )</f>
        <v>1</v>
      </c>
      <c r="AF82" s="191">
        <f>4</f>
        <v>4</v>
      </c>
      <c r="AG82" s="191">
        <f>COUNTIF(Table4[[#This Row],[THEO]:[MOD]], "&gt;=1")</f>
        <v>4</v>
      </c>
      <c r="AH82" s="192">
        <f>Table4[[#This Row],[data_observations]]/Table4[[#This Row],[AllObservations_count]]</f>
        <v>0.1276595744680851</v>
      </c>
      <c r="AI82" s="189">
        <f>Table4[[#This Row],[evidenceamount_pct]]*(Table4[[#This Row],[Indicator_12.5pct]])</f>
        <v>1.5957446808510638</v>
      </c>
      <c r="AJ82" s="198">
        <f>(1-(VLOOKUP(Table4[[#This Row],[risk_id]],Table3[],18, FALSE))/(Table4[[#This Row],[data_observations]]))</f>
        <v>0.91666666666666663</v>
      </c>
      <c r="AK82" s="198">
        <f>((VLOOKUP(Table4[[#This Row],[risk_id]],Table3[],19, FALSE))+((VLOOKUP(Table4[[#This Row],[risk_id]],Table3[],36, FALSE))*0.5))/(Table4[[#This Row],[data_observations]])</f>
        <v>0.66666666666666663</v>
      </c>
      <c r="AL82" s="177">
        <f>((Table4[[#This Row],[ev_data_deficient_score]]*0.5)+(Table4[[#This Row],[ev_data_availability_score]]*0.5))*(Table4[[#This Row],[Indicator_12.5pct]])</f>
        <v>9.8958333333333321</v>
      </c>
      <c r="AM82" s="199">
        <f>Table4[[#This Row],[RiskScore]]</f>
        <v>23.590277777777779</v>
      </c>
      <c r="AN82" s="200">
        <f>VLOOKUP(Table4[[#This Row],[risk_id]], Table3[], 13, FALSE)</f>
        <v>10.942717009753819</v>
      </c>
      <c r="AO82" s="185">
        <f>(1-(Table4[[#This Row],[evidence_SD_RR]]/Table4[[#This Row],[evidence_mean_RR]]))*(Table4[[#This Row],[Indicator_12.5pct]])</f>
        <v>6.7016807131124896</v>
      </c>
      <c r="AP82" s="201">
        <f>VLOOKUP(Table4[[#This Row],[risk_id]],Table3[],21, FALSE)</f>
        <v>0.16666666666666666</v>
      </c>
      <c r="AQ82" s="201">
        <f>VLOOKUP(Table4[[#This Row],[risk_id]],Table3[],23, FALSE)</f>
        <v>0.25</v>
      </c>
      <c r="AR82" s="201">
        <f>VLOOKUP(Table4[[#This Row],[risk_id]],Table3[],25, FALSE)</f>
        <v>0.5</v>
      </c>
      <c r="AS82" s="201">
        <f>VLOOKUP(Table4[[#This Row],[risk_id]],Table3[],27, FALSE)</f>
        <v>8.3333333333333329E-2</v>
      </c>
      <c r="AT82" s="183">
        <f>(MAX(Table4[[#This Row],[C]:[U]]))*Table4[[#This Row],[Indicator_20pct]]</f>
        <v>5</v>
      </c>
      <c r="AU82" s="205">
        <f>COUNTIFS(Table4[[#This Row],[C]], "&gt;0", Table4[[#This Row],[U]], "&gt;0") + COUNTIFS(Table4[[#This Row],[H]], "&gt;0", Table4[[#This Row],[U]], "&gt;0") + COUNTIFS(Table4[[#This Row],[C]], "&gt;0", Table4[[#This Row],[M]], "&gt;0")</f>
        <v>3</v>
      </c>
      <c r="AV82" s="219">
        <f>((-(Table4[[#This Row],[different_scores_count]]-3))/3)*Table4[[#This Row],[Indicator_20pct]]</f>
        <v>0</v>
      </c>
      <c r="AW82" s="183">
        <f>IF(Table4[[#This Row],[data_observations]]&gt;=5, 30, IF(Table4[[#This Row],[data_observations]]&gt;=3, 15, 0))</f>
        <v>30</v>
      </c>
      <c r="AX82" s="26" t="s">
        <v>2737</v>
      </c>
    </row>
    <row r="83" spans="1:50" ht="32" hidden="1" customHeight="1" x14ac:dyDescent="0.2">
      <c r="A83" s="16" t="s">
        <v>517</v>
      </c>
      <c r="B83" s="16" t="str">
        <f>VLOOKUP(Table4[[#This Row],[risk_id]], Table3[], 35, FALSE)</f>
        <v>Risk</v>
      </c>
      <c r="C83" s="16" t="str">
        <f>VLOOKUP(Table4[[#This Row],[risk_id]], Table3[], 2, FALSE)</f>
        <v>Operational</v>
      </c>
      <c r="D83" s="15" t="str">
        <f>VLOOKUP(Table4[[#This Row],[risk_id]], Table3[], 3, FALSE)</f>
        <v>Fuel consumption</v>
      </c>
      <c r="E83"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83" s="300">
        <f t="shared" si="4"/>
        <v>23.111111111111107</v>
      </c>
      <c r="G83" s="31">
        <f>Table4[[#This Row],[DataQuality_Score]]</f>
        <v>0.51427464252911581</v>
      </c>
      <c r="H83"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83" s="27" t="str">
        <f>Table4[[#This Row],[LoA - Metric]]&amp; ", " &amp;Table4[[#This Row],[ES - Metric]]</f>
        <v>Medium agreement, Medium evidence</v>
      </c>
      <c r="J83" s="222">
        <f>(Table4[[#This Row],[LoA_SCORE]]+Table4[[#This Row],[ES_SCORE]])/100</f>
        <v>0.51427464252911581</v>
      </c>
      <c r="K83"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83"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83" s="179">
        <f>Table4[[#This Row],[probability_average]]</f>
        <v>4.333333333333333</v>
      </c>
      <c r="N83" s="181">
        <f>Table4[[#This Row],[consequence_average]]</f>
        <v>5.333333333333333</v>
      </c>
      <c r="O83" s="220">
        <f>Table4[[#This Row],[agreementPCT_score]]+Table4[[#This Row],[agreement_dist_score]]+Table4[[#This Row],[LoA_AQ_score]]</f>
        <v>31.666666666666664</v>
      </c>
      <c r="P83" s="203">
        <f>Table4[[#This Row],[evidenceconsistency_score]]+Table4[[#This Row],[EQ_score]]+Table4[[#This Row],[EA_score]]+Table4[[#This Row],[ET_score]]</f>
        <v>19.760797586244912</v>
      </c>
      <c r="Q83" s="181">
        <f>VLOOKUP(Table4[[#This Row],[risk_id]],Table3[],10,FALSE)</f>
        <v>5.333333333333333</v>
      </c>
      <c r="R83" s="181">
        <f>VLOOKUP(Table4[[#This Row],[risk_id]],Table3[],9,FALSE)</f>
        <v>16</v>
      </c>
      <c r="S83" s="179">
        <f>VLOOKUP(Table4[[#This Row],[risk_id]],Table3[],7,FALSE)</f>
        <v>4.333333333333333</v>
      </c>
      <c r="T83" s="179">
        <f>VLOOKUP(Table4[[#This Row],[risk_id]],Table3[],6,FALSE)</f>
        <v>13</v>
      </c>
      <c r="U83" s="177">
        <f t="shared" si="5"/>
        <v>12.5</v>
      </c>
      <c r="V83" s="187">
        <f>10</f>
        <v>10</v>
      </c>
      <c r="W83" s="187">
        <f>30</f>
        <v>30</v>
      </c>
      <c r="X83" s="17">
        <f>VLOOKUP(Table4[[#This Row],[risk_id]],Table3[],5,FALSE)</f>
        <v>3</v>
      </c>
      <c r="Y83" s="17">
        <f>94</f>
        <v>94</v>
      </c>
      <c r="Z83" s="177">
        <f>Table4[[#This Row],[EStype_summed]]*Table4[[#This Row],[Indicator_12.5pct]]</f>
        <v>6.25</v>
      </c>
      <c r="AA83" s="190">
        <f>(IF(Table4[[#This Row],[all_evtype]]&gt;=4,"4", IF(Table4[[#This Row],[all_evtype]]&gt;=3,"3", IF(Table4[[#This Row],[all_evtype]]&gt;=2,"2", IF(Table4[[#This Row],[all_evtype]]&gt;=1,"1","0")))))/Table4[[#This Row],[HPS_et]]</f>
        <v>0.5</v>
      </c>
      <c r="AB83" s="191">
        <f>VLOOKUP(Table4[[#This Row],[risk_id]],Table3[], 14, FALSE)</f>
        <v>0</v>
      </c>
      <c r="AC83" s="191">
        <f>VLOOKUP(Table4[[#This Row],[risk_id]],Table3[], 15, FALSE)</f>
        <v>0</v>
      </c>
      <c r="AD83" s="191">
        <f>VLOOKUP(Table4[[#This Row],[risk_id]], Table3[], 16, FALSE)</f>
        <v>1</v>
      </c>
      <c r="AE83" s="191">
        <f>VLOOKUP(Table4[[#This Row],[risk_id]], Table3[], 17, )</f>
        <v>2</v>
      </c>
      <c r="AF83" s="191">
        <f>4</f>
        <v>4</v>
      </c>
      <c r="AG83" s="191">
        <f>COUNTIF(Table4[[#This Row],[THEO]:[MOD]], "&gt;=1")</f>
        <v>2</v>
      </c>
      <c r="AH83" s="192">
        <f>Table4[[#This Row],[data_observations]]/Table4[[#This Row],[AllObservations_count]]</f>
        <v>3.1914893617021274E-2</v>
      </c>
      <c r="AI83" s="189">
        <f>Table4[[#This Row],[evidenceamount_pct]]*(Table4[[#This Row],[Indicator_12.5pct]])</f>
        <v>0.39893617021276595</v>
      </c>
      <c r="AJ83" s="198">
        <f>(1-(VLOOKUP(Table4[[#This Row],[risk_id]],Table3[],18, FALSE))/(Table4[[#This Row],[data_observations]]))</f>
        <v>0.33333333333333337</v>
      </c>
      <c r="AK83" s="198">
        <f>((VLOOKUP(Table4[[#This Row],[risk_id]],Table3[],19, FALSE))+((VLOOKUP(Table4[[#This Row],[risk_id]],Table3[],36, FALSE))*0.5))/(Table4[[#This Row],[data_observations]])</f>
        <v>0.5</v>
      </c>
      <c r="AL83" s="177">
        <f>((Table4[[#This Row],[ev_data_deficient_score]]*0.5)+(Table4[[#This Row],[ev_data_availability_score]]*0.5))*(Table4[[#This Row],[Indicator_12.5pct]])</f>
        <v>5.2083333333333339</v>
      </c>
      <c r="AM83" s="199">
        <f>Table4[[#This Row],[RiskScore]]</f>
        <v>23.111111111111107</v>
      </c>
      <c r="AN83" s="200">
        <f>VLOOKUP(Table4[[#This Row],[risk_id]], Table3[], 13, FALSE)</f>
        <v>8.4983658559879753</v>
      </c>
      <c r="AO83" s="185">
        <f>(1-(Table4[[#This Row],[evidence_SD_RR]]/Table4[[#This Row],[evidence_mean_RR]]))*(Table4[[#This Row],[Indicator_12.5pct]])</f>
        <v>7.9035280826988101</v>
      </c>
      <c r="AP83" s="201">
        <f>VLOOKUP(Table4[[#This Row],[risk_id]],Table3[],21, FALSE)</f>
        <v>0</v>
      </c>
      <c r="AQ83" s="201">
        <f>VLOOKUP(Table4[[#This Row],[risk_id]],Table3[],23, FALSE)</f>
        <v>0.33333333333333331</v>
      </c>
      <c r="AR83" s="201">
        <f>VLOOKUP(Table4[[#This Row],[risk_id]],Table3[],25, FALSE)</f>
        <v>0.66666666666666663</v>
      </c>
      <c r="AS83" s="201">
        <f>VLOOKUP(Table4[[#This Row],[risk_id]],Table3[],27, FALSE)</f>
        <v>0</v>
      </c>
      <c r="AT83" s="183">
        <f>(MAX(Table4[[#This Row],[C]:[U]]))*Table4[[#This Row],[Indicator_20pct]]</f>
        <v>6.6666666666666661</v>
      </c>
      <c r="AU83" s="205">
        <f>COUNTIFS(Table4[[#This Row],[C]], "&gt;0", Table4[[#This Row],[U]], "&gt;0") + COUNTIFS(Table4[[#This Row],[H]], "&gt;0", Table4[[#This Row],[U]], "&gt;0") + COUNTIFS(Table4[[#This Row],[C]], "&gt;0", Table4[[#This Row],[M]], "&gt;0")</f>
        <v>0</v>
      </c>
      <c r="AV83" s="219">
        <f>((-(Table4[[#This Row],[different_scores_count]]-3))/3)*Table4[[#This Row],[Indicator_20pct]]</f>
        <v>10</v>
      </c>
      <c r="AW83" s="183">
        <f>IF(Table4[[#This Row],[data_observations]]&gt;=5, 30, IF(Table4[[#This Row],[data_observations]]&gt;=3, 15, 0))</f>
        <v>15</v>
      </c>
      <c r="AX83" s="26" t="s">
        <v>2737</v>
      </c>
    </row>
    <row r="84" spans="1:50" ht="32" hidden="1" customHeight="1" x14ac:dyDescent="0.2">
      <c r="A84" s="16" t="s">
        <v>551</v>
      </c>
      <c r="B84" s="16" t="str">
        <f>VLOOKUP(Table4[[#This Row],[risk_id]], Table3[], 35, FALSE)</f>
        <v>Risk</v>
      </c>
      <c r="C84" s="16" t="str">
        <f>VLOOKUP(Table4[[#This Row],[risk_id]], Table3[], 2, FALSE)</f>
        <v>Political</v>
      </c>
      <c r="D84" s="15" t="str">
        <f>VLOOKUP(Table4[[#This Row],[risk_id]], Table3[], 3, FALSE)</f>
        <v>Lack of clear policy and/or regulations</v>
      </c>
      <c r="E84"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84" s="300">
        <f t="shared" si="4"/>
        <v>23.076923076923077</v>
      </c>
      <c r="G84" s="31">
        <f>Table4[[#This Row],[DataQuality_Score]]</f>
        <v>0.69979873208278176</v>
      </c>
      <c r="H84"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84" s="27" t="str">
        <f>Table4[[#This Row],[LoA - Metric]]&amp; ", " &amp;Table4[[#This Row],[ES - Metric]]</f>
        <v>High agreement, Medium evidence</v>
      </c>
      <c r="J84" s="222">
        <f>(Table4[[#This Row],[LoA_SCORE]]+Table4[[#This Row],[ES_SCORE]])/100</f>
        <v>0.69979873208278176</v>
      </c>
      <c r="K84"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84"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84" s="179">
        <f>Table4[[#This Row],[probability_average]]</f>
        <v>3.8461538461538463</v>
      </c>
      <c r="N84" s="181">
        <f>Table4[[#This Row],[consequence_average]]</f>
        <v>6</v>
      </c>
      <c r="O84" s="220">
        <f>Table4[[#This Row],[agreementPCT_score]]+Table4[[#This Row],[agreement_dist_score]]+Table4[[#This Row],[LoA_AQ_score]]</f>
        <v>42.820512820512818</v>
      </c>
      <c r="P84" s="203">
        <f>Table4[[#This Row],[evidenceconsistency_score]]+Table4[[#This Row],[EQ_score]]+Table4[[#This Row],[EA_score]]+Table4[[#This Row],[ET_score]]</f>
        <v>27.159360387765354</v>
      </c>
      <c r="Q84" s="181">
        <f>VLOOKUP(Table4[[#This Row],[risk_id]],Table3[],10,FALSE)</f>
        <v>6</v>
      </c>
      <c r="R84" s="181">
        <f>VLOOKUP(Table4[[#This Row],[risk_id]],Table3[],9,FALSE)</f>
        <v>78</v>
      </c>
      <c r="S84" s="179">
        <f>VLOOKUP(Table4[[#This Row],[risk_id]],Table3[],7,FALSE)</f>
        <v>3.8461538461538463</v>
      </c>
      <c r="T84" s="179">
        <f>VLOOKUP(Table4[[#This Row],[risk_id]],Table3[],6,FALSE)</f>
        <v>50</v>
      </c>
      <c r="U84" s="177">
        <f t="shared" si="5"/>
        <v>12.5</v>
      </c>
      <c r="V84" s="187">
        <f>10</f>
        <v>10</v>
      </c>
      <c r="W84" s="187">
        <f>30</f>
        <v>30</v>
      </c>
      <c r="X84" s="17">
        <f>VLOOKUP(Table4[[#This Row],[risk_id]],Table3[],5,FALSE)</f>
        <v>13</v>
      </c>
      <c r="Y84" s="17">
        <f>94</f>
        <v>94</v>
      </c>
      <c r="Z84" s="177">
        <f>Table4[[#This Row],[EStype_summed]]*Table4[[#This Row],[Indicator_12.5pct]]</f>
        <v>9.375</v>
      </c>
      <c r="AA84" s="190">
        <f>(IF(Table4[[#This Row],[all_evtype]]&gt;=4,"4", IF(Table4[[#This Row],[all_evtype]]&gt;=3,"3", IF(Table4[[#This Row],[all_evtype]]&gt;=2,"2", IF(Table4[[#This Row],[all_evtype]]&gt;=1,"1","0")))))/Table4[[#This Row],[HPS_et]]</f>
        <v>0.75</v>
      </c>
      <c r="AB84" s="191">
        <f>VLOOKUP(Table4[[#This Row],[risk_id]],Table3[], 14, FALSE)</f>
        <v>4</v>
      </c>
      <c r="AC84" s="191">
        <f>VLOOKUP(Table4[[#This Row],[risk_id]],Table3[], 15, FALSE)</f>
        <v>4</v>
      </c>
      <c r="AD84" s="191">
        <f>VLOOKUP(Table4[[#This Row],[risk_id]], Table3[], 16, FALSE)</f>
        <v>5</v>
      </c>
      <c r="AE84" s="191">
        <f>VLOOKUP(Table4[[#This Row],[risk_id]], Table3[], 17, )</f>
        <v>0</v>
      </c>
      <c r="AF84" s="191">
        <f>4</f>
        <v>4</v>
      </c>
      <c r="AG84" s="191">
        <f>COUNTIF(Table4[[#This Row],[THEO]:[MOD]], "&gt;=1")</f>
        <v>3</v>
      </c>
      <c r="AH84" s="192">
        <f>Table4[[#This Row],[data_observations]]/Table4[[#This Row],[AllObservations_count]]</f>
        <v>0.13829787234042554</v>
      </c>
      <c r="AI84" s="189">
        <f>Table4[[#This Row],[evidenceamount_pct]]*(Table4[[#This Row],[Indicator_12.5pct]])</f>
        <v>1.7287234042553192</v>
      </c>
      <c r="AJ84" s="198">
        <f>(1-(VLOOKUP(Table4[[#This Row],[risk_id]],Table3[],18, FALSE))/(Table4[[#This Row],[data_observations]]))</f>
        <v>1</v>
      </c>
      <c r="AK84" s="198">
        <f>((VLOOKUP(Table4[[#This Row],[risk_id]],Table3[],19, FALSE))+((VLOOKUP(Table4[[#This Row],[risk_id]],Table3[],36, FALSE))*0.5))/(Table4[[#This Row],[data_observations]])</f>
        <v>0.46153846153846156</v>
      </c>
      <c r="AL84" s="177">
        <f>((Table4[[#This Row],[ev_data_deficient_score]]*0.5)+(Table4[[#This Row],[ev_data_availability_score]]*0.5))*(Table4[[#This Row],[Indicator_12.5pct]])</f>
        <v>9.134615384615385</v>
      </c>
      <c r="AM84" s="199">
        <f>Table4[[#This Row],[RiskScore]]</f>
        <v>23.076923076923077</v>
      </c>
      <c r="AN84" s="200">
        <f>VLOOKUP(Table4[[#This Row],[risk_id]], Table3[], 13, FALSE)</f>
        <v>10.299652432809875</v>
      </c>
      <c r="AO84" s="185">
        <f>(1-(Table4[[#This Row],[evidence_SD_RR]]/Table4[[#This Row],[evidence_mean_RR]]))*(Table4[[#This Row],[Indicator_12.5pct]])</f>
        <v>6.92102159889465</v>
      </c>
      <c r="AP84" s="201">
        <f>VLOOKUP(Table4[[#This Row],[risk_id]],Table3[],21, FALSE)</f>
        <v>7.6923076923076927E-2</v>
      </c>
      <c r="AQ84" s="201">
        <f>VLOOKUP(Table4[[#This Row],[risk_id]],Table3[],23, FALSE)</f>
        <v>0.30769230769230771</v>
      </c>
      <c r="AR84" s="201">
        <f>VLOOKUP(Table4[[#This Row],[risk_id]],Table3[],25, FALSE)</f>
        <v>0.61538461538461542</v>
      </c>
      <c r="AS84" s="201">
        <f>VLOOKUP(Table4[[#This Row],[risk_id]],Table3[],27, FALSE)</f>
        <v>0</v>
      </c>
      <c r="AT84" s="183">
        <f>(MAX(Table4[[#This Row],[C]:[U]]))*Table4[[#This Row],[Indicator_20pct]]</f>
        <v>6.1538461538461542</v>
      </c>
      <c r="AU84" s="205">
        <f>COUNTIFS(Table4[[#This Row],[C]], "&gt;0", Table4[[#This Row],[U]], "&gt;0") + COUNTIFS(Table4[[#This Row],[H]], "&gt;0", Table4[[#This Row],[U]], "&gt;0") + COUNTIFS(Table4[[#This Row],[C]], "&gt;0", Table4[[#This Row],[M]], "&gt;0")</f>
        <v>1</v>
      </c>
      <c r="AV84" s="219">
        <f>((-(Table4[[#This Row],[different_scores_count]]-3))/3)*Table4[[#This Row],[Indicator_20pct]]</f>
        <v>6.6666666666666661</v>
      </c>
      <c r="AW84" s="183">
        <f>IF(Table4[[#This Row],[data_observations]]&gt;=5, 30, IF(Table4[[#This Row],[data_observations]]&gt;=3, 15, 0))</f>
        <v>30</v>
      </c>
      <c r="AX84" s="26" t="s">
        <v>2736</v>
      </c>
    </row>
    <row r="85" spans="1:50" ht="32" hidden="1" customHeight="1" x14ac:dyDescent="0.2">
      <c r="A85" s="16" t="s">
        <v>609</v>
      </c>
      <c r="B85" s="16" t="str">
        <f>VLOOKUP(Table4[[#This Row],[risk_id]], Table3[], 35, FALSE)</f>
        <v>Risk</v>
      </c>
      <c r="C85" s="16" t="str">
        <f>VLOOKUP(Table4[[#This Row],[risk_id]], Table3[], 2, FALSE)</f>
        <v>Social</v>
      </c>
      <c r="D85" s="15" t="str">
        <f>VLOOKUP(Table4[[#This Row],[risk_id]], Table3[], 3, FALSE)</f>
        <v>Rapid tourism growth</v>
      </c>
      <c r="E85"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85" s="300">
        <f t="shared" si="4"/>
        <v>23</v>
      </c>
      <c r="G85" s="31">
        <f>Table4[[#This Row],[DataQuality_Score]]</f>
        <v>0.76114946390744054</v>
      </c>
      <c r="H85"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85" s="27" t="str">
        <f>Table4[[#This Row],[LoA - Metric]]&amp; ", " &amp;Table4[[#This Row],[ES - Metric]]</f>
        <v>High agreement, Medium evidence</v>
      </c>
      <c r="J85" s="222">
        <f>(Table4[[#This Row],[LoA_SCORE]]+Table4[[#This Row],[ES_SCORE]])/100</f>
        <v>0.76114946390744054</v>
      </c>
      <c r="K85"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85"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85" s="179">
        <f>Table4[[#This Row],[probability_average]]</f>
        <v>3.8333333333333335</v>
      </c>
      <c r="N85" s="181">
        <f>Table4[[#This Row],[consequence_average]]</f>
        <v>6</v>
      </c>
      <c r="O85" s="220">
        <f>Table4[[#This Row],[agreementPCT_score]]+Table4[[#This Row],[agreement_dist_score]]+Table4[[#This Row],[LoA_AQ_score]]</f>
        <v>46.666666666666664</v>
      </c>
      <c r="P85" s="203">
        <f>Table4[[#This Row],[evidenceconsistency_score]]+Table4[[#This Row],[EQ_score]]+Table4[[#This Row],[EA_score]]+Table4[[#This Row],[ET_score]]</f>
        <v>29.448279724077384</v>
      </c>
      <c r="Q85" s="181">
        <f>VLOOKUP(Table4[[#This Row],[risk_id]],Table3[],10,FALSE)</f>
        <v>6</v>
      </c>
      <c r="R85" s="181">
        <f>VLOOKUP(Table4[[#This Row],[risk_id]],Table3[],9,FALSE)</f>
        <v>36</v>
      </c>
      <c r="S85" s="179">
        <f>VLOOKUP(Table4[[#This Row],[risk_id]],Table3[],7,FALSE)</f>
        <v>3.8333333333333335</v>
      </c>
      <c r="T85" s="179">
        <f>VLOOKUP(Table4[[#This Row],[risk_id]],Table3[],6,FALSE)</f>
        <v>23</v>
      </c>
      <c r="U85" s="177">
        <f t="shared" si="5"/>
        <v>12.5</v>
      </c>
      <c r="V85" s="187">
        <f>10</f>
        <v>10</v>
      </c>
      <c r="W85" s="187">
        <f>30</f>
        <v>30</v>
      </c>
      <c r="X85" s="17">
        <f>VLOOKUP(Table4[[#This Row],[risk_id]],Table3[],5,FALSE)</f>
        <v>6</v>
      </c>
      <c r="Y85" s="17">
        <f>94</f>
        <v>94</v>
      </c>
      <c r="Z85" s="177">
        <f>Table4[[#This Row],[EStype_summed]]*Table4[[#This Row],[Indicator_12.5pct]]</f>
        <v>9.375</v>
      </c>
      <c r="AA85" s="190">
        <f>(IF(Table4[[#This Row],[all_evtype]]&gt;=4,"4", IF(Table4[[#This Row],[all_evtype]]&gt;=3,"3", IF(Table4[[#This Row],[all_evtype]]&gt;=2,"2", IF(Table4[[#This Row],[all_evtype]]&gt;=1,"1","0")))))/Table4[[#This Row],[HPS_et]]</f>
        <v>0.75</v>
      </c>
      <c r="AB85" s="191">
        <f>VLOOKUP(Table4[[#This Row],[risk_id]],Table3[], 14, FALSE)</f>
        <v>2</v>
      </c>
      <c r="AC85" s="191">
        <f>VLOOKUP(Table4[[#This Row],[risk_id]],Table3[], 15, FALSE)</f>
        <v>3</v>
      </c>
      <c r="AD85" s="191">
        <f>VLOOKUP(Table4[[#This Row],[risk_id]], Table3[], 16, FALSE)</f>
        <v>1</v>
      </c>
      <c r="AE85" s="191">
        <f>VLOOKUP(Table4[[#This Row],[risk_id]], Table3[], 17, )</f>
        <v>0</v>
      </c>
      <c r="AF85" s="191">
        <f>4</f>
        <v>4</v>
      </c>
      <c r="AG85" s="191">
        <f>COUNTIF(Table4[[#This Row],[THEO]:[MOD]], "&gt;=1")</f>
        <v>3</v>
      </c>
      <c r="AH85" s="192">
        <f>Table4[[#This Row],[data_observations]]/Table4[[#This Row],[AllObservations_count]]</f>
        <v>6.3829787234042548E-2</v>
      </c>
      <c r="AI85" s="189">
        <f>Table4[[#This Row],[evidenceamount_pct]]*(Table4[[#This Row],[Indicator_12.5pct]])</f>
        <v>0.7978723404255319</v>
      </c>
      <c r="AJ85" s="198">
        <f>(1-(VLOOKUP(Table4[[#This Row],[risk_id]],Table3[],18, FALSE))/(Table4[[#This Row],[data_observations]]))</f>
        <v>1</v>
      </c>
      <c r="AK85" s="198">
        <f>((VLOOKUP(Table4[[#This Row],[risk_id]],Table3[],19, FALSE))+((VLOOKUP(Table4[[#This Row],[risk_id]],Table3[],36, FALSE))*0.5))/(Table4[[#This Row],[data_observations]])</f>
        <v>0.66666666666666663</v>
      </c>
      <c r="AL85" s="177">
        <f>((Table4[[#This Row],[ev_data_deficient_score]]*0.5)+(Table4[[#This Row],[ev_data_availability_score]]*0.5))*(Table4[[#This Row],[Indicator_12.5pct]])</f>
        <v>10.416666666666666</v>
      </c>
      <c r="AM85" s="199">
        <f>Table4[[#This Row],[RiskScore]]</f>
        <v>23</v>
      </c>
      <c r="AN85" s="200">
        <f>VLOOKUP(Table4[[#This Row],[risk_id]], Table3[], 13, FALSE)</f>
        <v>6.6999170807472597</v>
      </c>
      <c r="AO85" s="185">
        <f>(1-(Table4[[#This Row],[evidence_SD_RR]]/Table4[[#This Row],[evidence_mean_RR]]))*(Table4[[#This Row],[Indicator_12.5pct]])</f>
        <v>8.8587407169851851</v>
      </c>
      <c r="AP85" s="201">
        <f>VLOOKUP(Table4[[#This Row],[risk_id]],Table3[],21, FALSE)</f>
        <v>0</v>
      </c>
      <c r="AQ85" s="201">
        <f>VLOOKUP(Table4[[#This Row],[risk_id]],Table3[],23, FALSE)</f>
        <v>0.66666666666666663</v>
      </c>
      <c r="AR85" s="201">
        <f>VLOOKUP(Table4[[#This Row],[risk_id]],Table3[],25, FALSE)</f>
        <v>0.33333333333333331</v>
      </c>
      <c r="AS85" s="201">
        <f>VLOOKUP(Table4[[#This Row],[risk_id]],Table3[],27, FALSE)</f>
        <v>0</v>
      </c>
      <c r="AT85" s="183">
        <f>(MAX(Table4[[#This Row],[C]:[U]]))*Table4[[#This Row],[Indicator_20pct]]</f>
        <v>6.6666666666666661</v>
      </c>
      <c r="AU85" s="205">
        <f>COUNTIFS(Table4[[#This Row],[C]], "&gt;0", Table4[[#This Row],[U]], "&gt;0") + COUNTIFS(Table4[[#This Row],[H]], "&gt;0", Table4[[#This Row],[U]], "&gt;0") + COUNTIFS(Table4[[#This Row],[C]], "&gt;0", Table4[[#This Row],[M]], "&gt;0")</f>
        <v>0</v>
      </c>
      <c r="AV85" s="219">
        <f>((-(Table4[[#This Row],[different_scores_count]]-3))/3)*Table4[[#This Row],[Indicator_20pct]]</f>
        <v>10</v>
      </c>
      <c r="AW85" s="183">
        <f>IF(Table4[[#This Row],[data_observations]]&gt;=5, 30, IF(Table4[[#This Row],[data_observations]]&gt;=3, 15, 0))</f>
        <v>30</v>
      </c>
      <c r="AX85" s="26" t="s">
        <v>2737</v>
      </c>
    </row>
    <row r="86" spans="1:50" ht="32" customHeight="1" x14ac:dyDescent="0.2">
      <c r="A86" s="16" t="s">
        <v>2714</v>
      </c>
      <c r="B86" s="16" t="str">
        <f>VLOOKUP(Table4[[#This Row],[risk_id]], Table3[], 35, FALSE)</f>
        <v>Hazard</v>
      </c>
      <c r="C86" s="16" t="str">
        <f>VLOOKUP(Table4[[#This Row],[risk_id]], Table3[], 2, FALSE)</f>
        <v>Navigational</v>
      </c>
      <c r="D86" s="15" t="str">
        <f>VLOOKUP(Table4[[#This Row],[risk_id]], Table3[], 3, FALSE)</f>
        <v>Ship speeding</v>
      </c>
      <c r="E86"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86" s="300">
        <f t="shared" si="4"/>
        <v>22.857142857142858</v>
      </c>
      <c r="G86" s="31">
        <f>Table4[[#This Row],[DataQuality_Score]]</f>
        <v>0.78222941884585606</v>
      </c>
      <c r="H86"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86" s="27" t="str">
        <f>Table4[[#This Row],[LoA - Metric]]&amp; ", " &amp;Table4[[#This Row],[ES - Metric]]</f>
        <v>High agreement, Medium evidence</v>
      </c>
      <c r="J86" s="222">
        <f>(Table4[[#This Row],[LoA_SCORE]]+Table4[[#This Row],[ES_SCORE]])/100</f>
        <v>0.78222941884585606</v>
      </c>
      <c r="K86"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86"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86" s="179">
        <f>Table4[[#This Row],[probability_average]]</f>
        <v>4</v>
      </c>
      <c r="N86" s="181">
        <f>Table4[[#This Row],[consequence_average]]</f>
        <v>5.7142857142857144</v>
      </c>
      <c r="O86" s="220">
        <f>Table4[[#This Row],[agreementPCT_score]]+Table4[[#This Row],[agreement_dist_score]]+Table4[[#This Row],[LoA_AQ_score]]</f>
        <v>47.142857142857139</v>
      </c>
      <c r="P86" s="203">
        <f>Table4[[#This Row],[evidenceconsistency_score]]+Table4[[#This Row],[EQ_score]]+Table4[[#This Row],[EA_score]]+Table4[[#This Row],[ET_score]]</f>
        <v>31.080084741728466</v>
      </c>
      <c r="Q86" s="181">
        <f>VLOOKUP(Table4[[#This Row],[risk_id]],Table3[],10,FALSE)</f>
        <v>5.7142857142857144</v>
      </c>
      <c r="R86" s="181">
        <f>VLOOKUP(Table4[[#This Row],[risk_id]],Table3[],9,FALSE)</f>
        <v>80</v>
      </c>
      <c r="S86" s="179">
        <f>VLOOKUP(Table4[[#This Row],[risk_id]],Table3[],7,FALSE)</f>
        <v>4</v>
      </c>
      <c r="T86" s="179">
        <f>VLOOKUP(Table4[[#This Row],[risk_id]],Table3[],6,FALSE)</f>
        <v>56</v>
      </c>
      <c r="U86" s="177">
        <f t="shared" si="5"/>
        <v>12.5</v>
      </c>
      <c r="V86" s="187">
        <f>10</f>
        <v>10</v>
      </c>
      <c r="W86" s="187">
        <f>30</f>
        <v>30</v>
      </c>
      <c r="X86" s="17">
        <f>VLOOKUP(Table4[[#This Row],[risk_id]],Table3[],5,FALSE)</f>
        <v>14</v>
      </c>
      <c r="Y86" s="17">
        <f>94</f>
        <v>94</v>
      </c>
      <c r="Z86" s="177">
        <f>Table4[[#This Row],[EStype_summed]]*Table4[[#This Row],[Indicator_12.5pct]]</f>
        <v>9.375</v>
      </c>
      <c r="AA86" s="190">
        <f>(IF(Table4[[#This Row],[all_evtype]]&gt;=4,"4", IF(Table4[[#This Row],[all_evtype]]&gt;=3,"3", IF(Table4[[#This Row],[all_evtype]]&gt;=2,"2", IF(Table4[[#This Row],[all_evtype]]&gt;=1,"1","0")))))/Table4[[#This Row],[HPS_et]]</f>
        <v>0.75</v>
      </c>
      <c r="AB86" s="191">
        <f>VLOOKUP(Table4[[#This Row],[risk_id]],Table3[], 14, FALSE)</f>
        <v>0</v>
      </c>
      <c r="AC86" s="191">
        <f>VLOOKUP(Table4[[#This Row],[risk_id]],Table3[], 15, FALSE)</f>
        <v>11</v>
      </c>
      <c r="AD86" s="191">
        <f>VLOOKUP(Table4[[#This Row],[risk_id]], Table3[], 16, FALSE)</f>
        <v>2</v>
      </c>
      <c r="AE86" s="191">
        <f>VLOOKUP(Table4[[#This Row],[risk_id]], Table3[], 17, )</f>
        <v>1</v>
      </c>
      <c r="AF86" s="191">
        <f>4</f>
        <v>4</v>
      </c>
      <c r="AG86" s="191">
        <f>COUNTIF(Table4[[#This Row],[THEO]:[MOD]], "&gt;=1")</f>
        <v>3</v>
      </c>
      <c r="AH86" s="192">
        <f>Table4[[#This Row],[data_observations]]/Table4[[#This Row],[AllObservations_count]]</f>
        <v>0.14893617021276595</v>
      </c>
      <c r="AI86" s="189">
        <f>Table4[[#This Row],[evidenceamount_pct]]*(Table4[[#This Row],[Indicator_12.5pct]])</f>
        <v>1.8617021276595744</v>
      </c>
      <c r="AJ86" s="198">
        <f>(1-(VLOOKUP(Table4[[#This Row],[risk_id]],Table3[],18, FALSE))/(Table4[[#This Row],[data_observations]]))</f>
        <v>0.9285714285714286</v>
      </c>
      <c r="AK86" s="198">
        <f>((VLOOKUP(Table4[[#This Row],[risk_id]],Table3[],19, FALSE))+((VLOOKUP(Table4[[#This Row],[risk_id]],Table3[],36, FALSE))*0.5))/(Table4[[#This Row],[data_observations]])</f>
        <v>0.7142857142857143</v>
      </c>
      <c r="AL86" s="177">
        <f>((Table4[[#This Row],[ev_data_deficient_score]]*0.5)+(Table4[[#This Row],[ev_data_availability_score]]*0.5))*(Table4[[#This Row],[Indicator_12.5pct]])</f>
        <v>10.267857142857142</v>
      </c>
      <c r="AM86" s="199">
        <f>Table4[[#This Row],[RiskScore]]</f>
        <v>22.857142857142858</v>
      </c>
      <c r="AN86" s="200">
        <f>VLOOKUP(Table4[[#This Row],[risk_id]], Table3[], 13, FALSE)</f>
        <v>5.3476105669270835</v>
      </c>
      <c r="AO86" s="185">
        <f>(1-(Table4[[#This Row],[evidence_SD_RR]]/Table4[[#This Row],[evidence_mean_RR]]))*(Table4[[#This Row],[Indicator_12.5pct]])</f>
        <v>9.5755254712117512</v>
      </c>
      <c r="AP86" s="201">
        <f>VLOOKUP(Table4[[#This Row],[risk_id]],Table3[],21, FALSE)</f>
        <v>0</v>
      </c>
      <c r="AQ86" s="201">
        <f>VLOOKUP(Table4[[#This Row],[risk_id]],Table3[],23, FALSE)</f>
        <v>0.2857142857142857</v>
      </c>
      <c r="AR86" s="201">
        <f>VLOOKUP(Table4[[#This Row],[risk_id]],Table3[],25, FALSE)</f>
        <v>0.7142857142857143</v>
      </c>
      <c r="AS86" s="201">
        <f>VLOOKUP(Table4[[#This Row],[risk_id]],Table3[],27, FALSE)</f>
        <v>0</v>
      </c>
      <c r="AT86" s="183">
        <f>(MAX(Table4[[#This Row],[C]:[U]]))*Table4[[#This Row],[Indicator_20pct]]</f>
        <v>7.1428571428571432</v>
      </c>
      <c r="AU86" s="205">
        <f>COUNTIFS(Table4[[#This Row],[C]], "&gt;0", Table4[[#This Row],[U]], "&gt;0") + COUNTIFS(Table4[[#This Row],[H]], "&gt;0", Table4[[#This Row],[U]], "&gt;0") + COUNTIFS(Table4[[#This Row],[C]], "&gt;0", Table4[[#This Row],[M]], "&gt;0")</f>
        <v>0</v>
      </c>
      <c r="AV86" s="219">
        <f>((-(Table4[[#This Row],[different_scores_count]]-3))/3)*Table4[[#This Row],[Indicator_20pct]]</f>
        <v>10</v>
      </c>
      <c r="AW86" s="183">
        <f>IF(Table4[[#This Row],[data_observations]]&gt;=5, 30, IF(Table4[[#This Row],[data_observations]]&gt;=3, 15, 0))</f>
        <v>30</v>
      </c>
      <c r="AX86" s="26" t="s">
        <v>2737</v>
      </c>
    </row>
    <row r="87" spans="1:50" ht="32" customHeight="1" x14ac:dyDescent="0.2">
      <c r="A87" s="16" t="s">
        <v>2695</v>
      </c>
      <c r="B87" s="16" t="str">
        <f>VLOOKUP(Table4[[#This Row],[risk_id]], Table3[], 35, FALSE)</f>
        <v>Hazard</v>
      </c>
      <c r="C87" s="16" t="str">
        <f>VLOOKUP(Table4[[#This Row],[risk_id]], Table3[], 2, FALSE)</f>
        <v>Environmental</v>
      </c>
      <c r="D87" s="15" t="str">
        <f>VLOOKUP(Table4[[#This Row],[risk_id]], Table3[], 3, FALSE)</f>
        <v>Low visibility</v>
      </c>
      <c r="E87"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87" s="300">
        <f t="shared" si="4"/>
        <v>22.6875</v>
      </c>
      <c r="G87" s="172">
        <f>Table4[[#This Row],[DataQuality_Score]]</f>
        <v>0.73584072639504006</v>
      </c>
      <c r="H87"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87" s="27" t="str">
        <f>Table4[[#This Row],[LoA - Metric]]&amp; ", " &amp;Table4[[#This Row],[ES - Metric]]</f>
        <v>High agreement, Medium evidence</v>
      </c>
      <c r="J87" s="222">
        <f>(Table4[[#This Row],[LoA_SCORE]]+Table4[[#This Row],[ES_SCORE]])/100</f>
        <v>0.73584072639504006</v>
      </c>
      <c r="K87"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87"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87" s="179">
        <f>Table4[[#This Row],[probability_average]]</f>
        <v>4.125</v>
      </c>
      <c r="N87" s="181">
        <f>Table4[[#This Row],[consequence_average]]</f>
        <v>5.5</v>
      </c>
      <c r="O87" s="220">
        <f>Table4[[#This Row],[agreementPCT_score]]+Table4[[#This Row],[agreement_dist_score]]+Table4[[#This Row],[LoA_AQ_score]]</f>
        <v>47.5</v>
      </c>
      <c r="P87" s="203">
        <f>Table4[[#This Row],[evidenceconsistency_score]]+Table4[[#This Row],[EQ_score]]+Table4[[#This Row],[EA_score]]+Table4[[#This Row],[ET_score]]</f>
        <v>26.084072639504008</v>
      </c>
      <c r="Q87" s="181">
        <f>VLOOKUP(Table4[[#This Row],[risk_id]],Table3[],10,FALSE)</f>
        <v>5.5</v>
      </c>
      <c r="R87" s="181">
        <f>VLOOKUP(Table4[[#This Row],[risk_id]],Table3[],9,FALSE)</f>
        <v>44</v>
      </c>
      <c r="S87" s="179">
        <f>VLOOKUP(Table4[[#This Row],[risk_id]],Table3[],7,FALSE)</f>
        <v>4.125</v>
      </c>
      <c r="T87" s="179">
        <f>VLOOKUP(Table4[[#This Row],[risk_id]],Table3[],6,FALSE)</f>
        <v>33</v>
      </c>
      <c r="U87" s="177">
        <f t="shared" si="5"/>
        <v>12.5</v>
      </c>
      <c r="V87" s="187">
        <f>10</f>
        <v>10</v>
      </c>
      <c r="W87" s="187">
        <f>30</f>
        <v>30</v>
      </c>
      <c r="X87" s="165">
        <f>VLOOKUP(Table4[[#This Row],[risk_id]],Table3[],5,FALSE)</f>
        <v>8</v>
      </c>
      <c r="Y87" s="17">
        <f>94</f>
        <v>94</v>
      </c>
      <c r="Z87" s="177">
        <f>Table4[[#This Row],[EStype_summed]]*Table4[[#This Row],[Indicator_12.5pct]]</f>
        <v>6.25</v>
      </c>
      <c r="AA87" s="190">
        <f>(IF(Table4[[#This Row],[all_evtype]]&gt;=4,"4", IF(Table4[[#This Row],[all_evtype]]&gt;=3,"3", IF(Table4[[#This Row],[all_evtype]]&gt;=2,"2", IF(Table4[[#This Row],[all_evtype]]&gt;=1,"1","0")))))/Table4[[#This Row],[HPS_et]]</f>
        <v>0.5</v>
      </c>
      <c r="AB87" s="191">
        <f>VLOOKUP(Table4[[#This Row],[risk_id]],Table3[], 14, FALSE)</f>
        <v>0</v>
      </c>
      <c r="AC87" s="191">
        <f>VLOOKUP(Table4[[#This Row],[risk_id]],Table3[], 15, FALSE)</f>
        <v>6</v>
      </c>
      <c r="AD87" s="191">
        <f>VLOOKUP(Table4[[#This Row],[risk_id]], Table3[], 16, FALSE)</f>
        <v>2</v>
      </c>
      <c r="AE87" s="191">
        <f>VLOOKUP(Table4[[#This Row],[risk_id]], Table3[], 17, )</f>
        <v>0</v>
      </c>
      <c r="AF87" s="191">
        <f>4</f>
        <v>4</v>
      </c>
      <c r="AG87" s="191">
        <f>COUNTIF(Table4[[#This Row],[THEO]:[MOD]], "&gt;=1")</f>
        <v>2</v>
      </c>
      <c r="AH87" s="192">
        <f>Table4[[#This Row],[data_observations]]/Table4[[#This Row],[AllObservations_count]]</f>
        <v>8.5106382978723402E-2</v>
      </c>
      <c r="AI87" s="189">
        <f>Table4[[#This Row],[evidenceamount_pct]]*(Table4[[#This Row],[Indicator_12.5pct]])</f>
        <v>1.0638297872340425</v>
      </c>
      <c r="AJ87" s="198">
        <f>(1-(VLOOKUP(Table4[[#This Row],[risk_id]],Table3[],18, FALSE))/(Table4[[#This Row],[data_observations]]))</f>
        <v>1</v>
      </c>
      <c r="AK87" s="198">
        <f>((VLOOKUP(Table4[[#This Row],[risk_id]],Table3[],19, FALSE))+((VLOOKUP(Table4[[#This Row],[risk_id]],Table3[],36, FALSE))*0.5))/(Table4[[#This Row],[data_observations]])</f>
        <v>0.6875</v>
      </c>
      <c r="AL87" s="177">
        <f>((Table4[[#This Row],[ev_data_deficient_score]]*0.5)+(Table4[[#This Row],[ev_data_availability_score]]*0.5))*(Table4[[#This Row],[Indicator_12.5pct]])</f>
        <v>10.546875</v>
      </c>
      <c r="AM87" s="199">
        <f>Table4[[#This Row],[RiskScore]]</f>
        <v>22.6875</v>
      </c>
      <c r="AN87" s="200">
        <f>VLOOKUP(Table4[[#This Row],[risk_id]], Table3[], 13, FALSE)</f>
        <v>7.7620873481300121</v>
      </c>
      <c r="AO87" s="185">
        <f>(1-(Table4[[#This Row],[evidence_SD_RR]]/Table4[[#This Row],[evidence_mean_RR]]))*(Table4[[#This Row],[Indicator_12.5pct]])</f>
        <v>8.2233678522699662</v>
      </c>
      <c r="AP87" s="201">
        <f>VLOOKUP(Table4[[#This Row],[risk_id]],Table3[],21, FALSE)</f>
        <v>0</v>
      </c>
      <c r="AQ87" s="201">
        <f>VLOOKUP(Table4[[#This Row],[risk_id]],Table3[],23, FALSE)</f>
        <v>0.25</v>
      </c>
      <c r="AR87" s="201">
        <f>VLOOKUP(Table4[[#This Row],[risk_id]],Table3[],25, FALSE)</f>
        <v>0.75</v>
      </c>
      <c r="AS87" s="201">
        <f>VLOOKUP(Table4[[#This Row],[risk_id]],Table3[],27, FALSE)</f>
        <v>0</v>
      </c>
      <c r="AT87" s="183">
        <f>(MAX(Table4[[#This Row],[C]:[U]]))*Table4[[#This Row],[Indicator_20pct]]</f>
        <v>7.5</v>
      </c>
      <c r="AU87" s="205">
        <f>COUNTIFS(Table4[[#This Row],[C]], "&gt;0", Table4[[#This Row],[U]], "&gt;0") + COUNTIFS(Table4[[#This Row],[H]], "&gt;0", Table4[[#This Row],[U]], "&gt;0") + COUNTIFS(Table4[[#This Row],[C]], "&gt;0", Table4[[#This Row],[M]], "&gt;0")</f>
        <v>0</v>
      </c>
      <c r="AV87" s="219">
        <f>((-(Table4[[#This Row],[different_scores_count]]-3))/3)*Table4[[#This Row],[Indicator_20pct]]</f>
        <v>10</v>
      </c>
      <c r="AW87" s="183">
        <f>IF(Table4[[#This Row],[data_observations]]&gt;=5, 30, IF(Table4[[#This Row],[data_observations]]&gt;=3, 15, 0))</f>
        <v>30</v>
      </c>
      <c r="AX87" s="60" t="s">
        <v>2737</v>
      </c>
    </row>
    <row r="88" spans="1:50" ht="32" hidden="1" customHeight="1" x14ac:dyDescent="0.2">
      <c r="A88" s="16" t="s">
        <v>557</v>
      </c>
      <c r="B88" s="16" t="str">
        <f>VLOOKUP(Table4[[#This Row],[risk_id]], Table3[], 35, FALSE)</f>
        <v>Risk</v>
      </c>
      <c r="C88" s="16" t="str">
        <f>VLOOKUP(Table4[[#This Row],[risk_id]], Table3[], 2, FALSE)</f>
        <v>Assessment</v>
      </c>
      <c r="D88" s="15" t="str">
        <f>VLOOKUP(Table4[[#This Row],[risk_id]], Table3[], 3, FALSE)</f>
        <v>Lack of data</v>
      </c>
      <c r="E88"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88" s="300">
        <f t="shared" si="4"/>
        <v>22.5</v>
      </c>
      <c r="G88" s="31">
        <f>Table4[[#This Row],[DataQuality_Score]]</f>
        <v>0.79412631123462474</v>
      </c>
      <c r="H88"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88" s="27" t="str">
        <f>Table4[[#This Row],[LoA - Metric]]&amp; ", " &amp;Table4[[#This Row],[ES - Metric]]</f>
        <v>High agreement, Medium evidence</v>
      </c>
      <c r="J88" s="222">
        <f>(Table4[[#This Row],[LoA_SCORE]]+Table4[[#This Row],[ES_SCORE]])/100</f>
        <v>0.79412631123462474</v>
      </c>
      <c r="K88"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88"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88" s="179">
        <f>Table4[[#This Row],[probability_average]]</f>
        <v>4.5</v>
      </c>
      <c r="N88" s="181">
        <f>Table4[[#This Row],[consequence_average]]</f>
        <v>5</v>
      </c>
      <c r="O88" s="220">
        <f>Table4[[#This Row],[agreementPCT_score]]+Table4[[#This Row],[agreement_dist_score]]+Table4[[#This Row],[LoA_AQ_score]]</f>
        <v>46.875</v>
      </c>
      <c r="P88" s="203">
        <f>Table4[[#This Row],[evidenceconsistency_score]]+Table4[[#This Row],[EQ_score]]+Table4[[#This Row],[EA_score]]+Table4[[#This Row],[ET_score]]</f>
        <v>32.537631123462475</v>
      </c>
      <c r="Q88" s="181">
        <f>VLOOKUP(Table4[[#This Row],[risk_id]],Table3[],10,FALSE)</f>
        <v>5</v>
      </c>
      <c r="R88" s="181">
        <f>VLOOKUP(Table4[[#This Row],[risk_id]],Table3[],9,FALSE)</f>
        <v>80</v>
      </c>
      <c r="S88" s="179">
        <f>VLOOKUP(Table4[[#This Row],[risk_id]],Table3[],7,FALSE)</f>
        <v>4.5</v>
      </c>
      <c r="T88" s="179">
        <f>VLOOKUP(Table4[[#This Row],[risk_id]],Table3[],6,FALSE)</f>
        <v>72</v>
      </c>
      <c r="U88" s="177">
        <f t="shared" si="5"/>
        <v>12.5</v>
      </c>
      <c r="V88" s="187">
        <f>10</f>
        <v>10</v>
      </c>
      <c r="W88" s="187">
        <f>30</f>
        <v>30</v>
      </c>
      <c r="X88" s="17">
        <f>VLOOKUP(Table4[[#This Row],[risk_id]],Table3[],5,FALSE)</f>
        <v>16</v>
      </c>
      <c r="Y88" s="17">
        <f>94</f>
        <v>94</v>
      </c>
      <c r="Z88" s="177">
        <f>Table4[[#This Row],[EStype_summed]]*Table4[[#This Row],[Indicator_12.5pct]]</f>
        <v>12.5</v>
      </c>
      <c r="AA88" s="190">
        <f>(IF(Table4[[#This Row],[all_evtype]]&gt;=4,"4", IF(Table4[[#This Row],[all_evtype]]&gt;=3,"3", IF(Table4[[#This Row],[all_evtype]]&gt;=2,"2", IF(Table4[[#This Row],[all_evtype]]&gt;=1,"1","0")))))/Table4[[#This Row],[HPS_et]]</f>
        <v>1</v>
      </c>
      <c r="AB88" s="191">
        <f>VLOOKUP(Table4[[#This Row],[risk_id]],Table3[], 14, FALSE)</f>
        <v>1</v>
      </c>
      <c r="AC88" s="191">
        <f>VLOOKUP(Table4[[#This Row],[risk_id]],Table3[], 15, FALSE)</f>
        <v>11</v>
      </c>
      <c r="AD88" s="191">
        <f>VLOOKUP(Table4[[#This Row],[risk_id]], Table3[], 16, FALSE)</f>
        <v>3</v>
      </c>
      <c r="AE88" s="191">
        <f>VLOOKUP(Table4[[#This Row],[risk_id]], Table3[], 17, )</f>
        <v>1</v>
      </c>
      <c r="AF88" s="191">
        <f>4</f>
        <v>4</v>
      </c>
      <c r="AG88" s="191">
        <f>COUNTIF(Table4[[#This Row],[THEO]:[MOD]], "&gt;=1")</f>
        <v>4</v>
      </c>
      <c r="AH88" s="192">
        <f>Table4[[#This Row],[data_observations]]/Table4[[#This Row],[AllObservations_count]]</f>
        <v>0.1702127659574468</v>
      </c>
      <c r="AI88" s="189">
        <f>Table4[[#This Row],[evidenceamount_pct]]*(Table4[[#This Row],[Indicator_12.5pct]])</f>
        <v>2.1276595744680851</v>
      </c>
      <c r="AJ88" s="198">
        <f>(1-(VLOOKUP(Table4[[#This Row],[risk_id]],Table3[],18, FALSE))/(Table4[[#This Row],[data_observations]]))</f>
        <v>0.8125</v>
      </c>
      <c r="AK88" s="198">
        <f>((VLOOKUP(Table4[[#This Row],[risk_id]],Table3[],19, FALSE))+((VLOOKUP(Table4[[#This Row],[risk_id]],Table3[],36, FALSE))*0.5))/(Table4[[#This Row],[data_observations]])</f>
        <v>0.6875</v>
      </c>
      <c r="AL88" s="177">
        <f>((Table4[[#This Row],[ev_data_deficient_score]]*0.5)+(Table4[[#This Row],[ev_data_availability_score]]*0.5))*(Table4[[#This Row],[Indicator_12.5pct]])</f>
        <v>9.375</v>
      </c>
      <c r="AM88" s="199">
        <f>Table4[[#This Row],[RiskScore]]</f>
        <v>22.5</v>
      </c>
      <c r="AN88" s="200">
        <f>VLOOKUP(Table4[[#This Row],[risk_id]], Table3[], 13, FALSE)</f>
        <v>7.1370512118100988</v>
      </c>
      <c r="AO88" s="185">
        <f>(1-(Table4[[#This Row],[evidence_SD_RR]]/Table4[[#This Row],[evidence_mean_RR]]))*(Table4[[#This Row],[Indicator_12.5pct]])</f>
        <v>8.53497154899439</v>
      </c>
      <c r="AP88" s="201">
        <f>VLOOKUP(Table4[[#This Row],[risk_id]],Table3[],21, FALSE)</f>
        <v>0</v>
      </c>
      <c r="AQ88" s="201">
        <f>VLOOKUP(Table4[[#This Row],[risk_id]],Table3[],23, FALSE)</f>
        <v>0.3125</v>
      </c>
      <c r="AR88" s="201">
        <f>VLOOKUP(Table4[[#This Row],[risk_id]],Table3[],25, FALSE)</f>
        <v>0.6875</v>
      </c>
      <c r="AS88" s="201">
        <f>VLOOKUP(Table4[[#This Row],[risk_id]],Table3[],27, FALSE)</f>
        <v>0</v>
      </c>
      <c r="AT88" s="183">
        <f>(MAX(Table4[[#This Row],[C]:[U]]))*Table4[[#This Row],[Indicator_20pct]]</f>
        <v>6.875</v>
      </c>
      <c r="AU88" s="205">
        <f>COUNTIFS(Table4[[#This Row],[C]], "&gt;0", Table4[[#This Row],[U]], "&gt;0") + COUNTIFS(Table4[[#This Row],[H]], "&gt;0", Table4[[#This Row],[U]], "&gt;0") + COUNTIFS(Table4[[#This Row],[C]], "&gt;0", Table4[[#This Row],[M]], "&gt;0")</f>
        <v>0</v>
      </c>
      <c r="AV88" s="219">
        <f>((-(Table4[[#This Row],[different_scores_count]]-3))/3)*Table4[[#This Row],[Indicator_20pct]]</f>
        <v>10</v>
      </c>
      <c r="AW88" s="183">
        <f>IF(Table4[[#This Row],[data_observations]]&gt;=5, 30, IF(Table4[[#This Row],[data_observations]]&gt;=3, 15, 0))</f>
        <v>30</v>
      </c>
      <c r="AX88" s="26" t="s">
        <v>2737</v>
      </c>
    </row>
    <row r="89" spans="1:50" ht="32" customHeight="1" x14ac:dyDescent="0.2">
      <c r="A89" s="16" t="s">
        <v>2684</v>
      </c>
      <c r="B89" s="16" t="str">
        <f>VLOOKUP(Table4[[#This Row],[risk_id]], Table3[], 35, FALSE)</f>
        <v>Hazard</v>
      </c>
      <c r="C89" s="16" t="str">
        <f>VLOOKUP(Table4[[#This Row],[risk_id]], Table3[], 2, FALSE)</f>
        <v>Human</v>
      </c>
      <c r="D89" s="15" t="str">
        <f>VLOOKUP(Table4[[#This Row],[risk_id]], Table3[], 3, FALSE)</f>
        <v>Human error</v>
      </c>
      <c r="E89"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89" s="300">
        <f t="shared" si="4"/>
        <v>22.400000000000002</v>
      </c>
      <c r="G89" s="31">
        <f>Table4[[#This Row],[DataQuality_Score]]</f>
        <v>0.66692188147389975</v>
      </c>
      <c r="H89"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89" s="27" t="str">
        <f>Table4[[#This Row],[LoA - Metric]]&amp; ", " &amp;Table4[[#This Row],[ES - Metric]]</f>
        <v>High agreement, Medium evidence</v>
      </c>
      <c r="J89" s="222">
        <f>(Table4[[#This Row],[LoA_SCORE]]+Table4[[#This Row],[ES_SCORE]])/100</f>
        <v>0.66692188147389975</v>
      </c>
      <c r="K89"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89"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89" s="179">
        <f>Table4[[#This Row],[probability_average]]</f>
        <v>3.2</v>
      </c>
      <c r="N89" s="181">
        <f>Table4[[#This Row],[consequence_average]]</f>
        <v>7</v>
      </c>
      <c r="O89" s="220">
        <f>Table4[[#This Row],[agreementPCT_score]]+Table4[[#This Row],[agreement_dist_score]]+Table4[[#This Row],[LoA_AQ_score]]</f>
        <v>42.666666666666664</v>
      </c>
      <c r="P89" s="203">
        <f>Table4[[#This Row],[evidenceconsistency_score]]+Table4[[#This Row],[EQ_score]]+Table4[[#This Row],[EA_score]]+Table4[[#This Row],[ET_score]]</f>
        <v>24.025521480723299</v>
      </c>
      <c r="Q89" s="181">
        <f>VLOOKUP(Table4[[#This Row],[risk_id]],Table3[],10,FALSE)</f>
        <v>7</v>
      </c>
      <c r="R89" s="181">
        <f>VLOOKUP(Table4[[#This Row],[risk_id]],Table3[],9,FALSE)</f>
        <v>35</v>
      </c>
      <c r="S89" s="179">
        <f>VLOOKUP(Table4[[#This Row],[risk_id]],Table3[],7,FALSE)</f>
        <v>3.2</v>
      </c>
      <c r="T89" s="179">
        <f>VLOOKUP(Table4[[#This Row],[risk_id]],Table3[],6,FALSE)</f>
        <v>16</v>
      </c>
      <c r="U89" s="177">
        <f t="shared" si="5"/>
        <v>12.5</v>
      </c>
      <c r="V89" s="187">
        <f>10</f>
        <v>10</v>
      </c>
      <c r="W89" s="187">
        <f>30</f>
        <v>30</v>
      </c>
      <c r="X89" s="17">
        <f>VLOOKUP(Table4[[#This Row],[risk_id]],Table3[],5,FALSE)</f>
        <v>5</v>
      </c>
      <c r="Y89" s="17">
        <f>94</f>
        <v>94</v>
      </c>
      <c r="Z89" s="177">
        <f>Table4[[#This Row],[EStype_summed]]*Table4[[#This Row],[Indicator_12.5pct]]</f>
        <v>6.25</v>
      </c>
      <c r="AA89" s="190">
        <f>(IF(Table4[[#This Row],[all_evtype]]&gt;=4,"4", IF(Table4[[#This Row],[all_evtype]]&gt;=3,"3", IF(Table4[[#This Row],[all_evtype]]&gt;=2,"2", IF(Table4[[#This Row],[all_evtype]]&gt;=1,"1","0")))))/Table4[[#This Row],[HPS_et]]</f>
        <v>0.5</v>
      </c>
      <c r="AB89" s="191">
        <f>VLOOKUP(Table4[[#This Row],[risk_id]],Table3[], 14, FALSE)</f>
        <v>0</v>
      </c>
      <c r="AC89" s="191">
        <f>VLOOKUP(Table4[[#This Row],[risk_id]],Table3[], 15, FALSE)</f>
        <v>4</v>
      </c>
      <c r="AD89" s="191">
        <f>VLOOKUP(Table4[[#This Row],[risk_id]], Table3[], 16, FALSE)</f>
        <v>1</v>
      </c>
      <c r="AE89" s="191">
        <f>VLOOKUP(Table4[[#This Row],[risk_id]], Table3[], 17, )</f>
        <v>0</v>
      </c>
      <c r="AF89" s="191">
        <f>4</f>
        <v>4</v>
      </c>
      <c r="AG89" s="191">
        <f>COUNTIF(Table4[[#This Row],[THEO]:[MOD]], "&gt;=1")</f>
        <v>2</v>
      </c>
      <c r="AH89" s="192">
        <f>Table4[[#This Row],[data_observations]]/Table4[[#This Row],[AllObservations_count]]</f>
        <v>5.3191489361702128E-2</v>
      </c>
      <c r="AI89" s="189">
        <f>Table4[[#This Row],[evidenceamount_pct]]*(Table4[[#This Row],[Indicator_12.5pct]])</f>
        <v>0.66489361702127658</v>
      </c>
      <c r="AJ89" s="198">
        <f>(1-(VLOOKUP(Table4[[#This Row],[risk_id]],Table3[],18, FALSE))/(Table4[[#This Row],[data_observations]]))</f>
        <v>1</v>
      </c>
      <c r="AK89" s="198">
        <f>((VLOOKUP(Table4[[#This Row],[risk_id]],Table3[],19, FALSE))+((VLOOKUP(Table4[[#This Row],[risk_id]],Table3[],36, FALSE))*0.5))/(Table4[[#This Row],[data_observations]])</f>
        <v>0.7</v>
      </c>
      <c r="AL89" s="177">
        <f>((Table4[[#This Row],[ev_data_deficient_score]]*0.5)+(Table4[[#This Row],[ev_data_availability_score]]*0.5))*(Table4[[#This Row],[Indicator_12.5pct]])</f>
        <v>10.625</v>
      </c>
      <c r="AM89" s="199">
        <f>Table4[[#This Row],[RiskScore]]</f>
        <v>22.400000000000002</v>
      </c>
      <c r="AN89" s="200">
        <f>VLOOKUP(Table4[[#This Row],[risk_id]], Table3[], 13, FALSE)</f>
        <v>10.777754868245983</v>
      </c>
      <c r="AO89" s="185">
        <f>(1-(Table4[[#This Row],[evidence_SD_RR]]/Table4[[#This Row],[evidence_mean_RR]]))*(Table4[[#This Row],[Indicator_12.5pct]])</f>
        <v>6.4856278637020193</v>
      </c>
      <c r="AP89" s="201">
        <f>VLOOKUP(Table4[[#This Row],[risk_id]],Table3[],21, FALSE)</f>
        <v>0</v>
      </c>
      <c r="AQ89" s="201">
        <f>VLOOKUP(Table4[[#This Row],[risk_id]],Table3[],23, FALSE)</f>
        <v>0.6</v>
      </c>
      <c r="AR89" s="201">
        <f>VLOOKUP(Table4[[#This Row],[risk_id]],Table3[],25, FALSE)</f>
        <v>0.2</v>
      </c>
      <c r="AS89" s="201">
        <f>VLOOKUP(Table4[[#This Row],[risk_id]],Table3[],27, FALSE)</f>
        <v>0.2</v>
      </c>
      <c r="AT89" s="183">
        <f>(MAX(Table4[[#This Row],[C]:[U]]))*Table4[[#This Row],[Indicator_20pct]]</f>
        <v>6</v>
      </c>
      <c r="AU89" s="205">
        <f>COUNTIFS(Table4[[#This Row],[C]], "&gt;0", Table4[[#This Row],[U]], "&gt;0") + COUNTIFS(Table4[[#This Row],[H]], "&gt;0", Table4[[#This Row],[U]], "&gt;0") + COUNTIFS(Table4[[#This Row],[C]], "&gt;0", Table4[[#This Row],[M]], "&gt;0")</f>
        <v>1</v>
      </c>
      <c r="AV89" s="219">
        <f>((-(Table4[[#This Row],[different_scores_count]]-3))/3)*Table4[[#This Row],[Indicator_20pct]]</f>
        <v>6.6666666666666661</v>
      </c>
      <c r="AW89" s="183">
        <f>IF(Table4[[#This Row],[data_observations]]&gt;=5, 30, IF(Table4[[#This Row],[data_observations]]&gt;=3, 15, 0))</f>
        <v>30</v>
      </c>
      <c r="AX89" s="26" t="s">
        <v>2736</v>
      </c>
    </row>
    <row r="90" spans="1:50" ht="32" customHeight="1" x14ac:dyDescent="0.2">
      <c r="A90" s="16" t="s">
        <v>2692</v>
      </c>
      <c r="B90" s="16" t="str">
        <f>VLOOKUP(Table4[[#This Row],[risk_id]], Table3[], 35, FALSE)</f>
        <v>Hazard</v>
      </c>
      <c r="C90" s="16" t="str">
        <f>VLOOKUP(Table4[[#This Row],[risk_id]], Table3[], 2, FALSE)</f>
        <v>Social</v>
      </c>
      <c r="D90" s="15" t="str">
        <f>VLOOKUP(Table4[[#This Row],[risk_id]], Table3[], 3, FALSE)</f>
        <v>Innaproporeate tourist behavior</v>
      </c>
      <c r="E90"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90" s="300">
        <f t="shared" si="4"/>
        <v>22</v>
      </c>
      <c r="G90" s="31">
        <f>Table4[[#This Row],[DataQuality_Score]]</f>
        <v>0.43106866537717609</v>
      </c>
      <c r="H90"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90" s="27" t="str">
        <f>Table4[[#This Row],[LoA - Metric]]&amp; ", " &amp;Table4[[#This Row],[ES - Metric]]</f>
        <v>Low agreement, Medium evidence</v>
      </c>
      <c r="J90" s="222">
        <f>(Table4[[#This Row],[LoA_SCORE]]+Table4[[#This Row],[ES_SCORE]])/100</f>
        <v>0.43106866537717609</v>
      </c>
      <c r="K90"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90"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90" s="179">
        <f>Table4[[#This Row],[probability_average]]</f>
        <v>4</v>
      </c>
      <c r="N90" s="181">
        <f>Table4[[#This Row],[consequence_average]]</f>
        <v>5.5</v>
      </c>
      <c r="O90" s="220">
        <f>Table4[[#This Row],[agreementPCT_score]]+Table4[[#This Row],[agreement_dist_score]]+Table4[[#This Row],[LoA_AQ_score]]</f>
        <v>15</v>
      </c>
      <c r="P90" s="203">
        <f>Table4[[#This Row],[evidenceconsistency_score]]+Table4[[#This Row],[EQ_score]]+Table4[[#This Row],[EA_score]]+Table4[[#This Row],[ET_score]]</f>
        <v>28.106866537717604</v>
      </c>
      <c r="Q90" s="181">
        <f>VLOOKUP(Table4[[#This Row],[risk_id]],Table3[],10,FALSE)</f>
        <v>5.5</v>
      </c>
      <c r="R90" s="181">
        <f>VLOOKUP(Table4[[#This Row],[risk_id]],Table3[],9,FALSE)</f>
        <v>11</v>
      </c>
      <c r="S90" s="179">
        <f>VLOOKUP(Table4[[#This Row],[risk_id]],Table3[],7,FALSE)</f>
        <v>4</v>
      </c>
      <c r="T90" s="179">
        <f>VLOOKUP(Table4[[#This Row],[risk_id]],Table3[],6,FALSE)</f>
        <v>8</v>
      </c>
      <c r="U90" s="177">
        <f t="shared" si="5"/>
        <v>12.5</v>
      </c>
      <c r="V90" s="187">
        <f>10</f>
        <v>10</v>
      </c>
      <c r="W90" s="187">
        <f>30</f>
        <v>30</v>
      </c>
      <c r="X90" s="17">
        <f>VLOOKUP(Table4[[#This Row],[risk_id]],Table3[],5,FALSE)</f>
        <v>2</v>
      </c>
      <c r="Y90" s="17">
        <f>94</f>
        <v>94</v>
      </c>
      <c r="Z90" s="177">
        <f>Table4[[#This Row],[EStype_summed]]*Table4[[#This Row],[Indicator_12.5pct]]</f>
        <v>6.25</v>
      </c>
      <c r="AA90" s="190">
        <f>(IF(Table4[[#This Row],[all_evtype]]&gt;=4,"4", IF(Table4[[#This Row],[all_evtype]]&gt;=3,"3", IF(Table4[[#This Row],[all_evtype]]&gt;=2,"2", IF(Table4[[#This Row],[all_evtype]]&gt;=1,"1","0")))))/Table4[[#This Row],[HPS_et]]</f>
        <v>0.5</v>
      </c>
      <c r="AB90" s="191">
        <f>VLOOKUP(Table4[[#This Row],[risk_id]],Table3[], 14, FALSE)</f>
        <v>0</v>
      </c>
      <c r="AC90" s="191">
        <f>VLOOKUP(Table4[[#This Row],[risk_id]],Table3[], 15, FALSE)</f>
        <v>1</v>
      </c>
      <c r="AD90" s="191">
        <f>VLOOKUP(Table4[[#This Row],[risk_id]], Table3[], 16, FALSE)</f>
        <v>1</v>
      </c>
      <c r="AE90" s="191">
        <f>VLOOKUP(Table4[[#This Row],[risk_id]], Table3[], 17, )</f>
        <v>0</v>
      </c>
      <c r="AF90" s="191">
        <f>4</f>
        <v>4</v>
      </c>
      <c r="AG90" s="191">
        <f>COUNTIF(Table4[[#This Row],[THEO]:[MOD]], "&gt;=1")</f>
        <v>2</v>
      </c>
      <c r="AH90" s="192">
        <f>Table4[[#This Row],[data_observations]]/Table4[[#This Row],[AllObservations_count]]</f>
        <v>2.1276595744680851E-2</v>
      </c>
      <c r="AI90" s="189">
        <f>Table4[[#This Row],[evidenceamount_pct]]*(Table4[[#This Row],[Indicator_12.5pct]])</f>
        <v>0.26595744680851063</v>
      </c>
      <c r="AJ90" s="198">
        <f>(1-(VLOOKUP(Table4[[#This Row],[risk_id]],Table3[],18, FALSE))/(Table4[[#This Row],[data_observations]]))</f>
        <v>1</v>
      </c>
      <c r="AK90" s="198">
        <f>((VLOOKUP(Table4[[#This Row],[risk_id]],Table3[],19, FALSE))+((VLOOKUP(Table4[[#This Row],[risk_id]],Table3[],36, FALSE))*0.5))/(Table4[[#This Row],[data_observations]])</f>
        <v>1</v>
      </c>
      <c r="AL90" s="177">
        <f>((Table4[[#This Row],[ev_data_deficient_score]]*0.5)+(Table4[[#This Row],[ev_data_availability_score]]*0.5))*(Table4[[#This Row],[Indicator_12.5pct]])</f>
        <v>12.5</v>
      </c>
      <c r="AM90" s="199">
        <f>Table4[[#This Row],[RiskScore]]</f>
        <v>22</v>
      </c>
      <c r="AN90" s="200">
        <f>VLOOKUP(Table4[[#This Row],[risk_id]], Table3[], 13, FALSE)</f>
        <v>6</v>
      </c>
      <c r="AO90" s="185">
        <f>(1-(Table4[[#This Row],[evidence_SD_RR]]/Table4[[#This Row],[evidence_mean_RR]]))*(Table4[[#This Row],[Indicator_12.5pct]])</f>
        <v>9.0909090909090917</v>
      </c>
      <c r="AP90" s="201">
        <f>VLOOKUP(Table4[[#This Row],[risk_id]],Table3[],21, FALSE)</f>
        <v>0</v>
      </c>
      <c r="AQ90" s="201">
        <f>VLOOKUP(Table4[[#This Row],[risk_id]],Table3[],23, FALSE)</f>
        <v>0.5</v>
      </c>
      <c r="AR90" s="201">
        <f>VLOOKUP(Table4[[#This Row],[risk_id]],Table3[],25, FALSE)</f>
        <v>0.5</v>
      </c>
      <c r="AS90" s="201">
        <f>VLOOKUP(Table4[[#This Row],[risk_id]],Table3[],27, FALSE)</f>
        <v>0</v>
      </c>
      <c r="AT90" s="183">
        <f>(MAX(Table4[[#This Row],[C]:[U]]))*Table4[[#This Row],[Indicator_20pct]]</f>
        <v>5</v>
      </c>
      <c r="AU90" s="205">
        <f>COUNTIFS(Table4[[#This Row],[C]], "&gt;0", Table4[[#This Row],[U]], "&gt;0") + COUNTIFS(Table4[[#This Row],[H]], "&gt;0", Table4[[#This Row],[U]], "&gt;0") + COUNTIFS(Table4[[#This Row],[C]], "&gt;0", Table4[[#This Row],[M]], "&gt;0")</f>
        <v>0</v>
      </c>
      <c r="AV90" s="219">
        <f>((-(Table4[[#This Row],[different_scores_count]]-3))/3)*Table4[[#This Row],[Indicator_20pct]]</f>
        <v>10</v>
      </c>
      <c r="AW90" s="183">
        <f>IF(Table4[[#This Row],[data_observations]]&gt;=5, 30, IF(Table4[[#This Row],[data_observations]]&gt;=3, 15, 0))</f>
        <v>0</v>
      </c>
      <c r="AX90" s="26" t="s">
        <v>2737</v>
      </c>
    </row>
    <row r="91" spans="1:50" ht="32" hidden="1" customHeight="1" x14ac:dyDescent="0.2">
      <c r="A91" s="16" t="s">
        <v>35</v>
      </c>
      <c r="B91" s="16" t="str">
        <f>VLOOKUP(Table4[[#This Row],[risk_id]], Table3[], 35, FALSE)</f>
        <v>Risk</v>
      </c>
      <c r="C91" s="16" t="str">
        <f>VLOOKUP(Table4[[#This Row],[risk_id]], Table3[], 2, FALSE)</f>
        <v>Navigational</v>
      </c>
      <c r="D91" s="15" t="str">
        <f>VLOOKUP(Table4[[#This Row],[risk_id]], Table3[], 3, FALSE)</f>
        <v>Accessibility to NWP</v>
      </c>
      <c r="E91"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91" s="300">
        <f t="shared" si="4"/>
        <v>22</v>
      </c>
      <c r="G91" s="31">
        <f>Table4[[#This Row],[DataQuality_Score]]</f>
        <v>0.38419366537717609</v>
      </c>
      <c r="H91"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LOW</v>
      </c>
      <c r="I91" s="27" t="str">
        <f>Table4[[#This Row],[LoA - Metric]]&amp; ", " &amp;Table4[[#This Row],[ES - Metric]]</f>
        <v>Low agreement, Medium evidence</v>
      </c>
      <c r="J91" s="222">
        <f>(Table4[[#This Row],[LoA_SCORE]]+Table4[[#This Row],[ES_SCORE]])/100</f>
        <v>0.38419366537717609</v>
      </c>
      <c r="K91"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91"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91" s="179">
        <f>Table4[[#This Row],[probability_average]]</f>
        <v>4</v>
      </c>
      <c r="N91" s="181">
        <f>Table4[[#This Row],[consequence_average]]</f>
        <v>5.5</v>
      </c>
      <c r="O91" s="220">
        <f>Table4[[#This Row],[agreementPCT_score]]+Table4[[#This Row],[agreement_dist_score]]+Table4[[#This Row],[LoA_AQ_score]]</f>
        <v>15</v>
      </c>
      <c r="P91" s="203">
        <f>Table4[[#This Row],[evidenceconsistency_score]]+Table4[[#This Row],[EQ_score]]+Table4[[#This Row],[EA_score]]+Table4[[#This Row],[ET_score]]</f>
        <v>23.419366537717604</v>
      </c>
      <c r="Q91" s="181">
        <f>VLOOKUP(Table4[[#This Row],[risk_id]],Table3[],10,FALSE)</f>
        <v>5.5</v>
      </c>
      <c r="R91" s="181">
        <f>VLOOKUP(Table4[[#This Row],[risk_id]],Table3[],9,FALSE)</f>
        <v>11</v>
      </c>
      <c r="S91" s="179">
        <f>VLOOKUP(Table4[[#This Row],[risk_id]],Table3[],7,FALSE)</f>
        <v>4</v>
      </c>
      <c r="T91" s="179">
        <f>VLOOKUP(Table4[[#This Row],[risk_id]],Table3[],6,FALSE)</f>
        <v>8</v>
      </c>
      <c r="U91" s="177">
        <f t="shared" si="5"/>
        <v>12.5</v>
      </c>
      <c r="V91" s="187">
        <f>10</f>
        <v>10</v>
      </c>
      <c r="W91" s="187">
        <f>30</f>
        <v>30</v>
      </c>
      <c r="X91" s="17">
        <f>VLOOKUP(Table4[[#This Row],[risk_id]],Table3[],5,FALSE)</f>
        <v>2</v>
      </c>
      <c r="Y91" s="17">
        <f>94</f>
        <v>94</v>
      </c>
      <c r="Z91" s="177">
        <f>Table4[[#This Row],[EStype_summed]]*Table4[[#This Row],[Indicator_12.5pct]]</f>
        <v>3.125</v>
      </c>
      <c r="AA91" s="190">
        <f>(IF(Table4[[#This Row],[all_evtype]]&gt;=4,"4", IF(Table4[[#This Row],[all_evtype]]&gt;=3,"3", IF(Table4[[#This Row],[all_evtype]]&gt;=2,"2", IF(Table4[[#This Row],[all_evtype]]&gt;=1,"1","0")))))/Table4[[#This Row],[HPS_et]]</f>
        <v>0.25</v>
      </c>
      <c r="AB91" s="191">
        <f>VLOOKUP(Table4[[#This Row],[risk_id]],Table3[], 14, FALSE)</f>
        <v>0</v>
      </c>
      <c r="AC91" s="191">
        <f>VLOOKUP(Table4[[#This Row],[risk_id]],Table3[], 15, FALSE)</f>
        <v>2</v>
      </c>
      <c r="AD91" s="191">
        <f>VLOOKUP(Table4[[#This Row],[risk_id]], Table3[], 16, FALSE)</f>
        <v>0</v>
      </c>
      <c r="AE91" s="191">
        <f>VLOOKUP(Table4[[#This Row],[risk_id]], Table3[], 17, )</f>
        <v>0</v>
      </c>
      <c r="AF91" s="191">
        <f>4</f>
        <v>4</v>
      </c>
      <c r="AG91" s="191">
        <f>COUNTIF(Table4[[#This Row],[THEO]:[MOD]], "&gt;=1")</f>
        <v>1</v>
      </c>
      <c r="AH91" s="192">
        <f>Table4[[#This Row],[data_observations]]/Table4[[#This Row],[AllObservations_count]]</f>
        <v>2.1276595744680851E-2</v>
      </c>
      <c r="AI91" s="189">
        <f>Table4[[#This Row],[evidenceamount_pct]]*(Table4[[#This Row],[Indicator_12.5pct]])</f>
        <v>0.26595744680851063</v>
      </c>
      <c r="AJ91" s="198">
        <f>(1-(VLOOKUP(Table4[[#This Row],[risk_id]],Table3[],18, FALSE))/(Table4[[#This Row],[data_observations]]))</f>
        <v>1</v>
      </c>
      <c r="AK91" s="198">
        <f>((VLOOKUP(Table4[[#This Row],[risk_id]],Table3[],19, FALSE))+((VLOOKUP(Table4[[#This Row],[risk_id]],Table3[],36, FALSE))*0.5))/(Table4[[#This Row],[data_observations]])</f>
        <v>0.75</v>
      </c>
      <c r="AL91" s="177">
        <f>((Table4[[#This Row],[ev_data_deficient_score]]*0.5)+(Table4[[#This Row],[ev_data_availability_score]]*0.5))*(Table4[[#This Row],[Indicator_12.5pct]])</f>
        <v>10.9375</v>
      </c>
      <c r="AM91" s="199">
        <f>Table4[[#This Row],[RiskScore]]</f>
        <v>22</v>
      </c>
      <c r="AN91" s="200">
        <f>VLOOKUP(Table4[[#This Row],[risk_id]], Table3[], 13, FALSE)</f>
        <v>6</v>
      </c>
      <c r="AO91" s="185">
        <f>(1-(Table4[[#This Row],[evidence_SD_RR]]/Table4[[#This Row],[evidence_mean_RR]]))*(Table4[[#This Row],[Indicator_12.5pct]])</f>
        <v>9.0909090909090917</v>
      </c>
      <c r="AP91" s="201">
        <f>VLOOKUP(Table4[[#This Row],[risk_id]],Table3[],21, FALSE)</f>
        <v>0</v>
      </c>
      <c r="AQ91" s="201">
        <f>VLOOKUP(Table4[[#This Row],[risk_id]],Table3[],23, FALSE)</f>
        <v>0.5</v>
      </c>
      <c r="AR91" s="201">
        <f>VLOOKUP(Table4[[#This Row],[risk_id]],Table3[],25, FALSE)</f>
        <v>0.5</v>
      </c>
      <c r="AS91" s="201">
        <f>VLOOKUP(Table4[[#This Row],[risk_id]],Table3[],27, FALSE)</f>
        <v>0</v>
      </c>
      <c r="AT91" s="183">
        <f>(MAX(Table4[[#This Row],[C]:[U]]))*Table4[[#This Row],[Indicator_20pct]]</f>
        <v>5</v>
      </c>
      <c r="AU91" s="205">
        <f>COUNTIFS(Table4[[#This Row],[C]], "&gt;0", Table4[[#This Row],[U]], "&gt;0") + COUNTIFS(Table4[[#This Row],[H]], "&gt;0", Table4[[#This Row],[U]], "&gt;0") + COUNTIFS(Table4[[#This Row],[C]], "&gt;0", Table4[[#This Row],[M]], "&gt;0")</f>
        <v>0</v>
      </c>
      <c r="AV91" s="219">
        <f>((-(Table4[[#This Row],[different_scores_count]]-3))/3)*Table4[[#This Row],[Indicator_20pct]]</f>
        <v>10</v>
      </c>
      <c r="AW91" s="183">
        <f>IF(Table4[[#This Row],[data_observations]]&gt;=5, 30, IF(Table4[[#This Row],[data_observations]]&gt;=3, 15, 0))</f>
        <v>0</v>
      </c>
      <c r="AX91" s="26" t="s">
        <v>2737</v>
      </c>
    </row>
    <row r="92" spans="1:50" ht="32" customHeight="1" x14ac:dyDescent="0.2">
      <c r="A92" s="16" t="s">
        <v>2665</v>
      </c>
      <c r="B92" s="16" t="str">
        <f>VLOOKUP(Table4[[#This Row],[risk_id]], Table3[], 35, FALSE)</f>
        <v>Hazard</v>
      </c>
      <c r="C92" s="16" t="str">
        <f>VLOOKUP(Table4[[#This Row],[risk_id]], Table3[], 2, FALSE)</f>
        <v>Environmental</v>
      </c>
      <c r="D92" s="15" t="str">
        <f>VLOOKUP(Table4[[#This Row],[risk_id]], Table3[], 3, FALSE)</f>
        <v>Bioaccumulation - flora/fauna</v>
      </c>
      <c r="E92"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92" s="300">
        <f t="shared" si="4"/>
        <v>21.840000000000003</v>
      </c>
      <c r="G92" s="31">
        <f>Table4[[#This Row],[DataQuality_Score]]</f>
        <v>0.67065298055605693</v>
      </c>
      <c r="H92"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92" s="27" t="str">
        <f>Table4[[#This Row],[LoA - Metric]]&amp; ", " &amp;Table4[[#This Row],[ES - Metric]]</f>
        <v>High agreement, Medium evidence</v>
      </c>
      <c r="J92" s="222">
        <f>(Table4[[#This Row],[LoA_SCORE]]+Table4[[#This Row],[ES_SCORE]])/100</f>
        <v>0.67065298055605693</v>
      </c>
      <c r="K92"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92"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92" s="179">
        <f>Table4[[#This Row],[probability_average]]</f>
        <v>4.2</v>
      </c>
      <c r="N92" s="181">
        <f>Table4[[#This Row],[consequence_average]]</f>
        <v>5.2</v>
      </c>
      <c r="O92" s="220">
        <f>Table4[[#This Row],[agreementPCT_score]]+Table4[[#This Row],[agreement_dist_score]]+Table4[[#This Row],[LoA_AQ_score]]</f>
        <v>40.666666666666664</v>
      </c>
      <c r="P92" s="203">
        <f>Table4[[#This Row],[evidenceconsistency_score]]+Table4[[#This Row],[EQ_score]]+Table4[[#This Row],[EA_score]]+Table4[[#This Row],[ET_score]]</f>
        <v>26.398631388939023</v>
      </c>
      <c r="Q92" s="181">
        <f>VLOOKUP(Table4[[#This Row],[risk_id]],Table3[],10,FALSE)</f>
        <v>5.2</v>
      </c>
      <c r="R92" s="181">
        <f>VLOOKUP(Table4[[#This Row],[risk_id]],Table3[],9,FALSE)</f>
        <v>26</v>
      </c>
      <c r="S92" s="179">
        <f>VLOOKUP(Table4[[#This Row],[risk_id]],Table3[],7,FALSE)</f>
        <v>4.2</v>
      </c>
      <c r="T92" s="179">
        <f>VLOOKUP(Table4[[#This Row],[risk_id]],Table3[],6,FALSE)</f>
        <v>21</v>
      </c>
      <c r="U92" s="177">
        <f t="shared" si="5"/>
        <v>12.5</v>
      </c>
      <c r="V92" s="187">
        <f>10</f>
        <v>10</v>
      </c>
      <c r="W92" s="187">
        <f>30</f>
        <v>30</v>
      </c>
      <c r="X92" s="17">
        <f>VLOOKUP(Table4[[#This Row],[risk_id]],Table3[],5,FALSE)</f>
        <v>5</v>
      </c>
      <c r="Y92" s="17">
        <f>94</f>
        <v>94</v>
      </c>
      <c r="Z92" s="177">
        <f>Table4[[#This Row],[EStype_summed]]*Table4[[#This Row],[Indicator_12.5pct]]</f>
        <v>9.375</v>
      </c>
      <c r="AA92" s="190">
        <f>(IF(Table4[[#This Row],[all_evtype]]&gt;=4,"4", IF(Table4[[#This Row],[all_evtype]]&gt;=3,"3", IF(Table4[[#This Row],[all_evtype]]&gt;=2,"2", IF(Table4[[#This Row],[all_evtype]]&gt;=1,"1","0")))))/Table4[[#This Row],[HPS_et]]</f>
        <v>0.75</v>
      </c>
      <c r="AB92" s="191">
        <f>VLOOKUP(Table4[[#This Row],[risk_id]],Table3[], 14, FALSE)</f>
        <v>1</v>
      </c>
      <c r="AC92" s="191">
        <f>VLOOKUP(Table4[[#This Row],[risk_id]],Table3[], 15, FALSE)</f>
        <v>3</v>
      </c>
      <c r="AD92" s="191">
        <f>VLOOKUP(Table4[[#This Row],[risk_id]], Table3[], 16, FALSE)</f>
        <v>0</v>
      </c>
      <c r="AE92" s="191">
        <f>VLOOKUP(Table4[[#This Row],[risk_id]], Table3[], 17, )</f>
        <v>1</v>
      </c>
      <c r="AF92" s="191">
        <f>4</f>
        <v>4</v>
      </c>
      <c r="AG92" s="191">
        <f>COUNTIF(Table4[[#This Row],[THEO]:[MOD]], "&gt;=1")</f>
        <v>3</v>
      </c>
      <c r="AH92" s="192">
        <f>Table4[[#This Row],[data_observations]]/Table4[[#This Row],[AllObservations_count]]</f>
        <v>5.3191489361702128E-2</v>
      </c>
      <c r="AI92" s="189">
        <f>Table4[[#This Row],[evidenceamount_pct]]*(Table4[[#This Row],[Indicator_12.5pct]])</f>
        <v>0.66489361702127658</v>
      </c>
      <c r="AJ92" s="198">
        <f>(1-(VLOOKUP(Table4[[#This Row],[risk_id]],Table3[],18, FALSE))/(Table4[[#This Row],[data_observations]]))</f>
        <v>1</v>
      </c>
      <c r="AK92" s="198">
        <f>((VLOOKUP(Table4[[#This Row],[risk_id]],Table3[],19, FALSE))+((VLOOKUP(Table4[[#This Row],[risk_id]],Table3[],36, FALSE))*0.5))/(Table4[[#This Row],[data_observations]])</f>
        <v>0.7</v>
      </c>
      <c r="AL92" s="177">
        <f>((Table4[[#This Row],[ev_data_deficient_score]]*0.5)+(Table4[[#This Row],[ev_data_availability_score]]*0.5))*(Table4[[#This Row],[Indicator_12.5pct]])</f>
        <v>10.625</v>
      </c>
      <c r="AM92" s="199">
        <f>Table4[[#This Row],[RiskScore]]</f>
        <v>21.840000000000003</v>
      </c>
      <c r="AN92" s="200">
        <f>VLOOKUP(Table4[[#This Row],[risk_id]], Table3[], 13, FALSE)</f>
        <v>11.822013364905319</v>
      </c>
      <c r="AO92" s="185">
        <f>(1-(Table4[[#This Row],[evidence_SD_RR]]/Table4[[#This Row],[evidence_mean_RR]]))*(Table4[[#This Row],[Indicator_12.5pct]])</f>
        <v>5.7337377719177445</v>
      </c>
      <c r="AP92" s="201">
        <f>VLOOKUP(Table4[[#This Row],[risk_id]],Table3[],21, FALSE)</f>
        <v>0</v>
      </c>
      <c r="AQ92" s="201">
        <f>VLOOKUP(Table4[[#This Row],[risk_id]],Table3[],23, FALSE)</f>
        <v>0.4</v>
      </c>
      <c r="AR92" s="201">
        <f>VLOOKUP(Table4[[#This Row],[risk_id]],Table3[],25, FALSE)</f>
        <v>0.4</v>
      </c>
      <c r="AS92" s="201">
        <f>VLOOKUP(Table4[[#This Row],[risk_id]],Table3[],27, FALSE)</f>
        <v>0.2</v>
      </c>
      <c r="AT92" s="183">
        <f>(MAX(Table4[[#This Row],[C]:[U]]))*Table4[[#This Row],[Indicator_20pct]]</f>
        <v>4</v>
      </c>
      <c r="AU92" s="205">
        <f>COUNTIFS(Table4[[#This Row],[C]], "&gt;0", Table4[[#This Row],[U]], "&gt;0") + COUNTIFS(Table4[[#This Row],[H]], "&gt;0", Table4[[#This Row],[U]], "&gt;0") + COUNTIFS(Table4[[#This Row],[C]], "&gt;0", Table4[[#This Row],[M]], "&gt;0")</f>
        <v>1</v>
      </c>
      <c r="AV92" s="219">
        <f>((-(Table4[[#This Row],[different_scores_count]]-3))/3)*Table4[[#This Row],[Indicator_20pct]]</f>
        <v>6.6666666666666661</v>
      </c>
      <c r="AW92" s="183">
        <f>IF(Table4[[#This Row],[data_observations]]&gt;=5, 30, IF(Table4[[#This Row],[data_observations]]&gt;=3, 15, 0))</f>
        <v>30</v>
      </c>
      <c r="AX92" s="26" t="s">
        <v>2737</v>
      </c>
    </row>
    <row r="93" spans="1:50" ht="32" customHeight="1" x14ac:dyDescent="0.2">
      <c r="A93" s="16" t="s">
        <v>2666</v>
      </c>
      <c r="B93" s="16" t="str">
        <f>VLOOKUP(Table4[[#This Row],[risk_id]], Table3[], 35, FALSE)</f>
        <v>Hazard</v>
      </c>
      <c r="C93" s="16" t="str">
        <f>VLOOKUP(Table4[[#This Row],[risk_id]], Table3[], 2, FALSE)</f>
        <v>Social</v>
      </c>
      <c r="D93" s="15" t="str">
        <f>VLOOKUP(Table4[[#This Row],[risk_id]], Table3[], 3, FALSE)</f>
        <v>Bioaccumulation - human</v>
      </c>
      <c r="E93"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93" s="300">
        <f t="shared" si="4"/>
        <v>21.375</v>
      </c>
      <c r="G93" s="31">
        <f>Table4[[#This Row],[DataQuality_Score]]</f>
        <v>0.51510311804468434</v>
      </c>
      <c r="H93"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93" s="27" t="str">
        <f>Table4[[#This Row],[LoA - Metric]]&amp; ", " &amp;Table4[[#This Row],[ES - Metric]]</f>
        <v>Medium agreement, Medium evidence</v>
      </c>
      <c r="J93" s="222">
        <f>(Table4[[#This Row],[LoA_SCORE]]+Table4[[#This Row],[ES_SCORE]])/100</f>
        <v>0.51510311804468434</v>
      </c>
      <c r="K93"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93"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93" s="179">
        <f>Table4[[#This Row],[probability_average]]</f>
        <v>4.5</v>
      </c>
      <c r="N93" s="181">
        <f>Table4[[#This Row],[consequence_average]]</f>
        <v>4.75</v>
      </c>
      <c r="O93" s="220">
        <f>Table4[[#This Row],[agreementPCT_score]]+Table4[[#This Row],[agreement_dist_score]]+Table4[[#This Row],[LoA_AQ_score]]</f>
        <v>26.666666666666664</v>
      </c>
      <c r="P93" s="203">
        <f>Table4[[#This Row],[evidenceconsistency_score]]+Table4[[#This Row],[EQ_score]]+Table4[[#This Row],[EA_score]]+Table4[[#This Row],[ET_score]]</f>
        <v>24.843645137801765</v>
      </c>
      <c r="Q93" s="181">
        <f>VLOOKUP(Table4[[#This Row],[risk_id]],Table3[],10,FALSE)</f>
        <v>4.75</v>
      </c>
      <c r="R93" s="181">
        <f>VLOOKUP(Table4[[#This Row],[risk_id]],Table3[],9,FALSE)</f>
        <v>19</v>
      </c>
      <c r="S93" s="179">
        <f>VLOOKUP(Table4[[#This Row],[risk_id]],Table3[],7,FALSE)</f>
        <v>4.5</v>
      </c>
      <c r="T93" s="179">
        <f>VLOOKUP(Table4[[#This Row],[risk_id]],Table3[],6,FALSE)</f>
        <v>18</v>
      </c>
      <c r="U93" s="177">
        <f t="shared" si="5"/>
        <v>12.5</v>
      </c>
      <c r="V93" s="187">
        <f>10</f>
        <v>10</v>
      </c>
      <c r="W93" s="187">
        <f>30</f>
        <v>30</v>
      </c>
      <c r="X93" s="17">
        <f>VLOOKUP(Table4[[#This Row],[risk_id]],Table3[],5,FALSE)</f>
        <v>4</v>
      </c>
      <c r="Y93" s="17">
        <f>94</f>
        <v>94</v>
      </c>
      <c r="Z93" s="177">
        <f>Table4[[#This Row],[EStype_summed]]*Table4[[#This Row],[Indicator_12.5pct]]</f>
        <v>9.375</v>
      </c>
      <c r="AA93" s="190">
        <f>(IF(Table4[[#This Row],[all_evtype]]&gt;=4,"4", IF(Table4[[#This Row],[all_evtype]]&gt;=3,"3", IF(Table4[[#This Row],[all_evtype]]&gt;=2,"2", IF(Table4[[#This Row],[all_evtype]]&gt;=1,"1","0")))))/Table4[[#This Row],[HPS_et]]</f>
        <v>0.75</v>
      </c>
      <c r="AB93" s="191">
        <f>VLOOKUP(Table4[[#This Row],[risk_id]],Table3[], 14, FALSE)</f>
        <v>1</v>
      </c>
      <c r="AC93" s="191">
        <f>VLOOKUP(Table4[[#This Row],[risk_id]],Table3[], 15, FALSE)</f>
        <v>2</v>
      </c>
      <c r="AD93" s="191">
        <f>VLOOKUP(Table4[[#This Row],[risk_id]], Table3[], 16, FALSE)</f>
        <v>0</v>
      </c>
      <c r="AE93" s="191">
        <f>VLOOKUP(Table4[[#This Row],[risk_id]], Table3[], 17, )</f>
        <v>1</v>
      </c>
      <c r="AF93" s="191">
        <f>4</f>
        <v>4</v>
      </c>
      <c r="AG93" s="191">
        <f>COUNTIF(Table4[[#This Row],[THEO]:[MOD]], "&gt;=1")</f>
        <v>3</v>
      </c>
      <c r="AH93" s="192">
        <f>Table4[[#This Row],[data_observations]]/Table4[[#This Row],[AllObservations_count]]</f>
        <v>4.2553191489361701E-2</v>
      </c>
      <c r="AI93" s="189">
        <f>Table4[[#This Row],[evidenceamount_pct]]*(Table4[[#This Row],[Indicator_12.5pct]])</f>
        <v>0.53191489361702127</v>
      </c>
      <c r="AJ93" s="198">
        <f>(1-(VLOOKUP(Table4[[#This Row],[risk_id]],Table3[],18, FALSE))/(Table4[[#This Row],[data_observations]]))</f>
        <v>1</v>
      </c>
      <c r="AK93" s="198">
        <f>((VLOOKUP(Table4[[#This Row],[risk_id]],Table3[],19, FALSE))+((VLOOKUP(Table4[[#This Row],[risk_id]],Table3[],36, FALSE))*0.5))/(Table4[[#This Row],[data_observations]])</f>
        <v>0.625</v>
      </c>
      <c r="AL93" s="177">
        <f>((Table4[[#This Row],[ev_data_deficient_score]]*0.5)+(Table4[[#This Row],[ev_data_availability_score]]*0.5))*(Table4[[#This Row],[Indicator_12.5pct]])</f>
        <v>10.15625</v>
      </c>
      <c r="AM93" s="199">
        <f>Table4[[#This Row],[RiskScore]]</f>
        <v>21.375</v>
      </c>
      <c r="AN93" s="200">
        <f>VLOOKUP(Table4[[#This Row],[risk_id]], Table3[], 13, FALSE)</f>
        <v>13.200378782444085</v>
      </c>
      <c r="AO93" s="185">
        <f>(1-(Table4[[#This Row],[evidence_SD_RR]]/Table4[[#This Row],[evidence_mean_RR]]))*(Table4[[#This Row],[Indicator_12.5pct]])</f>
        <v>4.7804802441847452</v>
      </c>
      <c r="AP93" s="201">
        <f>VLOOKUP(Table4[[#This Row],[risk_id]],Table3[],21, FALSE)</f>
        <v>0</v>
      </c>
      <c r="AQ93" s="201">
        <f>VLOOKUP(Table4[[#This Row],[risk_id]],Table3[],23, FALSE)</f>
        <v>0.5</v>
      </c>
      <c r="AR93" s="201">
        <f>VLOOKUP(Table4[[#This Row],[risk_id]],Table3[],25, FALSE)</f>
        <v>0.25</v>
      </c>
      <c r="AS93" s="201">
        <f>VLOOKUP(Table4[[#This Row],[risk_id]],Table3[],27, FALSE)</f>
        <v>0.25</v>
      </c>
      <c r="AT93" s="183">
        <f>(MAX(Table4[[#This Row],[C]:[U]]))*Table4[[#This Row],[Indicator_20pct]]</f>
        <v>5</v>
      </c>
      <c r="AU93" s="205">
        <f>COUNTIFS(Table4[[#This Row],[C]], "&gt;0", Table4[[#This Row],[U]], "&gt;0") + COUNTIFS(Table4[[#This Row],[H]], "&gt;0", Table4[[#This Row],[U]], "&gt;0") + COUNTIFS(Table4[[#This Row],[C]], "&gt;0", Table4[[#This Row],[M]], "&gt;0")</f>
        <v>1</v>
      </c>
      <c r="AV93" s="219">
        <f>((-(Table4[[#This Row],[different_scores_count]]-3))/3)*Table4[[#This Row],[Indicator_20pct]]</f>
        <v>6.6666666666666661</v>
      </c>
      <c r="AW93" s="183">
        <f>IF(Table4[[#This Row],[data_observations]]&gt;=5, 30, IF(Table4[[#This Row],[data_observations]]&gt;=3, 15, 0))</f>
        <v>15</v>
      </c>
      <c r="AX93" s="26" t="s">
        <v>2737</v>
      </c>
    </row>
    <row r="94" spans="1:50" ht="32" customHeight="1" x14ac:dyDescent="0.2">
      <c r="A94" s="16" t="s">
        <v>2671</v>
      </c>
      <c r="B94" s="16" t="str">
        <f>VLOOKUP(Table4[[#This Row],[risk_id]], Table3[], 35, FALSE)</f>
        <v>Hazard</v>
      </c>
      <c r="C94" s="16" t="str">
        <f>VLOOKUP(Table4[[#This Row],[risk_id]], Table3[], 2, FALSE)</f>
        <v>Pollutants</v>
      </c>
      <c r="D94" s="15" t="str">
        <f>VLOOKUP(Table4[[#This Row],[risk_id]], Table3[], 3, FALSE)</f>
        <v>Chemical pollution due to spills</v>
      </c>
      <c r="E94"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94" s="300">
        <f t="shared" si="4"/>
        <v>21.333333333333332</v>
      </c>
      <c r="G94" s="31">
        <f>Table4[[#This Row],[DataQuality_Score]]</f>
        <v>0.56830319529440909</v>
      </c>
      <c r="H94"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94" s="27" t="str">
        <f>Table4[[#This Row],[LoA - Metric]]&amp; ", " &amp;Table4[[#This Row],[ES - Metric]]</f>
        <v>Medium agreement, Medium evidence</v>
      </c>
      <c r="J94" s="222">
        <f>(Table4[[#This Row],[LoA_SCORE]]+Table4[[#This Row],[ES_SCORE]])/100</f>
        <v>0.56830319529440909</v>
      </c>
      <c r="K94"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94"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94" s="179">
        <f>Table4[[#This Row],[probability_average]]</f>
        <v>2.6666666666666665</v>
      </c>
      <c r="N94" s="181">
        <f>Table4[[#This Row],[consequence_average]]</f>
        <v>8</v>
      </c>
      <c r="O94" s="220">
        <f>Table4[[#This Row],[agreementPCT_score]]+Table4[[#This Row],[agreement_dist_score]]+Table4[[#This Row],[LoA_AQ_score]]</f>
        <v>31.666666666666664</v>
      </c>
      <c r="P94" s="203">
        <f>Table4[[#This Row],[evidenceconsistency_score]]+Table4[[#This Row],[EQ_score]]+Table4[[#This Row],[EA_score]]+Table4[[#This Row],[ET_score]]</f>
        <v>25.163652862774242</v>
      </c>
      <c r="Q94" s="181">
        <f>VLOOKUP(Table4[[#This Row],[risk_id]],Table3[],10,FALSE)</f>
        <v>8</v>
      </c>
      <c r="R94" s="181">
        <f>VLOOKUP(Table4[[#This Row],[risk_id]],Table3[],9,FALSE)</f>
        <v>24</v>
      </c>
      <c r="S94" s="179">
        <f>VLOOKUP(Table4[[#This Row],[risk_id]],Table3[],7,FALSE)</f>
        <v>2.6666666666666665</v>
      </c>
      <c r="T94" s="179">
        <f>VLOOKUP(Table4[[#This Row],[risk_id]],Table3[],6,FALSE)</f>
        <v>8</v>
      </c>
      <c r="U94" s="177">
        <f t="shared" si="5"/>
        <v>12.5</v>
      </c>
      <c r="V94" s="187">
        <f>10</f>
        <v>10</v>
      </c>
      <c r="W94" s="187">
        <f>30</f>
        <v>30</v>
      </c>
      <c r="X94" s="17">
        <f>VLOOKUP(Table4[[#This Row],[risk_id]],Table3[],5,FALSE)</f>
        <v>3</v>
      </c>
      <c r="Y94" s="17">
        <f>94</f>
        <v>94</v>
      </c>
      <c r="Z94" s="177">
        <f>Table4[[#This Row],[EStype_summed]]*Table4[[#This Row],[Indicator_12.5pct]]</f>
        <v>6.25</v>
      </c>
      <c r="AA94" s="190">
        <f>(IF(Table4[[#This Row],[all_evtype]]&gt;=4,"4", IF(Table4[[#This Row],[all_evtype]]&gt;=3,"3", IF(Table4[[#This Row],[all_evtype]]&gt;=2,"2", IF(Table4[[#This Row],[all_evtype]]&gt;=1,"1","0")))))/Table4[[#This Row],[HPS_et]]</f>
        <v>0.5</v>
      </c>
      <c r="AB94" s="191">
        <f>VLOOKUP(Table4[[#This Row],[risk_id]],Table3[], 14, FALSE)</f>
        <v>0</v>
      </c>
      <c r="AC94" s="191">
        <f>VLOOKUP(Table4[[#This Row],[risk_id]],Table3[], 15, FALSE)</f>
        <v>1</v>
      </c>
      <c r="AD94" s="191">
        <f>VLOOKUP(Table4[[#This Row],[risk_id]], Table3[], 16, FALSE)</f>
        <v>0</v>
      </c>
      <c r="AE94" s="191">
        <f>VLOOKUP(Table4[[#This Row],[risk_id]], Table3[], 17, )</f>
        <v>2</v>
      </c>
      <c r="AF94" s="191">
        <f>4</f>
        <v>4</v>
      </c>
      <c r="AG94" s="191">
        <f>COUNTIF(Table4[[#This Row],[THEO]:[MOD]], "&gt;=1")</f>
        <v>2</v>
      </c>
      <c r="AH94" s="192">
        <f>Table4[[#This Row],[data_observations]]/Table4[[#This Row],[AllObservations_count]]</f>
        <v>3.1914893617021274E-2</v>
      </c>
      <c r="AI94" s="189">
        <f>Table4[[#This Row],[evidenceamount_pct]]*(Table4[[#This Row],[Indicator_12.5pct]])</f>
        <v>0.39893617021276595</v>
      </c>
      <c r="AJ94" s="198">
        <f>(1-(VLOOKUP(Table4[[#This Row],[risk_id]],Table3[],18, FALSE))/(Table4[[#This Row],[data_observations]]))</f>
        <v>0.66666666666666674</v>
      </c>
      <c r="AK94" s="198">
        <f>((VLOOKUP(Table4[[#This Row],[risk_id]],Table3[],19, FALSE))+((VLOOKUP(Table4[[#This Row],[risk_id]],Table3[],36, FALSE))*0.5))/(Table4[[#This Row],[data_observations]])</f>
        <v>0.83333333333333337</v>
      </c>
      <c r="AL94" s="177">
        <f>((Table4[[#This Row],[ev_data_deficient_score]]*0.5)+(Table4[[#This Row],[ev_data_availability_score]]*0.5))*(Table4[[#This Row],[Indicator_12.5pct]])</f>
        <v>9.375</v>
      </c>
      <c r="AM94" s="199">
        <f>Table4[[#This Row],[RiskScore]]</f>
        <v>21.333333333333332</v>
      </c>
      <c r="AN94" s="200">
        <f>VLOOKUP(Table4[[#This Row],[risk_id]], Table3[], 13, FALSE)</f>
        <v>5.7348835113617511</v>
      </c>
      <c r="AO94" s="185">
        <f>(1-(Table4[[#This Row],[evidence_SD_RR]]/Table4[[#This Row],[evidence_mean_RR]]))*(Table4[[#This Row],[Indicator_12.5pct]])</f>
        <v>9.1397166925614748</v>
      </c>
      <c r="AP94" s="201">
        <f>VLOOKUP(Table4[[#This Row],[risk_id]],Table3[],21, FALSE)</f>
        <v>0</v>
      </c>
      <c r="AQ94" s="201">
        <f>VLOOKUP(Table4[[#This Row],[risk_id]],Table3[],23, FALSE)</f>
        <v>0.33333333333333331</v>
      </c>
      <c r="AR94" s="201">
        <f>VLOOKUP(Table4[[#This Row],[risk_id]],Table3[],25, FALSE)</f>
        <v>0.66666666666666663</v>
      </c>
      <c r="AS94" s="201">
        <f>VLOOKUP(Table4[[#This Row],[risk_id]],Table3[],27, FALSE)</f>
        <v>0</v>
      </c>
      <c r="AT94" s="183">
        <f>(MAX(Table4[[#This Row],[C]:[U]]))*Table4[[#This Row],[Indicator_20pct]]</f>
        <v>6.6666666666666661</v>
      </c>
      <c r="AU94" s="205">
        <f>COUNTIFS(Table4[[#This Row],[C]], "&gt;0", Table4[[#This Row],[U]], "&gt;0") + COUNTIFS(Table4[[#This Row],[H]], "&gt;0", Table4[[#This Row],[U]], "&gt;0") + COUNTIFS(Table4[[#This Row],[C]], "&gt;0", Table4[[#This Row],[M]], "&gt;0")</f>
        <v>0</v>
      </c>
      <c r="AV94" s="219">
        <f>((-(Table4[[#This Row],[different_scores_count]]-3))/3)*Table4[[#This Row],[Indicator_20pct]]</f>
        <v>10</v>
      </c>
      <c r="AW94" s="183">
        <f>IF(Table4[[#This Row],[data_observations]]&gt;=5, 30, IF(Table4[[#This Row],[data_observations]]&gt;=3, 15, 0))</f>
        <v>15</v>
      </c>
      <c r="AX94" s="26" t="s">
        <v>2737</v>
      </c>
    </row>
    <row r="95" spans="1:50" ht="32" hidden="1" customHeight="1" x14ac:dyDescent="0.2">
      <c r="A95" s="16" t="s">
        <v>501</v>
      </c>
      <c r="B95" s="16" t="str">
        <f>VLOOKUP(Table4[[#This Row],[risk_id]], Table3[], 35, FALSE)</f>
        <v>Risk</v>
      </c>
      <c r="C95" s="16" t="str">
        <f>VLOOKUP(Table4[[#This Row],[risk_id]], Table3[], 2, FALSE)</f>
        <v>Community</v>
      </c>
      <c r="D95" s="15" t="str">
        <f>VLOOKUP(Table4[[#This Row],[risk_id]], Table3[], 3, FALSE)</f>
        <v>Community resident safety</v>
      </c>
      <c r="E95"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95" s="300">
        <f t="shared" si="4"/>
        <v>21.25</v>
      </c>
      <c r="G95" s="31">
        <f>Table4[[#This Row],[DataQuality_Score]]</f>
        <v>0.38685075093867333</v>
      </c>
      <c r="H95"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LOW</v>
      </c>
      <c r="I95" s="27" t="str">
        <f>Table4[[#This Row],[LoA - Metric]]&amp; ", " &amp;Table4[[#This Row],[ES - Metric]]</f>
        <v>Low agreement, Medium evidence</v>
      </c>
      <c r="J95" s="222">
        <f>(Table4[[#This Row],[LoA_SCORE]]+Table4[[#This Row],[ES_SCORE]])/100</f>
        <v>0.38685075093867333</v>
      </c>
      <c r="K95"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95"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95" s="179">
        <f>Table4[[#This Row],[probability_average]]</f>
        <v>2.5</v>
      </c>
      <c r="N95" s="181">
        <f>Table4[[#This Row],[consequence_average]]</f>
        <v>8.5</v>
      </c>
      <c r="O95" s="220">
        <f>Table4[[#This Row],[agreementPCT_score]]+Table4[[#This Row],[agreement_dist_score]]+Table4[[#This Row],[LoA_AQ_score]]</f>
        <v>15</v>
      </c>
      <c r="P95" s="203">
        <f>Table4[[#This Row],[evidenceconsistency_score]]+Table4[[#This Row],[EQ_score]]+Table4[[#This Row],[EA_score]]+Table4[[#This Row],[ET_score]]</f>
        <v>23.685075093867333</v>
      </c>
      <c r="Q95" s="181">
        <f>VLOOKUP(Table4[[#This Row],[risk_id]],Table3[],10,FALSE)</f>
        <v>8.5</v>
      </c>
      <c r="R95" s="181">
        <f>VLOOKUP(Table4[[#This Row],[risk_id]],Table3[],9,FALSE)</f>
        <v>17</v>
      </c>
      <c r="S95" s="179">
        <f>VLOOKUP(Table4[[#This Row],[risk_id]],Table3[],7,FALSE)</f>
        <v>2.5</v>
      </c>
      <c r="T95" s="179">
        <f>VLOOKUP(Table4[[#This Row],[risk_id]],Table3[],6,FALSE)</f>
        <v>5</v>
      </c>
      <c r="U95" s="177">
        <f t="shared" si="5"/>
        <v>12.5</v>
      </c>
      <c r="V95" s="187">
        <f>10</f>
        <v>10</v>
      </c>
      <c r="W95" s="187">
        <f>30</f>
        <v>30</v>
      </c>
      <c r="X95" s="17">
        <f>VLOOKUP(Table4[[#This Row],[risk_id]],Table3[],5,FALSE)</f>
        <v>2</v>
      </c>
      <c r="Y95" s="17">
        <f>94</f>
        <v>94</v>
      </c>
      <c r="Z95" s="177">
        <f>Table4[[#This Row],[EStype_summed]]*Table4[[#This Row],[Indicator_12.5pct]]</f>
        <v>3.125</v>
      </c>
      <c r="AA95" s="190">
        <f>(IF(Table4[[#This Row],[all_evtype]]&gt;=4,"4", IF(Table4[[#This Row],[all_evtype]]&gt;=3,"3", IF(Table4[[#This Row],[all_evtype]]&gt;=2,"2", IF(Table4[[#This Row],[all_evtype]]&gt;=1,"1","0")))))/Table4[[#This Row],[HPS_et]]</f>
        <v>0.25</v>
      </c>
      <c r="AB95" s="191">
        <f>VLOOKUP(Table4[[#This Row],[risk_id]],Table3[], 14, FALSE)</f>
        <v>0</v>
      </c>
      <c r="AC95" s="191">
        <f>VLOOKUP(Table4[[#This Row],[risk_id]],Table3[], 15, FALSE)</f>
        <v>2</v>
      </c>
      <c r="AD95" s="191">
        <f>VLOOKUP(Table4[[#This Row],[risk_id]], Table3[], 16, FALSE)</f>
        <v>0</v>
      </c>
      <c r="AE95" s="191">
        <f>VLOOKUP(Table4[[#This Row],[risk_id]], Table3[], 17, )</f>
        <v>0</v>
      </c>
      <c r="AF95" s="191">
        <f>4</f>
        <v>4</v>
      </c>
      <c r="AG95" s="191">
        <f>COUNTIF(Table4[[#This Row],[THEO]:[MOD]], "&gt;=1")</f>
        <v>1</v>
      </c>
      <c r="AH95" s="192">
        <f>Table4[[#This Row],[data_observations]]/Table4[[#This Row],[AllObservations_count]]</f>
        <v>2.1276595744680851E-2</v>
      </c>
      <c r="AI95" s="189">
        <f>Table4[[#This Row],[evidenceamount_pct]]*(Table4[[#This Row],[Indicator_12.5pct]])</f>
        <v>0.26595744680851063</v>
      </c>
      <c r="AJ95" s="198">
        <f>(1-(VLOOKUP(Table4[[#This Row],[risk_id]],Table3[],18, FALSE))/(Table4[[#This Row],[data_observations]]))</f>
        <v>1</v>
      </c>
      <c r="AK95" s="198">
        <f>((VLOOKUP(Table4[[#This Row],[risk_id]],Table3[],19, FALSE))+((VLOOKUP(Table4[[#This Row],[risk_id]],Table3[],36, FALSE))*0.5))/(Table4[[#This Row],[data_observations]])</f>
        <v>1</v>
      </c>
      <c r="AL95" s="177">
        <f>((Table4[[#This Row],[ev_data_deficient_score]]*0.5)+(Table4[[#This Row],[ev_data_availability_score]]*0.5))*(Table4[[#This Row],[Indicator_12.5pct]])</f>
        <v>12.5</v>
      </c>
      <c r="AM95" s="199">
        <f>Table4[[#This Row],[RiskScore]]</f>
        <v>21.25</v>
      </c>
      <c r="AN95" s="200">
        <f>VLOOKUP(Table4[[#This Row],[risk_id]], Table3[], 13, FALSE)</f>
        <v>8</v>
      </c>
      <c r="AO95" s="185">
        <f>(1-(Table4[[#This Row],[evidence_SD_RR]]/Table4[[#This Row],[evidence_mean_RR]]))*(Table4[[#This Row],[Indicator_12.5pct]])</f>
        <v>7.7941176470588234</v>
      </c>
      <c r="AP95" s="201">
        <f>VLOOKUP(Table4[[#This Row],[risk_id]],Table3[],21, FALSE)</f>
        <v>0</v>
      </c>
      <c r="AQ95" s="201">
        <f>VLOOKUP(Table4[[#This Row],[risk_id]],Table3[],23, FALSE)</f>
        <v>0.5</v>
      </c>
      <c r="AR95" s="201">
        <f>VLOOKUP(Table4[[#This Row],[risk_id]],Table3[],25, FALSE)</f>
        <v>0.5</v>
      </c>
      <c r="AS95" s="201">
        <f>VLOOKUP(Table4[[#This Row],[risk_id]],Table3[],27, FALSE)</f>
        <v>0</v>
      </c>
      <c r="AT95" s="183">
        <f>(MAX(Table4[[#This Row],[C]:[U]]))*Table4[[#This Row],[Indicator_20pct]]</f>
        <v>5</v>
      </c>
      <c r="AU95" s="205">
        <f>COUNTIFS(Table4[[#This Row],[C]], "&gt;0", Table4[[#This Row],[U]], "&gt;0") + COUNTIFS(Table4[[#This Row],[H]], "&gt;0", Table4[[#This Row],[U]], "&gt;0") + COUNTIFS(Table4[[#This Row],[C]], "&gt;0", Table4[[#This Row],[M]], "&gt;0")</f>
        <v>0</v>
      </c>
      <c r="AV95" s="219">
        <f>((-(Table4[[#This Row],[different_scores_count]]-3))/3)*Table4[[#This Row],[Indicator_20pct]]</f>
        <v>10</v>
      </c>
      <c r="AW95" s="183">
        <f>IF(Table4[[#This Row],[data_observations]]&gt;=5, 30, IF(Table4[[#This Row],[data_observations]]&gt;=3, 15, 0))</f>
        <v>0</v>
      </c>
      <c r="AX95" s="26" t="s">
        <v>2737</v>
      </c>
    </row>
    <row r="96" spans="1:50" ht="32" hidden="1" customHeight="1" x14ac:dyDescent="0.2">
      <c r="A96" s="16" t="s">
        <v>548</v>
      </c>
      <c r="B96" s="16" t="str">
        <f>VLOOKUP(Table4[[#This Row],[risk_id]], Table3[], 35, FALSE)</f>
        <v>Risk</v>
      </c>
      <c r="C96" s="16" t="str">
        <f>VLOOKUP(Table4[[#This Row],[risk_id]], Table3[], 2, FALSE)</f>
        <v>Operational</v>
      </c>
      <c r="D96" s="15" t="str">
        <f>VLOOKUP(Table4[[#This Row],[risk_id]], Table3[], 3, FALSE)</f>
        <v>Insufficient tug assistance</v>
      </c>
      <c r="E96"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96" s="300">
        <f t="shared" si="4"/>
        <v>21.25</v>
      </c>
      <c r="G96" s="31">
        <f>Table4[[#This Row],[DataQuality_Score]]</f>
        <v>0.36534339799749688</v>
      </c>
      <c r="H96"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LOW</v>
      </c>
      <c r="I96" s="27" t="str">
        <f>Table4[[#This Row],[LoA - Metric]]&amp; ", " &amp;Table4[[#This Row],[ES - Metric]]</f>
        <v>Low agreement, Medium evidence</v>
      </c>
      <c r="J96" s="222">
        <f>(Table4[[#This Row],[LoA_SCORE]]+Table4[[#This Row],[ES_SCORE]])/100</f>
        <v>0.36534339799749688</v>
      </c>
      <c r="K96"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96"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96" s="179">
        <f>Table4[[#This Row],[probability_average]]</f>
        <v>2.5</v>
      </c>
      <c r="N96" s="181">
        <f>Table4[[#This Row],[consequence_average]]</f>
        <v>8.5</v>
      </c>
      <c r="O96" s="220">
        <f>Table4[[#This Row],[agreementPCT_score]]+Table4[[#This Row],[agreement_dist_score]]+Table4[[#This Row],[LoA_AQ_score]]</f>
        <v>15</v>
      </c>
      <c r="P96" s="203">
        <f>Table4[[#This Row],[evidenceconsistency_score]]+Table4[[#This Row],[EQ_score]]+Table4[[#This Row],[EA_score]]+Table4[[#This Row],[ET_score]]</f>
        <v>21.534339799749684</v>
      </c>
      <c r="Q96" s="181">
        <f>VLOOKUP(Table4[[#This Row],[risk_id]],Table3[],10,FALSE)</f>
        <v>8.5</v>
      </c>
      <c r="R96" s="181">
        <f>VLOOKUP(Table4[[#This Row],[risk_id]],Table3[],9,FALSE)</f>
        <v>17</v>
      </c>
      <c r="S96" s="179">
        <f>VLOOKUP(Table4[[#This Row],[risk_id]],Table3[],7,FALSE)</f>
        <v>2.5</v>
      </c>
      <c r="T96" s="179">
        <f>VLOOKUP(Table4[[#This Row],[risk_id]],Table3[],6,FALSE)</f>
        <v>5</v>
      </c>
      <c r="U96" s="177">
        <f t="shared" si="5"/>
        <v>12.5</v>
      </c>
      <c r="V96" s="187">
        <f>10</f>
        <v>10</v>
      </c>
      <c r="W96" s="187">
        <f>30</f>
        <v>30</v>
      </c>
      <c r="X96" s="17">
        <f>VLOOKUP(Table4[[#This Row],[risk_id]],Table3[],5,FALSE)</f>
        <v>2</v>
      </c>
      <c r="Y96" s="17">
        <f>94</f>
        <v>94</v>
      </c>
      <c r="Z96" s="177">
        <f>Table4[[#This Row],[EStype_summed]]*Table4[[#This Row],[Indicator_12.5pct]]</f>
        <v>3.125</v>
      </c>
      <c r="AA96" s="190">
        <f>(IF(Table4[[#This Row],[all_evtype]]&gt;=4,"4", IF(Table4[[#This Row],[all_evtype]]&gt;=3,"3", IF(Table4[[#This Row],[all_evtype]]&gt;=2,"2", IF(Table4[[#This Row],[all_evtype]]&gt;=1,"1","0")))))/Table4[[#This Row],[HPS_et]]</f>
        <v>0.25</v>
      </c>
      <c r="AB96" s="191">
        <f>VLOOKUP(Table4[[#This Row],[risk_id]],Table3[], 14, FALSE)</f>
        <v>0</v>
      </c>
      <c r="AC96" s="191">
        <f>VLOOKUP(Table4[[#This Row],[risk_id]],Table3[], 15, FALSE)</f>
        <v>2</v>
      </c>
      <c r="AD96" s="191">
        <f>VLOOKUP(Table4[[#This Row],[risk_id]], Table3[], 16, FALSE)</f>
        <v>0</v>
      </c>
      <c r="AE96" s="191">
        <f>VLOOKUP(Table4[[#This Row],[risk_id]], Table3[], 17, )</f>
        <v>0</v>
      </c>
      <c r="AF96" s="191">
        <f>4</f>
        <v>4</v>
      </c>
      <c r="AG96" s="191">
        <f>COUNTIF(Table4[[#This Row],[THEO]:[MOD]], "&gt;=1")</f>
        <v>1</v>
      </c>
      <c r="AH96" s="192">
        <f>Table4[[#This Row],[data_observations]]/Table4[[#This Row],[AllObservations_count]]</f>
        <v>2.1276595744680851E-2</v>
      </c>
      <c r="AI96" s="189">
        <f>Table4[[#This Row],[evidenceamount_pct]]*(Table4[[#This Row],[Indicator_12.5pct]])</f>
        <v>0.26595744680851063</v>
      </c>
      <c r="AJ96" s="198">
        <f>(1-(VLOOKUP(Table4[[#This Row],[risk_id]],Table3[],18, FALSE))/(Table4[[#This Row],[data_observations]]))</f>
        <v>1</v>
      </c>
      <c r="AK96" s="198">
        <f>((VLOOKUP(Table4[[#This Row],[risk_id]],Table3[],19, FALSE))+((VLOOKUP(Table4[[#This Row],[risk_id]],Table3[],36, FALSE))*0.5))/(Table4[[#This Row],[data_observations]])</f>
        <v>0.75</v>
      </c>
      <c r="AL96" s="177">
        <f>((Table4[[#This Row],[ev_data_deficient_score]]*0.5)+(Table4[[#This Row],[ev_data_availability_score]]*0.5))*(Table4[[#This Row],[Indicator_12.5pct]])</f>
        <v>10.9375</v>
      </c>
      <c r="AM96" s="199">
        <f>Table4[[#This Row],[RiskScore]]</f>
        <v>21.25</v>
      </c>
      <c r="AN96" s="200">
        <f>VLOOKUP(Table4[[#This Row],[risk_id]], Table3[], 13, FALSE)</f>
        <v>9</v>
      </c>
      <c r="AO96" s="185">
        <f>(1-(Table4[[#This Row],[evidence_SD_RR]]/Table4[[#This Row],[evidence_mean_RR]]))*(Table4[[#This Row],[Indicator_12.5pct]])</f>
        <v>7.2058823529411757</v>
      </c>
      <c r="AP96" s="201">
        <f>VLOOKUP(Table4[[#This Row],[risk_id]],Table3[],21, FALSE)</f>
        <v>0</v>
      </c>
      <c r="AQ96" s="201">
        <f>VLOOKUP(Table4[[#This Row],[risk_id]],Table3[],23, FALSE)</f>
        <v>0.5</v>
      </c>
      <c r="AR96" s="201">
        <f>VLOOKUP(Table4[[#This Row],[risk_id]],Table3[],25, FALSE)</f>
        <v>0.5</v>
      </c>
      <c r="AS96" s="201">
        <f>VLOOKUP(Table4[[#This Row],[risk_id]],Table3[],27, FALSE)</f>
        <v>0</v>
      </c>
      <c r="AT96" s="183">
        <f>(MAX(Table4[[#This Row],[C]:[U]]))*Table4[[#This Row],[Indicator_20pct]]</f>
        <v>5</v>
      </c>
      <c r="AU96" s="205">
        <f>COUNTIFS(Table4[[#This Row],[C]], "&gt;0", Table4[[#This Row],[U]], "&gt;0") + COUNTIFS(Table4[[#This Row],[H]], "&gt;0", Table4[[#This Row],[U]], "&gt;0") + COUNTIFS(Table4[[#This Row],[C]], "&gt;0", Table4[[#This Row],[M]], "&gt;0")</f>
        <v>0</v>
      </c>
      <c r="AV96" s="219">
        <f>((-(Table4[[#This Row],[different_scores_count]]-3))/3)*Table4[[#This Row],[Indicator_20pct]]</f>
        <v>10</v>
      </c>
      <c r="AW96" s="183">
        <f>IF(Table4[[#This Row],[data_observations]]&gt;=5, 30, IF(Table4[[#This Row],[data_observations]]&gt;=3, 15, 0))</f>
        <v>0</v>
      </c>
      <c r="AX96" s="26" t="s">
        <v>2737</v>
      </c>
    </row>
    <row r="97" spans="1:50" ht="32" hidden="1" customHeight="1" x14ac:dyDescent="0.2">
      <c r="A97" s="16" t="s">
        <v>558</v>
      </c>
      <c r="B97" s="16" t="str">
        <f>VLOOKUP(Table4[[#This Row],[risk_id]], Table3[], 35, FALSE)</f>
        <v>Risk</v>
      </c>
      <c r="C97" s="16" t="str">
        <f>VLOOKUP(Table4[[#This Row],[risk_id]], Table3[], 2, FALSE)</f>
        <v>Operational</v>
      </c>
      <c r="D97" s="15" t="str">
        <f>VLOOKUP(Table4[[#This Row],[risk_id]], Table3[], 3, FALSE)</f>
        <v>Lack of emergency planning</v>
      </c>
      <c r="E97"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97" s="300">
        <f t="shared" si="4"/>
        <v>21.22448979591837</v>
      </c>
      <c r="G97" s="31">
        <f>Table4[[#This Row],[DataQuality_Score]]</f>
        <v>0.70779288214964253</v>
      </c>
      <c r="H97"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97" s="27" t="str">
        <f>Table4[[#This Row],[LoA - Metric]]&amp; ", " &amp;Table4[[#This Row],[ES - Metric]]</f>
        <v>High agreement, Medium evidence</v>
      </c>
      <c r="J97" s="222">
        <f>(Table4[[#This Row],[LoA_SCORE]]+Table4[[#This Row],[ES_SCORE]])/100</f>
        <v>0.70779288214964253</v>
      </c>
      <c r="K97"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97"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97" s="179">
        <f>Table4[[#This Row],[probability_average]]</f>
        <v>3.7142857142857144</v>
      </c>
      <c r="N97" s="181">
        <f>Table4[[#This Row],[consequence_average]]</f>
        <v>5.7142857142857144</v>
      </c>
      <c r="O97" s="220">
        <f>Table4[[#This Row],[agreementPCT_score]]+Table4[[#This Row],[agreement_dist_score]]+Table4[[#This Row],[LoA_AQ_score]]</f>
        <v>45.714285714285715</v>
      </c>
      <c r="P97" s="203">
        <f>Table4[[#This Row],[evidenceconsistency_score]]+Table4[[#This Row],[EQ_score]]+Table4[[#This Row],[EA_score]]+Table4[[#This Row],[ET_score]]</f>
        <v>25.065002500678538</v>
      </c>
      <c r="Q97" s="181">
        <f>VLOOKUP(Table4[[#This Row],[risk_id]],Table3[],10,FALSE)</f>
        <v>5.7142857142857144</v>
      </c>
      <c r="R97" s="181">
        <f>VLOOKUP(Table4[[#This Row],[risk_id]],Table3[],9,FALSE)</f>
        <v>40</v>
      </c>
      <c r="S97" s="179">
        <f>VLOOKUP(Table4[[#This Row],[risk_id]],Table3[],7,FALSE)</f>
        <v>3.7142857142857144</v>
      </c>
      <c r="T97" s="179">
        <f>VLOOKUP(Table4[[#This Row],[risk_id]],Table3[],6,FALSE)</f>
        <v>26</v>
      </c>
      <c r="U97" s="177">
        <f t="shared" si="5"/>
        <v>12.5</v>
      </c>
      <c r="V97" s="187">
        <f>10</f>
        <v>10</v>
      </c>
      <c r="W97" s="187">
        <f>30</f>
        <v>30</v>
      </c>
      <c r="X97" s="17">
        <f>VLOOKUP(Table4[[#This Row],[risk_id]],Table3[],5,FALSE)</f>
        <v>7</v>
      </c>
      <c r="Y97" s="17">
        <f>94</f>
        <v>94</v>
      </c>
      <c r="Z97" s="177">
        <f>Table4[[#This Row],[EStype_summed]]*Table4[[#This Row],[Indicator_12.5pct]]</f>
        <v>9.375</v>
      </c>
      <c r="AA97" s="190">
        <f>(IF(Table4[[#This Row],[all_evtype]]&gt;=4,"4", IF(Table4[[#This Row],[all_evtype]]&gt;=3,"3", IF(Table4[[#This Row],[all_evtype]]&gt;=2,"2", IF(Table4[[#This Row],[all_evtype]]&gt;=1,"1","0")))))/Table4[[#This Row],[HPS_et]]</f>
        <v>0.75</v>
      </c>
      <c r="AB97" s="191">
        <f>VLOOKUP(Table4[[#This Row],[risk_id]],Table3[], 14, FALSE)</f>
        <v>2</v>
      </c>
      <c r="AC97" s="191">
        <f>VLOOKUP(Table4[[#This Row],[risk_id]],Table3[], 15, FALSE)</f>
        <v>3</v>
      </c>
      <c r="AD97" s="191">
        <f>VLOOKUP(Table4[[#This Row],[risk_id]], Table3[], 16, FALSE)</f>
        <v>2</v>
      </c>
      <c r="AE97" s="191">
        <f>VLOOKUP(Table4[[#This Row],[risk_id]], Table3[], 17, )</f>
        <v>0</v>
      </c>
      <c r="AF97" s="191">
        <f>4</f>
        <v>4</v>
      </c>
      <c r="AG97" s="191">
        <f>COUNTIF(Table4[[#This Row],[THEO]:[MOD]], "&gt;=1")</f>
        <v>3</v>
      </c>
      <c r="AH97" s="192">
        <f>Table4[[#This Row],[data_observations]]/Table4[[#This Row],[AllObservations_count]]</f>
        <v>7.4468085106382975E-2</v>
      </c>
      <c r="AI97" s="189">
        <f>Table4[[#This Row],[evidenceamount_pct]]*(Table4[[#This Row],[Indicator_12.5pct]])</f>
        <v>0.93085106382978722</v>
      </c>
      <c r="AJ97" s="198">
        <f>(1-(VLOOKUP(Table4[[#This Row],[risk_id]],Table3[],18, FALSE))/(Table4[[#This Row],[data_observations]]))</f>
        <v>0.85714285714285721</v>
      </c>
      <c r="AK97" s="198">
        <f>((VLOOKUP(Table4[[#This Row],[risk_id]],Table3[],19, FALSE))+((VLOOKUP(Table4[[#This Row],[risk_id]],Table3[],36, FALSE))*0.5))/(Table4[[#This Row],[data_observations]])</f>
        <v>0.42857142857142855</v>
      </c>
      <c r="AL97" s="177">
        <f>((Table4[[#This Row],[ev_data_deficient_score]]*0.5)+(Table4[[#This Row],[ev_data_availability_score]]*0.5))*(Table4[[#This Row],[Indicator_12.5pct]])</f>
        <v>8.0357142857142865</v>
      </c>
      <c r="AM97" s="199">
        <f>Table4[[#This Row],[RiskScore]]</f>
        <v>21.22448979591837</v>
      </c>
      <c r="AN97" s="200">
        <f>VLOOKUP(Table4[[#This Row],[risk_id]], Table3[], 13, FALSE)</f>
        <v>9.808367939298213</v>
      </c>
      <c r="AO97" s="185">
        <f>(1-(Table4[[#This Row],[evidence_SD_RR]]/Table4[[#This Row],[evidence_mean_RR]]))*(Table4[[#This Row],[Indicator_12.5pct]])</f>
        <v>6.7234371511344664</v>
      </c>
      <c r="AP97" s="201">
        <f>VLOOKUP(Table4[[#This Row],[risk_id]],Table3[],21, FALSE)</f>
        <v>0</v>
      </c>
      <c r="AQ97" s="201">
        <f>VLOOKUP(Table4[[#This Row],[risk_id]],Table3[],23, FALSE)</f>
        <v>0.42857142857142855</v>
      </c>
      <c r="AR97" s="201">
        <f>VLOOKUP(Table4[[#This Row],[risk_id]],Table3[],25, FALSE)</f>
        <v>0.5714285714285714</v>
      </c>
      <c r="AS97" s="201">
        <f>VLOOKUP(Table4[[#This Row],[risk_id]],Table3[],27, FALSE)</f>
        <v>0</v>
      </c>
      <c r="AT97" s="183">
        <f>(MAX(Table4[[#This Row],[C]:[U]]))*Table4[[#This Row],[Indicator_20pct]]</f>
        <v>5.7142857142857135</v>
      </c>
      <c r="AU97" s="205">
        <f>COUNTIFS(Table4[[#This Row],[C]], "&gt;0", Table4[[#This Row],[U]], "&gt;0") + COUNTIFS(Table4[[#This Row],[H]], "&gt;0", Table4[[#This Row],[U]], "&gt;0") + COUNTIFS(Table4[[#This Row],[C]], "&gt;0", Table4[[#This Row],[M]], "&gt;0")</f>
        <v>0</v>
      </c>
      <c r="AV97" s="219">
        <f>((-(Table4[[#This Row],[different_scores_count]]-3))/3)*Table4[[#This Row],[Indicator_20pct]]</f>
        <v>10</v>
      </c>
      <c r="AW97" s="183">
        <f>IF(Table4[[#This Row],[data_observations]]&gt;=5, 30, IF(Table4[[#This Row],[data_observations]]&gt;=3, 15, 0))</f>
        <v>30</v>
      </c>
      <c r="AX97" s="26" t="s">
        <v>2737</v>
      </c>
    </row>
    <row r="98" spans="1:50" ht="32" hidden="1" customHeight="1" x14ac:dyDescent="0.2">
      <c r="A98" s="16" t="s">
        <v>502</v>
      </c>
      <c r="B98" s="16" t="str">
        <f>VLOOKUP(Table4[[#This Row],[risk_id]], Table3[], 35, FALSE)</f>
        <v>Risk</v>
      </c>
      <c r="C98" s="16" t="str">
        <f>VLOOKUP(Table4[[#This Row],[risk_id]], Table3[], 2, FALSE)</f>
        <v>Political</v>
      </c>
      <c r="D98" s="15" t="str">
        <f>VLOOKUP(Table4[[#This Row],[risk_id]], Table3[], 3, FALSE)</f>
        <v>Competing global interests</v>
      </c>
      <c r="E98"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98" s="300">
        <f t="shared" ref="F98:F129" si="6">M98*N98</f>
        <v>21.140625</v>
      </c>
      <c r="G98" s="31">
        <f>Table4[[#This Row],[DataQuality_Score]]</f>
        <v>0.7209352107722925</v>
      </c>
      <c r="H98"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98" s="27" t="str">
        <f>Table4[[#This Row],[LoA - Metric]]&amp; ", " &amp;Table4[[#This Row],[ES - Metric]]</f>
        <v>High agreement, Medium evidence</v>
      </c>
      <c r="J98" s="222">
        <f>(Table4[[#This Row],[LoA_SCORE]]+Table4[[#This Row],[ES_SCORE]])/100</f>
        <v>0.7209352107722925</v>
      </c>
      <c r="K98"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98"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98" s="179">
        <f>Table4[[#This Row],[probability_average]]</f>
        <v>4.125</v>
      </c>
      <c r="N98" s="181">
        <f>Table4[[#This Row],[consequence_average]]</f>
        <v>5.125</v>
      </c>
      <c r="O98" s="220">
        <f>Table4[[#This Row],[agreementPCT_score]]+Table4[[#This Row],[agreement_dist_score]]+Table4[[#This Row],[LoA_AQ_score]]</f>
        <v>41.666666666666664</v>
      </c>
      <c r="P98" s="203">
        <f>Table4[[#This Row],[evidenceconsistency_score]]+Table4[[#This Row],[EQ_score]]+Table4[[#This Row],[EA_score]]+Table4[[#This Row],[ET_score]]</f>
        <v>30.426854410562591</v>
      </c>
      <c r="Q98" s="181">
        <f>VLOOKUP(Table4[[#This Row],[risk_id]],Table3[],10,FALSE)</f>
        <v>5.125</v>
      </c>
      <c r="R98" s="181">
        <f>VLOOKUP(Table4[[#This Row],[risk_id]],Table3[],9,FALSE)</f>
        <v>82</v>
      </c>
      <c r="S98" s="179">
        <f>VLOOKUP(Table4[[#This Row],[risk_id]],Table3[],7,FALSE)</f>
        <v>4.125</v>
      </c>
      <c r="T98" s="179">
        <f>VLOOKUP(Table4[[#This Row],[risk_id]],Table3[],6,FALSE)</f>
        <v>66</v>
      </c>
      <c r="U98" s="177">
        <f t="shared" ref="U98:U129" si="7">12.5</f>
        <v>12.5</v>
      </c>
      <c r="V98" s="187">
        <f>10</f>
        <v>10</v>
      </c>
      <c r="W98" s="187">
        <f>30</f>
        <v>30</v>
      </c>
      <c r="X98" s="17">
        <f>VLOOKUP(Table4[[#This Row],[risk_id]],Table3[],5,FALSE)</f>
        <v>16</v>
      </c>
      <c r="Y98" s="17">
        <f>94</f>
        <v>94</v>
      </c>
      <c r="Z98" s="177">
        <f>Table4[[#This Row],[EStype_summed]]*Table4[[#This Row],[Indicator_12.5pct]]</f>
        <v>12.5</v>
      </c>
      <c r="AA98" s="190">
        <f>(IF(Table4[[#This Row],[all_evtype]]&gt;=4,"4", IF(Table4[[#This Row],[all_evtype]]&gt;=3,"3", IF(Table4[[#This Row],[all_evtype]]&gt;=2,"2", IF(Table4[[#This Row],[all_evtype]]&gt;=1,"1","0")))))/Table4[[#This Row],[HPS_et]]</f>
        <v>1</v>
      </c>
      <c r="AB98" s="191">
        <f>VLOOKUP(Table4[[#This Row],[risk_id]],Table3[], 14, FALSE)</f>
        <v>6</v>
      </c>
      <c r="AC98" s="191">
        <f>VLOOKUP(Table4[[#This Row],[risk_id]],Table3[], 15, FALSE)</f>
        <v>7</v>
      </c>
      <c r="AD98" s="191">
        <f>VLOOKUP(Table4[[#This Row],[risk_id]], Table3[], 16, FALSE)</f>
        <v>2</v>
      </c>
      <c r="AE98" s="191">
        <f>VLOOKUP(Table4[[#This Row],[risk_id]], Table3[], 17, )</f>
        <v>1</v>
      </c>
      <c r="AF98" s="191">
        <f>4</f>
        <v>4</v>
      </c>
      <c r="AG98" s="191">
        <f>COUNTIF(Table4[[#This Row],[THEO]:[MOD]], "&gt;=1")</f>
        <v>4</v>
      </c>
      <c r="AH98" s="192">
        <f>Table4[[#This Row],[data_observations]]/Table4[[#This Row],[AllObservations_count]]</f>
        <v>0.1702127659574468</v>
      </c>
      <c r="AI98" s="189">
        <f>Table4[[#This Row],[evidenceamount_pct]]*(Table4[[#This Row],[Indicator_12.5pct]])</f>
        <v>2.1276595744680851</v>
      </c>
      <c r="AJ98" s="198">
        <f>(1-(VLOOKUP(Table4[[#This Row],[risk_id]],Table3[],18, FALSE))/(Table4[[#This Row],[data_observations]]))</f>
        <v>0.875</v>
      </c>
      <c r="AK98" s="198">
        <f>((VLOOKUP(Table4[[#This Row],[risk_id]],Table3[],19, FALSE))+((VLOOKUP(Table4[[#This Row],[risk_id]],Table3[],36, FALSE))*0.5))/(Table4[[#This Row],[data_observations]])</f>
        <v>0.46875</v>
      </c>
      <c r="AL98" s="177">
        <f>((Table4[[#This Row],[ev_data_deficient_score]]*0.5)+(Table4[[#This Row],[ev_data_availability_score]]*0.5))*(Table4[[#This Row],[Indicator_12.5pct]])</f>
        <v>8.3984375</v>
      </c>
      <c r="AM98" s="199">
        <f>Table4[[#This Row],[RiskScore]]</f>
        <v>21.140625</v>
      </c>
      <c r="AN98" s="200">
        <f>VLOOKUP(Table4[[#This Row],[risk_id]], Table3[], 13, FALSE)</f>
        <v>8.6240941553301695</v>
      </c>
      <c r="AO98" s="185">
        <f>(1-(Table4[[#This Row],[evidence_SD_RR]]/Table4[[#This Row],[evidence_mean_RR]]))*(Table4[[#This Row],[Indicator_12.5pct]])</f>
        <v>7.4007573360945047</v>
      </c>
      <c r="AP98" s="201">
        <f>VLOOKUP(Table4[[#This Row],[risk_id]],Table3[],21, FALSE)</f>
        <v>0</v>
      </c>
      <c r="AQ98" s="201">
        <f>VLOOKUP(Table4[[#This Row],[risk_id]],Table3[],23, FALSE)</f>
        <v>0.375</v>
      </c>
      <c r="AR98" s="201">
        <f>VLOOKUP(Table4[[#This Row],[risk_id]],Table3[],25, FALSE)</f>
        <v>0.5</v>
      </c>
      <c r="AS98" s="201">
        <f>VLOOKUP(Table4[[#This Row],[risk_id]],Table3[],27, FALSE)</f>
        <v>0.125</v>
      </c>
      <c r="AT98" s="183">
        <f>(MAX(Table4[[#This Row],[C]:[U]]))*Table4[[#This Row],[Indicator_20pct]]</f>
        <v>5</v>
      </c>
      <c r="AU98" s="205">
        <f>COUNTIFS(Table4[[#This Row],[C]], "&gt;0", Table4[[#This Row],[U]], "&gt;0") + COUNTIFS(Table4[[#This Row],[H]], "&gt;0", Table4[[#This Row],[U]], "&gt;0") + COUNTIFS(Table4[[#This Row],[C]], "&gt;0", Table4[[#This Row],[M]], "&gt;0")</f>
        <v>1</v>
      </c>
      <c r="AV98" s="219">
        <f>((-(Table4[[#This Row],[different_scores_count]]-3))/3)*Table4[[#This Row],[Indicator_20pct]]</f>
        <v>6.6666666666666661</v>
      </c>
      <c r="AW98" s="183">
        <f>IF(Table4[[#This Row],[data_observations]]&gt;=5, 30, IF(Table4[[#This Row],[data_observations]]&gt;=3, 15, 0))</f>
        <v>30</v>
      </c>
      <c r="AX98" s="26" t="s">
        <v>2736</v>
      </c>
    </row>
    <row r="99" spans="1:50" ht="32" hidden="1" customHeight="1" x14ac:dyDescent="0.2">
      <c r="A99" s="16" t="s">
        <v>565</v>
      </c>
      <c r="B99" s="16" t="str">
        <f>VLOOKUP(Table4[[#This Row],[risk_id]], Table3[], 35, FALSE)</f>
        <v>Risk</v>
      </c>
      <c r="C99" s="16" t="str">
        <f>VLOOKUP(Table4[[#This Row],[risk_id]], Table3[], 2, FALSE)</f>
        <v>Operational</v>
      </c>
      <c r="D99" s="15" t="str">
        <f>VLOOKUP(Table4[[#This Row],[risk_id]], Table3[], 3, FALSE)</f>
        <v>Lack of monitoring capabilities</v>
      </c>
      <c r="E99"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99" s="300">
        <f t="shared" si="6"/>
        <v>21.083333333333336</v>
      </c>
      <c r="G99" s="31">
        <f>Table4[[#This Row],[DataQuality_Score]]</f>
        <v>0.72462785838038968</v>
      </c>
      <c r="H99"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99" s="27" t="str">
        <f>Table4[[#This Row],[LoA - Metric]]&amp; ", " &amp;Table4[[#This Row],[ES - Metric]]</f>
        <v>High agreement, Medium evidence</v>
      </c>
      <c r="J99" s="222">
        <f>(Table4[[#This Row],[LoA_SCORE]]+Table4[[#This Row],[ES_SCORE]])/100</f>
        <v>0.72462785838038968</v>
      </c>
      <c r="K99"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99"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99" s="179">
        <f>Table4[[#This Row],[probability_average]]</f>
        <v>3.8333333333333335</v>
      </c>
      <c r="N99" s="181">
        <f>Table4[[#This Row],[consequence_average]]</f>
        <v>5.5</v>
      </c>
      <c r="O99" s="220">
        <f>Table4[[#This Row],[agreementPCT_score]]+Table4[[#This Row],[agreement_dist_score]]+Table4[[#This Row],[LoA_AQ_score]]</f>
        <v>46.666666666666664</v>
      </c>
      <c r="P99" s="203">
        <f>Table4[[#This Row],[evidenceconsistency_score]]+Table4[[#This Row],[EQ_score]]+Table4[[#This Row],[EA_score]]+Table4[[#This Row],[ET_score]]</f>
        <v>25.7961191713723</v>
      </c>
      <c r="Q99" s="181">
        <f>VLOOKUP(Table4[[#This Row],[risk_id]],Table3[],10,FALSE)</f>
        <v>5.5</v>
      </c>
      <c r="R99" s="181">
        <f>VLOOKUP(Table4[[#This Row],[risk_id]],Table3[],9,FALSE)</f>
        <v>33</v>
      </c>
      <c r="S99" s="179">
        <f>VLOOKUP(Table4[[#This Row],[risk_id]],Table3[],7,FALSE)</f>
        <v>3.8333333333333335</v>
      </c>
      <c r="T99" s="179">
        <f>VLOOKUP(Table4[[#This Row],[risk_id]],Table3[],6,FALSE)</f>
        <v>23</v>
      </c>
      <c r="U99" s="177">
        <f t="shared" si="7"/>
        <v>12.5</v>
      </c>
      <c r="V99" s="187">
        <f>10</f>
        <v>10</v>
      </c>
      <c r="W99" s="187">
        <f>30</f>
        <v>30</v>
      </c>
      <c r="X99" s="17">
        <f>VLOOKUP(Table4[[#This Row],[risk_id]],Table3[],5,FALSE)</f>
        <v>6</v>
      </c>
      <c r="Y99" s="17">
        <f>94</f>
        <v>94</v>
      </c>
      <c r="Z99" s="177">
        <f>Table4[[#This Row],[EStype_summed]]*Table4[[#This Row],[Indicator_12.5pct]]</f>
        <v>9.375</v>
      </c>
      <c r="AA99" s="190">
        <f>(IF(Table4[[#This Row],[all_evtype]]&gt;=4,"4", IF(Table4[[#This Row],[all_evtype]]&gt;=3,"3", IF(Table4[[#This Row],[all_evtype]]&gt;=2,"2", IF(Table4[[#This Row],[all_evtype]]&gt;=1,"1","0")))))/Table4[[#This Row],[HPS_et]]</f>
        <v>0.75</v>
      </c>
      <c r="AB99" s="191">
        <f>VLOOKUP(Table4[[#This Row],[risk_id]],Table3[], 14, FALSE)</f>
        <v>2</v>
      </c>
      <c r="AC99" s="191">
        <f>VLOOKUP(Table4[[#This Row],[risk_id]],Table3[], 15, FALSE)</f>
        <v>3</v>
      </c>
      <c r="AD99" s="191">
        <f>VLOOKUP(Table4[[#This Row],[risk_id]], Table3[], 16, FALSE)</f>
        <v>1</v>
      </c>
      <c r="AE99" s="191">
        <f>VLOOKUP(Table4[[#This Row],[risk_id]], Table3[], 17, )</f>
        <v>0</v>
      </c>
      <c r="AF99" s="191">
        <f>4</f>
        <v>4</v>
      </c>
      <c r="AG99" s="191">
        <f>COUNTIF(Table4[[#This Row],[THEO]:[MOD]], "&gt;=1")</f>
        <v>3</v>
      </c>
      <c r="AH99" s="192">
        <f>Table4[[#This Row],[data_observations]]/Table4[[#This Row],[AllObservations_count]]</f>
        <v>6.3829787234042548E-2</v>
      </c>
      <c r="AI99" s="189">
        <f>Table4[[#This Row],[evidenceamount_pct]]*(Table4[[#This Row],[Indicator_12.5pct]])</f>
        <v>0.7978723404255319</v>
      </c>
      <c r="AJ99" s="198">
        <f>(1-(VLOOKUP(Table4[[#This Row],[risk_id]],Table3[],18, FALSE))/(Table4[[#This Row],[data_observations]]))</f>
        <v>0.83333333333333337</v>
      </c>
      <c r="AK99" s="198">
        <f>((VLOOKUP(Table4[[#This Row],[risk_id]],Table3[],19, FALSE))+((VLOOKUP(Table4[[#This Row],[risk_id]],Table3[],36, FALSE))*0.5))/(Table4[[#This Row],[data_observations]])</f>
        <v>0.41666666666666669</v>
      </c>
      <c r="AL99" s="177">
        <f>((Table4[[#This Row],[ev_data_deficient_score]]*0.5)+(Table4[[#This Row],[ev_data_availability_score]]*0.5))*(Table4[[#This Row],[Indicator_12.5pct]])</f>
        <v>7.8125</v>
      </c>
      <c r="AM99" s="199">
        <f>Table4[[#This Row],[RiskScore]]</f>
        <v>21.083333333333336</v>
      </c>
      <c r="AN99" s="200">
        <f>VLOOKUP(Table4[[#This Row],[risk_id]], Table3[], 13, FALSE)</f>
        <v>7.9092070118031153</v>
      </c>
      <c r="AO99" s="185">
        <f>(1-(Table4[[#This Row],[evidence_SD_RR]]/Table4[[#This Row],[evidence_mean_RR]]))*(Table4[[#This Row],[Indicator_12.5pct]])</f>
        <v>7.81074683094677</v>
      </c>
      <c r="AP99" s="201">
        <f>VLOOKUP(Table4[[#This Row],[risk_id]],Table3[],21, FALSE)</f>
        <v>0</v>
      </c>
      <c r="AQ99" s="201">
        <f>VLOOKUP(Table4[[#This Row],[risk_id]],Table3[],23, FALSE)</f>
        <v>0.33333333333333331</v>
      </c>
      <c r="AR99" s="201">
        <f>VLOOKUP(Table4[[#This Row],[risk_id]],Table3[],25, FALSE)</f>
        <v>0.66666666666666663</v>
      </c>
      <c r="AS99" s="201">
        <f>VLOOKUP(Table4[[#This Row],[risk_id]],Table3[],27, FALSE)</f>
        <v>0</v>
      </c>
      <c r="AT99" s="183">
        <f>(MAX(Table4[[#This Row],[C]:[U]]))*Table4[[#This Row],[Indicator_20pct]]</f>
        <v>6.6666666666666661</v>
      </c>
      <c r="AU99" s="205">
        <f>COUNTIFS(Table4[[#This Row],[C]], "&gt;0", Table4[[#This Row],[U]], "&gt;0") + COUNTIFS(Table4[[#This Row],[H]], "&gt;0", Table4[[#This Row],[U]], "&gt;0") + COUNTIFS(Table4[[#This Row],[C]], "&gt;0", Table4[[#This Row],[M]], "&gt;0")</f>
        <v>0</v>
      </c>
      <c r="AV99" s="219">
        <f>((-(Table4[[#This Row],[different_scores_count]]-3))/3)*Table4[[#This Row],[Indicator_20pct]]</f>
        <v>10</v>
      </c>
      <c r="AW99" s="183">
        <f>IF(Table4[[#This Row],[data_observations]]&gt;=5, 30, IF(Table4[[#This Row],[data_observations]]&gt;=3, 15, 0))</f>
        <v>30</v>
      </c>
      <c r="AX99" s="26" t="s">
        <v>2737</v>
      </c>
    </row>
    <row r="100" spans="1:50" ht="32" hidden="1" customHeight="1" x14ac:dyDescent="0.2">
      <c r="A100" s="16" t="s">
        <v>580</v>
      </c>
      <c r="B100" s="16" t="str">
        <f>VLOOKUP(Table4[[#This Row],[risk_id]], Table3[], 35, FALSE)</f>
        <v>Risk</v>
      </c>
      <c r="C100" s="16" t="str">
        <f>VLOOKUP(Table4[[#This Row],[risk_id]], Table3[], 2, FALSE)</f>
        <v>Technological</v>
      </c>
      <c r="D100" s="15" t="str">
        <f>VLOOKUP(Table4[[#This Row],[risk_id]], Table3[], 3, FALSE)</f>
        <v>Limited Application of BC Abatement Technologies</v>
      </c>
      <c r="E100"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00" s="300">
        <f t="shared" si="6"/>
        <v>21</v>
      </c>
      <c r="G100" s="31">
        <f>Table4[[#This Row],[DataQuality_Score]]</f>
        <v>0.45132978723404255</v>
      </c>
      <c r="H100"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00" s="27" t="str">
        <f>Table4[[#This Row],[LoA - Metric]]&amp; ", " &amp;Table4[[#This Row],[ES - Metric]]</f>
        <v>Medium agreement, Medium evidence</v>
      </c>
      <c r="J100" s="222">
        <f>(Table4[[#This Row],[LoA_SCORE]]+Table4[[#This Row],[ES_SCORE]])/100</f>
        <v>0.45132978723404255</v>
      </c>
      <c r="K100"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00"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00" s="179">
        <f>Table4[[#This Row],[probability_average]]</f>
        <v>3</v>
      </c>
      <c r="N100" s="181">
        <f>Table4[[#This Row],[consequence_average]]</f>
        <v>7</v>
      </c>
      <c r="O100" s="220">
        <f>Table4[[#This Row],[agreementPCT_score]]+Table4[[#This Row],[agreement_dist_score]]+Table4[[#This Row],[LoA_AQ_score]]</f>
        <v>20</v>
      </c>
      <c r="P100" s="203">
        <f>Table4[[#This Row],[evidenceconsistency_score]]+Table4[[#This Row],[EQ_score]]+Table4[[#This Row],[EA_score]]+Table4[[#This Row],[ET_score]]</f>
        <v>25.132978723404257</v>
      </c>
      <c r="Q100" s="181">
        <f>VLOOKUP(Table4[[#This Row],[risk_id]],Table3[],10,FALSE)</f>
        <v>7</v>
      </c>
      <c r="R100" s="181">
        <f>VLOOKUP(Table4[[#This Row],[risk_id]],Table3[],9,FALSE)</f>
        <v>7</v>
      </c>
      <c r="S100" s="179">
        <f>VLOOKUP(Table4[[#This Row],[risk_id]],Table3[],7,FALSE)</f>
        <v>3</v>
      </c>
      <c r="T100" s="179">
        <f>VLOOKUP(Table4[[#This Row],[risk_id]],Table3[],6,FALSE)</f>
        <v>3</v>
      </c>
      <c r="U100" s="177">
        <f t="shared" si="7"/>
        <v>12.5</v>
      </c>
      <c r="V100" s="187">
        <f>10</f>
        <v>10</v>
      </c>
      <c r="W100" s="187">
        <f>30</f>
        <v>30</v>
      </c>
      <c r="X100" s="17">
        <f>VLOOKUP(Table4[[#This Row],[risk_id]],Table3[],5,FALSE)</f>
        <v>1</v>
      </c>
      <c r="Y100" s="17">
        <f>94</f>
        <v>94</v>
      </c>
      <c r="Z100" s="177">
        <f>Table4[[#This Row],[EStype_summed]]*Table4[[#This Row],[Indicator_12.5pct]]</f>
        <v>3.125</v>
      </c>
      <c r="AA100" s="190">
        <f>(IF(Table4[[#This Row],[all_evtype]]&gt;=4,"4", IF(Table4[[#This Row],[all_evtype]]&gt;=3,"3", IF(Table4[[#This Row],[all_evtype]]&gt;=2,"2", IF(Table4[[#This Row],[all_evtype]]&gt;=1,"1","0")))))/Table4[[#This Row],[HPS_et]]</f>
        <v>0.25</v>
      </c>
      <c r="AB100" s="191">
        <f>VLOOKUP(Table4[[#This Row],[risk_id]],Table3[], 14, FALSE)</f>
        <v>0</v>
      </c>
      <c r="AC100" s="191">
        <f>VLOOKUP(Table4[[#This Row],[risk_id]],Table3[], 15, FALSE)</f>
        <v>0</v>
      </c>
      <c r="AD100" s="191">
        <f>VLOOKUP(Table4[[#This Row],[risk_id]], Table3[], 16, FALSE)</f>
        <v>1</v>
      </c>
      <c r="AE100" s="191">
        <f>VLOOKUP(Table4[[#This Row],[risk_id]], Table3[], 17, )</f>
        <v>0</v>
      </c>
      <c r="AF100" s="191">
        <f>4</f>
        <v>4</v>
      </c>
      <c r="AG100" s="191">
        <f>COUNTIF(Table4[[#This Row],[THEO]:[MOD]], "&gt;=1")</f>
        <v>1</v>
      </c>
      <c r="AH100" s="192">
        <f>Table4[[#This Row],[data_observations]]/Table4[[#This Row],[AllObservations_count]]</f>
        <v>1.0638297872340425E-2</v>
      </c>
      <c r="AI100" s="189">
        <f>Table4[[#This Row],[evidenceamount_pct]]*(Table4[[#This Row],[Indicator_12.5pct]])</f>
        <v>0.13297872340425532</v>
      </c>
      <c r="AJ100" s="198">
        <f>(1-(VLOOKUP(Table4[[#This Row],[risk_id]],Table3[],18, FALSE))/(Table4[[#This Row],[data_observations]]))</f>
        <v>1</v>
      </c>
      <c r="AK100" s="198">
        <f>((VLOOKUP(Table4[[#This Row],[risk_id]],Table3[],19, FALSE))+((VLOOKUP(Table4[[#This Row],[risk_id]],Table3[],36, FALSE))*0.5))/(Table4[[#This Row],[data_observations]])</f>
        <v>0.5</v>
      </c>
      <c r="AL100" s="177">
        <f>((Table4[[#This Row],[ev_data_deficient_score]]*0.5)+(Table4[[#This Row],[ev_data_availability_score]]*0.5))*(Table4[[#This Row],[Indicator_12.5pct]])</f>
        <v>9.375</v>
      </c>
      <c r="AM100" s="199">
        <f>Table4[[#This Row],[RiskScore]]</f>
        <v>21</v>
      </c>
      <c r="AN100" s="200">
        <f>VLOOKUP(Table4[[#This Row],[risk_id]], Table3[], 13, FALSE)</f>
        <v>0</v>
      </c>
      <c r="AO100" s="185">
        <f>(1-(Table4[[#This Row],[evidence_SD_RR]]/Table4[[#This Row],[evidence_mean_RR]]))*(Table4[[#This Row],[Indicator_12.5pct]])</f>
        <v>12.5</v>
      </c>
      <c r="AP100" s="201">
        <f>VLOOKUP(Table4[[#This Row],[risk_id]],Table3[],21, FALSE)</f>
        <v>0</v>
      </c>
      <c r="AQ100" s="201">
        <f>VLOOKUP(Table4[[#This Row],[risk_id]],Table3[],23, FALSE)</f>
        <v>0</v>
      </c>
      <c r="AR100" s="201">
        <f>VLOOKUP(Table4[[#This Row],[risk_id]],Table3[],25, FALSE)</f>
        <v>1</v>
      </c>
      <c r="AS100" s="201">
        <f>VLOOKUP(Table4[[#This Row],[risk_id]],Table3[],27, FALSE)</f>
        <v>0</v>
      </c>
      <c r="AT100" s="183">
        <f>(MAX(Table4[[#This Row],[C]:[U]]))*Table4[[#This Row],[Indicator_20pct]]</f>
        <v>10</v>
      </c>
      <c r="AU100" s="205">
        <f>COUNTIFS(Table4[[#This Row],[C]], "&gt;0", Table4[[#This Row],[U]], "&gt;0") + COUNTIFS(Table4[[#This Row],[H]], "&gt;0", Table4[[#This Row],[U]], "&gt;0") + COUNTIFS(Table4[[#This Row],[C]], "&gt;0", Table4[[#This Row],[M]], "&gt;0")</f>
        <v>0</v>
      </c>
      <c r="AV100" s="219">
        <f>((-(Table4[[#This Row],[different_scores_count]]-3))/3)*Table4[[#This Row],[Indicator_20pct]]</f>
        <v>10</v>
      </c>
      <c r="AW100" s="183">
        <f>IF(Table4[[#This Row],[data_observations]]&gt;=5, 30, IF(Table4[[#This Row],[data_observations]]&gt;=3, 15, 0))</f>
        <v>0</v>
      </c>
      <c r="AX100" s="26" t="s">
        <v>2737</v>
      </c>
    </row>
    <row r="101" spans="1:50" ht="32" customHeight="1" x14ac:dyDescent="0.2">
      <c r="A101" s="16" t="s">
        <v>2691</v>
      </c>
      <c r="B101" s="16" t="str">
        <f>VLOOKUP(Table4[[#This Row],[risk_id]], Table3[], 35, FALSE)</f>
        <v>Hazard</v>
      </c>
      <c r="C101" s="16" t="str">
        <f>VLOOKUP(Table4[[#This Row],[risk_id]], Table3[], 2, FALSE)</f>
        <v>Human</v>
      </c>
      <c r="D101" s="15" t="str">
        <f>VLOOKUP(Table4[[#This Row],[risk_id]], Table3[], 3, FALSE)</f>
        <v>Inadequate vessel maintenance</v>
      </c>
      <c r="E101"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01" s="300">
        <f t="shared" si="6"/>
        <v>21</v>
      </c>
      <c r="G101" s="31">
        <f>Table4[[#This Row],[DataQuality_Score]]</f>
        <v>0.45132978723404255</v>
      </c>
      <c r="H101"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01" s="27" t="str">
        <f>Table4[[#This Row],[LoA - Metric]]&amp; ", " &amp;Table4[[#This Row],[ES - Metric]]</f>
        <v>Medium agreement, Medium evidence</v>
      </c>
      <c r="J101" s="222">
        <f>(Table4[[#This Row],[LoA_SCORE]]+Table4[[#This Row],[ES_SCORE]])/100</f>
        <v>0.45132978723404255</v>
      </c>
      <c r="K101"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01"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01" s="179">
        <f>Table4[[#This Row],[probability_average]]</f>
        <v>3</v>
      </c>
      <c r="N101" s="181">
        <f>Table4[[#This Row],[consequence_average]]</f>
        <v>7</v>
      </c>
      <c r="O101" s="220">
        <f>Table4[[#This Row],[agreementPCT_score]]+Table4[[#This Row],[agreement_dist_score]]+Table4[[#This Row],[LoA_AQ_score]]</f>
        <v>20</v>
      </c>
      <c r="P101" s="203">
        <f>Table4[[#This Row],[evidenceconsistency_score]]+Table4[[#This Row],[EQ_score]]+Table4[[#This Row],[EA_score]]+Table4[[#This Row],[ET_score]]</f>
        <v>25.132978723404257</v>
      </c>
      <c r="Q101" s="181">
        <f>VLOOKUP(Table4[[#This Row],[risk_id]],Table3[],10,FALSE)</f>
        <v>7</v>
      </c>
      <c r="R101" s="181">
        <f>VLOOKUP(Table4[[#This Row],[risk_id]],Table3[],9,FALSE)</f>
        <v>7</v>
      </c>
      <c r="S101" s="179">
        <f>VLOOKUP(Table4[[#This Row],[risk_id]],Table3[],7,FALSE)</f>
        <v>3</v>
      </c>
      <c r="T101" s="179">
        <f>VLOOKUP(Table4[[#This Row],[risk_id]],Table3[],6,FALSE)</f>
        <v>3</v>
      </c>
      <c r="U101" s="177">
        <f t="shared" si="7"/>
        <v>12.5</v>
      </c>
      <c r="V101" s="187">
        <f>10</f>
        <v>10</v>
      </c>
      <c r="W101" s="187">
        <f>30</f>
        <v>30</v>
      </c>
      <c r="X101" s="17">
        <f>VLOOKUP(Table4[[#This Row],[risk_id]],Table3[],5,FALSE)</f>
        <v>1</v>
      </c>
      <c r="Y101" s="17">
        <f>94</f>
        <v>94</v>
      </c>
      <c r="Z101" s="177">
        <f>Table4[[#This Row],[EStype_summed]]*Table4[[#This Row],[Indicator_12.5pct]]</f>
        <v>3.125</v>
      </c>
      <c r="AA101" s="190">
        <f>(IF(Table4[[#This Row],[all_evtype]]&gt;=4,"4", IF(Table4[[#This Row],[all_evtype]]&gt;=3,"3", IF(Table4[[#This Row],[all_evtype]]&gt;=2,"2", IF(Table4[[#This Row],[all_evtype]]&gt;=1,"1","0")))))/Table4[[#This Row],[HPS_et]]</f>
        <v>0.25</v>
      </c>
      <c r="AB101" s="191">
        <f>VLOOKUP(Table4[[#This Row],[risk_id]],Table3[], 14, FALSE)</f>
        <v>0</v>
      </c>
      <c r="AC101" s="191">
        <f>VLOOKUP(Table4[[#This Row],[risk_id]],Table3[], 15, FALSE)</f>
        <v>1</v>
      </c>
      <c r="AD101" s="191">
        <f>VLOOKUP(Table4[[#This Row],[risk_id]], Table3[], 16, FALSE)</f>
        <v>0</v>
      </c>
      <c r="AE101" s="191">
        <f>VLOOKUP(Table4[[#This Row],[risk_id]], Table3[], 17, )</f>
        <v>0</v>
      </c>
      <c r="AF101" s="191">
        <f>4</f>
        <v>4</v>
      </c>
      <c r="AG101" s="191">
        <f>COUNTIF(Table4[[#This Row],[THEO]:[MOD]], "&gt;=1")</f>
        <v>1</v>
      </c>
      <c r="AH101" s="192">
        <f>Table4[[#This Row],[data_observations]]/Table4[[#This Row],[AllObservations_count]]</f>
        <v>1.0638297872340425E-2</v>
      </c>
      <c r="AI101" s="189">
        <f>Table4[[#This Row],[evidenceamount_pct]]*(Table4[[#This Row],[Indicator_12.5pct]])</f>
        <v>0.13297872340425532</v>
      </c>
      <c r="AJ101" s="198">
        <f>(1-(VLOOKUP(Table4[[#This Row],[risk_id]],Table3[],18, FALSE))/(Table4[[#This Row],[data_observations]]))</f>
        <v>1</v>
      </c>
      <c r="AK101" s="198">
        <f>((VLOOKUP(Table4[[#This Row],[risk_id]],Table3[],19, FALSE))+((VLOOKUP(Table4[[#This Row],[risk_id]],Table3[],36, FALSE))*0.5))/(Table4[[#This Row],[data_observations]])</f>
        <v>0.5</v>
      </c>
      <c r="AL101" s="177">
        <f>((Table4[[#This Row],[ev_data_deficient_score]]*0.5)+(Table4[[#This Row],[ev_data_availability_score]]*0.5))*(Table4[[#This Row],[Indicator_12.5pct]])</f>
        <v>9.375</v>
      </c>
      <c r="AM101" s="199">
        <f>Table4[[#This Row],[RiskScore]]</f>
        <v>21</v>
      </c>
      <c r="AN101" s="200">
        <f>VLOOKUP(Table4[[#This Row],[risk_id]], Table3[], 13, FALSE)</f>
        <v>0</v>
      </c>
      <c r="AO101" s="185">
        <f>(1-(Table4[[#This Row],[evidence_SD_RR]]/Table4[[#This Row],[evidence_mean_RR]]))*(Table4[[#This Row],[Indicator_12.5pct]])</f>
        <v>12.5</v>
      </c>
      <c r="AP101" s="201">
        <f>VLOOKUP(Table4[[#This Row],[risk_id]],Table3[],21, FALSE)</f>
        <v>0</v>
      </c>
      <c r="AQ101" s="201">
        <f>VLOOKUP(Table4[[#This Row],[risk_id]],Table3[],23, FALSE)</f>
        <v>0</v>
      </c>
      <c r="AR101" s="201">
        <f>VLOOKUP(Table4[[#This Row],[risk_id]],Table3[],25, FALSE)</f>
        <v>1</v>
      </c>
      <c r="AS101" s="201">
        <f>VLOOKUP(Table4[[#This Row],[risk_id]],Table3[],27, FALSE)</f>
        <v>0</v>
      </c>
      <c r="AT101" s="183">
        <f>(MAX(Table4[[#This Row],[C]:[U]]))*Table4[[#This Row],[Indicator_20pct]]</f>
        <v>10</v>
      </c>
      <c r="AU101" s="205">
        <f>COUNTIFS(Table4[[#This Row],[C]], "&gt;0", Table4[[#This Row],[U]], "&gt;0") + COUNTIFS(Table4[[#This Row],[H]], "&gt;0", Table4[[#This Row],[U]], "&gt;0") + COUNTIFS(Table4[[#This Row],[C]], "&gt;0", Table4[[#This Row],[M]], "&gt;0")</f>
        <v>0</v>
      </c>
      <c r="AV101" s="219">
        <f>((-(Table4[[#This Row],[different_scores_count]]-3))/3)*Table4[[#This Row],[Indicator_20pct]]</f>
        <v>10</v>
      </c>
      <c r="AW101" s="183">
        <f>IF(Table4[[#This Row],[data_observations]]&gt;=5, 30, IF(Table4[[#This Row],[data_observations]]&gt;=3, 15, 0))</f>
        <v>0</v>
      </c>
      <c r="AX101" s="26" t="s">
        <v>2737</v>
      </c>
    </row>
    <row r="102" spans="1:50" ht="32" hidden="1" customHeight="1" x14ac:dyDescent="0.2">
      <c r="A102" s="16" t="s">
        <v>578</v>
      </c>
      <c r="B102" s="16" t="str">
        <f>VLOOKUP(Table4[[#This Row],[risk_id]], Table3[], 35, FALSE)</f>
        <v>Risk</v>
      </c>
      <c r="C102" s="16" t="str">
        <f>VLOOKUP(Table4[[#This Row],[risk_id]], Table3[], 2, FALSE)</f>
        <v>Technological</v>
      </c>
      <c r="D102" s="15" t="str">
        <f>VLOOKUP(Table4[[#This Row],[risk_id]], Table3[], 3, FALSE)</f>
        <v>Lacking technological advances</v>
      </c>
      <c r="E102"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02" s="300">
        <f t="shared" si="6"/>
        <v>20.8</v>
      </c>
      <c r="G102" s="31">
        <f>Table4[[#This Row],[DataQuality_Score]]</f>
        <v>0.72709026350745376</v>
      </c>
      <c r="H102"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02" s="27" t="str">
        <f>Table4[[#This Row],[LoA - Metric]]&amp; ", " &amp;Table4[[#This Row],[ES - Metric]]</f>
        <v>High agreement, Medium evidence</v>
      </c>
      <c r="J102" s="222">
        <f>(Table4[[#This Row],[LoA_SCORE]]+Table4[[#This Row],[ES_SCORE]])/100</f>
        <v>0.72709026350745376</v>
      </c>
      <c r="K102"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02"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02" s="179">
        <f>Table4[[#This Row],[probability_average]]</f>
        <v>4</v>
      </c>
      <c r="N102" s="181">
        <f>Table4[[#This Row],[consequence_average]]</f>
        <v>5.2</v>
      </c>
      <c r="O102" s="220">
        <f>Table4[[#This Row],[agreementPCT_score]]+Table4[[#This Row],[agreement_dist_score]]+Table4[[#This Row],[LoA_AQ_score]]</f>
        <v>46</v>
      </c>
      <c r="P102" s="203">
        <f>Table4[[#This Row],[evidenceconsistency_score]]+Table4[[#This Row],[EQ_score]]+Table4[[#This Row],[EA_score]]+Table4[[#This Row],[ET_score]]</f>
        <v>26.709026350745383</v>
      </c>
      <c r="Q102" s="181">
        <f>VLOOKUP(Table4[[#This Row],[risk_id]],Table3[],10,FALSE)</f>
        <v>5.2</v>
      </c>
      <c r="R102" s="181">
        <f>VLOOKUP(Table4[[#This Row],[risk_id]],Table3[],9,FALSE)</f>
        <v>26</v>
      </c>
      <c r="S102" s="179">
        <f>VLOOKUP(Table4[[#This Row],[risk_id]],Table3[],7,FALSE)</f>
        <v>4</v>
      </c>
      <c r="T102" s="179">
        <f>VLOOKUP(Table4[[#This Row],[risk_id]],Table3[],6,FALSE)</f>
        <v>20</v>
      </c>
      <c r="U102" s="177">
        <f t="shared" si="7"/>
        <v>12.5</v>
      </c>
      <c r="V102" s="187">
        <f>10</f>
        <v>10</v>
      </c>
      <c r="W102" s="187">
        <f>30</f>
        <v>30</v>
      </c>
      <c r="X102" s="17">
        <f>VLOOKUP(Table4[[#This Row],[risk_id]],Table3[],5,FALSE)</f>
        <v>5</v>
      </c>
      <c r="Y102" s="17">
        <f>94</f>
        <v>94</v>
      </c>
      <c r="Z102" s="177">
        <f>Table4[[#This Row],[EStype_summed]]*Table4[[#This Row],[Indicator_12.5pct]]</f>
        <v>9.375</v>
      </c>
      <c r="AA102" s="190">
        <f>(IF(Table4[[#This Row],[all_evtype]]&gt;=4,"4", IF(Table4[[#This Row],[all_evtype]]&gt;=3,"3", IF(Table4[[#This Row],[all_evtype]]&gt;=2,"2", IF(Table4[[#This Row],[all_evtype]]&gt;=1,"1","0")))))/Table4[[#This Row],[HPS_et]]</f>
        <v>0.75</v>
      </c>
      <c r="AB102" s="191">
        <f>VLOOKUP(Table4[[#This Row],[risk_id]],Table3[], 14, FALSE)</f>
        <v>1</v>
      </c>
      <c r="AC102" s="191">
        <f>VLOOKUP(Table4[[#This Row],[risk_id]],Table3[], 15, FALSE)</f>
        <v>0</v>
      </c>
      <c r="AD102" s="191">
        <f>VLOOKUP(Table4[[#This Row],[risk_id]], Table3[], 16, FALSE)</f>
        <v>2</v>
      </c>
      <c r="AE102" s="191">
        <f>VLOOKUP(Table4[[#This Row],[risk_id]], Table3[], 17, )</f>
        <v>2</v>
      </c>
      <c r="AF102" s="191">
        <f>4</f>
        <v>4</v>
      </c>
      <c r="AG102" s="191">
        <f>COUNTIF(Table4[[#This Row],[THEO]:[MOD]], "&gt;=1")</f>
        <v>3</v>
      </c>
      <c r="AH102" s="192">
        <f>Table4[[#This Row],[data_observations]]/Table4[[#This Row],[AllObservations_count]]</f>
        <v>5.3191489361702128E-2</v>
      </c>
      <c r="AI102" s="189">
        <f>Table4[[#This Row],[evidenceamount_pct]]*(Table4[[#This Row],[Indicator_12.5pct]])</f>
        <v>0.66489361702127658</v>
      </c>
      <c r="AJ102" s="198">
        <f>(1-(VLOOKUP(Table4[[#This Row],[risk_id]],Table3[],18, FALSE))/(Table4[[#This Row],[data_observations]]))</f>
        <v>1</v>
      </c>
      <c r="AK102" s="198">
        <f>((VLOOKUP(Table4[[#This Row],[risk_id]],Table3[],19, FALSE))+((VLOOKUP(Table4[[#This Row],[risk_id]],Table3[],36, FALSE))*0.5))/(Table4[[#This Row],[data_observations]])</f>
        <v>0.5</v>
      </c>
      <c r="AL102" s="177">
        <f>((Table4[[#This Row],[ev_data_deficient_score]]*0.5)+(Table4[[#This Row],[ev_data_availability_score]]*0.5))*(Table4[[#This Row],[Indicator_12.5pct]])</f>
        <v>9.375</v>
      </c>
      <c r="AM102" s="199">
        <f>Table4[[#This Row],[RiskScore]]</f>
        <v>20.8</v>
      </c>
      <c r="AN102" s="200">
        <f>VLOOKUP(Table4[[#This Row],[risk_id]], Table3[], 13, FALSE)</f>
        <v>8.6625631310830862</v>
      </c>
      <c r="AO102" s="185">
        <f>(1-(Table4[[#This Row],[evidence_SD_RR]]/Table4[[#This Row],[evidence_mean_RR]]))*(Table4[[#This Row],[Indicator_12.5pct]])</f>
        <v>7.2941327337241066</v>
      </c>
      <c r="AP102" s="201">
        <f>VLOOKUP(Table4[[#This Row],[risk_id]],Table3[],21, FALSE)</f>
        <v>0</v>
      </c>
      <c r="AQ102" s="201">
        <f>VLOOKUP(Table4[[#This Row],[risk_id]],Table3[],23, FALSE)</f>
        <v>0.4</v>
      </c>
      <c r="AR102" s="201">
        <f>VLOOKUP(Table4[[#This Row],[risk_id]],Table3[],25, FALSE)</f>
        <v>0.6</v>
      </c>
      <c r="AS102" s="201">
        <f>VLOOKUP(Table4[[#This Row],[risk_id]],Table3[],27, FALSE)</f>
        <v>0</v>
      </c>
      <c r="AT102" s="183">
        <f>(MAX(Table4[[#This Row],[C]:[U]]))*Table4[[#This Row],[Indicator_20pct]]</f>
        <v>6</v>
      </c>
      <c r="AU102" s="205">
        <f>COUNTIFS(Table4[[#This Row],[C]], "&gt;0", Table4[[#This Row],[U]], "&gt;0") + COUNTIFS(Table4[[#This Row],[H]], "&gt;0", Table4[[#This Row],[U]], "&gt;0") + COUNTIFS(Table4[[#This Row],[C]], "&gt;0", Table4[[#This Row],[M]], "&gt;0")</f>
        <v>0</v>
      </c>
      <c r="AV102" s="219">
        <f>((-(Table4[[#This Row],[different_scores_count]]-3))/3)*Table4[[#This Row],[Indicator_20pct]]</f>
        <v>10</v>
      </c>
      <c r="AW102" s="183">
        <f>IF(Table4[[#This Row],[data_observations]]&gt;=5, 30, IF(Table4[[#This Row],[data_observations]]&gt;=3, 15, 0))</f>
        <v>30</v>
      </c>
      <c r="AX102" s="26" t="s">
        <v>2737</v>
      </c>
    </row>
    <row r="103" spans="1:50" ht="32" customHeight="1" x14ac:dyDescent="0.2">
      <c r="A103" s="16" t="s">
        <v>2683</v>
      </c>
      <c r="B103" s="16" t="str">
        <f>VLOOKUP(Table4[[#This Row],[risk_id]], Table3[], 35, FALSE)</f>
        <v>Hazard</v>
      </c>
      <c r="C103" s="16" t="str">
        <f>VLOOKUP(Table4[[#This Row],[risk_id]], Table3[], 2, FALSE)</f>
        <v>Environmental</v>
      </c>
      <c r="D103" s="15" t="str">
        <f>VLOOKUP(Table4[[#This Row],[risk_id]], Table3[], 3, FALSE)</f>
        <v>High wind speeds</v>
      </c>
      <c r="E103"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03" s="300">
        <f t="shared" si="6"/>
        <v>20.625</v>
      </c>
      <c r="G103" s="31">
        <f>Table4[[#This Row],[DataQuality_Score]]</f>
        <v>0.728191640374791</v>
      </c>
      <c r="H103"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03" s="27" t="str">
        <f>Table4[[#This Row],[LoA - Metric]]&amp; ", " &amp;Table4[[#This Row],[ES - Metric]]</f>
        <v>High agreement, Medium evidence</v>
      </c>
      <c r="J103" s="222">
        <f>(Table4[[#This Row],[LoA_SCORE]]+Table4[[#This Row],[ES_SCORE]])/100</f>
        <v>0.728191640374791</v>
      </c>
      <c r="K103"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03"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03" s="179">
        <f>Table4[[#This Row],[probability_average]]</f>
        <v>3.75</v>
      </c>
      <c r="N103" s="181">
        <f>Table4[[#This Row],[consequence_average]]</f>
        <v>5.5</v>
      </c>
      <c r="O103" s="220">
        <f>Table4[[#This Row],[agreementPCT_score]]+Table4[[#This Row],[agreement_dist_score]]+Table4[[#This Row],[LoA_AQ_score]]</f>
        <v>45</v>
      </c>
      <c r="P103" s="203">
        <f>Table4[[#This Row],[evidenceconsistency_score]]+Table4[[#This Row],[EQ_score]]+Table4[[#This Row],[EA_score]]+Table4[[#This Row],[ET_score]]</f>
        <v>27.819164037479094</v>
      </c>
      <c r="Q103" s="181">
        <f>VLOOKUP(Table4[[#This Row],[risk_id]],Table3[],10,FALSE)</f>
        <v>5.5</v>
      </c>
      <c r="R103" s="181">
        <f>VLOOKUP(Table4[[#This Row],[risk_id]],Table3[],9,FALSE)</f>
        <v>44</v>
      </c>
      <c r="S103" s="179">
        <f>VLOOKUP(Table4[[#This Row],[risk_id]],Table3[],7,FALSE)</f>
        <v>3.75</v>
      </c>
      <c r="T103" s="179">
        <f>VLOOKUP(Table4[[#This Row],[risk_id]],Table3[],6,FALSE)</f>
        <v>30</v>
      </c>
      <c r="U103" s="177">
        <f t="shared" si="7"/>
        <v>12.5</v>
      </c>
      <c r="V103" s="187">
        <f>10</f>
        <v>10</v>
      </c>
      <c r="W103" s="187">
        <f>30</f>
        <v>30</v>
      </c>
      <c r="X103" s="17">
        <f>VLOOKUP(Table4[[#This Row],[risk_id]],Table3[],5,FALSE)</f>
        <v>8</v>
      </c>
      <c r="Y103" s="17">
        <f>94</f>
        <v>94</v>
      </c>
      <c r="Z103" s="177">
        <f>Table4[[#This Row],[EStype_summed]]*Table4[[#This Row],[Indicator_12.5pct]]</f>
        <v>9.375</v>
      </c>
      <c r="AA103" s="190">
        <f>(IF(Table4[[#This Row],[all_evtype]]&gt;=4,"4", IF(Table4[[#This Row],[all_evtype]]&gt;=3,"3", IF(Table4[[#This Row],[all_evtype]]&gt;=2,"2", IF(Table4[[#This Row],[all_evtype]]&gt;=1,"1","0")))))/Table4[[#This Row],[HPS_et]]</f>
        <v>0.75</v>
      </c>
      <c r="AB103" s="191">
        <f>VLOOKUP(Table4[[#This Row],[risk_id]],Table3[], 14, FALSE)</f>
        <v>1</v>
      </c>
      <c r="AC103" s="191">
        <f>VLOOKUP(Table4[[#This Row],[risk_id]],Table3[], 15, FALSE)</f>
        <v>6</v>
      </c>
      <c r="AD103" s="191">
        <f>VLOOKUP(Table4[[#This Row],[risk_id]], Table3[], 16, FALSE)</f>
        <v>1</v>
      </c>
      <c r="AE103" s="191">
        <f>VLOOKUP(Table4[[#This Row],[risk_id]], Table3[], 17, )</f>
        <v>0</v>
      </c>
      <c r="AF103" s="191">
        <f>4</f>
        <v>4</v>
      </c>
      <c r="AG103" s="191">
        <f>COUNTIF(Table4[[#This Row],[THEO]:[MOD]], "&gt;=1")</f>
        <v>3</v>
      </c>
      <c r="AH103" s="192">
        <f>Table4[[#This Row],[data_observations]]/Table4[[#This Row],[AllObservations_count]]</f>
        <v>8.5106382978723402E-2</v>
      </c>
      <c r="AI103" s="189">
        <f>Table4[[#This Row],[evidenceamount_pct]]*(Table4[[#This Row],[Indicator_12.5pct]])</f>
        <v>1.0638297872340425</v>
      </c>
      <c r="AJ103" s="198">
        <f>(1-(VLOOKUP(Table4[[#This Row],[risk_id]],Table3[],18, FALSE))/(Table4[[#This Row],[data_observations]]))</f>
        <v>0.875</v>
      </c>
      <c r="AK103" s="198">
        <f>((VLOOKUP(Table4[[#This Row],[risk_id]],Table3[],19, FALSE))+((VLOOKUP(Table4[[#This Row],[risk_id]],Table3[],36, FALSE))*0.5))/(Table4[[#This Row],[data_observations]])</f>
        <v>0.625</v>
      </c>
      <c r="AL103" s="177">
        <f>((Table4[[#This Row],[ev_data_deficient_score]]*0.5)+(Table4[[#This Row],[ev_data_availability_score]]*0.5))*(Table4[[#This Row],[Indicator_12.5pct]])</f>
        <v>9.375</v>
      </c>
      <c r="AM103" s="199">
        <f>Table4[[#This Row],[RiskScore]]</f>
        <v>20.625</v>
      </c>
      <c r="AN103" s="200">
        <f>VLOOKUP(Table4[[#This Row],[risk_id]], Table3[], 13, FALSE)</f>
        <v>7.416198487095663</v>
      </c>
      <c r="AO103" s="185">
        <f>(1-(Table4[[#This Row],[evidence_SD_RR]]/Table4[[#This Row],[evidence_mean_RR]]))*(Table4[[#This Row],[Indicator_12.5pct]])</f>
        <v>8.0053342502450526</v>
      </c>
      <c r="AP103" s="201">
        <f>VLOOKUP(Table4[[#This Row],[risk_id]],Table3[],21, FALSE)</f>
        <v>0</v>
      </c>
      <c r="AQ103" s="201">
        <f>VLOOKUP(Table4[[#This Row],[risk_id]],Table3[],23, FALSE)</f>
        <v>0.5</v>
      </c>
      <c r="AR103" s="201">
        <f>VLOOKUP(Table4[[#This Row],[risk_id]],Table3[],25, FALSE)</f>
        <v>0.5</v>
      </c>
      <c r="AS103" s="201">
        <f>VLOOKUP(Table4[[#This Row],[risk_id]],Table3[],27, FALSE)</f>
        <v>0</v>
      </c>
      <c r="AT103" s="183">
        <f>(MAX(Table4[[#This Row],[C]:[U]]))*Table4[[#This Row],[Indicator_20pct]]</f>
        <v>5</v>
      </c>
      <c r="AU103" s="205">
        <f>COUNTIFS(Table4[[#This Row],[C]], "&gt;0", Table4[[#This Row],[U]], "&gt;0") + COUNTIFS(Table4[[#This Row],[H]], "&gt;0", Table4[[#This Row],[U]], "&gt;0") + COUNTIFS(Table4[[#This Row],[C]], "&gt;0", Table4[[#This Row],[M]], "&gt;0")</f>
        <v>0</v>
      </c>
      <c r="AV103" s="219">
        <f>((-(Table4[[#This Row],[different_scores_count]]-3))/3)*Table4[[#This Row],[Indicator_20pct]]</f>
        <v>10</v>
      </c>
      <c r="AW103" s="183">
        <f>IF(Table4[[#This Row],[data_observations]]&gt;=5, 30, IF(Table4[[#This Row],[data_observations]]&gt;=3, 15, 0))</f>
        <v>30</v>
      </c>
      <c r="AX103" s="26" t="s">
        <v>2737</v>
      </c>
    </row>
    <row r="104" spans="1:50" ht="32" hidden="1" customHeight="1" x14ac:dyDescent="0.2">
      <c r="A104" s="16" t="s">
        <v>657</v>
      </c>
      <c r="B104" s="16" t="str">
        <f>VLOOKUP(Table4[[#This Row],[risk_id]], Table3[], 35, FALSE)</f>
        <v>Risk</v>
      </c>
      <c r="C104" s="16" t="str">
        <f>VLOOKUP(Table4[[#This Row],[risk_id]], Table3[], 2, FALSE)</f>
        <v>Navigational</v>
      </c>
      <c r="D104" s="15" t="str">
        <f>VLOOKUP(Table4[[#This Row],[risk_id]], Table3[], 3, FALSE)</f>
        <v>Vessel accident (generalized)</v>
      </c>
      <c r="E104"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04" s="300">
        <f t="shared" si="6"/>
        <v>20.595041322314053</v>
      </c>
      <c r="G104" s="31">
        <f>Table4[[#This Row],[DataQuality_Score]]</f>
        <v>0.72962757650028121</v>
      </c>
      <c r="H104"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04" s="27" t="str">
        <f>Table4[[#This Row],[LoA - Metric]]&amp; ", " &amp;Table4[[#This Row],[ES - Metric]]</f>
        <v>High agreement, Medium evidence</v>
      </c>
      <c r="J104" s="222">
        <f>(Table4[[#This Row],[LoA_SCORE]]+Table4[[#This Row],[ES_SCORE]])/100</f>
        <v>0.72962757650028121</v>
      </c>
      <c r="K104"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04"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04" s="179">
        <f>Table4[[#This Row],[probability_average]]</f>
        <v>2.5454545454545454</v>
      </c>
      <c r="N104" s="181">
        <f>Table4[[#This Row],[consequence_average]]</f>
        <v>8.0909090909090917</v>
      </c>
      <c r="O104" s="220">
        <f>Table4[[#This Row],[agreementPCT_score]]+Table4[[#This Row],[agreement_dist_score]]+Table4[[#This Row],[LoA_AQ_score]]</f>
        <v>43.333333333333329</v>
      </c>
      <c r="P104" s="203">
        <f>Table4[[#This Row],[evidenceconsistency_score]]+Table4[[#This Row],[EQ_score]]+Table4[[#This Row],[EA_score]]+Table4[[#This Row],[ET_score]]</f>
        <v>29.629424316694788</v>
      </c>
      <c r="Q104" s="181">
        <f>VLOOKUP(Table4[[#This Row],[risk_id]],Table3[],10,FALSE)</f>
        <v>8.0909090909090917</v>
      </c>
      <c r="R104" s="181">
        <f>VLOOKUP(Table4[[#This Row],[risk_id]],Table3[],9,FALSE)</f>
        <v>89</v>
      </c>
      <c r="S104" s="179">
        <f>VLOOKUP(Table4[[#This Row],[risk_id]],Table3[],7,FALSE)</f>
        <v>2.5454545454545454</v>
      </c>
      <c r="T104" s="179">
        <f>VLOOKUP(Table4[[#This Row],[risk_id]],Table3[],6,FALSE)</f>
        <v>28</v>
      </c>
      <c r="U104" s="177">
        <f t="shared" si="7"/>
        <v>12.5</v>
      </c>
      <c r="V104" s="187">
        <f>10</f>
        <v>10</v>
      </c>
      <c r="W104" s="187">
        <f>30</f>
        <v>30</v>
      </c>
      <c r="X104" s="17">
        <f>VLOOKUP(Table4[[#This Row],[risk_id]],Table3[],5,FALSE)</f>
        <v>12</v>
      </c>
      <c r="Y104" s="17">
        <f>94</f>
        <v>94</v>
      </c>
      <c r="Z104" s="177">
        <f>Table4[[#This Row],[EStype_summed]]*Table4[[#This Row],[Indicator_12.5pct]]</f>
        <v>12.5</v>
      </c>
      <c r="AA104" s="190">
        <f>(IF(Table4[[#This Row],[all_evtype]]&gt;=4,"4", IF(Table4[[#This Row],[all_evtype]]&gt;=3,"3", IF(Table4[[#This Row],[all_evtype]]&gt;=2,"2", IF(Table4[[#This Row],[all_evtype]]&gt;=1,"1","0")))))/Table4[[#This Row],[HPS_et]]</f>
        <v>1</v>
      </c>
      <c r="AB104" s="191">
        <f>VLOOKUP(Table4[[#This Row],[risk_id]],Table3[], 14, FALSE)</f>
        <v>2</v>
      </c>
      <c r="AC104" s="191">
        <f>VLOOKUP(Table4[[#This Row],[risk_id]],Table3[], 15, FALSE)</f>
        <v>5</v>
      </c>
      <c r="AD104" s="191">
        <f>VLOOKUP(Table4[[#This Row],[risk_id]], Table3[], 16, FALSE)</f>
        <v>4</v>
      </c>
      <c r="AE104" s="191">
        <f>VLOOKUP(Table4[[#This Row],[risk_id]], Table3[], 17, )</f>
        <v>1</v>
      </c>
      <c r="AF104" s="191">
        <f>4</f>
        <v>4</v>
      </c>
      <c r="AG104" s="191">
        <f>COUNTIF(Table4[[#This Row],[THEO]:[MOD]], "&gt;=1")</f>
        <v>4</v>
      </c>
      <c r="AH104" s="192">
        <f>Table4[[#This Row],[data_observations]]/Table4[[#This Row],[AllObservations_count]]</f>
        <v>0.1276595744680851</v>
      </c>
      <c r="AI104" s="189">
        <f>Table4[[#This Row],[evidenceamount_pct]]*(Table4[[#This Row],[Indicator_12.5pct]])</f>
        <v>1.5957446808510638</v>
      </c>
      <c r="AJ104" s="198">
        <f>(1-(VLOOKUP(Table4[[#This Row],[risk_id]],Table3[],18, FALSE))/(Table4[[#This Row],[data_observations]]))</f>
        <v>0.91666666666666663</v>
      </c>
      <c r="AK104" s="198">
        <f>((VLOOKUP(Table4[[#This Row],[risk_id]],Table3[],19, FALSE))+((VLOOKUP(Table4[[#This Row],[risk_id]],Table3[],36, FALSE))*0.5))/(Table4[[#This Row],[data_observations]])</f>
        <v>0.41666666666666669</v>
      </c>
      <c r="AL104" s="177">
        <f>((Table4[[#This Row],[ev_data_deficient_score]]*0.5)+(Table4[[#This Row],[ev_data_availability_score]]*0.5))*(Table4[[#This Row],[Indicator_12.5pct]])</f>
        <v>8.3333333333333321</v>
      </c>
      <c r="AM104" s="199">
        <f>Table4[[#This Row],[RiskScore]]</f>
        <v>20.595041322314053</v>
      </c>
      <c r="AN104" s="200">
        <f>VLOOKUP(Table4[[#This Row],[risk_id]], Table3[], 13, FALSE)</f>
        <v>8.7317269515002334</v>
      </c>
      <c r="AO104" s="185">
        <f>(1-(Table4[[#This Row],[evidence_SD_RR]]/Table4[[#This Row],[evidence_mean_RR]]))*(Table4[[#This Row],[Indicator_12.5pct]])</f>
        <v>7.2003463025103933</v>
      </c>
      <c r="AP104" s="201">
        <f>VLOOKUP(Table4[[#This Row],[risk_id]],Table3[],21, FALSE)</f>
        <v>0</v>
      </c>
      <c r="AQ104" s="201">
        <f>VLOOKUP(Table4[[#This Row],[risk_id]],Table3[],23, FALSE)</f>
        <v>0.25</v>
      </c>
      <c r="AR104" s="201">
        <f>VLOOKUP(Table4[[#This Row],[risk_id]],Table3[],25, FALSE)</f>
        <v>0.66666666666666663</v>
      </c>
      <c r="AS104" s="201">
        <f>VLOOKUP(Table4[[#This Row],[risk_id]],Table3[],27, FALSE)</f>
        <v>8.3333333333333329E-2</v>
      </c>
      <c r="AT104" s="183">
        <f>(MAX(Table4[[#This Row],[C]:[U]]))*Table4[[#This Row],[Indicator_20pct]]</f>
        <v>6.6666666666666661</v>
      </c>
      <c r="AU104" s="205">
        <f>COUNTIFS(Table4[[#This Row],[C]], "&gt;0", Table4[[#This Row],[U]], "&gt;0") + COUNTIFS(Table4[[#This Row],[H]], "&gt;0", Table4[[#This Row],[U]], "&gt;0") + COUNTIFS(Table4[[#This Row],[C]], "&gt;0", Table4[[#This Row],[M]], "&gt;0")</f>
        <v>1</v>
      </c>
      <c r="AV104" s="219">
        <f>((-(Table4[[#This Row],[different_scores_count]]-3))/3)*Table4[[#This Row],[Indicator_20pct]]</f>
        <v>6.6666666666666661</v>
      </c>
      <c r="AW104" s="183">
        <f>IF(Table4[[#This Row],[data_observations]]&gt;=5, 30, IF(Table4[[#This Row],[data_observations]]&gt;=3, 15, 0))</f>
        <v>30</v>
      </c>
      <c r="AX104" s="26" t="s">
        <v>2737</v>
      </c>
    </row>
    <row r="105" spans="1:50" ht="32" hidden="1" customHeight="1" x14ac:dyDescent="0.2">
      <c r="A105" s="16" t="s">
        <v>654</v>
      </c>
      <c r="B105" s="16" t="str">
        <f>VLOOKUP(Table4[[#This Row],[risk_id]], Table3[], 35, FALSE)</f>
        <v>Risk</v>
      </c>
      <c r="C105" s="16" t="str">
        <f>VLOOKUP(Table4[[#This Row],[risk_id]], Table3[], 2, FALSE)</f>
        <v>Political</v>
      </c>
      <c r="D105" s="15" t="str">
        <f>VLOOKUP(Table4[[#This Row],[risk_id]], Table3[], 3, FALSE)</f>
        <v>Ununified technical standards</v>
      </c>
      <c r="E105"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05" s="300">
        <f t="shared" si="6"/>
        <v>20</v>
      </c>
      <c r="G105" s="31">
        <f>Table4[[#This Row],[DataQuality_Score]]</f>
        <v>0.51836470777174259</v>
      </c>
      <c r="H105"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05" s="27" t="str">
        <f>Table4[[#This Row],[LoA - Metric]]&amp; ", " &amp;Table4[[#This Row],[ES - Metric]]</f>
        <v>Medium agreement, Medium evidence</v>
      </c>
      <c r="J105" s="222">
        <f>(Table4[[#This Row],[LoA_SCORE]]+Table4[[#This Row],[ES_SCORE]])/100</f>
        <v>0.51836470777174259</v>
      </c>
      <c r="K105"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05"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05" s="179">
        <f>Table4[[#This Row],[probability_average]]</f>
        <v>4</v>
      </c>
      <c r="N105" s="181">
        <f>Table4[[#This Row],[consequence_average]]</f>
        <v>5</v>
      </c>
      <c r="O105" s="220">
        <f>Table4[[#This Row],[agreementPCT_score]]+Table4[[#This Row],[agreement_dist_score]]+Table4[[#This Row],[LoA_AQ_score]]</f>
        <v>31.666666666666664</v>
      </c>
      <c r="P105" s="203">
        <f>Table4[[#This Row],[evidenceconsistency_score]]+Table4[[#This Row],[EQ_score]]+Table4[[#This Row],[EA_score]]+Table4[[#This Row],[ET_score]]</f>
        <v>20.169804110507595</v>
      </c>
      <c r="Q105" s="181">
        <f>VLOOKUP(Table4[[#This Row],[risk_id]],Table3[],10,FALSE)</f>
        <v>5</v>
      </c>
      <c r="R105" s="181">
        <f>VLOOKUP(Table4[[#This Row],[risk_id]],Table3[],9,FALSE)</f>
        <v>15</v>
      </c>
      <c r="S105" s="179">
        <f>VLOOKUP(Table4[[#This Row],[risk_id]],Table3[],7,FALSE)</f>
        <v>4</v>
      </c>
      <c r="T105" s="179">
        <f>VLOOKUP(Table4[[#This Row],[risk_id]],Table3[],6,FALSE)</f>
        <v>12</v>
      </c>
      <c r="U105" s="177">
        <f t="shared" si="7"/>
        <v>12.5</v>
      </c>
      <c r="V105" s="187">
        <f>10</f>
        <v>10</v>
      </c>
      <c r="W105" s="187">
        <f>30</f>
        <v>30</v>
      </c>
      <c r="X105" s="17">
        <f>VLOOKUP(Table4[[#This Row],[risk_id]],Table3[],5,FALSE)</f>
        <v>3</v>
      </c>
      <c r="Y105" s="17">
        <f>94</f>
        <v>94</v>
      </c>
      <c r="Z105" s="177">
        <f>Table4[[#This Row],[EStype_summed]]*Table4[[#This Row],[Indicator_12.5pct]]</f>
        <v>6.25</v>
      </c>
      <c r="AA105" s="190">
        <f>(IF(Table4[[#This Row],[all_evtype]]&gt;=4,"4", IF(Table4[[#This Row],[all_evtype]]&gt;=3,"3", IF(Table4[[#This Row],[all_evtype]]&gt;=2,"2", IF(Table4[[#This Row],[all_evtype]]&gt;=1,"1","0")))))/Table4[[#This Row],[HPS_et]]</f>
        <v>0.5</v>
      </c>
      <c r="AB105" s="191">
        <f>VLOOKUP(Table4[[#This Row],[risk_id]],Table3[], 14, FALSE)</f>
        <v>2</v>
      </c>
      <c r="AC105" s="191">
        <f>VLOOKUP(Table4[[#This Row],[risk_id]],Table3[], 15, FALSE)</f>
        <v>0</v>
      </c>
      <c r="AD105" s="191">
        <f>VLOOKUP(Table4[[#This Row],[risk_id]], Table3[], 16, FALSE)</f>
        <v>1</v>
      </c>
      <c r="AE105" s="191">
        <f>VLOOKUP(Table4[[#This Row],[risk_id]], Table3[], 17, )</f>
        <v>0</v>
      </c>
      <c r="AF105" s="191">
        <f>4</f>
        <v>4</v>
      </c>
      <c r="AG105" s="191">
        <f>COUNTIF(Table4[[#This Row],[THEO]:[MOD]], "&gt;=1")</f>
        <v>2</v>
      </c>
      <c r="AH105" s="192">
        <f>Table4[[#This Row],[data_observations]]/Table4[[#This Row],[AllObservations_count]]</f>
        <v>3.1914893617021274E-2</v>
      </c>
      <c r="AI105" s="189">
        <f>Table4[[#This Row],[evidenceamount_pct]]*(Table4[[#This Row],[Indicator_12.5pct]])</f>
        <v>0.39893617021276595</v>
      </c>
      <c r="AJ105" s="198">
        <f>(1-(VLOOKUP(Table4[[#This Row],[risk_id]],Table3[],18, FALSE))/(Table4[[#This Row],[data_observations]]))</f>
        <v>1</v>
      </c>
      <c r="AK105" s="198">
        <f>((VLOOKUP(Table4[[#This Row],[risk_id]],Table3[],19, FALSE))+((VLOOKUP(Table4[[#This Row],[risk_id]],Table3[],36, FALSE))*0.5))/(Table4[[#This Row],[data_observations]])</f>
        <v>0.16666666666666666</v>
      </c>
      <c r="AL105" s="177">
        <f>((Table4[[#This Row],[ev_data_deficient_score]]*0.5)+(Table4[[#This Row],[ev_data_availability_score]]*0.5))*(Table4[[#This Row],[Indicator_12.5pct]])</f>
        <v>7.291666666666667</v>
      </c>
      <c r="AM105" s="199">
        <f>Table4[[#This Row],[RiskScore]]</f>
        <v>20</v>
      </c>
      <c r="AN105" s="200">
        <f>VLOOKUP(Table4[[#This Row],[risk_id]], Table3[], 13, FALSE)</f>
        <v>10.033277962194941</v>
      </c>
      <c r="AO105" s="185">
        <f>(1-(Table4[[#This Row],[evidence_SD_RR]]/Table4[[#This Row],[evidence_mean_RR]]))*(Table4[[#This Row],[Indicator_12.5pct]])</f>
        <v>6.2292012736281626</v>
      </c>
      <c r="AP105" s="201">
        <f>VLOOKUP(Table4[[#This Row],[risk_id]],Table3[],21, FALSE)</f>
        <v>0</v>
      </c>
      <c r="AQ105" s="201">
        <f>VLOOKUP(Table4[[#This Row],[risk_id]],Table3[],23, FALSE)</f>
        <v>0.33333333333333331</v>
      </c>
      <c r="AR105" s="201">
        <f>VLOOKUP(Table4[[#This Row],[risk_id]],Table3[],25, FALSE)</f>
        <v>0.66666666666666663</v>
      </c>
      <c r="AS105" s="201">
        <f>VLOOKUP(Table4[[#This Row],[risk_id]],Table3[],27, FALSE)</f>
        <v>0</v>
      </c>
      <c r="AT105" s="183">
        <f>(MAX(Table4[[#This Row],[C]:[U]]))*Table4[[#This Row],[Indicator_20pct]]</f>
        <v>6.6666666666666661</v>
      </c>
      <c r="AU105" s="205">
        <f>COUNTIFS(Table4[[#This Row],[C]], "&gt;0", Table4[[#This Row],[U]], "&gt;0") + COUNTIFS(Table4[[#This Row],[H]], "&gt;0", Table4[[#This Row],[U]], "&gt;0") + COUNTIFS(Table4[[#This Row],[C]], "&gt;0", Table4[[#This Row],[M]], "&gt;0")</f>
        <v>0</v>
      </c>
      <c r="AV105" s="219">
        <f>((-(Table4[[#This Row],[different_scores_count]]-3))/3)*Table4[[#This Row],[Indicator_20pct]]</f>
        <v>10</v>
      </c>
      <c r="AW105" s="183">
        <f>IF(Table4[[#This Row],[data_observations]]&gt;=5, 30, IF(Table4[[#This Row],[data_observations]]&gt;=3, 15, 0))</f>
        <v>15</v>
      </c>
      <c r="AX105" s="26" t="s">
        <v>2736</v>
      </c>
    </row>
    <row r="106" spans="1:50" ht="32" hidden="1" customHeight="1" x14ac:dyDescent="0.2">
      <c r="A106" s="16" t="s">
        <v>513</v>
      </c>
      <c r="B106" s="16" t="str">
        <f>VLOOKUP(Table4[[#This Row],[risk_id]], Table3[], 35, FALSE)</f>
        <v>Risk</v>
      </c>
      <c r="C106" s="16" t="str">
        <f>VLOOKUP(Table4[[#This Row],[risk_id]], Table3[], 2, FALSE)</f>
        <v>Economic</v>
      </c>
      <c r="D106" s="15" t="str">
        <f>VLOOKUP(Table4[[#This Row],[risk_id]], Table3[], 3, FALSE)</f>
        <v>Financial burden to small-scale operators/communities</v>
      </c>
      <c r="E106"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06" s="300">
        <f t="shared" si="6"/>
        <v>20</v>
      </c>
      <c r="G106" s="31">
        <f>Table4[[#This Row],[DataQuality_Score]]</f>
        <v>0.49847502273465161</v>
      </c>
      <c r="H106"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06" s="27" t="str">
        <f>Table4[[#This Row],[LoA - Metric]]&amp; ", " &amp;Table4[[#This Row],[ES - Metric]]</f>
        <v>Medium agreement, Medium evidence</v>
      </c>
      <c r="J106" s="222">
        <f>(Table4[[#This Row],[LoA_SCORE]]+Table4[[#This Row],[ES_SCORE]])/100</f>
        <v>0.49847502273465161</v>
      </c>
      <c r="K106"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06"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06" s="179">
        <f>Table4[[#This Row],[probability_average]]</f>
        <v>3.3333333333333335</v>
      </c>
      <c r="N106" s="181">
        <f>Table4[[#This Row],[consequence_average]]</f>
        <v>6</v>
      </c>
      <c r="O106" s="220">
        <f>Table4[[#This Row],[agreementPCT_score]]+Table4[[#This Row],[agreement_dist_score]]+Table4[[#This Row],[LoA_AQ_score]]</f>
        <v>31.666666666666664</v>
      </c>
      <c r="P106" s="203">
        <f>Table4[[#This Row],[evidenceconsistency_score]]+Table4[[#This Row],[EQ_score]]+Table4[[#This Row],[EA_score]]+Table4[[#This Row],[ET_score]]</f>
        <v>18.180835606798496</v>
      </c>
      <c r="Q106" s="181">
        <f>VLOOKUP(Table4[[#This Row],[risk_id]],Table3[],10,FALSE)</f>
        <v>6</v>
      </c>
      <c r="R106" s="181">
        <f>VLOOKUP(Table4[[#This Row],[risk_id]],Table3[],9,FALSE)</f>
        <v>18</v>
      </c>
      <c r="S106" s="179">
        <f>VLOOKUP(Table4[[#This Row],[risk_id]],Table3[],7,FALSE)</f>
        <v>3.3333333333333335</v>
      </c>
      <c r="T106" s="179">
        <f>VLOOKUP(Table4[[#This Row],[risk_id]],Table3[],6,FALSE)</f>
        <v>10</v>
      </c>
      <c r="U106" s="177">
        <f t="shared" si="7"/>
        <v>12.5</v>
      </c>
      <c r="V106" s="187">
        <f>10</f>
        <v>10</v>
      </c>
      <c r="W106" s="187">
        <f>30</f>
        <v>30</v>
      </c>
      <c r="X106" s="17">
        <f>VLOOKUP(Table4[[#This Row],[risk_id]],Table3[],5,FALSE)</f>
        <v>3</v>
      </c>
      <c r="Y106" s="17">
        <f>94</f>
        <v>94</v>
      </c>
      <c r="Z106" s="177">
        <f>Table4[[#This Row],[EStype_summed]]*Table4[[#This Row],[Indicator_12.5pct]]</f>
        <v>6.25</v>
      </c>
      <c r="AA106" s="190">
        <f>(IF(Table4[[#This Row],[all_evtype]]&gt;=4,"4", IF(Table4[[#This Row],[all_evtype]]&gt;=3,"3", IF(Table4[[#This Row],[all_evtype]]&gt;=2,"2", IF(Table4[[#This Row],[all_evtype]]&gt;=1,"1","0")))))/Table4[[#This Row],[HPS_et]]</f>
        <v>0.5</v>
      </c>
      <c r="AB106" s="191">
        <f>VLOOKUP(Table4[[#This Row],[risk_id]],Table3[], 14, FALSE)</f>
        <v>2</v>
      </c>
      <c r="AC106" s="191">
        <f>VLOOKUP(Table4[[#This Row],[risk_id]],Table3[], 15, FALSE)</f>
        <v>0</v>
      </c>
      <c r="AD106" s="191">
        <f>VLOOKUP(Table4[[#This Row],[risk_id]], Table3[], 16, FALSE)</f>
        <v>1</v>
      </c>
      <c r="AE106" s="191">
        <f>VLOOKUP(Table4[[#This Row],[risk_id]], Table3[], 17, )</f>
        <v>0</v>
      </c>
      <c r="AF106" s="191">
        <f>4</f>
        <v>4</v>
      </c>
      <c r="AG106" s="191">
        <f>COUNTIF(Table4[[#This Row],[THEO]:[MOD]], "&gt;=1")</f>
        <v>2</v>
      </c>
      <c r="AH106" s="192">
        <f>Table4[[#This Row],[data_observations]]/Table4[[#This Row],[AllObservations_count]]</f>
        <v>3.1914893617021274E-2</v>
      </c>
      <c r="AI106" s="189">
        <f>Table4[[#This Row],[evidenceamount_pct]]*(Table4[[#This Row],[Indicator_12.5pct]])</f>
        <v>0.39893617021276595</v>
      </c>
      <c r="AJ106" s="198">
        <f>(1-(VLOOKUP(Table4[[#This Row],[risk_id]],Table3[],18, FALSE))/(Table4[[#This Row],[data_observations]]))</f>
        <v>0.33333333333333337</v>
      </c>
      <c r="AK106" s="198">
        <f>((VLOOKUP(Table4[[#This Row],[risk_id]],Table3[],19, FALSE))+((VLOOKUP(Table4[[#This Row],[risk_id]],Table3[],36, FALSE))*0.5))/(Table4[[#This Row],[data_observations]])</f>
        <v>0.16666666666666666</v>
      </c>
      <c r="AL106" s="177">
        <f>((Table4[[#This Row],[ev_data_deficient_score]]*0.5)+(Table4[[#This Row],[ev_data_availability_score]]*0.5))*(Table4[[#This Row],[Indicator_12.5pct]])</f>
        <v>3.125</v>
      </c>
      <c r="AM106" s="199">
        <f>Table4[[#This Row],[RiskScore]]</f>
        <v>20</v>
      </c>
      <c r="AN106" s="200">
        <f>VLOOKUP(Table4[[#This Row],[risk_id]], Table3[], 13, FALSE)</f>
        <v>6.5489609014628334</v>
      </c>
      <c r="AO106" s="185">
        <f>(1-(Table4[[#This Row],[evidence_SD_RR]]/Table4[[#This Row],[evidence_mean_RR]]))*(Table4[[#This Row],[Indicator_12.5pct]])</f>
        <v>8.4068994365857304</v>
      </c>
      <c r="AP106" s="201">
        <f>VLOOKUP(Table4[[#This Row],[risk_id]],Table3[],21, FALSE)</f>
        <v>0</v>
      </c>
      <c r="AQ106" s="201">
        <f>VLOOKUP(Table4[[#This Row],[risk_id]],Table3[],23, FALSE)</f>
        <v>0.33333333333333331</v>
      </c>
      <c r="AR106" s="201">
        <f>VLOOKUP(Table4[[#This Row],[risk_id]],Table3[],25, FALSE)</f>
        <v>0.66666666666666663</v>
      </c>
      <c r="AS106" s="201">
        <f>VLOOKUP(Table4[[#This Row],[risk_id]],Table3[],27, FALSE)</f>
        <v>0</v>
      </c>
      <c r="AT106" s="183">
        <f>(MAX(Table4[[#This Row],[C]:[U]]))*Table4[[#This Row],[Indicator_20pct]]</f>
        <v>6.6666666666666661</v>
      </c>
      <c r="AU106" s="205">
        <f>COUNTIFS(Table4[[#This Row],[C]], "&gt;0", Table4[[#This Row],[U]], "&gt;0") + COUNTIFS(Table4[[#This Row],[H]], "&gt;0", Table4[[#This Row],[U]], "&gt;0") + COUNTIFS(Table4[[#This Row],[C]], "&gt;0", Table4[[#This Row],[M]], "&gt;0")</f>
        <v>0</v>
      </c>
      <c r="AV106" s="219">
        <f>((-(Table4[[#This Row],[different_scores_count]]-3))/3)*Table4[[#This Row],[Indicator_20pct]]</f>
        <v>10</v>
      </c>
      <c r="AW106" s="183">
        <f>IF(Table4[[#This Row],[data_observations]]&gt;=5, 30, IF(Table4[[#This Row],[data_observations]]&gt;=3, 15, 0))</f>
        <v>15</v>
      </c>
      <c r="AX106" s="26" t="s">
        <v>2737</v>
      </c>
    </row>
    <row r="107" spans="1:50" ht="32" customHeight="1" x14ac:dyDescent="0.2">
      <c r="A107" s="16" t="s">
        <v>2659</v>
      </c>
      <c r="B107" s="16" t="str">
        <f>VLOOKUP(Table4[[#This Row],[risk_id]], Table3[], 35, FALSE)</f>
        <v>Hazard</v>
      </c>
      <c r="C107" s="16" t="str">
        <f>VLOOKUP(Table4[[#This Row],[risk_id]], Table3[], 2, FALSE)</f>
        <v>Pollutants</v>
      </c>
      <c r="D107" s="15" t="str">
        <f>VLOOKUP(Table4[[#This Row],[risk_id]], Table3[], 3, FALSE)</f>
        <v>Acoustic propogation effects</v>
      </c>
      <c r="E107"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07" s="300">
        <f t="shared" si="6"/>
        <v>20</v>
      </c>
      <c r="G107" s="31">
        <f>Table4[[#This Row],[DataQuality_Score]]</f>
        <v>0.4888137966032487</v>
      </c>
      <c r="H107"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07" s="27" t="str">
        <f>Table4[[#This Row],[LoA - Metric]]&amp; ", " &amp;Table4[[#This Row],[ES - Metric]]</f>
        <v>Medium agreement, Medium evidence</v>
      </c>
      <c r="J107" s="222">
        <f>(Table4[[#This Row],[LoA_SCORE]]+Table4[[#This Row],[ES_SCORE]])/100</f>
        <v>0.4888137966032487</v>
      </c>
      <c r="K107"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07"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07" s="179">
        <f>Table4[[#This Row],[probability_average]]</f>
        <v>3.3333333333333335</v>
      </c>
      <c r="N107" s="181">
        <f>Table4[[#This Row],[consequence_average]]</f>
        <v>6</v>
      </c>
      <c r="O107" s="220">
        <f>Table4[[#This Row],[agreementPCT_score]]+Table4[[#This Row],[agreement_dist_score]]+Table4[[#This Row],[LoA_AQ_score]]</f>
        <v>28.333333333333332</v>
      </c>
      <c r="P107" s="203">
        <f>Table4[[#This Row],[evidenceconsistency_score]]+Table4[[#This Row],[EQ_score]]+Table4[[#This Row],[EA_score]]+Table4[[#This Row],[ET_score]]</f>
        <v>20.548046326991539</v>
      </c>
      <c r="Q107" s="181">
        <f>VLOOKUP(Table4[[#This Row],[risk_id]],Table3[],10,FALSE)</f>
        <v>6</v>
      </c>
      <c r="R107" s="181">
        <f>VLOOKUP(Table4[[#This Row],[risk_id]],Table3[],9,FALSE)</f>
        <v>18</v>
      </c>
      <c r="S107" s="179">
        <f>VLOOKUP(Table4[[#This Row],[risk_id]],Table3[],7,FALSE)</f>
        <v>3.3333333333333335</v>
      </c>
      <c r="T107" s="179">
        <f>VLOOKUP(Table4[[#This Row],[risk_id]],Table3[],6,FALSE)</f>
        <v>10</v>
      </c>
      <c r="U107" s="177">
        <f t="shared" si="7"/>
        <v>12.5</v>
      </c>
      <c r="V107" s="187">
        <f>10</f>
        <v>10</v>
      </c>
      <c r="W107" s="187">
        <f>30</f>
        <v>30</v>
      </c>
      <c r="X107" s="17">
        <f>VLOOKUP(Table4[[#This Row],[risk_id]],Table3[],5,FALSE)</f>
        <v>3</v>
      </c>
      <c r="Y107" s="17">
        <f>94</f>
        <v>94</v>
      </c>
      <c r="Z107" s="177">
        <f>Table4[[#This Row],[EStype_summed]]*Table4[[#This Row],[Indicator_12.5pct]]</f>
        <v>6.25</v>
      </c>
      <c r="AA107" s="190">
        <f>(IF(Table4[[#This Row],[all_evtype]]&gt;=4,"4", IF(Table4[[#This Row],[all_evtype]]&gt;=3,"3", IF(Table4[[#This Row],[all_evtype]]&gt;=2,"2", IF(Table4[[#This Row],[all_evtype]]&gt;=1,"1","0")))))/Table4[[#This Row],[HPS_et]]</f>
        <v>0.5</v>
      </c>
      <c r="AB107" s="191">
        <f>VLOOKUP(Table4[[#This Row],[risk_id]],Table3[], 14, FALSE)</f>
        <v>1</v>
      </c>
      <c r="AC107" s="191">
        <f>VLOOKUP(Table4[[#This Row],[risk_id]],Table3[], 15, FALSE)</f>
        <v>2</v>
      </c>
      <c r="AD107" s="191">
        <f>VLOOKUP(Table4[[#This Row],[risk_id]], Table3[], 16, FALSE)</f>
        <v>0</v>
      </c>
      <c r="AE107" s="191">
        <f>VLOOKUP(Table4[[#This Row],[risk_id]], Table3[], 17, )</f>
        <v>0</v>
      </c>
      <c r="AF107" s="191">
        <f>4</f>
        <v>4</v>
      </c>
      <c r="AG107" s="191">
        <f>COUNTIF(Table4[[#This Row],[THEO]:[MOD]], "&gt;=1")</f>
        <v>2</v>
      </c>
      <c r="AH107" s="192">
        <f>Table4[[#This Row],[data_observations]]/Table4[[#This Row],[AllObservations_count]]</f>
        <v>3.1914893617021274E-2</v>
      </c>
      <c r="AI107" s="189">
        <f>Table4[[#This Row],[evidenceamount_pct]]*(Table4[[#This Row],[Indicator_12.5pct]])</f>
        <v>0.39893617021276595</v>
      </c>
      <c r="AJ107" s="198">
        <f>(1-(VLOOKUP(Table4[[#This Row],[risk_id]],Table3[],18, FALSE))/(Table4[[#This Row],[data_observations]]))</f>
        <v>0.66666666666666674</v>
      </c>
      <c r="AK107" s="198">
        <f>((VLOOKUP(Table4[[#This Row],[risk_id]],Table3[],19, FALSE))+((VLOOKUP(Table4[[#This Row],[risk_id]],Table3[],36, FALSE))*0.5))/(Table4[[#This Row],[data_observations]])</f>
        <v>0.5</v>
      </c>
      <c r="AL107" s="177">
        <f>((Table4[[#This Row],[ev_data_deficient_score]]*0.5)+(Table4[[#This Row],[ev_data_availability_score]]*0.5))*(Table4[[#This Row],[Indicator_12.5pct]])</f>
        <v>7.291666666666667</v>
      </c>
      <c r="AM107" s="199">
        <f>Table4[[#This Row],[RiskScore]]</f>
        <v>20</v>
      </c>
      <c r="AN107" s="200">
        <f>VLOOKUP(Table4[[#This Row],[risk_id]], Table3[], 13, FALSE)</f>
        <v>9.428090415820634</v>
      </c>
      <c r="AO107" s="185">
        <f>(1-(Table4[[#This Row],[evidence_SD_RR]]/Table4[[#This Row],[evidence_mean_RR]]))*(Table4[[#This Row],[Indicator_12.5pct]])</f>
        <v>6.6074434901121037</v>
      </c>
      <c r="AP107" s="201">
        <f>VLOOKUP(Table4[[#This Row],[risk_id]],Table3[],21, FALSE)</f>
        <v>0</v>
      </c>
      <c r="AQ107" s="201">
        <f>VLOOKUP(Table4[[#This Row],[risk_id]],Table3[],23, FALSE)</f>
        <v>0.66666666666666663</v>
      </c>
      <c r="AR107" s="201">
        <f>VLOOKUP(Table4[[#This Row],[risk_id]],Table3[],25, FALSE)</f>
        <v>0</v>
      </c>
      <c r="AS107" s="201">
        <f>VLOOKUP(Table4[[#This Row],[risk_id]],Table3[],27, FALSE)</f>
        <v>0.33333333333333331</v>
      </c>
      <c r="AT107" s="183">
        <f>(MAX(Table4[[#This Row],[C]:[U]]))*Table4[[#This Row],[Indicator_20pct]]</f>
        <v>6.6666666666666661</v>
      </c>
      <c r="AU107" s="205">
        <f>COUNTIFS(Table4[[#This Row],[C]], "&gt;0", Table4[[#This Row],[U]], "&gt;0") + COUNTIFS(Table4[[#This Row],[H]], "&gt;0", Table4[[#This Row],[U]], "&gt;0") + COUNTIFS(Table4[[#This Row],[C]], "&gt;0", Table4[[#This Row],[M]], "&gt;0")</f>
        <v>1</v>
      </c>
      <c r="AV107" s="219">
        <f>((-(Table4[[#This Row],[different_scores_count]]-3))/3)*Table4[[#This Row],[Indicator_20pct]]</f>
        <v>6.6666666666666661</v>
      </c>
      <c r="AW107" s="183">
        <f>IF(Table4[[#This Row],[data_observations]]&gt;=5, 30, IF(Table4[[#This Row],[data_observations]]&gt;=3, 15, 0))</f>
        <v>15</v>
      </c>
      <c r="AX107" s="26" t="s">
        <v>2736</v>
      </c>
    </row>
    <row r="108" spans="1:50" ht="32" hidden="1" customHeight="1" x14ac:dyDescent="0.2">
      <c r="A108" s="16" t="s">
        <v>603</v>
      </c>
      <c r="B108" s="16" t="str">
        <f>VLOOKUP(Table4[[#This Row],[risk_id]], Table3[], 35, FALSE)</f>
        <v>Risk</v>
      </c>
      <c r="C108" s="16" t="str">
        <f>VLOOKUP(Table4[[#This Row],[risk_id]], Table3[], 2, FALSE)</f>
        <v>Community</v>
      </c>
      <c r="D108" s="15" t="str">
        <f>VLOOKUP(Table4[[#This Row],[risk_id]], Table3[], 3, FALSE)</f>
        <v>Lost sense of wildness, isolation, and exclusiveness</v>
      </c>
      <c r="E108"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08" s="300">
        <f t="shared" si="6"/>
        <v>20</v>
      </c>
      <c r="G108" s="31">
        <f>Table4[[#This Row],[DataQuality_Score]]</f>
        <v>0.48257978723404255</v>
      </c>
      <c r="H108"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08" s="27" t="str">
        <f>Table4[[#This Row],[LoA - Metric]]&amp; ", " &amp;Table4[[#This Row],[ES - Metric]]</f>
        <v>Medium agreement, Medium evidence</v>
      </c>
      <c r="J108" s="222">
        <f>(Table4[[#This Row],[LoA_SCORE]]+Table4[[#This Row],[ES_SCORE]])/100</f>
        <v>0.48257978723404255</v>
      </c>
      <c r="K108"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08"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08" s="179">
        <f>Table4[[#This Row],[probability_average]]</f>
        <v>4</v>
      </c>
      <c r="N108" s="181">
        <f>Table4[[#This Row],[consequence_average]]</f>
        <v>5</v>
      </c>
      <c r="O108" s="220">
        <f>Table4[[#This Row],[agreementPCT_score]]+Table4[[#This Row],[agreement_dist_score]]+Table4[[#This Row],[LoA_AQ_score]]</f>
        <v>20</v>
      </c>
      <c r="P108" s="203">
        <f>Table4[[#This Row],[evidenceconsistency_score]]+Table4[[#This Row],[EQ_score]]+Table4[[#This Row],[EA_score]]+Table4[[#This Row],[ET_score]]</f>
        <v>28.257978723404257</v>
      </c>
      <c r="Q108" s="181">
        <f>VLOOKUP(Table4[[#This Row],[risk_id]],Table3[],10,FALSE)</f>
        <v>5</v>
      </c>
      <c r="R108" s="181">
        <f>VLOOKUP(Table4[[#This Row],[risk_id]],Table3[],9,FALSE)</f>
        <v>5</v>
      </c>
      <c r="S108" s="179">
        <f>VLOOKUP(Table4[[#This Row],[risk_id]],Table3[],7,FALSE)</f>
        <v>4</v>
      </c>
      <c r="T108" s="179">
        <f>VLOOKUP(Table4[[#This Row],[risk_id]],Table3[],6,FALSE)</f>
        <v>4</v>
      </c>
      <c r="U108" s="177">
        <f t="shared" si="7"/>
        <v>12.5</v>
      </c>
      <c r="V108" s="187">
        <f>10</f>
        <v>10</v>
      </c>
      <c r="W108" s="187">
        <f>30</f>
        <v>30</v>
      </c>
      <c r="X108" s="17">
        <f>VLOOKUP(Table4[[#This Row],[risk_id]],Table3[],5,FALSE)</f>
        <v>1</v>
      </c>
      <c r="Y108" s="17">
        <f>94</f>
        <v>94</v>
      </c>
      <c r="Z108" s="177">
        <f>Table4[[#This Row],[EStype_summed]]*Table4[[#This Row],[Indicator_12.5pct]]</f>
        <v>3.125</v>
      </c>
      <c r="AA108" s="190">
        <f>(IF(Table4[[#This Row],[all_evtype]]&gt;=4,"4", IF(Table4[[#This Row],[all_evtype]]&gt;=3,"3", IF(Table4[[#This Row],[all_evtype]]&gt;=2,"2", IF(Table4[[#This Row],[all_evtype]]&gt;=1,"1","0")))))/Table4[[#This Row],[HPS_et]]</f>
        <v>0.25</v>
      </c>
      <c r="AB108" s="191">
        <f>VLOOKUP(Table4[[#This Row],[risk_id]],Table3[], 14, FALSE)</f>
        <v>0</v>
      </c>
      <c r="AC108" s="191">
        <f>VLOOKUP(Table4[[#This Row],[risk_id]],Table3[], 15, FALSE)</f>
        <v>1</v>
      </c>
      <c r="AD108" s="191">
        <f>VLOOKUP(Table4[[#This Row],[risk_id]], Table3[], 16, FALSE)</f>
        <v>0</v>
      </c>
      <c r="AE108" s="191">
        <f>VLOOKUP(Table4[[#This Row],[risk_id]], Table3[], 17, )</f>
        <v>0</v>
      </c>
      <c r="AF108" s="191">
        <f>4</f>
        <v>4</v>
      </c>
      <c r="AG108" s="191">
        <f>COUNTIF(Table4[[#This Row],[THEO]:[MOD]], "&gt;=1")</f>
        <v>1</v>
      </c>
      <c r="AH108" s="192">
        <f>Table4[[#This Row],[data_observations]]/Table4[[#This Row],[AllObservations_count]]</f>
        <v>1.0638297872340425E-2</v>
      </c>
      <c r="AI108" s="189">
        <f>Table4[[#This Row],[evidenceamount_pct]]*(Table4[[#This Row],[Indicator_12.5pct]])</f>
        <v>0.13297872340425532</v>
      </c>
      <c r="AJ108" s="198">
        <f>(1-(VLOOKUP(Table4[[#This Row],[risk_id]],Table3[],18, FALSE))/(Table4[[#This Row],[data_observations]]))</f>
        <v>1</v>
      </c>
      <c r="AK108" s="198">
        <f>((VLOOKUP(Table4[[#This Row],[risk_id]],Table3[],19, FALSE))+((VLOOKUP(Table4[[#This Row],[risk_id]],Table3[],36, FALSE))*0.5))/(Table4[[#This Row],[data_observations]])</f>
        <v>1</v>
      </c>
      <c r="AL108" s="177">
        <f>((Table4[[#This Row],[ev_data_deficient_score]]*0.5)+(Table4[[#This Row],[ev_data_availability_score]]*0.5))*(Table4[[#This Row],[Indicator_12.5pct]])</f>
        <v>12.5</v>
      </c>
      <c r="AM108" s="199">
        <f>Table4[[#This Row],[RiskScore]]</f>
        <v>20</v>
      </c>
      <c r="AN108" s="200">
        <f>VLOOKUP(Table4[[#This Row],[risk_id]], Table3[], 13, FALSE)</f>
        <v>0</v>
      </c>
      <c r="AO108" s="185">
        <f>(1-(Table4[[#This Row],[evidence_SD_RR]]/Table4[[#This Row],[evidence_mean_RR]]))*(Table4[[#This Row],[Indicator_12.5pct]])</f>
        <v>12.5</v>
      </c>
      <c r="AP108" s="201">
        <f>VLOOKUP(Table4[[#This Row],[risk_id]],Table3[],21, FALSE)</f>
        <v>0</v>
      </c>
      <c r="AQ108" s="201">
        <f>VLOOKUP(Table4[[#This Row],[risk_id]],Table3[],23, FALSE)</f>
        <v>0</v>
      </c>
      <c r="AR108" s="201">
        <f>VLOOKUP(Table4[[#This Row],[risk_id]],Table3[],25, FALSE)</f>
        <v>1</v>
      </c>
      <c r="AS108" s="201">
        <f>VLOOKUP(Table4[[#This Row],[risk_id]],Table3[],27, FALSE)</f>
        <v>0</v>
      </c>
      <c r="AT108" s="183">
        <f>(MAX(Table4[[#This Row],[C]:[U]]))*Table4[[#This Row],[Indicator_20pct]]</f>
        <v>10</v>
      </c>
      <c r="AU108" s="205">
        <f>COUNTIFS(Table4[[#This Row],[C]], "&gt;0", Table4[[#This Row],[U]], "&gt;0") + COUNTIFS(Table4[[#This Row],[H]], "&gt;0", Table4[[#This Row],[U]], "&gt;0") + COUNTIFS(Table4[[#This Row],[C]], "&gt;0", Table4[[#This Row],[M]], "&gt;0")</f>
        <v>0</v>
      </c>
      <c r="AV108" s="219">
        <f>((-(Table4[[#This Row],[different_scores_count]]-3))/3)*Table4[[#This Row],[Indicator_20pct]]</f>
        <v>10</v>
      </c>
      <c r="AW108" s="183">
        <f>IF(Table4[[#This Row],[data_observations]]&gt;=5, 30, IF(Table4[[#This Row],[data_observations]]&gt;=3, 15, 0))</f>
        <v>0</v>
      </c>
      <c r="AX108" s="26" t="s">
        <v>2736</v>
      </c>
    </row>
    <row r="109" spans="1:50" ht="32" hidden="1" customHeight="1" x14ac:dyDescent="0.2">
      <c r="A109" s="16" t="s">
        <v>604</v>
      </c>
      <c r="B109" s="16" t="str">
        <f>VLOOKUP(Table4[[#This Row],[risk_id]], Table3[], 35, FALSE)</f>
        <v>Risk</v>
      </c>
      <c r="C109" s="16" t="str">
        <f>VLOOKUP(Table4[[#This Row],[risk_id]], Table3[], 2, FALSE)</f>
        <v>Environmental</v>
      </c>
      <c r="D109" s="15" t="str">
        <f>VLOOKUP(Table4[[#This Row],[risk_id]], Table3[], 3, FALSE)</f>
        <v>National heritage degration</v>
      </c>
      <c r="E109"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09" s="300">
        <f t="shared" si="6"/>
        <v>20</v>
      </c>
      <c r="G109" s="31">
        <f>Table4[[#This Row],[DataQuality_Score]]</f>
        <v>0.48257978723404255</v>
      </c>
      <c r="H109"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09" s="27" t="str">
        <f>Table4[[#This Row],[LoA - Metric]]&amp; ", " &amp;Table4[[#This Row],[ES - Metric]]</f>
        <v>Medium agreement, Medium evidence</v>
      </c>
      <c r="J109" s="222">
        <f>(Table4[[#This Row],[LoA_SCORE]]+Table4[[#This Row],[ES_SCORE]])/100</f>
        <v>0.48257978723404255</v>
      </c>
      <c r="K109"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09"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09" s="179">
        <f>Table4[[#This Row],[probability_average]]</f>
        <v>5</v>
      </c>
      <c r="N109" s="181">
        <f>Table4[[#This Row],[consequence_average]]</f>
        <v>4</v>
      </c>
      <c r="O109" s="220">
        <f>Table4[[#This Row],[agreementPCT_score]]+Table4[[#This Row],[agreement_dist_score]]+Table4[[#This Row],[LoA_AQ_score]]</f>
        <v>20</v>
      </c>
      <c r="P109" s="203">
        <f>Table4[[#This Row],[evidenceconsistency_score]]+Table4[[#This Row],[EQ_score]]+Table4[[#This Row],[EA_score]]+Table4[[#This Row],[ET_score]]</f>
        <v>28.257978723404257</v>
      </c>
      <c r="Q109" s="181">
        <f>VLOOKUP(Table4[[#This Row],[risk_id]],Table3[],10,FALSE)</f>
        <v>4</v>
      </c>
      <c r="R109" s="181">
        <f>VLOOKUP(Table4[[#This Row],[risk_id]],Table3[],9,FALSE)</f>
        <v>4</v>
      </c>
      <c r="S109" s="179">
        <f>VLOOKUP(Table4[[#This Row],[risk_id]],Table3[],7,FALSE)</f>
        <v>5</v>
      </c>
      <c r="T109" s="179">
        <f>VLOOKUP(Table4[[#This Row],[risk_id]],Table3[],6,FALSE)</f>
        <v>5</v>
      </c>
      <c r="U109" s="177">
        <f t="shared" si="7"/>
        <v>12.5</v>
      </c>
      <c r="V109" s="187">
        <f>10</f>
        <v>10</v>
      </c>
      <c r="W109" s="187">
        <f>30</f>
        <v>30</v>
      </c>
      <c r="X109" s="17">
        <f>VLOOKUP(Table4[[#This Row],[risk_id]],Table3[],5,FALSE)</f>
        <v>1</v>
      </c>
      <c r="Y109" s="17">
        <f>94</f>
        <v>94</v>
      </c>
      <c r="Z109" s="177">
        <f>Table4[[#This Row],[EStype_summed]]*Table4[[#This Row],[Indicator_12.5pct]]</f>
        <v>3.125</v>
      </c>
      <c r="AA109" s="190">
        <f>(IF(Table4[[#This Row],[all_evtype]]&gt;=4,"4", IF(Table4[[#This Row],[all_evtype]]&gt;=3,"3", IF(Table4[[#This Row],[all_evtype]]&gt;=2,"2", IF(Table4[[#This Row],[all_evtype]]&gt;=1,"1","0")))))/Table4[[#This Row],[HPS_et]]</f>
        <v>0.25</v>
      </c>
      <c r="AB109" s="191">
        <f>VLOOKUP(Table4[[#This Row],[risk_id]],Table3[], 14, FALSE)</f>
        <v>0</v>
      </c>
      <c r="AC109" s="191">
        <f>VLOOKUP(Table4[[#This Row],[risk_id]],Table3[], 15, FALSE)</f>
        <v>0</v>
      </c>
      <c r="AD109" s="191">
        <f>VLOOKUP(Table4[[#This Row],[risk_id]], Table3[], 16, FALSE)</f>
        <v>1</v>
      </c>
      <c r="AE109" s="191">
        <f>VLOOKUP(Table4[[#This Row],[risk_id]], Table3[], 17, )</f>
        <v>0</v>
      </c>
      <c r="AF109" s="191">
        <f>4</f>
        <v>4</v>
      </c>
      <c r="AG109" s="191">
        <f>COUNTIF(Table4[[#This Row],[THEO]:[MOD]], "&gt;=1")</f>
        <v>1</v>
      </c>
      <c r="AH109" s="192">
        <f>Table4[[#This Row],[data_observations]]/Table4[[#This Row],[AllObservations_count]]</f>
        <v>1.0638297872340425E-2</v>
      </c>
      <c r="AI109" s="189">
        <f>Table4[[#This Row],[evidenceamount_pct]]*(Table4[[#This Row],[Indicator_12.5pct]])</f>
        <v>0.13297872340425532</v>
      </c>
      <c r="AJ109" s="198">
        <f>(1-(VLOOKUP(Table4[[#This Row],[risk_id]],Table3[],18, FALSE))/(Table4[[#This Row],[data_observations]]))</f>
        <v>1</v>
      </c>
      <c r="AK109" s="198">
        <f>((VLOOKUP(Table4[[#This Row],[risk_id]],Table3[],19, FALSE))+((VLOOKUP(Table4[[#This Row],[risk_id]],Table3[],36, FALSE))*0.5))/(Table4[[#This Row],[data_observations]])</f>
        <v>1</v>
      </c>
      <c r="AL109" s="177">
        <f>((Table4[[#This Row],[ev_data_deficient_score]]*0.5)+(Table4[[#This Row],[ev_data_availability_score]]*0.5))*(Table4[[#This Row],[Indicator_12.5pct]])</f>
        <v>12.5</v>
      </c>
      <c r="AM109" s="199">
        <f>Table4[[#This Row],[RiskScore]]</f>
        <v>20</v>
      </c>
      <c r="AN109" s="200">
        <f>VLOOKUP(Table4[[#This Row],[risk_id]], Table3[], 13, FALSE)</f>
        <v>0</v>
      </c>
      <c r="AO109" s="185">
        <f>(1-(Table4[[#This Row],[evidence_SD_RR]]/Table4[[#This Row],[evidence_mean_RR]]))*(Table4[[#This Row],[Indicator_12.5pct]])</f>
        <v>12.5</v>
      </c>
      <c r="AP109" s="201">
        <f>VLOOKUP(Table4[[#This Row],[risk_id]],Table3[],21, FALSE)</f>
        <v>0</v>
      </c>
      <c r="AQ109" s="201">
        <f>VLOOKUP(Table4[[#This Row],[risk_id]],Table3[],23, FALSE)</f>
        <v>0</v>
      </c>
      <c r="AR109" s="201">
        <f>VLOOKUP(Table4[[#This Row],[risk_id]],Table3[],25, FALSE)</f>
        <v>1</v>
      </c>
      <c r="AS109" s="201">
        <f>VLOOKUP(Table4[[#This Row],[risk_id]],Table3[],27, FALSE)</f>
        <v>0</v>
      </c>
      <c r="AT109" s="183">
        <f>(MAX(Table4[[#This Row],[C]:[U]]))*Table4[[#This Row],[Indicator_20pct]]</f>
        <v>10</v>
      </c>
      <c r="AU109" s="205">
        <f>COUNTIFS(Table4[[#This Row],[C]], "&gt;0", Table4[[#This Row],[U]], "&gt;0") + COUNTIFS(Table4[[#This Row],[H]], "&gt;0", Table4[[#This Row],[U]], "&gt;0") + COUNTIFS(Table4[[#This Row],[C]], "&gt;0", Table4[[#This Row],[M]], "&gt;0")</f>
        <v>0</v>
      </c>
      <c r="AV109" s="219">
        <f>((-(Table4[[#This Row],[different_scores_count]]-3))/3)*Table4[[#This Row],[Indicator_20pct]]</f>
        <v>10</v>
      </c>
      <c r="AW109" s="183">
        <f>IF(Table4[[#This Row],[data_observations]]&gt;=5, 30, IF(Table4[[#This Row],[data_observations]]&gt;=3, 15, 0))</f>
        <v>0</v>
      </c>
      <c r="AX109" s="26" t="s">
        <v>2736</v>
      </c>
    </row>
    <row r="110" spans="1:50" ht="32" hidden="1" customHeight="1" x14ac:dyDescent="0.2">
      <c r="A110" s="16" t="s">
        <v>519</v>
      </c>
      <c r="B110" s="16" t="str">
        <f>VLOOKUP(Table4[[#This Row],[risk_id]], Table3[], 35, FALSE)</f>
        <v>Risk</v>
      </c>
      <c r="C110" s="16" t="str">
        <f>VLOOKUP(Table4[[#This Row],[risk_id]], Table3[], 2, FALSE)</f>
        <v>Political</v>
      </c>
      <c r="D110" s="15" t="str">
        <f>VLOOKUP(Table4[[#This Row],[risk_id]], Table3[], 3, FALSE)</f>
        <v>Geo-millitary factors</v>
      </c>
      <c r="E110"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10" s="300">
        <f t="shared" si="6"/>
        <v>20</v>
      </c>
      <c r="G110" s="31">
        <f>Table4[[#This Row],[DataQuality_Score]]</f>
        <v>0.45591504749987249</v>
      </c>
      <c r="H110"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10" s="27" t="str">
        <f>Table4[[#This Row],[LoA - Metric]]&amp; ", " &amp;Table4[[#This Row],[ES - Metric]]</f>
        <v>Medium agreement, Medium evidence</v>
      </c>
      <c r="J110" s="222">
        <f>(Table4[[#This Row],[LoA_SCORE]]+Table4[[#This Row],[ES_SCORE]])/100</f>
        <v>0.45591504749987249</v>
      </c>
      <c r="K110"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10"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10" s="179">
        <f>Table4[[#This Row],[probability_average]]</f>
        <v>3.3333333333333335</v>
      </c>
      <c r="N110" s="181">
        <f>Table4[[#This Row],[consequence_average]]</f>
        <v>6</v>
      </c>
      <c r="O110" s="220">
        <f>Table4[[#This Row],[agreementPCT_score]]+Table4[[#This Row],[agreement_dist_score]]+Table4[[#This Row],[LoA_AQ_score]]</f>
        <v>25</v>
      </c>
      <c r="P110" s="203">
        <f>Table4[[#This Row],[evidenceconsistency_score]]+Table4[[#This Row],[EQ_score]]+Table4[[#This Row],[EA_score]]+Table4[[#This Row],[ET_score]]</f>
        <v>20.591504749987251</v>
      </c>
      <c r="Q110" s="181">
        <f>VLOOKUP(Table4[[#This Row],[risk_id]],Table3[],10,FALSE)</f>
        <v>6</v>
      </c>
      <c r="R110" s="181">
        <f>VLOOKUP(Table4[[#This Row],[risk_id]],Table3[],9,FALSE)</f>
        <v>18</v>
      </c>
      <c r="S110" s="179">
        <f>VLOOKUP(Table4[[#This Row],[risk_id]],Table3[],7,FALSE)</f>
        <v>3.3333333333333335</v>
      </c>
      <c r="T110" s="179">
        <f>VLOOKUP(Table4[[#This Row],[risk_id]],Table3[],6,FALSE)</f>
        <v>10</v>
      </c>
      <c r="U110" s="177">
        <f t="shared" si="7"/>
        <v>12.5</v>
      </c>
      <c r="V110" s="187">
        <f>10</f>
        <v>10</v>
      </c>
      <c r="W110" s="187">
        <f>30</f>
        <v>30</v>
      </c>
      <c r="X110" s="17">
        <f>VLOOKUP(Table4[[#This Row],[risk_id]],Table3[],5,FALSE)</f>
        <v>3</v>
      </c>
      <c r="Y110" s="17">
        <f>94</f>
        <v>94</v>
      </c>
      <c r="Z110" s="177">
        <f>Table4[[#This Row],[EStype_summed]]*Table4[[#This Row],[Indicator_12.5pct]]</f>
        <v>6.25</v>
      </c>
      <c r="AA110" s="190">
        <f>(IF(Table4[[#This Row],[all_evtype]]&gt;=4,"4", IF(Table4[[#This Row],[all_evtype]]&gt;=3,"3", IF(Table4[[#This Row],[all_evtype]]&gt;=2,"2", IF(Table4[[#This Row],[all_evtype]]&gt;=1,"1","0")))))/Table4[[#This Row],[HPS_et]]</f>
        <v>0.5</v>
      </c>
      <c r="AB110" s="191">
        <f>VLOOKUP(Table4[[#This Row],[risk_id]],Table3[], 14, FALSE)</f>
        <v>1</v>
      </c>
      <c r="AC110" s="191">
        <f>VLOOKUP(Table4[[#This Row],[risk_id]],Table3[], 15, FALSE)</f>
        <v>2</v>
      </c>
      <c r="AD110" s="191">
        <f>VLOOKUP(Table4[[#This Row],[risk_id]], Table3[], 16, FALSE)</f>
        <v>0</v>
      </c>
      <c r="AE110" s="191">
        <f>VLOOKUP(Table4[[#This Row],[risk_id]], Table3[], 17, )</f>
        <v>0</v>
      </c>
      <c r="AF110" s="191">
        <f>4</f>
        <v>4</v>
      </c>
      <c r="AG110" s="191">
        <f>COUNTIF(Table4[[#This Row],[THEO]:[MOD]], "&gt;=1")</f>
        <v>2</v>
      </c>
      <c r="AH110" s="192">
        <f>Table4[[#This Row],[data_observations]]/Table4[[#This Row],[AllObservations_count]]</f>
        <v>3.1914893617021274E-2</v>
      </c>
      <c r="AI110" s="189">
        <f>Table4[[#This Row],[evidenceamount_pct]]*(Table4[[#This Row],[Indicator_12.5pct]])</f>
        <v>0.39893617021276595</v>
      </c>
      <c r="AJ110" s="198">
        <f>(1-(VLOOKUP(Table4[[#This Row],[risk_id]],Table3[],18, FALSE))/(Table4[[#This Row],[data_observations]]))</f>
        <v>0.66666666666666674</v>
      </c>
      <c r="AK110" s="198">
        <f>((VLOOKUP(Table4[[#This Row],[risk_id]],Table3[],19, FALSE))+((VLOOKUP(Table4[[#This Row],[risk_id]],Table3[],36, FALSE))*0.5))/(Table4[[#This Row],[data_observations]])</f>
        <v>0.66666666666666663</v>
      </c>
      <c r="AL110" s="177">
        <f>((Table4[[#This Row],[ev_data_deficient_score]]*0.5)+(Table4[[#This Row],[ev_data_availability_score]]*0.5))*(Table4[[#This Row],[Indicator_12.5pct]])</f>
        <v>8.3333333333333339</v>
      </c>
      <c r="AM110" s="199">
        <f>Table4[[#This Row],[RiskScore]]</f>
        <v>20</v>
      </c>
      <c r="AN110" s="200">
        <f>VLOOKUP(Table4[[#This Row],[risk_id]], Table3[], 13, FALSE)</f>
        <v>11.025223605694151</v>
      </c>
      <c r="AO110" s="185">
        <f>(1-(Table4[[#This Row],[evidence_SD_RR]]/Table4[[#This Row],[evidence_mean_RR]]))*(Table4[[#This Row],[Indicator_12.5pct]])</f>
        <v>5.6092352464411546</v>
      </c>
      <c r="AP110" s="201">
        <f>VLOOKUP(Table4[[#This Row],[risk_id]],Table3[],21, FALSE)</f>
        <v>0</v>
      </c>
      <c r="AQ110" s="201">
        <f>VLOOKUP(Table4[[#This Row],[risk_id]],Table3[],23, FALSE)</f>
        <v>0.33333333333333331</v>
      </c>
      <c r="AR110" s="201">
        <f>VLOOKUP(Table4[[#This Row],[risk_id]],Table3[],25, FALSE)</f>
        <v>0.33333333333333331</v>
      </c>
      <c r="AS110" s="201">
        <f>VLOOKUP(Table4[[#This Row],[risk_id]],Table3[],27, FALSE)</f>
        <v>0.33333333333333331</v>
      </c>
      <c r="AT110" s="183">
        <f>(MAX(Table4[[#This Row],[C]:[U]]))*Table4[[#This Row],[Indicator_20pct]]</f>
        <v>3.333333333333333</v>
      </c>
      <c r="AU110" s="205">
        <f>COUNTIFS(Table4[[#This Row],[C]], "&gt;0", Table4[[#This Row],[U]], "&gt;0") + COUNTIFS(Table4[[#This Row],[H]], "&gt;0", Table4[[#This Row],[U]], "&gt;0") + COUNTIFS(Table4[[#This Row],[C]], "&gt;0", Table4[[#This Row],[M]], "&gt;0")</f>
        <v>1</v>
      </c>
      <c r="AV110" s="219">
        <f>((-(Table4[[#This Row],[different_scores_count]]-3))/3)*Table4[[#This Row],[Indicator_20pct]]</f>
        <v>6.6666666666666661</v>
      </c>
      <c r="AW110" s="183">
        <f>IF(Table4[[#This Row],[data_observations]]&gt;=5, 30, IF(Table4[[#This Row],[data_observations]]&gt;=3, 15, 0))</f>
        <v>15</v>
      </c>
      <c r="AX110" s="26" t="s">
        <v>2737</v>
      </c>
    </row>
    <row r="111" spans="1:50" ht="32" hidden="1" customHeight="1" x14ac:dyDescent="0.2">
      <c r="A111" s="16" t="s">
        <v>659</v>
      </c>
      <c r="B111" s="16" t="str">
        <f>VLOOKUP(Table4[[#This Row],[risk_id]], Table3[], 35, FALSE)</f>
        <v>Risk</v>
      </c>
      <c r="C111" s="16" t="str">
        <f>VLOOKUP(Table4[[#This Row],[risk_id]], Table3[], 2, FALSE)</f>
        <v>Navigational</v>
      </c>
      <c r="D111" s="15" t="str">
        <f>VLOOKUP(Table4[[#This Row],[risk_id]], Table3[], 3, FALSE)</f>
        <v>Vessel capsizing</v>
      </c>
      <c r="E111"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11" s="300">
        <f t="shared" si="6"/>
        <v>20</v>
      </c>
      <c r="G111" s="31">
        <f>Table4[[#This Row],[DataQuality_Score]]</f>
        <v>0.45265957446808514</v>
      </c>
      <c r="H111"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11" s="27" t="str">
        <f>Table4[[#This Row],[LoA - Metric]]&amp; ", " &amp;Table4[[#This Row],[ES - Metric]]</f>
        <v>Medium agreement, Medium evidence</v>
      </c>
      <c r="J111" s="222">
        <f>(Table4[[#This Row],[LoA_SCORE]]+Table4[[#This Row],[ES_SCORE]])/100</f>
        <v>0.45265957446808514</v>
      </c>
      <c r="K111"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11"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11" s="179">
        <f>Table4[[#This Row],[probability_average]]</f>
        <v>2</v>
      </c>
      <c r="N111" s="181">
        <f>Table4[[#This Row],[consequence_average]]</f>
        <v>10</v>
      </c>
      <c r="O111" s="220">
        <f>Table4[[#This Row],[agreementPCT_score]]+Table4[[#This Row],[agreement_dist_score]]+Table4[[#This Row],[LoA_AQ_score]]</f>
        <v>20</v>
      </c>
      <c r="P111" s="203">
        <f>Table4[[#This Row],[evidenceconsistency_score]]+Table4[[#This Row],[EQ_score]]+Table4[[#This Row],[EA_score]]+Table4[[#This Row],[ET_score]]</f>
        <v>25.26595744680851</v>
      </c>
      <c r="Q111" s="181">
        <f>VLOOKUP(Table4[[#This Row],[risk_id]],Table3[],10,FALSE)</f>
        <v>10</v>
      </c>
      <c r="R111" s="181">
        <f>VLOOKUP(Table4[[#This Row],[risk_id]],Table3[],9,FALSE)</f>
        <v>20</v>
      </c>
      <c r="S111" s="179">
        <f>VLOOKUP(Table4[[#This Row],[risk_id]],Table3[],7,FALSE)</f>
        <v>2</v>
      </c>
      <c r="T111" s="179">
        <f>VLOOKUP(Table4[[#This Row],[risk_id]],Table3[],6,FALSE)</f>
        <v>4</v>
      </c>
      <c r="U111" s="177">
        <f t="shared" si="7"/>
        <v>12.5</v>
      </c>
      <c r="V111" s="187">
        <f>10</f>
        <v>10</v>
      </c>
      <c r="W111" s="187">
        <f>30</f>
        <v>30</v>
      </c>
      <c r="X111" s="17">
        <f>VLOOKUP(Table4[[#This Row],[risk_id]],Table3[],5,FALSE)</f>
        <v>2</v>
      </c>
      <c r="Y111" s="17">
        <f>94</f>
        <v>94</v>
      </c>
      <c r="Z111" s="177">
        <f>Table4[[#This Row],[EStype_summed]]*Table4[[#This Row],[Indicator_12.5pct]]</f>
        <v>3.125</v>
      </c>
      <c r="AA111" s="190">
        <f>(IF(Table4[[#This Row],[all_evtype]]&gt;=4,"4", IF(Table4[[#This Row],[all_evtype]]&gt;=3,"3", IF(Table4[[#This Row],[all_evtype]]&gt;=2,"2", IF(Table4[[#This Row],[all_evtype]]&gt;=1,"1","0")))))/Table4[[#This Row],[HPS_et]]</f>
        <v>0.25</v>
      </c>
      <c r="AB111" s="191">
        <f>VLOOKUP(Table4[[#This Row],[risk_id]],Table3[], 14, FALSE)</f>
        <v>0</v>
      </c>
      <c r="AC111" s="191">
        <f>VLOOKUP(Table4[[#This Row],[risk_id]],Table3[], 15, FALSE)</f>
        <v>2</v>
      </c>
      <c r="AD111" s="191">
        <f>VLOOKUP(Table4[[#This Row],[risk_id]], Table3[], 16, FALSE)</f>
        <v>0</v>
      </c>
      <c r="AE111" s="191">
        <f>VLOOKUP(Table4[[#This Row],[risk_id]], Table3[], 17, )</f>
        <v>0</v>
      </c>
      <c r="AF111" s="191">
        <f>4</f>
        <v>4</v>
      </c>
      <c r="AG111" s="191">
        <f>COUNTIF(Table4[[#This Row],[THEO]:[MOD]], "&gt;=1")</f>
        <v>1</v>
      </c>
      <c r="AH111" s="192">
        <f>Table4[[#This Row],[data_observations]]/Table4[[#This Row],[AllObservations_count]]</f>
        <v>2.1276595744680851E-2</v>
      </c>
      <c r="AI111" s="189">
        <f>Table4[[#This Row],[evidenceamount_pct]]*(Table4[[#This Row],[Indicator_12.5pct]])</f>
        <v>0.26595744680851063</v>
      </c>
      <c r="AJ111" s="198">
        <f>(1-(VLOOKUP(Table4[[#This Row],[risk_id]],Table3[],18, FALSE))/(Table4[[#This Row],[data_observations]]))</f>
        <v>1</v>
      </c>
      <c r="AK111" s="198">
        <f>((VLOOKUP(Table4[[#This Row],[risk_id]],Table3[],19, FALSE))+((VLOOKUP(Table4[[#This Row],[risk_id]],Table3[],36, FALSE))*0.5))/(Table4[[#This Row],[data_observations]])</f>
        <v>0.5</v>
      </c>
      <c r="AL111" s="177">
        <f>((Table4[[#This Row],[ev_data_deficient_score]]*0.5)+(Table4[[#This Row],[ev_data_availability_score]]*0.5))*(Table4[[#This Row],[Indicator_12.5pct]])</f>
        <v>9.375</v>
      </c>
      <c r="AM111" s="199">
        <f>Table4[[#This Row],[RiskScore]]</f>
        <v>20</v>
      </c>
      <c r="AN111" s="200">
        <f>VLOOKUP(Table4[[#This Row],[risk_id]], Table3[], 13, FALSE)</f>
        <v>0</v>
      </c>
      <c r="AO111" s="185">
        <f>(1-(Table4[[#This Row],[evidence_SD_RR]]/Table4[[#This Row],[evidence_mean_RR]]))*(Table4[[#This Row],[Indicator_12.5pct]])</f>
        <v>12.5</v>
      </c>
      <c r="AP111" s="201">
        <f>VLOOKUP(Table4[[#This Row],[risk_id]],Table3[],21, FALSE)</f>
        <v>0</v>
      </c>
      <c r="AQ111" s="201">
        <f>VLOOKUP(Table4[[#This Row],[risk_id]],Table3[],23, FALSE)</f>
        <v>0</v>
      </c>
      <c r="AR111" s="201">
        <f>VLOOKUP(Table4[[#This Row],[risk_id]],Table3[],25, FALSE)</f>
        <v>1</v>
      </c>
      <c r="AS111" s="201">
        <f>VLOOKUP(Table4[[#This Row],[risk_id]],Table3[],27, FALSE)</f>
        <v>0</v>
      </c>
      <c r="AT111" s="183">
        <f>(MAX(Table4[[#This Row],[C]:[U]]))*Table4[[#This Row],[Indicator_20pct]]</f>
        <v>10</v>
      </c>
      <c r="AU111" s="205">
        <f>COUNTIFS(Table4[[#This Row],[C]], "&gt;0", Table4[[#This Row],[U]], "&gt;0") + COUNTIFS(Table4[[#This Row],[H]], "&gt;0", Table4[[#This Row],[U]], "&gt;0") + COUNTIFS(Table4[[#This Row],[C]], "&gt;0", Table4[[#This Row],[M]], "&gt;0")</f>
        <v>0</v>
      </c>
      <c r="AV111" s="219">
        <f>((-(Table4[[#This Row],[different_scores_count]]-3))/3)*Table4[[#This Row],[Indicator_20pct]]</f>
        <v>10</v>
      </c>
      <c r="AW111" s="183">
        <f>IF(Table4[[#This Row],[data_observations]]&gt;=5, 30, IF(Table4[[#This Row],[data_observations]]&gt;=3, 15, 0))</f>
        <v>0</v>
      </c>
      <c r="AX111" s="26" t="s">
        <v>2737</v>
      </c>
    </row>
    <row r="112" spans="1:50" ht="32" hidden="1" customHeight="1" x14ac:dyDescent="0.2">
      <c r="A112" s="16" t="s">
        <v>538</v>
      </c>
      <c r="B112" s="16" t="str">
        <f>VLOOKUP(Table4[[#This Row],[risk_id]], Table3[], 35, FALSE)</f>
        <v>Risk</v>
      </c>
      <c r="C112" s="16" t="str">
        <f>VLOOKUP(Table4[[#This Row],[risk_id]], Table3[], 2, FALSE)</f>
        <v>Assessment</v>
      </c>
      <c r="D112" s="15" t="str">
        <f>VLOOKUP(Table4[[#This Row],[risk_id]], Table3[], 3, FALSE)</f>
        <v>Inadeqaute tools for socioeconomic imapct assessment</v>
      </c>
      <c r="E112"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12" s="300">
        <f t="shared" si="6"/>
        <v>20</v>
      </c>
      <c r="G112" s="31">
        <f>Table4[[#This Row],[DataQuality_Score]]</f>
        <v>0.45132978723404255</v>
      </c>
      <c r="H112"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12" s="27" t="str">
        <f>Table4[[#This Row],[LoA - Metric]]&amp; ", " &amp;Table4[[#This Row],[ES - Metric]]</f>
        <v>Medium agreement, Medium evidence</v>
      </c>
      <c r="J112" s="222">
        <f>(Table4[[#This Row],[LoA_SCORE]]+Table4[[#This Row],[ES_SCORE]])/100</f>
        <v>0.45132978723404255</v>
      </c>
      <c r="K112"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12"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12" s="179">
        <f>Table4[[#This Row],[probability_average]]</f>
        <v>5</v>
      </c>
      <c r="N112" s="181">
        <f>Table4[[#This Row],[consequence_average]]</f>
        <v>4</v>
      </c>
      <c r="O112" s="220">
        <f>Table4[[#This Row],[agreementPCT_score]]+Table4[[#This Row],[agreement_dist_score]]+Table4[[#This Row],[LoA_AQ_score]]</f>
        <v>20</v>
      </c>
      <c r="P112" s="203">
        <f>Table4[[#This Row],[evidenceconsistency_score]]+Table4[[#This Row],[EQ_score]]+Table4[[#This Row],[EA_score]]+Table4[[#This Row],[ET_score]]</f>
        <v>25.132978723404257</v>
      </c>
      <c r="Q112" s="181">
        <f>VLOOKUP(Table4[[#This Row],[risk_id]],Table3[],10,FALSE)</f>
        <v>4</v>
      </c>
      <c r="R112" s="181">
        <f>VLOOKUP(Table4[[#This Row],[risk_id]],Table3[],9,FALSE)</f>
        <v>4</v>
      </c>
      <c r="S112" s="179">
        <f>VLOOKUP(Table4[[#This Row],[risk_id]],Table3[],7,FALSE)</f>
        <v>5</v>
      </c>
      <c r="T112" s="179">
        <f>VLOOKUP(Table4[[#This Row],[risk_id]],Table3[],6,FALSE)</f>
        <v>5</v>
      </c>
      <c r="U112" s="177">
        <f t="shared" si="7"/>
        <v>12.5</v>
      </c>
      <c r="V112" s="187">
        <f>10</f>
        <v>10</v>
      </c>
      <c r="W112" s="187">
        <f>30</f>
        <v>30</v>
      </c>
      <c r="X112" s="17">
        <f>VLOOKUP(Table4[[#This Row],[risk_id]],Table3[],5,FALSE)</f>
        <v>1</v>
      </c>
      <c r="Y112" s="17">
        <f>94</f>
        <v>94</v>
      </c>
      <c r="Z112" s="177">
        <f>Table4[[#This Row],[EStype_summed]]*Table4[[#This Row],[Indicator_12.5pct]]</f>
        <v>3.125</v>
      </c>
      <c r="AA112" s="190">
        <f>(IF(Table4[[#This Row],[all_evtype]]&gt;=4,"4", IF(Table4[[#This Row],[all_evtype]]&gt;=3,"3", IF(Table4[[#This Row],[all_evtype]]&gt;=2,"2", IF(Table4[[#This Row],[all_evtype]]&gt;=1,"1","0")))))/Table4[[#This Row],[HPS_et]]</f>
        <v>0.25</v>
      </c>
      <c r="AB112" s="191">
        <f>VLOOKUP(Table4[[#This Row],[risk_id]],Table3[], 14, FALSE)</f>
        <v>1</v>
      </c>
      <c r="AC112" s="191">
        <f>VLOOKUP(Table4[[#This Row],[risk_id]],Table3[], 15, FALSE)</f>
        <v>0</v>
      </c>
      <c r="AD112" s="191">
        <f>VLOOKUP(Table4[[#This Row],[risk_id]], Table3[], 16, FALSE)</f>
        <v>0</v>
      </c>
      <c r="AE112" s="191">
        <f>VLOOKUP(Table4[[#This Row],[risk_id]], Table3[], 17, )</f>
        <v>0</v>
      </c>
      <c r="AF112" s="191">
        <f>4</f>
        <v>4</v>
      </c>
      <c r="AG112" s="191">
        <f>COUNTIF(Table4[[#This Row],[THEO]:[MOD]], "&gt;=1")</f>
        <v>1</v>
      </c>
      <c r="AH112" s="192">
        <f>Table4[[#This Row],[data_observations]]/Table4[[#This Row],[AllObservations_count]]</f>
        <v>1.0638297872340425E-2</v>
      </c>
      <c r="AI112" s="189">
        <f>Table4[[#This Row],[evidenceamount_pct]]*(Table4[[#This Row],[Indicator_12.5pct]])</f>
        <v>0.13297872340425532</v>
      </c>
      <c r="AJ112" s="198">
        <f>(1-(VLOOKUP(Table4[[#This Row],[risk_id]],Table3[],18, FALSE))/(Table4[[#This Row],[data_observations]]))</f>
        <v>1</v>
      </c>
      <c r="AK112" s="198">
        <f>((VLOOKUP(Table4[[#This Row],[risk_id]],Table3[],19, FALSE))+((VLOOKUP(Table4[[#This Row],[risk_id]],Table3[],36, FALSE))*0.5))/(Table4[[#This Row],[data_observations]])</f>
        <v>0.5</v>
      </c>
      <c r="AL112" s="177">
        <f>((Table4[[#This Row],[ev_data_deficient_score]]*0.5)+(Table4[[#This Row],[ev_data_availability_score]]*0.5))*(Table4[[#This Row],[Indicator_12.5pct]])</f>
        <v>9.375</v>
      </c>
      <c r="AM112" s="199">
        <f>Table4[[#This Row],[RiskScore]]</f>
        <v>20</v>
      </c>
      <c r="AN112" s="200">
        <f>VLOOKUP(Table4[[#This Row],[risk_id]], Table3[], 13, FALSE)</f>
        <v>0</v>
      </c>
      <c r="AO112" s="185">
        <f>(1-(Table4[[#This Row],[evidence_SD_RR]]/Table4[[#This Row],[evidence_mean_RR]]))*(Table4[[#This Row],[Indicator_12.5pct]])</f>
        <v>12.5</v>
      </c>
      <c r="AP112" s="201">
        <f>VLOOKUP(Table4[[#This Row],[risk_id]],Table3[],21, FALSE)</f>
        <v>0</v>
      </c>
      <c r="AQ112" s="201">
        <f>VLOOKUP(Table4[[#This Row],[risk_id]],Table3[],23, FALSE)</f>
        <v>0</v>
      </c>
      <c r="AR112" s="201">
        <f>VLOOKUP(Table4[[#This Row],[risk_id]],Table3[],25, FALSE)</f>
        <v>1</v>
      </c>
      <c r="AS112" s="201">
        <f>VLOOKUP(Table4[[#This Row],[risk_id]],Table3[],27, FALSE)</f>
        <v>0</v>
      </c>
      <c r="AT112" s="183">
        <f>(MAX(Table4[[#This Row],[C]:[U]]))*Table4[[#This Row],[Indicator_20pct]]</f>
        <v>10</v>
      </c>
      <c r="AU112" s="205">
        <f>COUNTIFS(Table4[[#This Row],[C]], "&gt;0", Table4[[#This Row],[U]], "&gt;0") + COUNTIFS(Table4[[#This Row],[H]], "&gt;0", Table4[[#This Row],[U]], "&gt;0") + COUNTIFS(Table4[[#This Row],[C]], "&gt;0", Table4[[#This Row],[M]], "&gt;0")</f>
        <v>0</v>
      </c>
      <c r="AV112" s="219">
        <f>((-(Table4[[#This Row],[different_scores_count]]-3))/3)*Table4[[#This Row],[Indicator_20pct]]</f>
        <v>10</v>
      </c>
      <c r="AW112" s="183">
        <f>IF(Table4[[#This Row],[data_observations]]&gt;=5, 30, IF(Table4[[#This Row],[data_observations]]&gt;=3, 15, 0))</f>
        <v>0</v>
      </c>
      <c r="AX112" s="26" t="s">
        <v>2736</v>
      </c>
    </row>
    <row r="113" spans="1:50" ht="32" hidden="1" customHeight="1" x14ac:dyDescent="0.2">
      <c r="A113" s="16" t="s">
        <v>579</v>
      </c>
      <c r="B113" s="16" t="str">
        <f>VLOOKUP(Table4[[#This Row],[risk_id]], Table3[], 35, FALSE)</f>
        <v>Risk</v>
      </c>
      <c r="C113" s="16" t="str">
        <f>VLOOKUP(Table4[[#This Row],[risk_id]], Table3[], 2, FALSE)</f>
        <v>Political</v>
      </c>
      <c r="D113" s="15" t="str">
        <f>VLOOKUP(Table4[[#This Row],[risk_id]], Table3[], 3, FALSE)</f>
        <v>Legal dispute over northwest passage staus</v>
      </c>
      <c r="E113"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13" s="300">
        <f t="shared" si="6"/>
        <v>20</v>
      </c>
      <c r="G113" s="31">
        <f>Table4[[#This Row],[DataQuality_Score]]</f>
        <v>0.42007978723404255</v>
      </c>
      <c r="H113"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13" s="27" t="str">
        <f>Table4[[#This Row],[LoA - Metric]]&amp; ", " &amp;Table4[[#This Row],[ES - Metric]]</f>
        <v>Medium agreement, Medium evidence</v>
      </c>
      <c r="J113" s="222">
        <f>(Table4[[#This Row],[LoA_SCORE]]+Table4[[#This Row],[ES_SCORE]])/100</f>
        <v>0.42007978723404255</v>
      </c>
      <c r="K113"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13"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13" s="179">
        <f>Table4[[#This Row],[probability_average]]</f>
        <v>5</v>
      </c>
      <c r="N113" s="181">
        <f>Table4[[#This Row],[consequence_average]]</f>
        <v>4</v>
      </c>
      <c r="O113" s="220">
        <f>Table4[[#This Row],[agreementPCT_score]]+Table4[[#This Row],[agreement_dist_score]]+Table4[[#This Row],[LoA_AQ_score]]</f>
        <v>20</v>
      </c>
      <c r="P113" s="203">
        <f>Table4[[#This Row],[evidenceconsistency_score]]+Table4[[#This Row],[EQ_score]]+Table4[[#This Row],[EA_score]]+Table4[[#This Row],[ET_score]]</f>
        <v>22.007978723404257</v>
      </c>
      <c r="Q113" s="181">
        <f>VLOOKUP(Table4[[#This Row],[risk_id]],Table3[],10,FALSE)</f>
        <v>4</v>
      </c>
      <c r="R113" s="181">
        <f>VLOOKUP(Table4[[#This Row],[risk_id]],Table3[],9,FALSE)</f>
        <v>4</v>
      </c>
      <c r="S113" s="179">
        <f>VLOOKUP(Table4[[#This Row],[risk_id]],Table3[],7,FALSE)</f>
        <v>5</v>
      </c>
      <c r="T113" s="179">
        <f>VLOOKUP(Table4[[#This Row],[risk_id]],Table3[],6,FALSE)</f>
        <v>5</v>
      </c>
      <c r="U113" s="177">
        <f t="shared" si="7"/>
        <v>12.5</v>
      </c>
      <c r="V113" s="187">
        <f>10</f>
        <v>10</v>
      </c>
      <c r="W113" s="187">
        <f>30</f>
        <v>30</v>
      </c>
      <c r="X113" s="17">
        <f>VLOOKUP(Table4[[#This Row],[risk_id]],Table3[],5,FALSE)</f>
        <v>1</v>
      </c>
      <c r="Y113" s="17">
        <f>94</f>
        <v>94</v>
      </c>
      <c r="Z113" s="177">
        <f>Table4[[#This Row],[EStype_summed]]*Table4[[#This Row],[Indicator_12.5pct]]</f>
        <v>3.125</v>
      </c>
      <c r="AA113" s="190">
        <f>(IF(Table4[[#This Row],[all_evtype]]&gt;=4,"4", IF(Table4[[#This Row],[all_evtype]]&gt;=3,"3", IF(Table4[[#This Row],[all_evtype]]&gt;=2,"2", IF(Table4[[#This Row],[all_evtype]]&gt;=1,"1","0")))))/Table4[[#This Row],[HPS_et]]</f>
        <v>0.25</v>
      </c>
      <c r="AB113" s="191">
        <f>VLOOKUP(Table4[[#This Row],[risk_id]],Table3[], 14, FALSE)</f>
        <v>1</v>
      </c>
      <c r="AC113" s="191">
        <f>VLOOKUP(Table4[[#This Row],[risk_id]],Table3[], 15, FALSE)</f>
        <v>0</v>
      </c>
      <c r="AD113" s="191">
        <f>VLOOKUP(Table4[[#This Row],[risk_id]], Table3[], 16, FALSE)</f>
        <v>0</v>
      </c>
      <c r="AE113" s="191">
        <f>VLOOKUP(Table4[[#This Row],[risk_id]], Table3[], 17, )</f>
        <v>0</v>
      </c>
      <c r="AF113" s="191">
        <f>4</f>
        <v>4</v>
      </c>
      <c r="AG113" s="191">
        <f>COUNTIF(Table4[[#This Row],[THEO]:[MOD]], "&gt;=1")</f>
        <v>1</v>
      </c>
      <c r="AH113" s="192">
        <f>Table4[[#This Row],[data_observations]]/Table4[[#This Row],[AllObservations_count]]</f>
        <v>1.0638297872340425E-2</v>
      </c>
      <c r="AI113" s="189">
        <f>Table4[[#This Row],[evidenceamount_pct]]*(Table4[[#This Row],[Indicator_12.5pct]])</f>
        <v>0.13297872340425532</v>
      </c>
      <c r="AJ113" s="198">
        <f>(1-(VLOOKUP(Table4[[#This Row],[risk_id]],Table3[],18, FALSE))/(Table4[[#This Row],[data_observations]]))</f>
        <v>1</v>
      </c>
      <c r="AK113" s="198">
        <f>((VLOOKUP(Table4[[#This Row],[risk_id]],Table3[],19, FALSE))+((VLOOKUP(Table4[[#This Row],[risk_id]],Table3[],36, FALSE))*0.5))/(Table4[[#This Row],[data_observations]])</f>
        <v>0</v>
      </c>
      <c r="AL113" s="177">
        <f>((Table4[[#This Row],[ev_data_deficient_score]]*0.5)+(Table4[[#This Row],[ev_data_availability_score]]*0.5))*(Table4[[#This Row],[Indicator_12.5pct]])</f>
        <v>6.25</v>
      </c>
      <c r="AM113" s="199">
        <f>Table4[[#This Row],[RiskScore]]</f>
        <v>20</v>
      </c>
      <c r="AN113" s="200">
        <f>VLOOKUP(Table4[[#This Row],[risk_id]], Table3[], 13, FALSE)</f>
        <v>0</v>
      </c>
      <c r="AO113" s="185">
        <f>(1-(Table4[[#This Row],[evidence_SD_RR]]/Table4[[#This Row],[evidence_mean_RR]]))*(Table4[[#This Row],[Indicator_12.5pct]])</f>
        <v>12.5</v>
      </c>
      <c r="AP113" s="201">
        <f>VLOOKUP(Table4[[#This Row],[risk_id]],Table3[],21, FALSE)</f>
        <v>0</v>
      </c>
      <c r="AQ113" s="201">
        <f>VLOOKUP(Table4[[#This Row],[risk_id]],Table3[],23, FALSE)</f>
        <v>0</v>
      </c>
      <c r="AR113" s="201">
        <f>VLOOKUP(Table4[[#This Row],[risk_id]],Table3[],25, FALSE)</f>
        <v>1</v>
      </c>
      <c r="AS113" s="201">
        <f>VLOOKUP(Table4[[#This Row],[risk_id]],Table3[],27, FALSE)</f>
        <v>0</v>
      </c>
      <c r="AT113" s="183">
        <f>(MAX(Table4[[#This Row],[C]:[U]]))*Table4[[#This Row],[Indicator_20pct]]</f>
        <v>10</v>
      </c>
      <c r="AU113" s="205">
        <f>COUNTIFS(Table4[[#This Row],[C]], "&gt;0", Table4[[#This Row],[U]], "&gt;0") + COUNTIFS(Table4[[#This Row],[H]], "&gt;0", Table4[[#This Row],[U]], "&gt;0") + COUNTIFS(Table4[[#This Row],[C]], "&gt;0", Table4[[#This Row],[M]], "&gt;0")</f>
        <v>0</v>
      </c>
      <c r="AV113" s="219">
        <f>((-(Table4[[#This Row],[different_scores_count]]-3))/3)*Table4[[#This Row],[Indicator_20pct]]</f>
        <v>10</v>
      </c>
      <c r="AW113" s="183">
        <f>IF(Table4[[#This Row],[data_observations]]&gt;=5, 30, IF(Table4[[#This Row],[data_observations]]&gt;=3, 15, 0))</f>
        <v>0</v>
      </c>
      <c r="AX113" s="26" t="s">
        <v>2736</v>
      </c>
    </row>
    <row r="114" spans="1:50" ht="32" customHeight="1" x14ac:dyDescent="0.2">
      <c r="A114" s="16" t="s">
        <v>2658</v>
      </c>
      <c r="B114" s="16" t="str">
        <f>VLOOKUP(Table4[[#This Row],[risk_id]], Table3[], 35, FALSE)</f>
        <v>Hazard</v>
      </c>
      <c r="C114" s="16" t="str">
        <f>VLOOKUP(Table4[[#This Row],[risk_id]], Table3[], 2, FALSE)</f>
        <v>Pollutants</v>
      </c>
      <c r="D114" s="15" t="str">
        <f>VLOOKUP(Table4[[#This Row],[risk_id]], Table3[], 3, FALSE)</f>
        <v>Accidental discharge of a substance</v>
      </c>
      <c r="E114"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14" s="300">
        <f t="shared" si="6"/>
        <v>20</v>
      </c>
      <c r="G114" s="31">
        <f>Table4[[#This Row],[DataQuality_Score]]</f>
        <v>0.42007978723404255</v>
      </c>
      <c r="H114"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14" s="27" t="str">
        <f>Table4[[#This Row],[LoA - Metric]]&amp; ", " &amp;Table4[[#This Row],[ES - Metric]]</f>
        <v>Medium agreement, Medium evidence</v>
      </c>
      <c r="J114" s="222">
        <f>(Table4[[#This Row],[LoA_SCORE]]+Table4[[#This Row],[ES_SCORE]])/100</f>
        <v>0.42007978723404255</v>
      </c>
      <c r="K114"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14"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14" s="179">
        <f>Table4[[#This Row],[probability_average]]</f>
        <v>2</v>
      </c>
      <c r="N114" s="181">
        <f>Table4[[#This Row],[consequence_average]]</f>
        <v>10</v>
      </c>
      <c r="O114" s="220">
        <f>Table4[[#This Row],[agreementPCT_score]]+Table4[[#This Row],[agreement_dist_score]]+Table4[[#This Row],[LoA_AQ_score]]</f>
        <v>20</v>
      </c>
      <c r="P114" s="203">
        <f>Table4[[#This Row],[evidenceconsistency_score]]+Table4[[#This Row],[EQ_score]]+Table4[[#This Row],[EA_score]]+Table4[[#This Row],[ET_score]]</f>
        <v>22.007978723404257</v>
      </c>
      <c r="Q114" s="181">
        <f>VLOOKUP(Table4[[#This Row],[risk_id]],Table3[],10,FALSE)</f>
        <v>10</v>
      </c>
      <c r="R114" s="181">
        <f>VLOOKUP(Table4[[#This Row],[risk_id]],Table3[],9,FALSE)</f>
        <v>10</v>
      </c>
      <c r="S114" s="179">
        <f>VLOOKUP(Table4[[#This Row],[risk_id]],Table3[],7,FALSE)</f>
        <v>2</v>
      </c>
      <c r="T114" s="179">
        <f>VLOOKUP(Table4[[#This Row],[risk_id]],Table3[],6,FALSE)</f>
        <v>2</v>
      </c>
      <c r="U114" s="177">
        <f t="shared" si="7"/>
        <v>12.5</v>
      </c>
      <c r="V114" s="187">
        <f>10</f>
        <v>10</v>
      </c>
      <c r="W114" s="187">
        <f>30</f>
        <v>30</v>
      </c>
      <c r="X114" s="17">
        <f>VLOOKUP(Table4[[#This Row],[risk_id]],Table3[],5,FALSE)</f>
        <v>1</v>
      </c>
      <c r="Y114" s="17">
        <f>94</f>
        <v>94</v>
      </c>
      <c r="Z114" s="177">
        <f>Table4[[#This Row],[EStype_summed]]*Table4[[#This Row],[Indicator_12.5pct]]</f>
        <v>3.125</v>
      </c>
      <c r="AA114" s="190">
        <f>(IF(Table4[[#This Row],[all_evtype]]&gt;=4,"4", IF(Table4[[#This Row],[all_evtype]]&gt;=3,"3", IF(Table4[[#This Row],[all_evtype]]&gt;=2,"2", IF(Table4[[#This Row],[all_evtype]]&gt;=1,"1","0")))))/Table4[[#This Row],[HPS_et]]</f>
        <v>0.25</v>
      </c>
      <c r="AB114" s="191">
        <f>VLOOKUP(Table4[[#This Row],[risk_id]],Table3[], 14, FALSE)</f>
        <v>1</v>
      </c>
      <c r="AC114" s="191">
        <f>VLOOKUP(Table4[[#This Row],[risk_id]],Table3[], 15, FALSE)</f>
        <v>0</v>
      </c>
      <c r="AD114" s="191">
        <f>VLOOKUP(Table4[[#This Row],[risk_id]], Table3[], 16, FALSE)</f>
        <v>0</v>
      </c>
      <c r="AE114" s="191">
        <f>VLOOKUP(Table4[[#This Row],[risk_id]], Table3[], 17, )</f>
        <v>0</v>
      </c>
      <c r="AF114" s="191">
        <f>4</f>
        <v>4</v>
      </c>
      <c r="AG114" s="191">
        <f>COUNTIF(Table4[[#This Row],[THEO]:[MOD]], "&gt;=1")</f>
        <v>1</v>
      </c>
      <c r="AH114" s="192">
        <f>Table4[[#This Row],[data_observations]]/Table4[[#This Row],[AllObservations_count]]</f>
        <v>1.0638297872340425E-2</v>
      </c>
      <c r="AI114" s="189">
        <f>Table4[[#This Row],[evidenceamount_pct]]*(Table4[[#This Row],[Indicator_12.5pct]])</f>
        <v>0.13297872340425532</v>
      </c>
      <c r="AJ114" s="198">
        <f>(1-(VLOOKUP(Table4[[#This Row],[risk_id]],Table3[],18, FALSE))/(Table4[[#This Row],[data_observations]]))</f>
        <v>1</v>
      </c>
      <c r="AK114" s="198">
        <f>((VLOOKUP(Table4[[#This Row],[risk_id]],Table3[],19, FALSE))+((VLOOKUP(Table4[[#This Row],[risk_id]],Table3[],36, FALSE))*0.5))/(Table4[[#This Row],[data_observations]])</f>
        <v>0</v>
      </c>
      <c r="AL114" s="177">
        <f>((Table4[[#This Row],[ev_data_deficient_score]]*0.5)+(Table4[[#This Row],[ev_data_availability_score]]*0.5))*(Table4[[#This Row],[Indicator_12.5pct]])</f>
        <v>6.25</v>
      </c>
      <c r="AM114" s="199">
        <f>Table4[[#This Row],[RiskScore]]</f>
        <v>20</v>
      </c>
      <c r="AN114" s="200">
        <f>VLOOKUP(Table4[[#This Row],[risk_id]], Table3[], 13, FALSE)</f>
        <v>0</v>
      </c>
      <c r="AO114" s="185">
        <f>(1-(Table4[[#This Row],[evidence_SD_RR]]/Table4[[#This Row],[evidence_mean_RR]]))*(Table4[[#This Row],[Indicator_12.5pct]])</f>
        <v>12.5</v>
      </c>
      <c r="AP114" s="201">
        <f>VLOOKUP(Table4[[#This Row],[risk_id]],Table3[],21, FALSE)</f>
        <v>0</v>
      </c>
      <c r="AQ114" s="201">
        <f>VLOOKUP(Table4[[#This Row],[risk_id]],Table3[],23, FALSE)</f>
        <v>0</v>
      </c>
      <c r="AR114" s="201">
        <f>VLOOKUP(Table4[[#This Row],[risk_id]],Table3[],25, FALSE)</f>
        <v>1</v>
      </c>
      <c r="AS114" s="201">
        <f>VLOOKUP(Table4[[#This Row],[risk_id]],Table3[],27, FALSE)</f>
        <v>0</v>
      </c>
      <c r="AT114" s="183">
        <f>(MAX(Table4[[#This Row],[C]:[U]]))*Table4[[#This Row],[Indicator_20pct]]</f>
        <v>10</v>
      </c>
      <c r="AU114" s="205">
        <f>COUNTIFS(Table4[[#This Row],[C]], "&gt;0", Table4[[#This Row],[U]], "&gt;0") + COUNTIFS(Table4[[#This Row],[H]], "&gt;0", Table4[[#This Row],[U]], "&gt;0") + COUNTIFS(Table4[[#This Row],[C]], "&gt;0", Table4[[#This Row],[M]], "&gt;0")</f>
        <v>0</v>
      </c>
      <c r="AV114" s="219">
        <f>((-(Table4[[#This Row],[different_scores_count]]-3))/3)*Table4[[#This Row],[Indicator_20pct]]</f>
        <v>10</v>
      </c>
      <c r="AW114" s="183">
        <f>IF(Table4[[#This Row],[data_observations]]&gt;=5, 30, IF(Table4[[#This Row],[data_observations]]&gt;=3, 15, 0))</f>
        <v>0</v>
      </c>
      <c r="AX114" s="26" t="s">
        <v>2737</v>
      </c>
    </row>
    <row r="115" spans="1:50" ht="32" hidden="1" customHeight="1" x14ac:dyDescent="0.2">
      <c r="A115" s="16" t="s">
        <v>605</v>
      </c>
      <c r="B115" s="16" t="str">
        <f>VLOOKUP(Table4[[#This Row],[risk_id]], Table3[], 35, FALSE)</f>
        <v>Risk</v>
      </c>
      <c r="C115" s="16" t="str">
        <f>VLOOKUP(Table4[[#This Row],[risk_id]], Table3[], 2, FALSE)</f>
        <v>Economic</v>
      </c>
      <c r="D115" s="15" t="str">
        <f>VLOOKUP(Table4[[#This Row],[risk_id]], Table3[], 3, FALSE)</f>
        <v>No toll requirements</v>
      </c>
      <c r="E115"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15" s="300">
        <f t="shared" si="6"/>
        <v>20</v>
      </c>
      <c r="G115" s="31">
        <f>Table4[[#This Row],[DataQuality_Score]]</f>
        <v>0.35757978723404255</v>
      </c>
      <c r="H115"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LOW</v>
      </c>
      <c r="I115" s="27" t="str">
        <f>Table4[[#This Row],[LoA - Metric]]&amp; ", " &amp;Table4[[#This Row],[ES - Metric]]</f>
        <v>Medium agreement, Limited evidence</v>
      </c>
      <c r="J115" s="222">
        <f>(Table4[[#This Row],[LoA_SCORE]]+Table4[[#This Row],[ES_SCORE]])/100</f>
        <v>0.35757978723404255</v>
      </c>
      <c r="K115"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15"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Limited evidence</v>
      </c>
      <c r="M115" s="179">
        <f>Table4[[#This Row],[probability_average]]</f>
        <v>5</v>
      </c>
      <c r="N115" s="181">
        <f>Table4[[#This Row],[consequence_average]]</f>
        <v>4</v>
      </c>
      <c r="O115" s="220">
        <f>Table4[[#This Row],[agreementPCT_score]]+Table4[[#This Row],[agreement_dist_score]]+Table4[[#This Row],[LoA_AQ_score]]</f>
        <v>20</v>
      </c>
      <c r="P115" s="203">
        <f>Table4[[#This Row],[evidenceconsistency_score]]+Table4[[#This Row],[EQ_score]]+Table4[[#This Row],[EA_score]]+Table4[[#This Row],[ET_score]]</f>
        <v>15.757978723404255</v>
      </c>
      <c r="Q115" s="181">
        <f>VLOOKUP(Table4[[#This Row],[risk_id]],Table3[],10,FALSE)</f>
        <v>4</v>
      </c>
      <c r="R115" s="181">
        <f>VLOOKUP(Table4[[#This Row],[risk_id]],Table3[],9,FALSE)</f>
        <v>4</v>
      </c>
      <c r="S115" s="179">
        <f>VLOOKUP(Table4[[#This Row],[risk_id]],Table3[],7,FALSE)</f>
        <v>5</v>
      </c>
      <c r="T115" s="179">
        <f>VLOOKUP(Table4[[#This Row],[risk_id]],Table3[],6,FALSE)</f>
        <v>5</v>
      </c>
      <c r="U115" s="177">
        <f t="shared" si="7"/>
        <v>12.5</v>
      </c>
      <c r="V115" s="187">
        <f>10</f>
        <v>10</v>
      </c>
      <c r="W115" s="187">
        <f>30</f>
        <v>30</v>
      </c>
      <c r="X115" s="17">
        <f>VLOOKUP(Table4[[#This Row],[risk_id]],Table3[],5,FALSE)</f>
        <v>1</v>
      </c>
      <c r="Y115" s="17">
        <f>94</f>
        <v>94</v>
      </c>
      <c r="Z115" s="177">
        <f>Table4[[#This Row],[EStype_summed]]*Table4[[#This Row],[Indicator_12.5pct]]</f>
        <v>3.125</v>
      </c>
      <c r="AA115" s="190">
        <f>(IF(Table4[[#This Row],[all_evtype]]&gt;=4,"4", IF(Table4[[#This Row],[all_evtype]]&gt;=3,"3", IF(Table4[[#This Row],[all_evtype]]&gt;=2,"2", IF(Table4[[#This Row],[all_evtype]]&gt;=1,"1","0")))))/Table4[[#This Row],[HPS_et]]</f>
        <v>0.25</v>
      </c>
      <c r="AB115" s="191">
        <f>VLOOKUP(Table4[[#This Row],[risk_id]],Table3[], 14, FALSE)</f>
        <v>0</v>
      </c>
      <c r="AC115" s="191">
        <f>VLOOKUP(Table4[[#This Row],[risk_id]],Table3[], 15, FALSE)</f>
        <v>0</v>
      </c>
      <c r="AD115" s="191">
        <f>VLOOKUP(Table4[[#This Row],[risk_id]], Table3[], 16, FALSE)</f>
        <v>1</v>
      </c>
      <c r="AE115" s="191">
        <f>VLOOKUP(Table4[[#This Row],[risk_id]], Table3[], 17, )</f>
        <v>0</v>
      </c>
      <c r="AF115" s="191">
        <f>4</f>
        <v>4</v>
      </c>
      <c r="AG115" s="191">
        <f>COUNTIF(Table4[[#This Row],[THEO]:[MOD]], "&gt;=1")</f>
        <v>1</v>
      </c>
      <c r="AH115" s="192">
        <f>Table4[[#This Row],[data_observations]]/Table4[[#This Row],[AllObservations_count]]</f>
        <v>1.0638297872340425E-2</v>
      </c>
      <c r="AI115" s="189">
        <f>Table4[[#This Row],[evidenceamount_pct]]*(Table4[[#This Row],[Indicator_12.5pct]])</f>
        <v>0.13297872340425532</v>
      </c>
      <c r="AJ115" s="198">
        <f>(1-(VLOOKUP(Table4[[#This Row],[risk_id]],Table3[],18, FALSE))/(Table4[[#This Row],[data_observations]]))</f>
        <v>0</v>
      </c>
      <c r="AK115" s="198">
        <f>((VLOOKUP(Table4[[#This Row],[risk_id]],Table3[],19, FALSE))+((VLOOKUP(Table4[[#This Row],[risk_id]],Table3[],36, FALSE))*0.5))/(Table4[[#This Row],[data_observations]])</f>
        <v>0</v>
      </c>
      <c r="AL115" s="177">
        <f>((Table4[[#This Row],[ev_data_deficient_score]]*0.5)+(Table4[[#This Row],[ev_data_availability_score]]*0.5))*(Table4[[#This Row],[Indicator_12.5pct]])</f>
        <v>0</v>
      </c>
      <c r="AM115" s="199">
        <f>Table4[[#This Row],[RiskScore]]</f>
        <v>20</v>
      </c>
      <c r="AN115" s="200">
        <f>VLOOKUP(Table4[[#This Row],[risk_id]], Table3[], 13, FALSE)</f>
        <v>0</v>
      </c>
      <c r="AO115" s="185">
        <f>(1-(Table4[[#This Row],[evidence_SD_RR]]/Table4[[#This Row],[evidence_mean_RR]]))*(Table4[[#This Row],[Indicator_12.5pct]])</f>
        <v>12.5</v>
      </c>
      <c r="AP115" s="201">
        <f>VLOOKUP(Table4[[#This Row],[risk_id]],Table3[],21, FALSE)</f>
        <v>0</v>
      </c>
      <c r="AQ115" s="201">
        <f>VLOOKUP(Table4[[#This Row],[risk_id]],Table3[],23, FALSE)</f>
        <v>0</v>
      </c>
      <c r="AR115" s="201">
        <f>VLOOKUP(Table4[[#This Row],[risk_id]],Table3[],25, FALSE)</f>
        <v>1</v>
      </c>
      <c r="AS115" s="201">
        <f>VLOOKUP(Table4[[#This Row],[risk_id]],Table3[],27, FALSE)</f>
        <v>0</v>
      </c>
      <c r="AT115" s="183">
        <f>(MAX(Table4[[#This Row],[C]:[U]]))*Table4[[#This Row],[Indicator_20pct]]</f>
        <v>10</v>
      </c>
      <c r="AU115" s="205">
        <f>COUNTIFS(Table4[[#This Row],[C]], "&gt;0", Table4[[#This Row],[U]], "&gt;0") + COUNTIFS(Table4[[#This Row],[H]], "&gt;0", Table4[[#This Row],[U]], "&gt;0") + COUNTIFS(Table4[[#This Row],[C]], "&gt;0", Table4[[#This Row],[M]], "&gt;0")</f>
        <v>0</v>
      </c>
      <c r="AV115" s="219">
        <f>((-(Table4[[#This Row],[different_scores_count]]-3))/3)*Table4[[#This Row],[Indicator_20pct]]</f>
        <v>10</v>
      </c>
      <c r="AW115" s="183">
        <f>IF(Table4[[#This Row],[data_observations]]&gt;=5, 30, IF(Table4[[#This Row],[data_observations]]&gt;=3, 15, 0))</f>
        <v>0</v>
      </c>
      <c r="AX115" s="26" t="s">
        <v>2736</v>
      </c>
    </row>
    <row r="116" spans="1:50" ht="32" customHeight="1" x14ac:dyDescent="0.2">
      <c r="A116" s="16" t="s">
        <v>2677</v>
      </c>
      <c r="B116" s="16" t="str">
        <f>VLOOKUP(Table4[[#This Row],[risk_id]], Table3[], 35, FALSE)</f>
        <v>Hazard</v>
      </c>
      <c r="C116" s="16" t="str">
        <f>VLOOKUP(Table4[[#This Row],[risk_id]], Table3[], 2, FALSE)</f>
        <v>Operational</v>
      </c>
      <c r="D116" s="15" t="str">
        <f>VLOOKUP(Table4[[#This Row],[risk_id]], Table3[], 3, FALSE)</f>
        <v>Excessive ice accumulation on vessels</v>
      </c>
      <c r="E116"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16" s="300">
        <f t="shared" si="6"/>
        <v>19.759999999999998</v>
      </c>
      <c r="G116" s="31">
        <f>Table4[[#This Row],[DataQuality_Score]]</f>
        <v>0.70217099090714941</v>
      </c>
      <c r="H116"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16" s="27" t="str">
        <f>Table4[[#This Row],[LoA - Metric]]&amp; ", " &amp;Table4[[#This Row],[ES - Metric]]</f>
        <v>High agreement, Medium evidence</v>
      </c>
      <c r="J116" s="222">
        <f>(Table4[[#This Row],[LoA_SCORE]]+Table4[[#This Row],[ES_SCORE]])/100</f>
        <v>0.70217099090714941</v>
      </c>
      <c r="K116"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16"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16" s="179">
        <f>Table4[[#This Row],[probability_average]]</f>
        <v>3.8</v>
      </c>
      <c r="N116" s="181">
        <f>Table4[[#This Row],[consequence_average]]</f>
        <v>5.2</v>
      </c>
      <c r="O116" s="220">
        <f>Table4[[#This Row],[agreementPCT_score]]+Table4[[#This Row],[agreement_dist_score]]+Table4[[#This Row],[LoA_AQ_score]]</f>
        <v>48</v>
      </c>
      <c r="P116" s="203">
        <f>Table4[[#This Row],[evidenceconsistency_score]]+Table4[[#This Row],[EQ_score]]+Table4[[#This Row],[EA_score]]+Table4[[#This Row],[ET_score]]</f>
        <v>22.217099090714939</v>
      </c>
      <c r="Q116" s="181">
        <f>VLOOKUP(Table4[[#This Row],[risk_id]],Table3[],10,FALSE)</f>
        <v>5.2</v>
      </c>
      <c r="R116" s="181">
        <f>VLOOKUP(Table4[[#This Row],[risk_id]],Table3[],9,FALSE)</f>
        <v>26</v>
      </c>
      <c r="S116" s="179">
        <f>VLOOKUP(Table4[[#This Row],[risk_id]],Table3[],7,FALSE)</f>
        <v>3.8</v>
      </c>
      <c r="T116" s="179">
        <f>VLOOKUP(Table4[[#This Row],[risk_id]],Table3[],6,FALSE)</f>
        <v>19</v>
      </c>
      <c r="U116" s="177">
        <f t="shared" si="7"/>
        <v>12.5</v>
      </c>
      <c r="V116" s="187">
        <f>10</f>
        <v>10</v>
      </c>
      <c r="W116" s="187">
        <f>30</f>
        <v>30</v>
      </c>
      <c r="X116" s="17">
        <f>VLOOKUP(Table4[[#This Row],[risk_id]],Table3[],5,FALSE)</f>
        <v>5</v>
      </c>
      <c r="Y116" s="17">
        <f>94</f>
        <v>94</v>
      </c>
      <c r="Z116" s="177">
        <f>Table4[[#This Row],[EStype_summed]]*Table4[[#This Row],[Indicator_12.5pct]]</f>
        <v>6.25</v>
      </c>
      <c r="AA116" s="190">
        <f>(IF(Table4[[#This Row],[all_evtype]]&gt;=4,"4", IF(Table4[[#This Row],[all_evtype]]&gt;=3,"3", IF(Table4[[#This Row],[all_evtype]]&gt;=2,"2", IF(Table4[[#This Row],[all_evtype]]&gt;=1,"1","0")))))/Table4[[#This Row],[HPS_et]]</f>
        <v>0.5</v>
      </c>
      <c r="AB116" s="191">
        <f>VLOOKUP(Table4[[#This Row],[risk_id]],Table3[], 14, FALSE)</f>
        <v>3</v>
      </c>
      <c r="AC116" s="191">
        <f>VLOOKUP(Table4[[#This Row],[risk_id]],Table3[], 15, FALSE)</f>
        <v>2</v>
      </c>
      <c r="AD116" s="191">
        <f>VLOOKUP(Table4[[#This Row],[risk_id]], Table3[], 16, FALSE)</f>
        <v>0</v>
      </c>
      <c r="AE116" s="191">
        <f>VLOOKUP(Table4[[#This Row],[risk_id]], Table3[], 17, )</f>
        <v>0</v>
      </c>
      <c r="AF116" s="191">
        <f>4</f>
        <v>4</v>
      </c>
      <c r="AG116" s="191">
        <f>COUNTIF(Table4[[#This Row],[THEO]:[MOD]], "&gt;=1")</f>
        <v>2</v>
      </c>
      <c r="AH116" s="192">
        <f>Table4[[#This Row],[data_observations]]/Table4[[#This Row],[AllObservations_count]]</f>
        <v>5.3191489361702128E-2</v>
      </c>
      <c r="AI116" s="189">
        <f>Table4[[#This Row],[evidenceamount_pct]]*(Table4[[#This Row],[Indicator_12.5pct]])</f>
        <v>0.66489361702127658</v>
      </c>
      <c r="AJ116" s="198">
        <f>(1-(VLOOKUP(Table4[[#This Row],[risk_id]],Table3[],18, FALSE))/(Table4[[#This Row],[data_observations]]))</f>
        <v>1</v>
      </c>
      <c r="AK116" s="198">
        <f>((VLOOKUP(Table4[[#This Row],[risk_id]],Table3[],19, FALSE))+((VLOOKUP(Table4[[#This Row],[risk_id]],Table3[],36, FALSE))*0.5))/(Table4[[#This Row],[data_observations]])</f>
        <v>0.3</v>
      </c>
      <c r="AL116" s="177">
        <f>((Table4[[#This Row],[ev_data_deficient_score]]*0.5)+(Table4[[#This Row],[ev_data_availability_score]]*0.5))*(Table4[[#This Row],[Indicator_12.5pct]])</f>
        <v>8.125</v>
      </c>
      <c r="AM116" s="199">
        <f>Table4[[#This Row],[RiskScore]]</f>
        <v>19.759999999999998</v>
      </c>
      <c r="AN116" s="200">
        <f>VLOOKUP(Table4[[#This Row],[risk_id]], Table3[], 13, FALSE)</f>
        <v>8.4142735871850522</v>
      </c>
      <c r="AO116" s="185">
        <f>(1-(Table4[[#This Row],[evidence_SD_RR]]/Table4[[#This Row],[evidence_mean_RR]]))*(Table4[[#This Row],[Indicator_12.5pct]])</f>
        <v>7.1772054736936655</v>
      </c>
      <c r="AP116" s="201">
        <f>VLOOKUP(Table4[[#This Row],[risk_id]],Table3[],21, FALSE)</f>
        <v>0</v>
      </c>
      <c r="AQ116" s="201">
        <f>VLOOKUP(Table4[[#This Row],[risk_id]],Table3[],23, FALSE)</f>
        <v>0.2</v>
      </c>
      <c r="AR116" s="201">
        <f>VLOOKUP(Table4[[#This Row],[risk_id]],Table3[],25, FALSE)</f>
        <v>0.8</v>
      </c>
      <c r="AS116" s="201">
        <f>VLOOKUP(Table4[[#This Row],[risk_id]],Table3[],27, FALSE)</f>
        <v>0</v>
      </c>
      <c r="AT116" s="183">
        <f>(MAX(Table4[[#This Row],[C]:[U]]))*Table4[[#This Row],[Indicator_20pct]]</f>
        <v>8</v>
      </c>
      <c r="AU116" s="205">
        <f>COUNTIFS(Table4[[#This Row],[C]], "&gt;0", Table4[[#This Row],[U]], "&gt;0") + COUNTIFS(Table4[[#This Row],[H]], "&gt;0", Table4[[#This Row],[U]], "&gt;0") + COUNTIFS(Table4[[#This Row],[C]], "&gt;0", Table4[[#This Row],[M]], "&gt;0")</f>
        <v>0</v>
      </c>
      <c r="AV116" s="219">
        <f>((-(Table4[[#This Row],[different_scores_count]]-3))/3)*Table4[[#This Row],[Indicator_20pct]]</f>
        <v>10</v>
      </c>
      <c r="AW116" s="183">
        <f>IF(Table4[[#This Row],[data_observations]]&gt;=5, 30, IF(Table4[[#This Row],[data_observations]]&gt;=3, 15, 0))</f>
        <v>30</v>
      </c>
      <c r="AX116" s="26" t="s">
        <v>2737</v>
      </c>
    </row>
    <row r="117" spans="1:50" ht="32" hidden="1" customHeight="1" x14ac:dyDescent="0.2">
      <c r="A117" s="16" t="s">
        <v>515</v>
      </c>
      <c r="B117" s="16" t="str">
        <f>VLOOKUP(Table4[[#This Row],[risk_id]], Table3[], 35, FALSE)</f>
        <v>Risk</v>
      </c>
      <c r="C117" s="16" t="str">
        <f>VLOOKUP(Table4[[#This Row],[risk_id]], Table3[], 2, FALSE)</f>
        <v>Economic</v>
      </c>
      <c r="D117" s="15" t="str">
        <f>VLOOKUP(Table4[[#This Row],[risk_id]], Table3[], 3, FALSE)</f>
        <v>Fluctuation in shipping cost</v>
      </c>
      <c r="E117"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17" s="300">
        <f t="shared" si="6"/>
        <v>19.632653061224492</v>
      </c>
      <c r="G117" s="31">
        <f>Table4[[#This Row],[DataQuality_Score]]</f>
        <v>0.78338026259953208</v>
      </c>
      <c r="H117"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17" s="27" t="str">
        <f>Table4[[#This Row],[LoA - Metric]]&amp; ", " &amp;Table4[[#This Row],[ES - Metric]]</f>
        <v>High agreement, Medium evidence</v>
      </c>
      <c r="J117" s="222">
        <f>(Table4[[#This Row],[LoA_SCORE]]+Table4[[#This Row],[ES_SCORE]])/100</f>
        <v>0.78338026259953208</v>
      </c>
      <c r="K117"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17"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17" s="179">
        <f>Table4[[#This Row],[probability_average]]</f>
        <v>3.7142857142857144</v>
      </c>
      <c r="N117" s="181">
        <f>Table4[[#This Row],[consequence_average]]</f>
        <v>5.2857142857142856</v>
      </c>
      <c r="O117" s="220">
        <f>Table4[[#This Row],[agreementPCT_score]]+Table4[[#This Row],[agreement_dist_score]]+Table4[[#This Row],[LoA_AQ_score]]</f>
        <v>48.571428571428569</v>
      </c>
      <c r="P117" s="203">
        <f>Table4[[#This Row],[evidenceconsistency_score]]+Table4[[#This Row],[EQ_score]]+Table4[[#This Row],[EA_score]]+Table4[[#This Row],[ET_score]]</f>
        <v>29.766597688524641</v>
      </c>
      <c r="Q117" s="181">
        <f>VLOOKUP(Table4[[#This Row],[risk_id]],Table3[],10,FALSE)</f>
        <v>5.2857142857142856</v>
      </c>
      <c r="R117" s="181">
        <f>VLOOKUP(Table4[[#This Row],[risk_id]],Table3[],9,FALSE)</f>
        <v>37</v>
      </c>
      <c r="S117" s="179">
        <f>VLOOKUP(Table4[[#This Row],[risk_id]],Table3[],7,FALSE)</f>
        <v>3.7142857142857144</v>
      </c>
      <c r="T117" s="179">
        <f>VLOOKUP(Table4[[#This Row],[risk_id]],Table3[],6,FALSE)</f>
        <v>26</v>
      </c>
      <c r="U117" s="177">
        <f t="shared" si="7"/>
        <v>12.5</v>
      </c>
      <c r="V117" s="187">
        <f>10</f>
        <v>10</v>
      </c>
      <c r="W117" s="187">
        <f>30</f>
        <v>30</v>
      </c>
      <c r="X117" s="17">
        <f>VLOOKUP(Table4[[#This Row],[risk_id]],Table3[],5,FALSE)</f>
        <v>7</v>
      </c>
      <c r="Y117" s="17">
        <f>94</f>
        <v>94</v>
      </c>
      <c r="Z117" s="177">
        <f>Table4[[#This Row],[EStype_summed]]*Table4[[#This Row],[Indicator_12.5pct]]</f>
        <v>12.5</v>
      </c>
      <c r="AA117" s="190">
        <f>(IF(Table4[[#This Row],[all_evtype]]&gt;=4,"4", IF(Table4[[#This Row],[all_evtype]]&gt;=3,"3", IF(Table4[[#This Row],[all_evtype]]&gt;=2,"2", IF(Table4[[#This Row],[all_evtype]]&gt;=1,"1","0")))))/Table4[[#This Row],[HPS_et]]</f>
        <v>1</v>
      </c>
      <c r="AB117" s="191">
        <f>VLOOKUP(Table4[[#This Row],[risk_id]],Table3[], 14, FALSE)</f>
        <v>2</v>
      </c>
      <c r="AC117" s="191">
        <f>VLOOKUP(Table4[[#This Row],[risk_id]],Table3[], 15, FALSE)</f>
        <v>2</v>
      </c>
      <c r="AD117" s="191">
        <f>VLOOKUP(Table4[[#This Row],[risk_id]], Table3[], 16, FALSE)</f>
        <v>2</v>
      </c>
      <c r="AE117" s="191">
        <f>VLOOKUP(Table4[[#This Row],[risk_id]], Table3[], 17, )</f>
        <v>1</v>
      </c>
      <c r="AF117" s="191">
        <f>4</f>
        <v>4</v>
      </c>
      <c r="AG117" s="191">
        <f>COUNTIF(Table4[[#This Row],[THEO]:[MOD]], "&gt;=1")</f>
        <v>4</v>
      </c>
      <c r="AH117" s="192">
        <f>Table4[[#This Row],[data_observations]]/Table4[[#This Row],[AllObservations_count]]</f>
        <v>7.4468085106382975E-2</v>
      </c>
      <c r="AI117" s="189">
        <f>Table4[[#This Row],[evidenceamount_pct]]*(Table4[[#This Row],[Indicator_12.5pct]])</f>
        <v>0.93085106382978722</v>
      </c>
      <c r="AJ117" s="198">
        <f>(1-(VLOOKUP(Table4[[#This Row],[risk_id]],Table3[],18, FALSE))/(Table4[[#This Row],[data_observations]]))</f>
        <v>0.5714285714285714</v>
      </c>
      <c r="AK117" s="198">
        <f>((VLOOKUP(Table4[[#This Row],[risk_id]],Table3[],19, FALSE))+((VLOOKUP(Table4[[#This Row],[risk_id]],Table3[],36, FALSE))*0.5))/(Table4[[#This Row],[data_observations]])</f>
        <v>0.5714285714285714</v>
      </c>
      <c r="AL117" s="177">
        <f>((Table4[[#This Row],[ev_data_deficient_score]]*0.5)+(Table4[[#This Row],[ev_data_availability_score]]*0.5))*(Table4[[#This Row],[Indicator_12.5pct]])</f>
        <v>7.1428571428571423</v>
      </c>
      <c r="AM117" s="199">
        <f>Table4[[#This Row],[RiskScore]]</f>
        <v>19.632653061224492</v>
      </c>
      <c r="AN117" s="200">
        <f>VLOOKUP(Table4[[#This Row],[risk_id]], Table3[], 13, FALSE)</f>
        <v>5.1941882750565265</v>
      </c>
      <c r="AO117" s="185">
        <f>(1-(Table4[[#This Row],[evidence_SD_RR]]/Table4[[#This Row],[evidence_mean_RR]]))*(Table4[[#This Row],[Indicator_12.5pct]])</f>
        <v>9.1928894818377103</v>
      </c>
      <c r="AP117" s="201">
        <f>VLOOKUP(Table4[[#This Row],[risk_id]],Table3[],21, FALSE)</f>
        <v>0</v>
      </c>
      <c r="AQ117" s="201">
        <f>VLOOKUP(Table4[[#This Row],[risk_id]],Table3[],23, FALSE)</f>
        <v>0.14285714285714285</v>
      </c>
      <c r="AR117" s="201">
        <f>VLOOKUP(Table4[[#This Row],[risk_id]],Table3[],25, FALSE)</f>
        <v>0.8571428571428571</v>
      </c>
      <c r="AS117" s="201">
        <f>VLOOKUP(Table4[[#This Row],[risk_id]],Table3[],27, FALSE)</f>
        <v>0</v>
      </c>
      <c r="AT117" s="183">
        <f>(MAX(Table4[[#This Row],[C]:[U]]))*Table4[[#This Row],[Indicator_20pct]]</f>
        <v>8.5714285714285712</v>
      </c>
      <c r="AU117" s="205">
        <f>COUNTIFS(Table4[[#This Row],[C]], "&gt;0", Table4[[#This Row],[U]], "&gt;0") + COUNTIFS(Table4[[#This Row],[H]], "&gt;0", Table4[[#This Row],[U]], "&gt;0") + COUNTIFS(Table4[[#This Row],[C]], "&gt;0", Table4[[#This Row],[M]], "&gt;0")</f>
        <v>0</v>
      </c>
      <c r="AV117" s="219">
        <f>((-(Table4[[#This Row],[different_scores_count]]-3))/3)*Table4[[#This Row],[Indicator_20pct]]</f>
        <v>10</v>
      </c>
      <c r="AW117" s="183">
        <f>IF(Table4[[#This Row],[data_observations]]&gt;=5, 30, IF(Table4[[#This Row],[data_observations]]&gt;=3, 15, 0))</f>
        <v>30</v>
      </c>
      <c r="AX117" s="26" t="s">
        <v>2736</v>
      </c>
    </row>
    <row r="118" spans="1:50" ht="32" customHeight="1" x14ac:dyDescent="0.2">
      <c r="A118" s="16" t="s">
        <v>2697</v>
      </c>
      <c r="B118" s="16" t="str">
        <f>VLOOKUP(Table4[[#This Row],[risk_id]], Table3[], 35, FALSE)</f>
        <v>Hazard</v>
      </c>
      <c r="C118" s="16" t="str">
        <f>VLOOKUP(Table4[[#This Row],[risk_id]], Table3[], 2, FALSE)</f>
        <v>Operational</v>
      </c>
      <c r="D118" s="15" t="str">
        <f>VLOOKUP(Table4[[#This Row],[risk_id]], Table3[], 3, FALSE)</f>
        <v>Mechanical failure</v>
      </c>
      <c r="E118"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18" s="300">
        <f t="shared" si="6"/>
        <v>19.599999999999998</v>
      </c>
      <c r="G118" s="31">
        <f>Table4[[#This Row],[DataQuality_Score]]</f>
        <v>0.73883469934604495</v>
      </c>
      <c r="H118"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18" s="27" t="str">
        <f>Table4[[#This Row],[LoA - Metric]]&amp; ", " &amp;Table4[[#This Row],[ES - Metric]]</f>
        <v>High agreement, Medium evidence</v>
      </c>
      <c r="J118" s="222">
        <f>(Table4[[#This Row],[LoA_SCORE]]+Table4[[#This Row],[ES_SCORE]])/100</f>
        <v>0.73883469934604495</v>
      </c>
      <c r="K118"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18"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18" s="179">
        <f>Table4[[#This Row],[probability_average]]</f>
        <v>2.8</v>
      </c>
      <c r="N118" s="181">
        <f>Table4[[#This Row],[consequence_average]]</f>
        <v>7</v>
      </c>
      <c r="O118" s="220">
        <f>Table4[[#This Row],[agreementPCT_score]]+Table4[[#This Row],[agreement_dist_score]]+Table4[[#This Row],[LoA_AQ_score]]</f>
        <v>48</v>
      </c>
      <c r="P118" s="203">
        <f>Table4[[#This Row],[evidenceconsistency_score]]+Table4[[#This Row],[EQ_score]]+Table4[[#This Row],[EA_score]]+Table4[[#This Row],[ET_score]]</f>
        <v>25.883469934604495</v>
      </c>
      <c r="Q118" s="181">
        <f>VLOOKUP(Table4[[#This Row],[risk_id]],Table3[],10,FALSE)</f>
        <v>7</v>
      </c>
      <c r="R118" s="181">
        <f>VLOOKUP(Table4[[#This Row],[risk_id]],Table3[],9,FALSE)</f>
        <v>35</v>
      </c>
      <c r="S118" s="179">
        <f>VLOOKUP(Table4[[#This Row],[risk_id]],Table3[],7,FALSE)</f>
        <v>2.8</v>
      </c>
      <c r="T118" s="179">
        <f>VLOOKUP(Table4[[#This Row],[risk_id]],Table3[],6,FALSE)</f>
        <v>14</v>
      </c>
      <c r="U118" s="177">
        <f t="shared" si="7"/>
        <v>12.5</v>
      </c>
      <c r="V118" s="187">
        <f>10</f>
        <v>10</v>
      </c>
      <c r="W118" s="187">
        <f>30</f>
        <v>30</v>
      </c>
      <c r="X118" s="17">
        <f>VLOOKUP(Table4[[#This Row],[risk_id]],Table3[],5,FALSE)</f>
        <v>5</v>
      </c>
      <c r="Y118" s="17">
        <f>94</f>
        <v>94</v>
      </c>
      <c r="Z118" s="177">
        <f>Table4[[#This Row],[EStype_summed]]*Table4[[#This Row],[Indicator_12.5pct]]</f>
        <v>9.375</v>
      </c>
      <c r="AA118" s="190">
        <f>(IF(Table4[[#This Row],[all_evtype]]&gt;=4,"4", IF(Table4[[#This Row],[all_evtype]]&gt;=3,"3", IF(Table4[[#This Row],[all_evtype]]&gt;=2,"2", IF(Table4[[#This Row],[all_evtype]]&gt;=1,"1","0")))))/Table4[[#This Row],[HPS_et]]</f>
        <v>0.75</v>
      </c>
      <c r="AB118" s="191">
        <f>VLOOKUP(Table4[[#This Row],[risk_id]],Table3[], 14, FALSE)</f>
        <v>1</v>
      </c>
      <c r="AC118" s="191">
        <f>VLOOKUP(Table4[[#This Row],[risk_id]],Table3[], 15, FALSE)</f>
        <v>3</v>
      </c>
      <c r="AD118" s="191">
        <f>VLOOKUP(Table4[[#This Row],[risk_id]], Table3[], 16, FALSE)</f>
        <v>1</v>
      </c>
      <c r="AE118" s="191">
        <f>VLOOKUP(Table4[[#This Row],[risk_id]], Table3[], 17, )</f>
        <v>0</v>
      </c>
      <c r="AF118" s="191">
        <f>4</f>
        <v>4</v>
      </c>
      <c r="AG118" s="191">
        <f>COUNTIF(Table4[[#This Row],[THEO]:[MOD]], "&gt;=1")</f>
        <v>3</v>
      </c>
      <c r="AH118" s="192">
        <f>Table4[[#This Row],[data_observations]]/Table4[[#This Row],[AllObservations_count]]</f>
        <v>5.3191489361702128E-2</v>
      </c>
      <c r="AI118" s="189">
        <f>Table4[[#This Row],[evidenceamount_pct]]*(Table4[[#This Row],[Indicator_12.5pct]])</f>
        <v>0.66489361702127658</v>
      </c>
      <c r="AJ118" s="198">
        <f>(1-(VLOOKUP(Table4[[#This Row],[risk_id]],Table3[],18, FALSE))/(Table4[[#This Row],[data_observations]]))</f>
        <v>1</v>
      </c>
      <c r="AK118" s="198">
        <f>((VLOOKUP(Table4[[#This Row],[risk_id]],Table3[],19, FALSE))+((VLOOKUP(Table4[[#This Row],[risk_id]],Table3[],36, FALSE))*0.5))/(Table4[[#This Row],[data_observations]])</f>
        <v>0.5</v>
      </c>
      <c r="AL118" s="177">
        <f>((Table4[[#This Row],[ev_data_deficient_score]]*0.5)+(Table4[[#This Row],[ev_data_availability_score]]*0.5))*(Table4[[#This Row],[Indicator_12.5pct]])</f>
        <v>9.375</v>
      </c>
      <c r="AM118" s="199">
        <f>Table4[[#This Row],[RiskScore]]</f>
        <v>19.599999999999998</v>
      </c>
      <c r="AN118" s="200">
        <f>VLOOKUP(Table4[[#This Row],[risk_id]], Table3[], 13, FALSE)</f>
        <v>9.4572723340295113</v>
      </c>
      <c r="AO118" s="185">
        <f>(1-(Table4[[#This Row],[evidence_SD_RR]]/Table4[[#This Row],[evidence_mean_RR]]))*(Table4[[#This Row],[Indicator_12.5pct]])</f>
        <v>6.4685763175832189</v>
      </c>
      <c r="AP118" s="201">
        <f>VLOOKUP(Table4[[#This Row],[risk_id]],Table3[],21, FALSE)</f>
        <v>0</v>
      </c>
      <c r="AQ118" s="201">
        <f>VLOOKUP(Table4[[#This Row],[risk_id]],Table3[],23, FALSE)</f>
        <v>0.2</v>
      </c>
      <c r="AR118" s="201">
        <f>VLOOKUP(Table4[[#This Row],[risk_id]],Table3[],25, FALSE)</f>
        <v>0.8</v>
      </c>
      <c r="AS118" s="201">
        <f>VLOOKUP(Table4[[#This Row],[risk_id]],Table3[],27, FALSE)</f>
        <v>0</v>
      </c>
      <c r="AT118" s="183">
        <f>(MAX(Table4[[#This Row],[C]:[U]]))*Table4[[#This Row],[Indicator_20pct]]</f>
        <v>8</v>
      </c>
      <c r="AU118" s="205">
        <f>COUNTIFS(Table4[[#This Row],[C]], "&gt;0", Table4[[#This Row],[U]], "&gt;0") + COUNTIFS(Table4[[#This Row],[H]], "&gt;0", Table4[[#This Row],[U]], "&gt;0") + COUNTIFS(Table4[[#This Row],[C]], "&gt;0", Table4[[#This Row],[M]], "&gt;0")</f>
        <v>0</v>
      </c>
      <c r="AV118" s="219">
        <f>((-(Table4[[#This Row],[different_scores_count]]-3))/3)*Table4[[#This Row],[Indicator_20pct]]</f>
        <v>10</v>
      </c>
      <c r="AW118" s="183">
        <f>IF(Table4[[#This Row],[data_observations]]&gt;=5, 30, IF(Table4[[#This Row],[data_observations]]&gt;=3, 15, 0))</f>
        <v>30</v>
      </c>
      <c r="AX118" s="26" t="s">
        <v>2737</v>
      </c>
    </row>
    <row r="119" spans="1:50" ht="32" hidden="1" customHeight="1" x14ac:dyDescent="0.2">
      <c r="A119" s="16" t="s">
        <v>503</v>
      </c>
      <c r="B119" s="16" t="str">
        <f>VLOOKUP(Table4[[#This Row],[risk_id]], Table3[], 35, FALSE)</f>
        <v>Risk</v>
      </c>
      <c r="C119" s="16" t="str">
        <f>VLOOKUP(Table4[[#This Row],[risk_id]], Table3[], 2, FALSE)</f>
        <v>Political</v>
      </c>
      <c r="D119" s="15" t="str">
        <f>VLOOKUP(Table4[[#This Row],[risk_id]], Table3[], 3, FALSE)</f>
        <v>Complex regulations</v>
      </c>
      <c r="E119"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19" s="300">
        <f t="shared" si="6"/>
        <v>19.566326530612248</v>
      </c>
      <c r="G119" s="31">
        <f>Table4[[#This Row],[DataQuality_Score]]</f>
        <v>0.81422398857612233</v>
      </c>
      <c r="H119"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VERY HIGH</v>
      </c>
      <c r="I119" s="27" t="str">
        <f>Table4[[#This Row],[LoA - Metric]]&amp; ", " &amp;Table4[[#This Row],[ES - Metric]]</f>
        <v>High agreement, Medium evidence</v>
      </c>
      <c r="J119" s="222">
        <f>(Table4[[#This Row],[LoA_SCORE]]+Table4[[#This Row],[ES_SCORE]])/100</f>
        <v>0.81422398857612233</v>
      </c>
      <c r="K119"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19"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19" s="179">
        <f>Table4[[#This Row],[probability_average]]</f>
        <v>4.2142857142857144</v>
      </c>
      <c r="N119" s="181">
        <f>Table4[[#This Row],[consequence_average]]</f>
        <v>4.6428571428571432</v>
      </c>
      <c r="O119" s="220">
        <f>Table4[[#This Row],[agreementPCT_score]]+Table4[[#This Row],[agreement_dist_score]]+Table4[[#This Row],[LoA_AQ_score]]</f>
        <v>48.571428571428569</v>
      </c>
      <c r="P119" s="203">
        <f>Table4[[#This Row],[evidenceconsistency_score]]+Table4[[#This Row],[EQ_score]]+Table4[[#This Row],[EA_score]]+Table4[[#This Row],[ET_score]]</f>
        <v>32.850970286183667</v>
      </c>
      <c r="Q119" s="181">
        <f>VLOOKUP(Table4[[#This Row],[risk_id]],Table3[],10,FALSE)</f>
        <v>4.6428571428571432</v>
      </c>
      <c r="R119" s="181">
        <f>VLOOKUP(Table4[[#This Row],[risk_id]],Table3[],9,FALSE)</f>
        <v>65</v>
      </c>
      <c r="S119" s="179">
        <f>VLOOKUP(Table4[[#This Row],[risk_id]],Table3[],7,FALSE)</f>
        <v>4.2142857142857144</v>
      </c>
      <c r="T119" s="179">
        <f>VLOOKUP(Table4[[#This Row],[risk_id]],Table3[],6,FALSE)</f>
        <v>59</v>
      </c>
      <c r="U119" s="177">
        <f t="shared" si="7"/>
        <v>12.5</v>
      </c>
      <c r="V119" s="187">
        <f>10</f>
        <v>10</v>
      </c>
      <c r="W119" s="187">
        <f>30</f>
        <v>30</v>
      </c>
      <c r="X119" s="17">
        <f>VLOOKUP(Table4[[#This Row],[risk_id]],Table3[],5,FALSE)</f>
        <v>14</v>
      </c>
      <c r="Y119" s="17">
        <f>94</f>
        <v>94</v>
      </c>
      <c r="Z119" s="177">
        <f>Table4[[#This Row],[EStype_summed]]*Table4[[#This Row],[Indicator_12.5pct]]</f>
        <v>12.5</v>
      </c>
      <c r="AA119" s="190">
        <f>(IF(Table4[[#This Row],[all_evtype]]&gt;=4,"4", IF(Table4[[#This Row],[all_evtype]]&gt;=3,"3", IF(Table4[[#This Row],[all_evtype]]&gt;=2,"2", IF(Table4[[#This Row],[all_evtype]]&gt;=1,"1","0")))))/Table4[[#This Row],[HPS_et]]</f>
        <v>1</v>
      </c>
      <c r="AB119" s="191">
        <f>VLOOKUP(Table4[[#This Row],[risk_id]],Table3[], 14, FALSE)</f>
        <v>4</v>
      </c>
      <c r="AC119" s="191">
        <f>VLOOKUP(Table4[[#This Row],[risk_id]],Table3[], 15, FALSE)</f>
        <v>5</v>
      </c>
      <c r="AD119" s="191">
        <f>VLOOKUP(Table4[[#This Row],[risk_id]], Table3[], 16, FALSE)</f>
        <v>4</v>
      </c>
      <c r="AE119" s="191">
        <f>VLOOKUP(Table4[[#This Row],[risk_id]], Table3[], 17, )</f>
        <v>1</v>
      </c>
      <c r="AF119" s="191">
        <f>4</f>
        <v>4</v>
      </c>
      <c r="AG119" s="191">
        <f>COUNTIF(Table4[[#This Row],[THEO]:[MOD]], "&gt;=1")</f>
        <v>4</v>
      </c>
      <c r="AH119" s="192">
        <f>Table4[[#This Row],[data_observations]]/Table4[[#This Row],[AllObservations_count]]</f>
        <v>0.14893617021276595</v>
      </c>
      <c r="AI119" s="189">
        <f>Table4[[#This Row],[evidenceamount_pct]]*(Table4[[#This Row],[Indicator_12.5pct]])</f>
        <v>1.8617021276595744</v>
      </c>
      <c r="AJ119" s="198">
        <f>(1-(VLOOKUP(Table4[[#This Row],[risk_id]],Table3[],18, FALSE))/(Table4[[#This Row],[data_observations]]))</f>
        <v>0.9285714285714286</v>
      </c>
      <c r="AK119" s="198">
        <f>((VLOOKUP(Table4[[#This Row],[risk_id]],Table3[],19, FALSE))+((VLOOKUP(Table4[[#This Row],[risk_id]],Table3[],36, FALSE))*0.5))/(Table4[[#This Row],[data_observations]])</f>
        <v>0.5</v>
      </c>
      <c r="AL119" s="177">
        <f>((Table4[[#This Row],[ev_data_deficient_score]]*0.5)+(Table4[[#This Row],[ev_data_availability_score]]*0.5))*(Table4[[#This Row],[Indicator_12.5pct]])</f>
        <v>8.9285714285714288</v>
      </c>
      <c r="AM119" s="199">
        <f>Table4[[#This Row],[RiskScore]]</f>
        <v>19.566326530612248</v>
      </c>
      <c r="AN119" s="200">
        <f>VLOOKUP(Table4[[#This Row],[risk_id]], Table3[], 13, FALSE)</f>
        <v>4.6009094043394043</v>
      </c>
      <c r="AO119" s="185">
        <f>(1-(Table4[[#This Row],[evidence_SD_RR]]/Table4[[#This Row],[evidence_mean_RR]]))*(Table4[[#This Row],[Indicator_12.5pct]])</f>
        <v>9.560696729952662</v>
      </c>
      <c r="AP119" s="201">
        <f>VLOOKUP(Table4[[#This Row],[risk_id]],Table3[],21, FALSE)</f>
        <v>0</v>
      </c>
      <c r="AQ119" s="201">
        <f>VLOOKUP(Table4[[#This Row],[risk_id]],Table3[],23, FALSE)</f>
        <v>0.14285714285714285</v>
      </c>
      <c r="AR119" s="201">
        <f>VLOOKUP(Table4[[#This Row],[risk_id]],Table3[],25, FALSE)</f>
        <v>0.8571428571428571</v>
      </c>
      <c r="AS119" s="201">
        <f>VLOOKUP(Table4[[#This Row],[risk_id]],Table3[],27, FALSE)</f>
        <v>0</v>
      </c>
      <c r="AT119" s="183">
        <f>(MAX(Table4[[#This Row],[C]:[U]]))*Table4[[#This Row],[Indicator_20pct]]</f>
        <v>8.5714285714285712</v>
      </c>
      <c r="AU119" s="205">
        <f>COUNTIFS(Table4[[#This Row],[C]], "&gt;0", Table4[[#This Row],[U]], "&gt;0") + COUNTIFS(Table4[[#This Row],[H]], "&gt;0", Table4[[#This Row],[U]], "&gt;0") + COUNTIFS(Table4[[#This Row],[C]], "&gt;0", Table4[[#This Row],[M]], "&gt;0")</f>
        <v>0</v>
      </c>
      <c r="AV119" s="219">
        <f>((-(Table4[[#This Row],[different_scores_count]]-3))/3)*Table4[[#This Row],[Indicator_20pct]]</f>
        <v>10</v>
      </c>
      <c r="AW119" s="183">
        <f>IF(Table4[[#This Row],[data_observations]]&gt;=5, 30, IF(Table4[[#This Row],[data_observations]]&gt;=3, 15, 0))</f>
        <v>30</v>
      </c>
      <c r="AX119" s="26" t="s">
        <v>2736</v>
      </c>
    </row>
    <row r="120" spans="1:50" s="60" customFormat="1" ht="32" hidden="1" customHeight="1" x14ac:dyDescent="0.2">
      <c r="A120" s="16" t="s">
        <v>2688</v>
      </c>
      <c r="B120" s="16" t="str">
        <f>VLOOKUP(Table4[[#This Row],[risk_id]], Table3[], 35, FALSE)</f>
        <v>Risk</v>
      </c>
      <c r="C120" s="16" t="str">
        <f>VLOOKUP(Table4[[#This Row],[risk_id]], Table3[], 2, FALSE)</f>
        <v>Navigational</v>
      </c>
      <c r="D120" s="15" t="str">
        <f>VLOOKUP(Table4[[#This Row],[risk_id]], Table3[], 3, FALSE)</f>
        <v>Iceburg collision</v>
      </c>
      <c r="E120"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20" s="300">
        <f t="shared" si="6"/>
        <v>19.387755102040817</v>
      </c>
      <c r="G120" s="31">
        <f>Table4[[#This Row],[DataQuality_Score]]</f>
        <v>0.77636246174037038</v>
      </c>
      <c r="H120"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20" s="27" t="str">
        <f>Table4[[#This Row],[LoA - Metric]]&amp; ", " &amp;Table4[[#This Row],[ES - Metric]]</f>
        <v>High agreement, Medium evidence</v>
      </c>
      <c r="J120" s="222">
        <f>(Table4[[#This Row],[LoA_SCORE]]+Table4[[#This Row],[ES_SCORE]])/100</f>
        <v>0.77636246174037038</v>
      </c>
      <c r="K120"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20"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20" s="179">
        <f>Table4[[#This Row],[probability_average]]</f>
        <v>2.7142857142857144</v>
      </c>
      <c r="N120" s="181">
        <f>Table4[[#This Row],[consequence_average]]</f>
        <v>7.1428571428571432</v>
      </c>
      <c r="O120" s="220">
        <f>Table4[[#This Row],[agreementPCT_score]]+Table4[[#This Row],[agreement_dist_score]]+Table4[[#This Row],[LoA_AQ_score]]</f>
        <v>48.571428571428569</v>
      </c>
      <c r="P120" s="203">
        <f>Table4[[#This Row],[evidenceconsistency_score]]+Table4[[#This Row],[EQ_score]]+Table4[[#This Row],[EA_score]]+Table4[[#This Row],[ET_score]]</f>
        <v>29.064817602608464</v>
      </c>
      <c r="Q120" s="181">
        <f>VLOOKUP(Table4[[#This Row],[risk_id]],Table3[],10,FALSE)</f>
        <v>7.1428571428571432</v>
      </c>
      <c r="R120" s="181">
        <f>VLOOKUP(Table4[[#This Row],[risk_id]],Table3[],9,FALSE)</f>
        <v>50</v>
      </c>
      <c r="S120" s="179">
        <f>VLOOKUP(Table4[[#This Row],[risk_id]],Table3[],7,FALSE)</f>
        <v>2.7142857142857144</v>
      </c>
      <c r="T120" s="179">
        <f>VLOOKUP(Table4[[#This Row],[risk_id]],Table3[],6,FALSE)</f>
        <v>19</v>
      </c>
      <c r="U120" s="177">
        <f t="shared" si="7"/>
        <v>12.5</v>
      </c>
      <c r="V120" s="187">
        <f>10</f>
        <v>10</v>
      </c>
      <c r="W120" s="187">
        <f>30</f>
        <v>30</v>
      </c>
      <c r="X120" s="17">
        <f>VLOOKUP(Table4[[#This Row],[risk_id]],Table3[],5,FALSE)</f>
        <v>7</v>
      </c>
      <c r="Y120" s="17">
        <f>94</f>
        <v>94</v>
      </c>
      <c r="Z120" s="177">
        <f>Table4[[#This Row],[EStype_summed]]*Table4[[#This Row],[Indicator_12.5pct]]</f>
        <v>9.375</v>
      </c>
      <c r="AA120" s="190">
        <f>(IF(Table4[[#This Row],[all_evtype]]&gt;=4,"4", IF(Table4[[#This Row],[all_evtype]]&gt;=3,"3", IF(Table4[[#This Row],[all_evtype]]&gt;=2,"2", IF(Table4[[#This Row],[all_evtype]]&gt;=1,"1","0")))))/Table4[[#This Row],[HPS_et]]</f>
        <v>0.75</v>
      </c>
      <c r="AB120" s="191">
        <f>VLOOKUP(Table4[[#This Row],[risk_id]],Table3[], 14, FALSE)</f>
        <v>1</v>
      </c>
      <c r="AC120" s="191">
        <f>VLOOKUP(Table4[[#This Row],[risk_id]],Table3[], 15, FALSE)</f>
        <v>5</v>
      </c>
      <c r="AD120" s="191">
        <f>VLOOKUP(Table4[[#This Row],[risk_id]], Table3[], 16, FALSE)</f>
        <v>0</v>
      </c>
      <c r="AE120" s="191">
        <f>VLOOKUP(Table4[[#This Row],[risk_id]], Table3[], 17, )</f>
        <v>1</v>
      </c>
      <c r="AF120" s="191">
        <f>4</f>
        <v>4</v>
      </c>
      <c r="AG120" s="191">
        <f>COUNTIF(Table4[[#This Row],[THEO]:[MOD]], "&gt;=1")</f>
        <v>3</v>
      </c>
      <c r="AH120" s="192">
        <f>Table4[[#This Row],[data_observations]]/Table4[[#This Row],[AllObservations_count]]</f>
        <v>7.4468085106382975E-2</v>
      </c>
      <c r="AI120" s="189">
        <f>Table4[[#This Row],[evidenceamount_pct]]*(Table4[[#This Row],[Indicator_12.5pct]])</f>
        <v>0.93085106382978722</v>
      </c>
      <c r="AJ120" s="198">
        <f>(1-(VLOOKUP(Table4[[#This Row],[risk_id]],Table3[],18, FALSE))/(Table4[[#This Row],[data_observations]]))</f>
        <v>1</v>
      </c>
      <c r="AK120" s="198">
        <f>((VLOOKUP(Table4[[#This Row],[risk_id]],Table3[],19, FALSE))+((VLOOKUP(Table4[[#This Row],[risk_id]],Table3[],36, FALSE))*0.5))/(Table4[[#This Row],[data_observations]])</f>
        <v>0.5714285714285714</v>
      </c>
      <c r="AL120" s="177">
        <f>((Table4[[#This Row],[ev_data_deficient_score]]*0.5)+(Table4[[#This Row],[ev_data_availability_score]]*0.5))*(Table4[[#This Row],[Indicator_12.5pct]])</f>
        <v>9.8214285714285712</v>
      </c>
      <c r="AM120" s="199">
        <f>Table4[[#This Row],[RiskScore]]</f>
        <v>19.387755102040817</v>
      </c>
      <c r="AN120" s="200">
        <f>VLOOKUP(Table4[[#This Row],[risk_id]], Table3[], 13, FALSE)</f>
        <v>5.5254513159467757</v>
      </c>
      <c r="AO120" s="185">
        <f>(1-(Table4[[#This Row],[evidence_SD_RR]]/Table4[[#This Row],[evidence_mean_RR]]))*(Table4[[#This Row],[Indicator_12.5pct]])</f>
        <v>8.9375379673501048</v>
      </c>
      <c r="AP120" s="201">
        <f>VLOOKUP(Table4[[#This Row],[risk_id]],Table3[],21, FALSE)</f>
        <v>0</v>
      </c>
      <c r="AQ120" s="201">
        <f>VLOOKUP(Table4[[#This Row],[risk_id]],Table3[],23, FALSE)</f>
        <v>0.14285714285714285</v>
      </c>
      <c r="AR120" s="201">
        <f>VLOOKUP(Table4[[#This Row],[risk_id]],Table3[],25, FALSE)</f>
        <v>0.8571428571428571</v>
      </c>
      <c r="AS120" s="201">
        <f>VLOOKUP(Table4[[#This Row],[risk_id]],Table3[],27, FALSE)</f>
        <v>0</v>
      </c>
      <c r="AT120" s="183">
        <f>(MAX(Table4[[#This Row],[C]:[U]]))*Table4[[#This Row],[Indicator_20pct]]</f>
        <v>8.5714285714285712</v>
      </c>
      <c r="AU120" s="205">
        <f>COUNTIFS(Table4[[#This Row],[C]], "&gt;0", Table4[[#This Row],[U]], "&gt;0") + COUNTIFS(Table4[[#This Row],[H]], "&gt;0", Table4[[#This Row],[U]], "&gt;0") + COUNTIFS(Table4[[#This Row],[C]], "&gt;0", Table4[[#This Row],[M]], "&gt;0")</f>
        <v>0</v>
      </c>
      <c r="AV120" s="219">
        <f>((-(Table4[[#This Row],[different_scores_count]]-3))/3)*Table4[[#This Row],[Indicator_20pct]]</f>
        <v>10</v>
      </c>
      <c r="AW120" s="183">
        <f>IF(Table4[[#This Row],[data_observations]]&gt;=5, 30, IF(Table4[[#This Row],[data_observations]]&gt;=3, 15, 0))</f>
        <v>30</v>
      </c>
      <c r="AX120" s="26" t="s">
        <v>2737</v>
      </c>
    </row>
    <row r="121" spans="1:50" ht="32" hidden="1" customHeight="1" x14ac:dyDescent="0.2">
      <c r="A121" s="16" t="s">
        <v>559</v>
      </c>
      <c r="B121" s="16" t="str">
        <f>VLOOKUP(Table4[[#This Row],[risk_id]], Table3[], 35, FALSE)</f>
        <v>Risk</v>
      </c>
      <c r="C121" s="16" t="str">
        <f>VLOOKUP(Table4[[#This Row],[risk_id]], Table3[], 2, FALSE)</f>
        <v>Economic</v>
      </c>
      <c r="D121" s="15" t="str">
        <f>VLOOKUP(Table4[[#This Row],[risk_id]], Table3[], 3, FALSE)</f>
        <v>Lack of insurance information disclosure</v>
      </c>
      <c r="E121"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21" s="300">
        <f t="shared" si="6"/>
        <v>19.25</v>
      </c>
      <c r="G121" s="31">
        <f>Table4[[#This Row],[DataQuality_Score]]</f>
        <v>0.42080080823431887</v>
      </c>
      <c r="H121"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21" s="27" t="str">
        <f>Table4[[#This Row],[LoA - Metric]]&amp; ", " &amp;Table4[[#This Row],[ES - Metric]]</f>
        <v>Medium agreement, Medium evidence</v>
      </c>
      <c r="J121" s="222">
        <f>(Table4[[#This Row],[LoA_SCORE]]+Table4[[#This Row],[ES_SCORE]])/100</f>
        <v>0.42080080823431887</v>
      </c>
      <c r="K121"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21"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21" s="179">
        <f>Table4[[#This Row],[probability_average]]</f>
        <v>3.5</v>
      </c>
      <c r="N121" s="181">
        <f>Table4[[#This Row],[consequence_average]]</f>
        <v>5.5</v>
      </c>
      <c r="O121" s="220">
        <f>Table4[[#This Row],[agreementPCT_score]]+Table4[[#This Row],[agreement_dist_score]]+Table4[[#This Row],[LoA_AQ_score]]</f>
        <v>20</v>
      </c>
      <c r="P121" s="203">
        <f>Table4[[#This Row],[evidenceconsistency_score]]+Table4[[#This Row],[EQ_score]]+Table4[[#This Row],[EA_score]]+Table4[[#This Row],[ET_score]]</f>
        <v>22.080080823431885</v>
      </c>
      <c r="Q121" s="181">
        <f>VLOOKUP(Table4[[#This Row],[risk_id]],Table3[],10,FALSE)</f>
        <v>5.5</v>
      </c>
      <c r="R121" s="181">
        <f>VLOOKUP(Table4[[#This Row],[risk_id]],Table3[],9,FALSE)</f>
        <v>11</v>
      </c>
      <c r="S121" s="179">
        <f>VLOOKUP(Table4[[#This Row],[risk_id]],Table3[],7,FALSE)</f>
        <v>3.5</v>
      </c>
      <c r="T121" s="179">
        <f>VLOOKUP(Table4[[#This Row],[risk_id]],Table3[],6,FALSE)</f>
        <v>7</v>
      </c>
      <c r="U121" s="177">
        <f t="shared" si="7"/>
        <v>12.5</v>
      </c>
      <c r="V121" s="187">
        <f>10</f>
        <v>10</v>
      </c>
      <c r="W121" s="187">
        <f>30</f>
        <v>30</v>
      </c>
      <c r="X121" s="17">
        <f>VLOOKUP(Table4[[#This Row],[risk_id]],Table3[],5,FALSE)</f>
        <v>2</v>
      </c>
      <c r="Y121" s="17">
        <f>94</f>
        <v>94</v>
      </c>
      <c r="Z121" s="177">
        <f>Table4[[#This Row],[EStype_summed]]*Table4[[#This Row],[Indicator_12.5pct]]</f>
        <v>6.25</v>
      </c>
      <c r="AA121" s="190">
        <f>(IF(Table4[[#This Row],[all_evtype]]&gt;=4,"4", IF(Table4[[#This Row],[all_evtype]]&gt;=3,"3", IF(Table4[[#This Row],[all_evtype]]&gt;=2,"2", IF(Table4[[#This Row],[all_evtype]]&gt;=1,"1","0")))))/Table4[[#This Row],[HPS_et]]</f>
        <v>0.5</v>
      </c>
      <c r="AB121" s="191">
        <f>VLOOKUP(Table4[[#This Row],[risk_id]],Table3[], 14, FALSE)</f>
        <v>0</v>
      </c>
      <c r="AC121" s="191">
        <f>VLOOKUP(Table4[[#This Row],[risk_id]],Table3[], 15, FALSE)</f>
        <v>1</v>
      </c>
      <c r="AD121" s="191">
        <f>VLOOKUP(Table4[[#This Row],[risk_id]], Table3[], 16, FALSE)</f>
        <v>1</v>
      </c>
      <c r="AE121" s="191">
        <f>VLOOKUP(Table4[[#This Row],[risk_id]], Table3[], 17, )</f>
        <v>0</v>
      </c>
      <c r="AF121" s="191">
        <f>4</f>
        <v>4</v>
      </c>
      <c r="AG121" s="191">
        <f>COUNTIF(Table4[[#This Row],[THEO]:[MOD]], "&gt;=1")</f>
        <v>2</v>
      </c>
      <c r="AH121" s="192">
        <f>Table4[[#This Row],[data_observations]]/Table4[[#This Row],[AllObservations_count]]</f>
        <v>2.1276595744680851E-2</v>
      </c>
      <c r="AI121" s="189">
        <f>Table4[[#This Row],[evidenceamount_pct]]*(Table4[[#This Row],[Indicator_12.5pct]])</f>
        <v>0.26595744680851063</v>
      </c>
      <c r="AJ121" s="198">
        <f>(1-(VLOOKUP(Table4[[#This Row],[risk_id]],Table3[],18, FALSE))/(Table4[[#This Row],[data_observations]]))</f>
        <v>0.5</v>
      </c>
      <c r="AK121" s="198">
        <f>((VLOOKUP(Table4[[#This Row],[risk_id]],Table3[],19, FALSE))+((VLOOKUP(Table4[[#This Row],[risk_id]],Table3[],36, FALSE))*0.5))/(Table4[[#This Row],[data_observations]])</f>
        <v>0.25</v>
      </c>
      <c r="AL121" s="177">
        <f>((Table4[[#This Row],[ev_data_deficient_score]]*0.5)+(Table4[[#This Row],[ev_data_availability_score]]*0.5))*(Table4[[#This Row],[Indicator_12.5pct]])</f>
        <v>4.6875</v>
      </c>
      <c r="AM121" s="199">
        <f>Table4[[#This Row],[RiskScore]]</f>
        <v>19.25</v>
      </c>
      <c r="AN121" s="200">
        <f>VLOOKUP(Table4[[#This Row],[risk_id]], Table3[], 13, FALSE)</f>
        <v>2.5</v>
      </c>
      <c r="AO121" s="185">
        <f>(1-(Table4[[#This Row],[evidence_SD_RR]]/Table4[[#This Row],[evidence_mean_RR]]))*(Table4[[#This Row],[Indicator_12.5pct]])</f>
        <v>10.876623376623376</v>
      </c>
      <c r="AP121" s="201">
        <f>VLOOKUP(Table4[[#This Row],[risk_id]],Table3[],21, FALSE)</f>
        <v>0</v>
      </c>
      <c r="AQ121" s="201">
        <f>VLOOKUP(Table4[[#This Row],[risk_id]],Table3[],23, FALSE)</f>
        <v>0</v>
      </c>
      <c r="AR121" s="201">
        <f>VLOOKUP(Table4[[#This Row],[risk_id]],Table3[],25, FALSE)</f>
        <v>1</v>
      </c>
      <c r="AS121" s="201">
        <f>VLOOKUP(Table4[[#This Row],[risk_id]],Table3[],27, FALSE)</f>
        <v>0</v>
      </c>
      <c r="AT121" s="183">
        <f>(MAX(Table4[[#This Row],[C]:[U]]))*Table4[[#This Row],[Indicator_20pct]]</f>
        <v>10</v>
      </c>
      <c r="AU121" s="205">
        <f>COUNTIFS(Table4[[#This Row],[C]], "&gt;0", Table4[[#This Row],[U]], "&gt;0") + COUNTIFS(Table4[[#This Row],[H]], "&gt;0", Table4[[#This Row],[U]], "&gt;0") + COUNTIFS(Table4[[#This Row],[C]], "&gt;0", Table4[[#This Row],[M]], "&gt;0")</f>
        <v>0</v>
      </c>
      <c r="AV121" s="219">
        <f>((-(Table4[[#This Row],[different_scores_count]]-3))/3)*Table4[[#This Row],[Indicator_20pct]]</f>
        <v>10</v>
      </c>
      <c r="AW121" s="183">
        <f>IF(Table4[[#This Row],[data_observations]]&gt;=5, 30, IF(Table4[[#This Row],[data_observations]]&gt;=3, 15, 0))</f>
        <v>0</v>
      </c>
      <c r="AX121" s="26" t="s">
        <v>2737</v>
      </c>
    </row>
    <row r="122" spans="1:50" ht="32" customHeight="1" x14ac:dyDescent="0.2">
      <c r="A122" s="16" t="s">
        <v>2710</v>
      </c>
      <c r="B122" s="16" t="str">
        <f>VLOOKUP(Table4[[#This Row],[risk_id]], Table3[], 35, FALSE)</f>
        <v>Hazard</v>
      </c>
      <c r="C122" s="16" t="str">
        <f>VLOOKUP(Table4[[#This Row],[risk_id]], Table3[], 2, FALSE)</f>
        <v>Environmental</v>
      </c>
      <c r="D122" s="15" t="str">
        <f>VLOOKUP(Table4[[#This Row],[risk_id]], Table3[], 3, FALSE)</f>
        <v>Sea conditions</v>
      </c>
      <c r="E122"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22" s="300">
        <f t="shared" si="6"/>
        <v>19</v>
      </c>
      <c r="G122" s="31">
        <f>Table4[[#This Row],[DataQuality_Score]]</f>
        <v>0.6798012247804438</v>
      </c>
      <c r="H122"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22" s="27" t="str">
        <f>Table4[[#This Row],[LoA - Metric]]&amp; ", " &amp;Table4[[#This Row],[ES - Metric]]</f>
        <v>High agreement, Medium evidence</v>
      </c>
      <c r="J122" s="222">
        <f>(Table4[[#This Row],[LoA_SCORE]]+Table4[[#This Row],[ES_SCORE]])/100</f>
        <v>0.6798012247804438</v>
      </c>
      <c r="K122"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22"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22" s="179">
        <f>Table4[[#This Row],[probability_average]]</f>
        <v>3.1666666666666665</v>
      </c>
      <c r="N122" s="181">
        <f>Table4[[#This Row],[consequence_average]]</f>
        <v>6</v>
      </c>
      <c r="O122" s="220">
        <f>Table4[[#This Row],[agreementPCT_score]]+Table4[[#This Row],[agreement_dist_score]]+Table4[[#This Row],[LoA_AQ_score]]</f>
        <v>42.5</v>
      </c>
      <c r="P122" s="203">
        <f>Table4[[#This Row],[evidenceconsistency_score]]+Table4[[#This Row],[EQ_score]]+Table4[[#This Row],[EA_score]]+Table4[[#This Row],[ET_score]]</f>
        <v>25.480122478044379</v>
      </c>
      <c r="Q122" s="181">
        <f>VLOOKUP(Table4[[#This Row],[risk_id]],Table3[],10,FALSE)</f>
        <v>6</v>
      </c>
      <c r="R122" s="181">
        <f>VLOOKUP(Table4[[#This Row],[risk_id]],Table3[],9,FALSE)</f>
        <v>72</v>
      </c>
      <c r="S122" s="179">
        <f>VLOOKUP(Table4[[#This Row],[risk_id]],Table3[],7,FALSE)</f>
        <v>3.1666666666666665</v>
      </c>
      <c r="T122" s="179">
        <f>VLOOKUP(Table4[[#This Row],[risk_id]],Table3[],6,FALSE)</f>
        <v>38</v>
      </c>
      <c r="U122" s="177">
        <f t="shared" si="7"/>
        <v>12.5</v>
      </c>
      <c r="V122" s="187">
        <f>10</f>
        <v>10</v>
      </c>
      <c r="W122" s="187">
        <f>30</f>
        <v>30</v>
      </c>
      <c r="X122" s="17">
        <f>VLOOKUP(Table4[[#This Row],[risk_id]],Table3[],5,FALSE)</f>
        <v>12</v>
      </c>
      <c r="Y122" s="17">
        <f>94</f>
        <v>94</v>
      </c>
      <c r="Z122" s="177">
        <f>Table4[[#This Row],[EStype_summed]]*Table4[[#This Row],[Indicator_12.5pct]]</f>
        <v>6.25</v>
      </c>
      <c r="AA122" s="190">
        <f>(IF(Table4[[#This Row],[all_evtype]]&gt;=4,"4", IF(Table4[[#This Row],[all_evtype]]&gt;=3,"3", IF(Table4[[#This Row],[all_evtype]]&gt;=2,"2", IF(Table4[[#This Row],[all_evtype]]&gt;=1,"1","0")))))/Table4[[#This Row],[HPS_et]]</f>
        <v>0.5</v>
      </c>
      <c r="AB122" s="191">
        <f>VLOOKUP(Table4[[#This Row],[risk_id]],Table3[], 14, FALSE)</f>
        <v>0</v>
      </c>
      <c r="AC122" s="191">
        <f>VLOOKUP(Table4[[#This Row],[risk_id]],Table3[], 15, FALSE)</f>
        <v>10</v>
      </c>
      <c r="AD122" s="191">
        <f>VLOOKUP(Table4[[#This Row],[risk_id]], Table3[], 16, FALSE)</f>
        <v>2</v>
      </c>
      <c r="AE122" s="191">
        <f>VLOOKUP(Table4[[#This Row],[risk_id]], Table3[], 17, )</f>
        <v>0</v>
      </c>
      <c r="AF122" s="191">
        <f>4</f>
        <v>4</v>
      </c>
      <c r="AG122" s="191">
        <f>COUNTIF(Table4[[#This Row],[THEO]:[MOD]], "&gt;=1")</f>
        <v>2</v>
      </c>
      <c r="AH122" s="192">
        <f>Table4[[#This Row],[data_observations]]/Table4[[#This Row],[AllObservations_count]]</f>
        <v>0.1276595744680851</v>
      </c>
      <c r="AI122" s="189">
        <f>Table4[[#This Row],[evidenceamount_pct]]*(Table4[[#This Row],[Indicator_12.5pct]])</f>
        <v>1.5957446808510638</v>
      </c>
      <c r="AJ122" s="198">
        <f>(1-(VLOOKUP(Table4[[#This Row],[risk_id]],Table3[],18, FALSE))/(Table4[[#This Row],[data_observations]]))</f>
        <v>1</v>
      </c>
      <c r="AK122" s="198">
        <f>((VLOOKUP(Table4[[#This Row],[risk_id]],Table3[],19, FALSE))+((VLOOKUP(Table4[[#This Row],[risk_id]],Table3[],36, FALSE))*0.5))/(Table4[[#This Row],[data_observations]])</f>
        <v>0.75</v>
      </c>
      <c r="AL122" s="177">
        <f>((Table4[[#This Row],[ev_data_deficient_score]]*0.5)+(Table4[[#This Row],[ev_data_availability_score]]*0.5))*(Table4[[#This Row],[Indicator_12.5pct]])</f>
        <v>10.9375</v>
      </c>
      <c r="AM122" s="199">
        <f>Table4[[#This Row],[RiskScore]]</f>
        <v>19</v>
      </c>
      <c r="AN122" s="200">
        <f>VLOOKUP(Table4[[#This Row],[risk_id]], Table3[], 13, FALSE)</f>
        <v>8.8207457482661606</v>
      </c>
      <c r="AO122" s="185">
        <f>(1-(Table4[[#This Row],[evidence_SD_RR]]/Table4[[#This Row],[evidence_mean_RR]]))*(Table4[[#This Row],[Indicator_12.5pct]])</f>
        <v>6.6968777971933156</v>
      </c>
      <c r="AP122" s="201">
        <f>VLOOKUP(Table4[[#This Row],[risk_id]],Table3[],21, FALSE)</f>
        <v>0</v>
      </c>
      <c r="AQ122" s="201">
        <f>VLOOKUP(Table4[[#This Row],[risk_id]],Table3[],23, FALSE)</f>
        <v>0.33333333333333331</v>
      </c>
      <c r="AR122" s="201">
        <f>VLOOKUP(Table4[[#This Row],[risk_id]],Table3[],25, FALSE)</f>
        <v>0.58333333333333337</v>
      </c>
      <c r="AS122" s="201">
        <f>VLOOKUP(Table4[[#This Row],[risk_id]],Table3[],27, FALSE)</f>
        <v>8.3333333333333329E-2</v>
      </c>
      <c r="AT122" s="183">
        <f>(MAX(Table4[[#This Row],[C]:[U]]))*Table4[[#This Row],[Indicator_20pct]]</f>
        <v>5.8333333333333339</v>
      </c>
      <c r="AU122" s="205">
        <f>COUNTIFS(Table4[[#This Row],[C]], "&gt;0", Table4[[#This Row],[U]], "&gt;0") + COUNTIFS(Table4[[#This Row],[H]], "&gt;0", Table4[[#This Row],[U]], "&gt;0") + COUNTIFS(Table4[[#This Row],[C]], "&gt;0", Table4[[#This Row],[M]], "&gt;0")</f>
        <v>1</v>
      </c>
      <c r="AV122" s="219">
        <f>((-(Table4[[#This Row],[different_scores_count]]-3))/3)*Table4[[#This Row],[Indicator_20pct]]</f>
        <v>6.6666666666666661</v>
      </c>
      <c r="AW122" s="183">
        <f>IF(Table4[[#This Row],[data_observations]]&gt;=5, 30, IF(Table4[[#This Row],[data_observations]]&gt;=3, 15, 0))</f>
        <v>30</v>
      </c>
      <c r="AX122" s="26" t="s">
        <v>2737</v>
      </c>
    </row>
    <row r="123" spans="1:50" ht="32" hidden="1" customHeight="1" x14ac:dyDescent="0.2">
      <c r="A123" s="16" t="s">
        <v>617</v>
      </c>
      <c r="B123" s="16" t="str">
        <f>VLOOKUP(Table4[[#This Row],[risk_id]], Table3[], 35, FALSE)</f>
        <v>Risk</v>
      </c>
      <c r="C123" s="16" t="str">
        <f>VLOOKUP(Table4[[#This Row],[risk_id]], Table3[], 2, FALSE)</f>
        <v>Environmental</v>
      </c>
      <c r="D123" s="15" t="str">
        <f>VLOOKUP(Table4[[#This Row],[risk_id]], Table3[], 3, FALSE)</f>
        <v>Species population migration/change</v>
      </c>
      <c r="E123"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23" s="300">
        <f t="shared" si="6"/>
        <v>18.75</v>
      </c>
      <c r="G123" s="31">
        <f>Table4[[#This Row],[DataQuality_Score]]</f>
        <v>0.4343437813219761</v>
      </c>
      <c r="H123"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23" s="27" t="str">
        <f>Table4[[#This Row],[LoA - Metric]]&amp; ", " &amp;Table4[[#This Row],[ES - Metric]]</f>
        <v>Medium agreement, Medium evidence</v>
      </c>
      <c r="J123" s="222">
        <f>(Table4[[#This Row],[LoA_SCORE]]+Table4[[#This Row],[ES_SCORE]])/100</f>
        <v>0.4343437813219761</v>
      </c>
      <c r="K123"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23"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23" s="179">
        <f>Table4[[#This Row],[probability_average]]</f>
        <v>3</v>
      </c>
      <c r="N123" s="181">
        <f>Table4[[#This Row],[consequence_average]]</f>
        <v>6.25</v>
      </c>
      <c r="O123" s="220">
        <f>Table4[[#This Row],[agreementPCT_score]]+Table4[[#This Row],[agreement_dist_score]]+Table4[[#This Row],[LoA_AQ_score]]</f>
        <v>26.666666666666664</v>
      </c>
      <c r="P123" s="203">
        <f>Table4[[#This Row],[evidenceconsistency_score]]+Table4[[#This Row],[EQ_score]]+Table4[[#This Row],[EA_score]]+Table4[[#This Row],[ET_score]]</f>
        <v>16.767711465530947</v>
      </c>
      <c r="Q123" s="181">
        <f>VLOOKUP(Table4[[#This Row],[risk_id]],Table3[],10,FALSE)</f>
        <v>6.25</v>
      </c>
      <c r="R123" s="181">
        <f>VLOOKUP(Table4[[#This Row],[risk_id]],Table3[],9,FALSE)</f>
        <v>25</v>
      </c>
      <c r="S123" s="179">
        <f>VLOOKUP(Table4[[#This Row],[risk_id]],Table3[],7,FALSE)</f>
        <v>3</v>
      </c>
      <c r="T123" s="179">
        <f>VLOOKUP(Table4[[#This Row],[risk_id]],Table3[],6,FALSE)</f>
        <v>12</v>
      </c>
      <c r="U123" s="177">
        <f t="shared" si="7"/>
        <v>12.5</v>
      </c>
      <c r="V123" s="187">
        <f>10</f>
        <v>10</v>
      </c>
      <c r="W123" s="187">
        <f>30</f>
        <v>30</v>
      </c>
      <c r="X123" s="17">
        <f>VLOOKUP(Table4[[#This Row],[risk_id]],Table3[],5,FALSE)</f>
        <v>4</v>
      </c>
      <c r="Y123" s="17">
        <f>94</f>
        <v>94</v>
      </c>
      <c r="Z123" s="177">
        <f>Table4[[#This Row],[EStype_summed]]*Table4[[#This Row],[Indicator_12.5pct]]</f>
        <v>6.25</v>
      </c>
      <c r="AA123" s="190">
        <f>(IF(Table4[[#This Row],[all_evtype]]&gt;=4,"4", IF(Table4[[#This Row],[all_evtype]]&gt;=3,"3", IF(Table4[[#This Row],[all_evtype]]&gt;=2,"2", IF(Table4[[#This Row],[all_evtype]]&gt;=1,"1","0")))))/Table4[[#This Row],[HPS_et]]</f>
        <v>0.5</v>
      </c>
      <c r="AB123" s="191">
        <f>VLOOKUP(Table4[[#This Row],[risk_id]],Table3[], 14, FALSE)</f>
        <v>3</v>
      </c>
      <c r="AC123" s="191">
        <f>VLOOKUP(Table4[[#This Row],[risk_id]],Table3[], 15, FALSE)</f>
        <v>1</v>
      </c>
      <c r="AD123" s="191">
        <f>VLOOKUP(Table4[[#This Row],[risk_id]], Table3[], 16, FALSE)</f>
        <v>0</v>
      </c>
      <c r="AE123" s="191">
        <f>VLOOKUP(Table4[[#This Row],[risk_id]], Table3[], 17, )</f>
        <v>0</v>
      </c>
      <c r="AF123" s="191">
        <f>4</f>
        <v>4</v>
      </c>
      <c r="AG123" s="191">
        <f>COUNTIF(Table4[[#This Row],[THEO]:[MOD]], "&gt;=1")</f>
        <v>2</v>
      </c>
      <c r="AH123" s="192">
        <f>Table4[[#This Row],[data_observations]]/Table4[[#This Row],[AllObservations_count]]</f>
        <v>4.2553191489361701E-2</v>
      </c>
      <c r="AI123" s="189">
        <f>Table4[[#This Row],[evidenceamount_pct]]*(Table4[[#This Row],[Indicator_12.5pct]])</f>
        <v>0.53191489361702127</v>
      </c>
      <c r="AJ123" s="198">
        <f>(1-(VLOOKUP(Table4[[#This Row],[risk_id]],Table3[],18, FALSE))/(Table4[[#This Row],[data_observations]]))</f>
        <v>0.5</v>
      </c>
      <c r="AK123" s="198">
        <f>((VLOOKUP(Table4[[#This Row],[risk_id]],Table3[],19, FALSE))+((VLOOKUP(Table4[[#This Row],[risk_id]],Table3[],36, FALSE))*0.5))/(Table4[[#This Row],[data_observations]])</f>
        <v>0.125</v>
      </c>
      <c r="AL123" s="177">
        <f>((Table4[[#This Row],[ev_data_deficient_score]]*0.5)+(Table4[[#This Row],[ev_data_availability_score]]*0.5))*(Table4[[#This Row],[Indicator_12.5pct]])</f>
        <v>3.90625</v>
      </c>
      <c r="AM123" s="199">
        <f>Table4[[#This Row],[RiskScore]]</f>
        <v>18.75</v>
      </c>
      <c r="AN123" s="200">
        <f>VLOOKUP(Table4[[#This Row],[risk_id]], Table3[], 13, FALSE)</f>
        <v>9.6306801421291119</v>
      </c>
      <c r="AO123" s="185">
        <f>(1-(Table4[[#This Row],[evidence_SD_RR]]/Table4[[#This Row],[evidence_mean_RR]]))*(Table4[[#This Row],[Indicator_12.5pct]])</f>
        <v>6.0795465719139257</v>
      </c>
      <c r="AP123" s="201">
        <f>VLOOKUP(Table4[[#This Row],[risk_id]],Table3[],21, FALSE)</f>
        <v>0</v>
      </c>
      <c r="AQ123" s="201">
        <f>VLOOKUP(Table4[[#This Row],[risk_id]],Table3[],23, FALSE)</f>
        <v>0.5</v>
      </c>
      <c r="AR123" s="201">
        <f>VLOOKUP(Table4[[#This Row],[risk_id]],Table3[],25, FALSE)</f>
        <v>0.25</v>
      </c>
      <c r="AS123" s="201">
        <f>VLOOKUP(Table4[[#This Row],[risk_id]],Table3[],27, FALSE)</f>
        <v>0.25</v>
      </c>
      <c r="AT123" s="183">
        <f>(MAX(Table4[[#This Row],[C]:[U]]))*Table4[[#This Row],[Indicator_20pct]]</f>
        <v>5</v>
      </c>
      <c r="AU123" s="205">
        <f>COUNTIFS(Table4[[#This Row],[C]], "&gt;0", Table4[[#This Row],[U]], "&gt;0") + COUNTIFS(Table4[[#This Row],[H]], "&gt;0", Table4[[#This Row],[U]], "&gt;0") + COUNTIFS(Table4[[#This Row],[C]], "&gt;0", Table4[[#This Row],[M]], "&gt;0")</f>
        <v>1</v>
      </c>
      <c r="AV123" s="219">
        <f>((-(Table4[[#This Row],[different_scores_count]]-3))/3)*Table4[[#This Row],[Indicator_20pct]]</f>
        <v>6.6666666666666661</v>
      </c>
      <c r="AW123" s="183">
        <f>IF(Table4[[#This Row],[data_observations]]&gt;=5, 30, IF(Table4[[#This Row],[data_observations]]&gt;=3, 15, 0))</f>
        <v>15</v>
      </c>
      <c r="AX123" s="26" t="s">
        <v>2737</v>
      </c>
    </row>
    <row r="124" spans="1:50" ht="32" hidden="1" customHeight="1" x14ac:dyDescent="0.2">
      <c r="A124" s="16" t="s">
        <v>2716</v>
      </c>
      <c r="B124" s="16" t="str">
        <f>VLOOKUP(Table4[[#This Row],[risk_id]], Table3[], 35, FALSE)</f>
        <v>Risk</v>
      </c>
      <c r="C124" s="16" t="str">
        <f>VLOOKUP(Table4[[#This Row],[risk_id]], Table3[], 2, FALSE)</f>
        <v>Navigational</v>
      </c>
      <c r="D124" s="15" t="str">
        <f>VLOOKUP(Table4[[#This Row],[risk_id]], Table3[], 3, FALSE)</f>
        <v>Sinking vessel</v>
      </c>
      <c r="E124"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24" s="300">
        <f t="shared" si="6"/>
        <v>18.666666666666668</v>
      </c>
      <c r="G124" s="31">
        <f>Table4[[#This Row],[DataQuality_Score]]</f>
        <v>0.63537265375087248</v>
      </c>
      <c r="H124"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24" s="27" t="str">
        <f>Table4[[#This Row],[LoA - Metric]]&amp; ", " &amp;Table4[[#This Row],[ES - Metric]]</f>
        <v>High agreement, Medium evidence</v>
      </c>
      <c r="J124" s="222">
        <f>(Table4[[#This Row],[LoA_SCORE]]+Table4[[#This Row],[ES_SCORE]])/100</f>
        <v>0.63537265375087248</v>
      </c>
      <c r="K124"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24"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24" s="179">
        <f>Table4[[#This Row],[probability_average]]</f>
        <v>2.3333333333333335</v>
      </c>
      <c r="N124" s="181">
        <f>Table4[[#This Row],[consequence_average]]</f>
        <v>8</v>
      </c>
      <c r="O124" s="220">
        <f>Table4[[#This Row],[agreementPCT_score]]+Table4[[#This Row],[agreement_dist_score]]+Table4[[#This Row],[LoA_AQ_score]]</f>
        <v>35</v>
      </c>
      <c r="P124" s="203">
        <f>Table4[[#This Row],[evidenceconsistency_score]]+Table4[[#This Row],[EQ_score]]+Table4[[#This Row],[EA_score]]+Table4[[#This Row],[ET_score]]</f>
        <v>28.537265375087241</v>
      </c>
      <c r="Q124" s="181">
        <f>VLOOKUP(Table4[[#This Row],[risk_id]],Table3[],10,FALSE)</f>
        <v>8</v>
      </c>
      <c r="R124" s="181">
        <f>VLOOKUP(Table4[[#This Row],[risk_id]],Table3[],9,FALSE)</f>
        <v>24</v>
      </c>
      <c r="S124" s="179">
        <f>VLOOKUP(Table4[[#This Row],[risk_id]],Table3[],7,FALSE)</f>
        <v>2.3333333333333335</v>
      </c>
      <c r="T124" s="179">
        <f>VLOOKUP(Table4[[#This Row],[risk_id]],Table3[],6,FALSE)</f>
        <v>7</v>
      </c>
      <c r="U124" s="177">
        <f t="shared" si="7"/>
        <v>12.5</v>
      </c>
      <c r="V124" s="187">
        <f>10</f>
        <v>10</v>
      </c>
      <c r="W124" s="187">
        <f>30</f>
        <v>30</v>
      </c>
      <c r="X124" s="17">
        <f>VLOOKUP(Table4[[#This Row],[risk_id]],Table3[],5,FALSE)</f>
        <v>3</v>
      </c>
      <c r="Y124" s="17">
        <f>94</f>
        <v>94</v>
      </c>
      <c r="Z124" s="177">
        <f>Table4[[#This Row],[EStype_summed]]*Table4[[#This Row],[Indicator_12.5pct]]</f>
        <v>6.25</v>
      </c>
      <c r="AA124" s="190">
        <f>(IF(Table4[[#This Row],[all_evtype]]&gt;=4,"4", IF(Table4[[#This Row],[all_evtype]]&gt;=3,"3", IF(Table4[[#This Row],[all_evtype]]&gt;=2,"2", IF(Table4[[#This Row],[all_evtype]]&gt;=1,"1","0")))))/Table4[[#This Row],[HPS_et]]</f>
        <v>0.5</v>
      </c>
      <c r="AB124" s="191">
        <f>VLOOKUP(Table4[[#This Row],[risk_id]],Table3[], 14, FALSE)</f>
        <v>0</v>
      </c>
      <c r="AC124" s="191">
        <f>VLOOKUP(Table4[[#This Row],[risk_id]],Table3[], 15, FALSE)</f>
        <v>1</v>
      </c>
      <c r="AD124" s="191">
        <f>VLOOKUP(Table4[[#This Row],[risk_id]], Table3[], 16, FALSE)</f>
        <v>2</v>
      </c>
      <c r="AE124" s="191">
        <f>VLOOKUP(Table4[[#This Row],[risk_id]], Table3[], 17, )</f>
        <v>0</v>
      </c>
      <c r="AF124" s="191">
        <f>4</f>
        <v>4</v>
      </c>
      <c r="AG124" s="191">
        <f>COUNTIF(Table4[[#This Row],[THEO]:[MOD]], "&gt;=1")</f>
        <v>2</v>
      </c>
      <c r="AH124" s="192">
        <f>Table4[[#This Row],[data_observations]]/Table4[[#This Row],[AllObservations_count]]</f>
        <v>3.1914893617021274E-2</v>
      </c>
      <c r="AI124" s="189">
        <f>Table4[[#This Row],[evidenceamount_pct]]*(Table4[[#This Row],[Indicator_12.5pct]])</f>
        <v>0.39893617021276595</v>
      </c>
      <c r="AJ124" s="198">
        <f>(1-(VLOOKUP(Table4[[#This Row],[risk_id]],Table3[],18, FALSE))/(Table4[[#This Row],[data_observations]]))</f>
        <v>1</v>
      </c>
      <c r="AK124" s="198">
        <f>((VLOOKUP(Table4[[#This Row],[risk_id]],Table3[],19, FALSE))+((VLOOKUP(Table4[[#This Row],[risk_id]],Table3[],36, FALSE))*0.5))/(Table4[[#This Row],[data_observations]])</f>
        <v>0.83333333333333337</v>
      </c>
      <c r="AL124" s="177">
        <f>((Table4[[#This Row],[ev_data_deficient_score]]*0.5)+(Table4[[#This Row],[ev_data_availability_score]]*0.5))*(Table4[[#This Row],[Indicator_12.5pct]])</f>
        <v>11.458333333333334</v>
      </c>
      <c r="AM124" s="199">
        <f>Table4[[#This Row],[RiskScore]]</f>
        <v>18.666666666666668</v>
      </c>
      <c r="AN124" s="200">
        <f>VLOOKUP(Table4[[#This Row],[risk_id]], Table3[], 13, FALSE)</f>
        <v>3.0912061651652345</v>
      </c>
      <c r="AO124" s="185">
        <f>(1-(Table4[[#This Row],[evidence_SD_RR]]/Table4[[#This Row],[evidence_mean_RR]]))*(Table4[[#This Row],[Indicator_12.5pct]])</f>
        <v>10.429995871541138</v>
      </c>
      <c r="AP124" s="201">
        <f>VLOOKUP(Table4[[#This Row],[risk_id]],Table3[],21, FALSE)</f>
        <v>0</v>
      </c>
      <c r="AQ124" s="201">
        <f>VLOOKUP(Table4[[#This Row],[risk_id]],Table3[],23, FALSE)</f>
        <v>0</v>
      </c>
      <c r="AR124" s="201">
        <f>VLOOKUP(Table4[[#This Row],[risk_id]],Table3[],25, FALSE)</f>
        <v>1</v>
      </c>
      <c r="AS124" s="201">
        <f>VLOOKUP(Table4[[#This Row],[risk_id]],Table3[],27, FALSE)</f>
        <v>0</v>
      </c>
      <c r="AT124" s="183">
        <f>(MAX(Table4[[#This Row],[C]:[U]]))*Table4[[#This Row],[Indicator_20pct]]</f>
        <v>10</v>
      </c>
      <c r="AU124" s="205">
        <f>COUNTIFS(Table4[[#This Row],[C]], "&gt;0", Table4[[#This Row],[U]], "&gt;0") + COUNTIFS(Table4[[#This Row],[H]], "&gt;0", Table4[[#This Row],[U]], "&gt;0") + COUNTIFS(Table4[[#This Row],[C]], "&gt;0", Table4[[#This Row],[M]], "&gt;0")</f>
        <v>0</v>
      </c>
      <c r="AV124" s="219">
        <f>((-(Table4[[#This Row],[different_scores_count]]-3))/3)*Table4[[#This Row],[Indicator_20pct]]</f>
        <v>10</v>
      </c>
      <c r="AW124" s="183">
        <f>IF(Table4[[#This Row],[data_observations]]&gt;=5, 30, IF(Table4[[#This Row],[data_observations]]&gt;=3, 15, 0))</f>
        <v>15</v>
      </c>
      <c r="AX124" s="26" t="s">
        <v>2737</v>
      </c>
    </row>
    <row r="125" spans="1:50" ht="32" hidden="1" customHeight="1" x14ac:dyDescent="0.2">
      <c r="A125" s="16" t="s">
        <v>566</v>
      </c>
      <c r="B125" s="16" t="str">
        <f>VLOOKUP(Table4[[#This Row],[risk_id]], Table3[], 35, FALSE)</f>
        <v>Risk</v>
      </c>
      <c r="C125" s="16" t="str">
        <f>VLOOKUP(Table4[[#This Row],[risk_id]], Table3[], 2, FALSE)</f>
        <v>Operational</v>
      </c>
      <c r="D125" s="15" t="str">
        <f>VLOOKUP(Table4[[#This Row],[risk_id]], Table3[], 3, FALSE)</f>
        <v>Lack of operator situational awareness</v>
      </c>
      <c r="E125"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25" s="300">
        <f t="shared" si="6"/>
        <v>18.666666666666664</v>
      </c>
      <c r="G125" s="31">
        <f>Table4[[#This Row],[DataQuality_Score]]</f>
        <v>0.52713052551048523</v>
      </c>
      <c r="H125"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25" s="27" t="str">
        <f>Table4[[#This Row],[LoA - Metric]]&amp; ", " &amp;Table4[[#This Row],[ES - Metric]]</f>
        <v>Medium agreement, Medium evidence</v>
      </c>
      <c r="J125" s="222">
        <f>(Table4[[#This Row],[LoA_SCORE]]+Table4[[#This Row],[ES_SCORE]])/100</f>
        <v>0.52713052551048523</v>
      </c>
      <c r="K125"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25"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25" s="179">
        <f>Table4[[#This Row],[probability_average]]</f>
        <v>2.6666666666666665</v>
      </c>
      <c r="N125" s="181">
        <f>Table4[[#This Row],[consequence_average]]</f>
        <v>7</v>
      </c>
      <c r="O125" s="220">
        <f>Table4[[#This Row],[agreementPCT_score]]+Table4[[#This Row],[agreement_dist_score]]+Table4[[#This Row],[LoA_AQ_score]]</f>
        <v>31.666666666666664</v>
      </c>
      <c r="P125" s="203">
        <f>Table4[[#This Row],[evidenceconsistency_score]]+Table4[[#This Row],[EQ_score]]+Table4[[#This Row],[EA_score]]+Table4[[#This Row],[ET_score]]</f>
        <v>21.046385884381856</v>
      </c>
      <c r="Q125" s="181">
        <f>VLOOKUP(Table4[[#This Row],[risk_id]],Table3[],10,FALSE)</f>
        <v>7</v>
      </c>
      <c r="R125" s="181">
        <f>VLOOKUP(Table4[[#This Row],[risk_id]],Table3[],9,FALSE)</f>
        <v>21</v>
      </c>
      <c r="S125" s="179">
        <f>VLOOKUP(Table4[[#This Row],[risk_id]],Table3[],7,FALSE)</f>
        <v>2.6666666666666665</v>
      </c>
      <c r="T125" s="179">
        <f>VLOOKUP(Table4[[#This Row],[risk_id]],Table3[],6,FALSE)</f>
        <v>8</v>
      </c>
      <c r="U125" s="177">
        <f t="shared" si="7"/>
        <v>12.5</v>
      </c>
      <c r="V125" s="187">
        <f>10</f>
        <v>10</v>
      </c>
      <c r="W125" s="187">
        <f>30</f>
        <v>30</v>
      </c>
      <c r="X125" s="17">
        <f>VLOOKUP(Table4[[#This Row],[risk_id]],Table3[],5,FALSE)</f>
        <v>3</v>
      </c>
      <c r="Y125" s="17">
        <f>94</f>
        <v>94</v>
      </c>
      <c r="Z125" s="177">
        <f>Table4[[#This Row],[EStype_summed]]*Table4[[#This Row],[Indicator_12.5pct]]</f>
        <v>3.125</v>
      </c>
      <c r="AA125" s="190">
        <f>(IF(Table4[[#This Row],[all_evtype]]&gt;=4,"4", IF(Table4[[#This Row],[all_evtype]]&gt;=3,"3", IF(Table4[[#This Row],[all_evtype]]&gt;=2,"2", IF(Table4[[#This Row],[all_evtype]]&gt;=1,"1","0")))))/Table4[[#This Row],[HPS_et]]</f>
        <v>0.25</v>
      </c>
      <c r="AB125" s="191">
        <f>VLOOKUP(Table4[[#This Row],[risk_id]],Table3[], 14, FALSE)</f>
        <v>0</v>
      </c>
      <c r="AC125" s="191">
        <f>VLOOKUP(Table4[[#This Row],[risk_id]],Table3[], 15, FALSE)</f>
        <v>3</v>
      </c>
      <c r="AD125" s="191">
        <f>VLOOKUP(Table4[[#This Row],[risk_id]], Table3[], 16, FALSE)</f>
        <v>0</v>
      </c>
      <c r="AE125" s="191">
        <f>VLOOKUP(Table4[[#This Row],[risk_id]], Table3[], 17, )</f>
        <v>0</v>
      </c>
      <c r="AF125" s="191">
        <f>4</f>
        <v>4</v>
      </c>
      <c r="AG125" s="191">
        <f>COUNTIF(Table4[[#This Row],[THEO]:[MOD]], "&gt;=1")</f>
        <v>1</v>
      </c>
      <c r="AH125" s="192">
        <f>Table4[[#This Row],[data_observations]]/Table4[[#This Row],[AllObservations_count]]</f>
        <v>3.1914893617021274E-2</v>
      </c>
      <c r="AI125" s="189">
        <f>Table4[[#This Row],[evidenceamount_pct]]*(Table4[[#This Row],[Indicator_12.5pct]])</f>
        <v>0.39893617021276595</v>
      </c>
      <c r="AJ125" s="198">
        <f>(1-(VLOOKUP(Table4[[#This Row],[risk_id]],Table3[],18, FALSE))/(Table4[[#This Row],[data_observations]]))</f>
        <v>1</v>
      </c>
      <c r="AK125" s="198">
        <f>((VLOOKUP(Table4[[#This Row],[risk_id]],Table3[],19, FALSE))+((VLOOKUP(Table4[[#This Row],[risk_id]],Table3[],36, FALSE))*0.5))/(Table4[[#This Row],[data_observations]])</f>
        <v>0.66666666666666663</v>
      </c>
      <c r="AL125" s="177">
        <f>((Table4[[#This Row],[ev_data_deficient_score]]*0.5)+(Table4[[#This Row],[ev_data_availability_score]]*0.5))*(Table4[[#This Row],[Indicator_12.5pct]])</f>
        <v>10.416666666666666</v>
      </c>
      <c r="AM125" s="199">
        <f>Table4[[#This Row],[RiskScore]]</f>
        <v>18.666666666666664</v>
      </c>
      <c r="AN125" s="200">
        <f>VLOOKUP(Table4[[#This Row],[risk_id]], Table3[], 13, FALSE)</f>
        <v>8.055363982396381</v>
      </c>
      <c r="AO125" s="185">
        <f>(1-(Table4[[#This Row],[evidence_SD_RR]]/Table4[[#This Row],[evidence_mean_RR]]))*(Table4[[#This Row],[Indicator_12.5pct]])</f>
        <v>7.1057830475024231</v>
      </c>
      <c r="AP125" s="201">
        <f>VLOOKUP(Table4[[#This Row],[risk_id]],Table3[],21, FALSE)</f>
        <v>0</v>
      </c>
      <c r="AQ125" s="201">
        <f>VLOOKUP(Table4[[#This Row],[risk_id]],Table3[],23, FALSE)</f>
        <v>0.33333333333333331</v>
      </c>
      <c r="AR125" s="201">
        <f>VLOOKUP(Table4[[#This Row],[risk_id]],Table3[],25, FALSE)</f>
        <v>0.66666666666666663</v>
      </c>
      <c r="AS125" s="201">
        <f>VLOOKUP(Table4[[#This Row],[risk_id]],Table3[],27, FALSE)</f>
        <v>0</v>
      </c>
      <c r="AT125" s="183">
        <f>(MAX(Table4[[#This Row],[C]:[U]]))*Table4[[#This Row],[Indicator_20pct]]</f>
        <v>6.6666666666666661</v>
      </c>
      <c r="AU125" s="205">
        <f>COUNTIFS(Table4[[#This Row],[C]], "&gt;0", Table4[[#This Row],[U]], "&gt;0") + COUNTIFS(Table4[[#This Row],[H]], "&gt;0", Table4[[#This Row],[U]], "&gt;0") + COUNTIFS(Table4[[#This Row],[C]], "&gt;0", Table4[[#This Row],[M]], "&gt;0")</f>
        <v>0</v>
      </c>
      <c r="AV125" s="219">
        <f>((-(Table4[[#This Row],[different_scores_count]]-3))/3)*Table4[[#This Row],[Indicator_20pct]]</f>
        <v>10</v>
      </c>
      <c r="AW125" s="183">
        <f>IF(Table4[[#This Row],[data_observations]]&gt;=5, 30, IF(Table4[[#This Row],[data_observations]]&gt;=3, 15, 0))</f>
        <v>15</v>
      </c>
      <c r="AX125" s="26" t="s">
        <v>2737</v>
      </c>
    </row>
    <row r="126" spans="1:50" ht="32" customHeight="1" x14ac:dyDescent="0.2">
      <c r="A126" s="16" t="s">
        <v>2685</v>
      </c>
      <c r="B126" s="16" t="str">
        <f>VLOOKUP(Table4[[#This Row],[risk_id]], Table3[], 35, FALSE)</f>
        <v>Hazard</v>
      </c>
      <c r="C126" s="16" t="str">
        <f>VLOOKUP(Table4[[#This Row],[risk_id]], Table3[], 2, FALSE)</f>
        <v>Human</v>
      </c>
      <c r="D126" s="15" t="str">
        <f>VLOOKUP(Table4[[#This Row],[risk_id]], Table3[], 3, FALSE)</f>
        <v>Human negligence</v>
      </c>
      <c r="E126"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26" s="300">
        <f t="shared" si="6"/>
        <v>18.666666666666664</v>
      </c>
      <c r="G126" s="31">
        <f>Table4[[#This Row],[DataQuality_Score]]</f>
        <v>0.52713052551048523</v>
      </c>
      <c r="H126"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26" s="27" t="str">
        <f>Table4[[#This Row],[LoA - Metric]]&amp; ", " &amp;Table4[[#This Row],[ES - Metric]]</f>
        <v>Medium agreement, Medium evidence</v>
      </c>
      <c r="J126" s="222">
        <f>(Table4[[#This Row],[LoA_SCORE]]+Table4[[#This Row],[ES_SCORE]])/100</f>
        <v>0.52713052551048523</v>
      </c>
      <c r="K126"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26"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26" s="179">
        <f>Table4[[#This Row],[probability_average]]</f>
        <v>2.6666666666666665</v>
      </c>
      <c r="N126" s="181">
        <f>Table4[[#This Row],[consequence_average]]</f>
        <v>7</v>
      </c>
      <c r="O126" s="220">
        <f>Table4[[#This Row],[agreementPCT_score]]+Table4[[#This Row],[agreement_dist_score]]+Table4[[#This Row],[LoA_AQ_score]]</f>
        <v>31.666666666666664</v>
      </c>
      <c r="P126" s="203">
        <f>Table4[[#This Row],[evidenceconsistency_score]]+Table4[[#This Row],[EQ_score]]+Table4[[#This Row],[EA_score]]+Table4[[#This Row],[ET_score]]</f>
        <v>21.046385884381856</v>
      </c>
      <c r="Q126" s="181">
        <f>VLOOKUP(Table4[[#This Row],[risk_id]],Table3[],10,FALSE)</f>
        <v>7</v>
      </c>
      <c r="R126" s="181">
        <f>VLOOKUP(Table4[[#This Row],[risk_id]],Table3[],9,FALSE)</f>
        <v>21</v>
      </c>
      <c r="S126" s="179">
        <f>VLOOKUP(Table4[[#This Row],[risk_id]],Table3[],7,FALSE)</f>
        <v>2.6666666666666665</v>
      </c>
      <c r="T126" s="179">
        <f>VLOOKUP(Table4[[#This Row],[risk_id]],Table3[],6,FALSE)</f>
        <v>8</v>
      </c>
      <c r="U126" s="177">
        <f t="shared" si="7"/>
        <v>12.5</v>
      </c>
      <c r="V126" s="187">
        <f>10</f>
        <v>10</v>
      </c>
      <c r="W126" s="187">
        <f>30</f>
        <v>30</v>
      </c>
      <c r="X126" s="17">
        <f>VLOOKUP(Table4[[#This Row],[risk_id]],Table3[],5,FALSE)</f>
        <v>3</v>
      </c>
      <c r="Y126" s="17">
        <f>94</f>
        <v>94</v>
      </c>
      <c r="Z126" s="177">
        <f>Table4[[#This Row],[EStype_summed]]*Table4[[#This Row],[Indicator_12.5pct]]</f>
        <v>3.125</v>
      </c>
      <c r="AA126" s="190">
        <f>(IF(Table4[[#This Row],[all_evtype]]&gt;=4,"4", IF(Table4[[#This Row],[all_evtype]]&gt;=3,"3", IF(Table4[[#This Row],[all_evtype]]&gt;=2,"2", IF(Table4[[#This Row],[all_evtype]]&gt;=1,"1","0")))))/Table4[[#This Row],[HPS_et]]</f>
        <v>0.25</v>
      </c>
      <c r="AB126" s="191">
        <f>VLOOKUP(Table4[[#This Row],[risk_id]],Table3[], 14, FALSE)</f>
        <v>0</v>
      </c>
      <c r="AC126" s="191">
        <f>VLOOKUP(Table4[[#This Row],[risk_id]],Table3[], 15, FALSE)</f>
        <v>3</v>
      </c>
      <c r="AD126" s="191">
        <f>VLOOKUP(Table4[[#This Row],[risk_id]], Table3[], 16, FALSE)</f>
        <v>0</v>
      </c>
      <c r="AE126" s="191">
        <f>VLOOKUP(Table4[[#This Row],[risk_id]], Table3[], 17, )</f>
        <v>0</v>
      </c>
      <c r="AF126" s="191">
        <f>4</f>
        <v>4</v>
      </c>
      <c r="AG126" s="191">
        <f>COUNTIF(Table4[[#This Row],[THEO]:[MOD]], "&gt;=1")</f>
        <v>1</v>
      </c>
      <c r="AH126" s="192">
        <f>Table4[[#This Row],[data_observations]]/Table4[[#This Row],[AllObservations_count]]</f>
        <v>3.1914893617021274E-2</v>
      </c>
      <c r="AI126" s="189">
        <f>Table4[[#This Row],[evidenceamount_pct]]*(Table4[[#This Row],[Indicator_12.5pct]])</f>
        <v>0.39893617021276595</v>
      </c>
      <c r="AJ126" s="198">
        <f>(1-(VLOOKUP(Table4[[#This Row],[risk_id]],Table3[],18, FALSE))/(Table4[[#This Row],[data_observations]]))</f>
        <v>1</v>
      </c>
      <c r="AK126" s="198">
        <f>((VLOOKUP(Table4[[#This Row],[risk_id]],Table3[],19, FALSE))+((VLOOKUP(Table4[[#This Row],[risk_id]],Table3[],36, FALSE))*0.5))/(Table4[[#This Row],[data_observations]])</f>
        <v>0.66666666666666663</v>
      </c>
      <c r="AL126" s="177">
        <f>((Table4[[#This Row],[ev_data_deficient_score]]*0.5)+(Table4[[#This Row],[ev_data_availability_score]]*0.5))*(Table4[[#This Row],[Indicator_12.5pct]])</f>
        <v>10.416666666666666</v>
      </c>
      <c r="AM126" s="199">
        <f>Table4[[#This Row],[RiskScore]]</f>
        <v>18.666666666666664</v>
      </c>
      <c r="AN126" s="200">
        <f>VLOOKUP(Table4[[#This Row],[risk_id]], Table3[], 13, FALSE)</f>
        <v>8.055363982396381</v>
      </c>
      <c r="AO126" s="185">
        <f>(1-(Table4[[#This Row],[evidence_SD_RR]]/Table4[[#This Row],[evidence_mean_RR]]))*(Table4[[#This Row],[Indicator_12.5pct]])</f>
        <v>7.1057830475024231</v>
      </c>
      <c r="AP126" s="201">
        <f>VLOOKUP(Table4[[#This Row],[risk_id]],Table3[],21, FALSE)</f>
        <v>0</v>
      </c>
      <c r="AQ126" s="201">
        <f>VLOOKUP(Table4[[#This Row],[risk_id]],Table3[],23, FALSE)</f>
        <v>0.33333333333333331</v>
      </c>
      <c r="AR126" s="201">
        <f>VLOOKUP(Table4[[#This Row],[risk_id]],Table3[],25, FALSE)</f>
        <v>0.66666666666666663</v>
      </c>
      <c r="AS126" s="201">
        <f>VLOOKUP(Table4[[#This Row],[risk_id]],Table3[],27, FALSE)</f>
        <v>0</v>
      </c>
      <c r="AT126" s="183">
        <f>(MAX(Table4[[#This Row],[C]:[U]]))*Table4[[#This Row],[Indicator_20pct]]</f>
        <v>6.6666666666666661</v>
      </c>
      <c r="AU126" s="205">
        <f>COUNTIFS(Table4[[#This Row],[C]], "&gt;0", Table4[[#This Row],[U]], "&gt;0") + COUNTIFS(Table4[[#This Row],[H]], "&gt;0", Table4[[#This Row],[U]], "&gt;0") + COUNTIFS(Table4[[#This Row],[C]], "&gt;0", Table4[[#This Row],[M]], "&gt;0")</f>
        <v>0</v>
      </c>
      <c r="AV126" s="219">
        <f>((-(Table4[[#This Row],[different_scores_count]]-3))/3)*Table4[[#This Row],[Indicator_20pct]]</f>
        <v>10</v>
      </c>
      <c r="AW126" s="183">
        <f>IF(Table4[[#This Row],[data_observations]]&gt;=5, 30, IF(Table4[[#This Row],[data_observations]]&gt;=3, 15, 0))</f>
        <v>15</v>
      </c>
      <c r="AX126" s="26" t="s">
        <v>2736</v>
      </c>
    </row>
    <row r="127" spans="1:50" ht="32" hidden="1" customHeight="1" x14ac:dyDescent="0.2">
      <c r="A127" s="16" t="s">
        <v>661</v>
      </c>
      <c r="B127" s="16" t="str">
        <f>VLOOKUP(Table4[[#This Row],[risk_id]], Table3[], 35, FALSE)</f>
        <v>Risk</v>
      </c>
      <c r="C127" s="16" t="str">
        <f>VLOOKUP(Table4[[#This Row],[risk_id]], Table3[], 2, FALSE)</f>
        <v>Navigational</v>
      </c>
      <c r="D127" s="15" t="str">
        <f>VLOOKUP(Table4[[#This Row],[risk_id]], Table3[], 3, FALSE)</f>
        <v>Vessel grounding</v>
      </c>
      <c r="E127"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27" s="300">
        <f t="shared" si="6"/>
        <v>18.2</v>
      </c>
      <c r="G127" s="31">
        <f>Table4[[#This Row],[DataQuality_Score]]</f>
        <v>0.69088814455824266</v>
      </c>
      <c r="H127"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27" s="27" t="str">
        <f>Table4[[#This Row],[LoA - Metric]]&amp; ", " &amp;Table4[[#This Row],[ES - Metric]]</f>
        <v>High agreement, Medium evidence</v>
      </c>
      <c r="J127" s="222">
        <f>(Table4[[#This Row],[LoA_SCORE]]+Table4[[#This Row],[ES_SCORE]])/100</f>
        <v>0.69088814455824266</v>
      </c>
      <c r="K127"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27"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27" s="179">
        <f>Table4[[#This Row],[probability_average]]</f>
        <v>2.6</v>
      </c>
      <c r="N127" s="181">
        <f>Table4[[#This Row],[consequence_average]]</f>
        <v>7</v>
      </c>
      <c r="O127" s="220">
        <f>Table4[[#This Row],[agreementPCT_score]]+Table4[[#This Row],[agreement_dist_score]]+Table4[[#This Row],[LoA_AQ_score]]</f>
        <v>41.666666666666664</v>
      </c>
      <c r="P127" s="203">
        <f>Table4[[#This Row],[evidenceconsistency_score]]+Table4[[#This Row],[EQ_score]]+Table4[[#This Row],[EA_score]]+Table4[[#This Row],[ET_score]]</f>
        <v>27.422147789157606</v>
      </c>
      <c r="Q127" s="181">
        <f>VLOOKUP(Table4[[#This Row],[risk_id]],Table3[],10,FALSE)</f>
        <v>7</v>
      </c>
      <c r="R127" s="181">
        <f>VLOOKUP(Table4[[#This Row],[risk_id]],Table3[],9,FALSE)</f>
        <v>70</v>
      </c>
      <c r="S127" s="179">
        <f>VLOOKUP(Table4[[#This Row],[risk_id]],Table3[],7,FALSE)</f>
        <v>2.6</v>
      </c>
      <c r="T127" s="179">
        <f>VLOOKUP(Table4[[#This Row],[risk_id]],Table3[],6,FALSE)</f>
        <v>26</v>
      </c>
      <c r="U127" s="177">
        <f t="shared" si="7"/>
        <v>12.5</v>
      </c>
      <c r="V127" s="187">
        <f>10</f>
        <v>10</v>
      </c>
      <c r="W127" s="187">
        <f>30</f>
        <v>30</v>
      </c>
      <c r="X127" s="17">
        <f>VLOOKUP(Table4[[#This Row],[risk_id]],Table3[],5,FALSE)</f>
        <v>10</v>
      </c>
      <c r="Y127" s="17">
        <f>94</f>
        <v>94</v>
      </c>
      <c r="Z127" s="177">
        <f>Table4[[#This Row],[EStype_summed]]*Table4[[#This Row],[Indicator_12.5pct]]</f>
        <v>9.375</v>
      </c>
      <c r="AA127" s="190">
        <f>(IF(Table4[[#This Row],[all_evtype]]&gt;=4,"4", IF(Table4[[#This Row],[all_evtype]]&gt;=3,"3", IF(Table4[[#This Row],[all_evtype]]&gt;=2,"2", IF(Table4[[#This Row],[all_evtype]]&gt;=1,"1","0")))))/Table4[[#This Row],[HPS_et]]</f>
        <v>0.75</v>
      </c>
      <c r="AB127" s="191">
        <f>VLOOKUP(Table4[[#This Row],[risk_id]],Table3[], 14, FALSE)</f>
        <v>1</v>
      </c>
      <c r="AC127" s="191">
        <f>VLOOKUP(Table4[[#This Row],[risk_id]],Table3[], 15, FALSE)</f>
        <v>7</v>
      </c>
      <c r="AD127" s="191">
        <f>VLOOKUP(Table4[[#This Row],[risk_id]], Table3[], 16, FALSE)</f>
        <v>2</v>
      </c>
      <c r="AE127" s="191">
        <f>VLOOKUP(Table4[[#This Row],[risk_id]], Table3[], 17, )</f>
        <v>0</v>
      </c>
      <c r="AF127" s="191">
        <f>4</f>
        <v>4</v>
      </c>
      <c r="AG127" s="191">
        <f>COUNTIF(Table4[[#This Row],[THEO]:[MOD]], "&gt;=1")</f>
        <v>3</v>
      </c>
      <c r="AH127" s="192">
        <f>Table4[[#This Row],[data_observations]]/Table4[[#This Row],[AllObservations_count]]</f>
        <v>0.10638297872340426</v>
      </c>
      <c r="AI127" s="189">
        <f>Table4[[#This Row],[evidenceamount_pct]]*(Table4[[#This Row],[Indicator_12.5pct]])</f>
        <v>1.3297872340425532</v>
      </c>
      <c r="AJ127" s="198">
        <f>(1-(VLOOKUP(Table4[[#This Row],[risk_id]],Table3[],18, FALSE))/(Table4[[#This Row],[data_observations]]))</f>
        <v>1</v>
      </c>
      <c r="AK127" s="198">
        <f>((VLOOKUP(Table4[[#This Row],[risk_id]],Table3[],19, FALSE))+((VLOOKUP(Table4[[#This Row],[risk_id]],Table3[],36, FALSE))*0.5))/(Table4[[#This Row],[data_observations]])</f>
        <v>0.7</v>
      </c>
      <c r="AL127" s="177">
        <f>((Table4[[#This Row],[ev_data_deficient_score]]*0.5)+(Table4[[#This Row],[ev_data_availability_score]]*0.5))*(Table4[[#This Row],[Indicator_12.5pct]])</f>
        <v>10.625</v>
      </c>
      <c r="AM127" s="199">
        <f>Table4[[#This Row],[RiskScore]]</f>
        <v>18.2</v>
      </c>
      <c r="AN127" s="200">
        <f>VLOOKUP(Table4[[#This Row],[risk_id]], Table3[], 13, FALSE)</f>
        <v>9.3295230317524815</v>
      </c>
      <c r="AO127" s="185">
        <f>(1-(Table4[[#This Row],[evidence_SD_RR]]/Table4[[#This Row],[evidence_mean_RR]]))*(Table4[[#This Row],[Indicator_12.5pct]])</f>
        <v>6.0923605551150537</v>
      </c>
      <c r="AP127" s="201">
        <f>VLOOKUP(Table4[[#This Row],[risk_id]],Table3[],21, FALSE)</f>
        <v>0</v>
      </c>
      <c r="AQ127" s="201">
        <f>VLOOKUP(Table4[[#This Row],[risk_id]],Table3[],23, FALSE)</f>
        <v>0.3</v>
      </c>
      <c r="AR127" s="201">
        <f>VLOOKUP(Table4[[#This Row],[risk_id]],Table3[],25, FALSE)</f>
        <v>0.5</v>
      </c>
      <c r="AS127" s="201">
        <f>VLOOKUP(Table4[[#This Row],[risk_id]],Table3[],27, FALSE)</f>
        <v>0.2</v>
      </c>
      <c r="AT127" s="183">
        <f>(MAX(Table4[[#This Row],[C]:[U]]))*Table4[[#This Row],[Indicator_20pct]]</f>
        <v>5</v>
      </c>
      <c r="AU127" s="205">
        <f>COUNTIFS(Table4[[#This Row],[C]], "&gt;0", Table4[[#This Row],[U]], "&gt;0") + COUNTIFS(Table4[[#This Row],[H]], "&gt;0", Table4[[#This Row],[U]], "&gt;0") + COUNTIFS(Table4[[#This Row],[C]], "&gt;0", Table4[[#This Row],[M]], "&gt;0")</f>
        <v>1</v>
      </c>
      <c r="AV127" s="219">
        <f>((-(Table4[[#This Row],[different_scores_count]]-3))/3)*Table4[[#This Row],[Indicator_20pct]]</f>
        <v>6.6666666666666661</v>
      </c>
      <c r="AW127" s="183">
        <f>IF(Table4[[#This Row],[data_observations]]&gt;=5, 30, IF(Table4[[#This Row],[data_observations]]&gt;=3, 15, 0))</f>
        <v>30</v>
      </c>
      <c r="AX127" s="26" t="s">
        <v>2737</v>
      </c>
    </row>
    <row r="128" spans="1:50" ht="32" hidden="1" customHeight="1" x14ac:dyDescent="0.2">
      <c r="A128" s="16" t="s">
        <v>581</v>
      </c>
      <c r="B128" s="16" t="str">
        <f>VLOOKUP(Table4[[#This Row],[risk_id]], Table3[], 35, FALSE)</f>
        <v>Risk</v>
      </c>
      <c r="C128" s="16" t="str">
        <f>VLOOKUP(Table4[[#This Row],[risk_id]], Table3[], 2, FALSE)</f>
        <v>Operational</v>
      </c>
      <c r="D128" s="15" t="str">
        <f>VLOOKUP(Table4[[#This Row],[risk_id]], Table3[], 3, FALSE)</f>
        <v>Load capacity</v>
      </c>
      <c r="E128"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28" s="300">
        <f t="shared" si="6"/>
        <v>18</v>
      </c>
      <c r="G128" s="31">
        <f>Table4[[#This Row],[DataQuality_Score]]</f>
        <v>0.45439568557919618</v>
      </c>
      <c r="H128"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28" s="27" t="str">
        <f>Table4[[#This Row],[LoA - Metric]]&amp; ", " &amp;Table4[[#This Row],[ES - Metric]]</f>
        <v>Medium agreement, Medium evidence</v>
      </c>
      <c r="J128" s="222">
        <f>(Table4[[#This Row],[LoA_SCORE]]+Table4[[#This Row],[ES_SCORE]])/100</f>
        <v>0.45439568557919618</v>
      </c>
      <c r="K128"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28"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28" s="179">
        <f>Table4[[#This Row],[probability_average]]</f>
        <v>4.5</v>
      </c>
      <c r="N128" s="181">
        <f>Table4[[#This Row],[consequence_average]]</f>
        <v>4</v>
      </c>
      <c r="O128" s="220">
        <f>Table4[[#This Row],[agreementPCT_score]]+Table4[[#This Row],[agreement_dist_score]]+Table4[[#This Row],[LoA_AQ_score]]</f>
        <v>20</v>
      </c>
      <c r="P128" s="203">
        <f>Table4[[#This Row],[evidenceconsistency_score]]+Table4[[#This Row],[EQ_score]]+Table4[[#This Row],[EA_score]]+Table4[[#This Row],[ET_score]]</f>
        <v>25.439568557919621</v>
      </c>
      <c r="Q128" s="181">
        <f>VLOOKUP(Table4[[#This Row],[risk_id]],Table3[],10,FALSE)</f>
        <v>4</v>
      </c>
      <c r="R128" s="181">
        <f>VLOOKUP(Table4[[#This Row],[risk_id]],Table3[],9,FALSE)</f>
        <v>8</v>
      </c>
      <c r="S128" s="179">
        <f>VLOOKUP(Table4[[#This Row],[risk_id]],Table3[],7,FALSE)</f>
        <v>4.5</v>
      </c>
      <c r="T128" s="179">
        <f>VLOOKUP(Table4[[#This Row],[risk_id]],Table3[],6,FALSE)</f>
        <v>9</v>
      </c>
      <c r="U128" s="177">
        <f t="shared" si="7"/>
        <v>12.5</v>
      </c>
      <c r="V128" s="187">
        <f>10</f>
        <v>10</v>
      </c>
      <c r="W128" s="187">
        <f>30</f>
        <v>30</v>
      </c>
      <c r="X128" s="17">
        <f>VLOOKUP(Table4[[#This Row],[risk_id]],Table3[],5,FALSE)</f>
        <v>2</v>
      </c>
      <c r="Y128" s="17">
        <f>94</f>
        <v>94</v>
      </c>
      <c r="Z128" s="177">
        <f>Table4[[#This Row],[EStype_summed]]*Table4[[#This Row],[Indicator_12.5pct]]</f>
        <v>3.125</v>
      </c>
      <c r="AA128" s="190">
        <f>(IF(Table4[[#This Row],[all_evtype]]&gt;=4,"4", IF(Table4[[#This Row],[all_evtype]]&gt;=3,"3", IF(Table4[[#This Row],[all_evtype]]&gt;=2,"2", IF(Table4[[#This Row],[all_evtype]]&gt;=1,"1","0")))))/Table4[[#This Row],[HPS_et]]</f>
        <v>0.25</v>
      </c>
      <c r="AB128" s="191">
        <f>VLOOKUP(Table4[[#This Row],[risk_id]],Table3[], 14, FALSE)</f>
        <v>0</v>
      </c>
      <c r="AC128" s="191">
        <f>VLOOKUP(Table4[[#This Row],[risk_id]],Table3[], 15, FALSE)</f>
        <v>2</v>
      </c>
      <c r="AD128" s="191">
        <f>VLOOKUP(Table4[[#This Row],[risk_id]], Table3[], 16, FALSE)</f>
        <v>0</v>
      </c>
      <c r="AE128" s="191">
        <f>VLOOKUP(Table4[[#This Row],[risk_id]], Table3[], 17, )</f>
        <v>0</v>
      </c>
      <c r="AF128" s="191">
        <f>4</f>
        <v>4</v>
      </c>
      <c r="AG128" s="191">
        <f>COUNTIF(Table4[[#This Row],[THEO]:[MOD]], "&gt;=1")</f>
        <v>1</v>
      </c>
      <c r="AH128" s="192">
        <f>Table4[[#This Row],[data_observations]]/Table4[[#This Row],[AllObservations_count]]</f>
        <v>2.1276595744680851E-2</v>
      </c>
      <c r="AI128" s="189">
        <f>Table4[[#This Row],[evidenceamount_pct]]*(Table4[[#This Row],[Indicator_12.5pct]])</f>
        <v>0.26595744680851063</v>
      </c>
      <c r="AJ128" s="198">
        <f>(1-(VLOOKUP(Table4[[#This Row],[risk_id]],Table3[],18, FALSE))/(Table4[[#This Row],[data_observations]]))</f>
        <v>1</v>
      </c>
      <c r="AK128" s="198">
        <f>((VLOOKUP(Table4[[#This Row],[risk_id]],Table3[],19, FALSE))+((VLOOKUP(Table4[[#This Row],[risk_id]],Table3[],36, FALSE))*0.5))/(Table4[[#This Row],[data_observations]])</f>
        <v>0.75</v>
      </c>
      <c r="AL128" s="177">
        <f>((Table4[[#This Row],[ev_data_deficient_score]]*0.5)+(Table4[[#This Row],[ev_data_availability_score]]*0.5))*(Table4[[#This Row],[Indicator_12.5pct]])</f>
        <v>10.9375</v>
      </c>
      <c r="AM128" s="199">
        <f>Table4[[#This Row],[RiskScore]]</f>
        <v>18</v>
      </c>
      <c r="AN128" s="200">
        <f>VLOOKUP(Table4[[#This Row],[risk_id]], Table3[], 13, FALSE)</f>
        <v>2</v>
      </c>
      <c r="AO128" s="185">
        <f>(1-(Table4[[#This Row],[evidence_SD_RR]]/Table4[[#This Row],[evidence_mean_RR]]))*(Table4[[#This Row],[Indicator_12.5pct]])</f>
        <v>11.111111111111111</v>
      </c>
      <c r="AP128" s="201">
        <f>VLOOKUP(Table4[[#This Row],[risk_id]],Table3[],21, FALSE)</f>
        <v>0</v>
      </c>
      <c r="AQ128" s="201">
        <f>VLOOKUP(Table4[[#This Row],[risk_id]],Table3[],23, FALSE)</f>
        <v>0</v>
      </c>
      <c r="AR128" s="201">
        <f>VLOOKUP(Table4[[#This Row],[risk_id]],Table3[],25, FALSE)</f>
        <v>1</v>
      </c>
      <c r="AS128" s="201">
        <f>VLOOKUP(Table4[[#This Row],[risk_id]],Table3[],27, FALSE)</f>
        <v>0</v>
      </c>
      <c r="AT128" s="183">
        <f>(MAX(Table4[[#This Row],[C]:[U]]))*Table4[[#This Row],[Indicator_20pct]]</f>
        <v>10</v>
      </c>
      <c r="AU128" s="205">
        <f>COUNTIFS(Table4[[#This Row],[C]], "&gt;0", Table4[[#This Row],[U]], "&gt;0") + COUNTIFS(Table4[[#This Row],[H]], "&gt;0", Table4[[#This Row],[U]], "&gt;0") + COUNTIFS(Table4[[#This Row],[C]], "&gt;0", Table4[[#This Row],[M]], "&gt;0")</f>
        <v>0</v>
      </c>
      <c r="AV128" s="219">
        <f>((-(Table4[[#This Row],[different_scores_count]]-3))/3)*Table4[[#This Row],[Indicator_20pct]]</f>
        <v>10</v>
      </c>
      <c r="AW128" s="183">
        <f>IF(Table4[[#This Row],[data_observations]]&gt;=5, 30, IF(Table4[[#This Row],[data_observations]]&gt;=3, 15, 0))</f>
        <v>0</v>
      </c>
      <c r="AX128" s="26" t="s">
        <v>2737</v>
      </c>
    </row>
    <row r="129" spans="1:50" ht="32" hidden="1" customHeight="1" x14ac:dyDescent="0.2">
      <c r="A129" s="16" t="s">
        <v>608</v>
      </c>
      <c r="B129" s="16" t="str">
        <f>VLOOKUP(Table4[[#This Row],[risk_id]], Table3[], 35, FALSE)</f>
        <v>Risk</v>
      </c>
      <c r="C129" s="16" t="str">
        <f>VLOOKUP(Table4[[#This Row],[risk_id]], Table3[], 2, FALSE)</f>
        <v>Operational</v>
      </c>
      <c r="D129" s="15" t="str">
        <f>VLOOKUP(Table4[[#This Row],[risk_id]], Table3[], 3, FALSE)</f>
        <v>Poor communication between vessels</v>
      </c>
      <c r="E129"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29" s="300">
        <f t="shared" si="6"/>
        <v>17.836734693877553</v>
      </c>
      <c r="G129" s="31">
        <f>Table4[[#This Row],[DataQuality_Score]]</f>
        <v>0.73078550272565879</v>
      </c>
      <c r="H129"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29" s="27" t="str">
        <f>Table4[[#This Row],[LoA - Metric]]&amp; ", " &amp;Table4[[#This Row],[ES - Metric]]</f>
        <v>High agreement, Medium evidence</v>
      </c>
      <c r="J129" s="222">
        <f>(Table4[[#This Row],[LoA_SCORE]]+Table4[[#This Row],[ES_SCORE]])/100</f>
        <v>0.73078550272565879</v>
      </c>
      <c r="K129"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29"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29" s="179">
        <f>Table4[[#This Row],[probability_average]]</f>
        <v>2.7142857142857144</v>
      </c>
      <c r="N129" s="181">
        <f>Table4[[#This Row],[consequence_average]]</f>
        <v>6.5714285714285712</v>
      </c>
      <c r="O129" s="220">
        <f>Table4[[#This Row],[agreementPCT_score]]+Table4[[#This Row],[agreement_dist_score]]+Table4[[#This Row],[LoA_AQ_score]]</f>
        <v>43.80952380952381</v>
      </c>
      <c r="P129" s="203">
        <f>Table4[[#This Row],[evidenceconsistency_score]]+Table4[[#This Row],[EQ_score]]+Table4[[#This Row],[EA_score]]+Table4[[#This Row],[ET_score]]</f>
        <v>29.269026463042071</v>
      </c>
      <c r="Q129" s="181">
        <f>VLOOKUP(Table4[[#This Row],[risk_id]],Table3[],10,FALSE)</f>
        <v>6.5714285714285712</v>
      </c>
      <c r="R129" s="181">
        <f>VLOOKUP(Table4[[#This Row],[risk_id]],Table3[],9,FALSE)</f>
        <v>46</v>
      </c>
      <c r="S129" s="179">
        <f>VLOOKUP(Table4[[#This Row],[risk_id]],Table3[],7,FALSE)</f>
        <v>2.7142857142857144</v>
      </c>
      <c r="T129" s="179">
        <f>VLOOKUP(Table4[[#This Row],[risk_id]],Table3[],6,FALSE)</f>
        <v>19</v>
      </c>
      <c r="U129" s="177">
        <f t="shared" si="7"/>
        <v>12.5</v>
      </c>
      <c r="V129" s="187">
        <f>10</f>
        <v>10</v>
      </c>
      <c r="W129" s="187">
        <f>30</f>
        <v>30</v>
      </c>
      <c r="X129" s="17">
        <f>VLOOKUP(Table4[[#This Row],[risk_id]],Table3[],5,FALSE)</f>
        <v>7</v>
      </c>
      <c r="Y129" s="17">
        <f>94</f>
        <v>94</v>
      </c>
      <c r="Z129" s="177">
        <f>Table4[[#This Row],[EStype_summed]]*Table4[[#This Row],[Indicator_12.5pct]]</f>
        <v>12.5</v>
      </c>
      <c r="AA129" s="190">
        <f>(IF(Table4[[#This Row],[all_evtype]]&gt;=4,"4", IF(Table4[[#This Row],[all_evtype]]&gt;=3,"3", IF(Table4[[#This Row],[all_evtype]]&gt;=2,"2", IF(Table4[[#This Row],[all_evtype]]&gt;=1,"1","0")))))/Table4[[#This Row],[HPS_et]]</f>
        <v>1</v>
      </c>
      <c r="AB129" s="191">
        <f>VLOOKUP(Table4[[#This Row],[risk_id]],Table3[], 14, FALSE)</f>
        <v>1</v>
      </c>
      <c r="AC129" s="191">
        <f>VLOOKUP(Table4[[#This Row],[risk_id]],Table3[], 15, FALSE)</f>
        <v>2</v>
      </c>
      <c r="AD129" s="191">
        <f>VLOOKUP(Table4[[#This Row],[risk_id]], Table3[], 16, FALSE)</f>
        <v>3</v>
      </c>
      <c r="AE129" s="191">
        <f>VLOOKUP(Table4[[#This Row],[risk_id]], Table3[], 17, )</f>
        <v>1</v>
      </c>
      <c r="AF129" s="191">
        <f>4</f>
        <v>4</v>
      </c>
      <c r="AG129" s="191">
        <f>COUNTIF(Table4[[#This Row],[THEO]:[MOD]], "&gt;=1")</f>
        <v>4</v>
      </c>
      <c r="AH129" s="192">
        <f>Table4[[#This Row],[data_observations]]/Table4[[#This Row],[AllObservations_count]]</f>
        <v>7.4468085106382975E-2</v>
      </c>
      <c r="AI129" s="189">
        <f>Table4[[#This Row],[evidenceamount_pct]]*(Table4[[#This Row],[Indicator_12.5pct]])</f>
        <v>0.93085106382978722</v>
      </c>
      <c r="AJ129" s="198">
        <f>(1-(VLOOKUP(Table4[[#This Row],[risk_id]],Table3[],18, FALSE))/(Table4[[#This Row],[data_observations]]))</f>
        <v>1</v>
      </c>
      <c r="AK129" s="198">
        <f>((VLOOKUP(Table4[[#This Row],[risk_id]],Table3[],19, FALSE))+((VLOOKUP(Table4[[#This Row],[risk_id]],Table3[],36, FALSE))*0.5))/(Table4[[#This Row],[data_observations]])</f>
        <v>0.5</v>
      </c>
      <c r="AL129" s="177">
        <f>((Table4[[#This Row],[ev_data_deficient_score]]*0.5)+(Table4[[#This Row],[ev_data_availability_score]]*0.5))*(Table4[[#This Row],[Indicator_12.5pct]])</f>
        <v>9.375</v>
      </c>
      <c r="AM129" s="199">
        <f>Table4[[#This Row],[RiskScore]]</f>
        <v>17.836734693877553</v>
      </c>
      <c r="AN129" s="200">
        <f>VLOOKUP(Table4[[#This Row],[risk_id]], Table3[], 13, FALSE)</f>
        <v>8.6141791038179054</v>
      </c>
      <c r="AO129" s="185">
        <f>(1-(Table4[[#This Row],[evidence_SD_RR]]/Table4[[#This Row],[evidence_mean_RR]]))*(Table4[[#This Row],[Indicator_12.5pct]])</f>
        <v>6.4631753992122816</v>
      </c>
      <c r="AP129" s="201">
        <f>VLOOKUP(Table4[[#This Row],[risk_id]],Table3[],21, FALSE)</f>
        <v>0</v>
      </c>
      <c r="AQ129" s="201">
        <f>VLOOKUP(Table4[[#This Row],[risk_id]],Table3[],23, FALSE)</f>
        <v>0.14285714285714285</v>
      </c>
      <c r="AR129" s="201">
        <f>VLOOKUP(Table4[[#This Row],[risk_id]],Table3[],25, FALSE)</f>
        <v>0.7142857142857143</v>
      </c>
      <c r="AS129" s="201">
        <f>VLOOKUP(Table4[[#This Row],[risk_id]],Table3[],27, FALSE)</f>
        <v>0.14285714285714285</v>
      </c>
      <c r="AT129" s="183">
        <f>(MAX(Table4[[#This Row],[C]:[U]]))*Table4[[#This Row],[Indicator_20pct]]</f>
        <v>7.1428571428571432</v>
      </c>
      <c r="AU129" s="205">
        <f>COUNTIFS(Table4[[#This Row],[C]], "&gt;0", Table4[[#This Row],[U]], "&gt;0") + COUNTIFS(Table4[[#This Row],[H]], "&gt;0", Table4[[#This Row],[U]], "&gt;0") + COUNTIFS(Table4[[#This Row],[C]], "&gt;0", Table4[[#This Row],[M]], "&gt;0")</f>
        <v>1</v>
      </c>
      <c r="AV129" s="219">
        <f>((-(Table4[[#This Row],[different_scores_count]]-3))/3)*Table4[[#This Row],[Indicator_20pct]]</f>
        <v>6.6666666666666661</v>
      </c>
      <c r="AW129" s="183">
        <f>IF(Table4[[#This Row],[data_observations]]&gt;=5, 30, IF(Table4[[#This Row],[data_observations]]&gt;=3, 15, 0))</f>
        <v>30</v>
      </c>
      <c r="AX129" s="26" t="s">
        <v>2737</v>
      </c>
    </row>
    <row r="130" spans="1:50" ht="32" customHeight="1" x14ac:dyDescent="0.2">
      <c r="A130" s="16" t="s">
        <v>2721</v>
      </c>
      <c r="B130" s="16" t="str">
        <f>VLOOKUP(Table4[[#This Row],[risk_id]], Table3[], 35, FALSE)</f>
        <v>Hazard</v>
      </c>
      <c r="C130" s="16" t="str">
        <f>VLOOKUP(Table4[[#This Row],[risk_id]], Table3[], 2, FALSE)</f>
        <v>Navigational</v>
      </c>
      <c r="D130" s="15" t="str">
        <f>VLOOKUP(Table4[[#This Row],[risk_id]], Table3[], 3, FALSE)</f>
        <v>Unmaintained safety distance</v>
      </c>
      <c r="E130"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30" s="300">
        <f t="shared" ref="F130:F155" si="8">M130*N130</f>
        <v>17.5</v>
      </c>
      <c r="G130" s="31">
        <f>Table4[[#This Row],[DataQuality_Score]]</f>
        <v>0.43123100303951362</v>
      </c>
      <c r="H130"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30" s="27" t="str">
        <f>Table4[[#This Row],[LoA - Metric]]&amp; ", " &amp;Table4[[#This Row],[ES - Metric]]</f>
        <v>Medium agreement, Medium evidence</v>
      </c>
      <c r="J130" s="222">
        <f>(Table4[[#This Row],[LoA_SCORE]]+Table4[[#This Row],[ES_SCORE]])/100</f>
        <v>0.43123100303951362</v>
      </c>
      <c r="K130"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30"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30" s="179">
        <f>Table4[[#This Row],[probability_average]]</f>
        <v>2.5</v>
      </c>
      <c r="N130" s="181">
        <f>Table4[[#This Row],[consequence_average]]</f>
        <v>7</v>
      </c>
      <c r="O130" s="220">
        <f>Table4[[#This Row],[agreementPCT_score]]+Table4[[#This Row],[agreement_dist_score]]+Table4[[#This Row],[LoA_AQ_score]]</f>
        <v>20</v>
      </c>
      <c r="P130" s="203">
        <f>Table4[[#This Row],[evidenceconsistency_score]]+Table4[[#This Row],[EQ_score]]+Table4[[#This Row],[EA_score]]+Table4[[#This Row],[ET_score]]</f>
        <v>23.123100303951365</v>
      </c>
      <c r="Q130" s="181">
        <f>VLOOKUP(Table4[[#This Row],[risk_id]],Table3[],10,FALSE)</f>
        <v>7</v>
      </c>
      <c r="R130" s="181">
        <f>VLOOKUP(Table4[[#This Row],[risk_id]],Table3[],9,FALSE)</f>
        <v>14</v>
      </c>
      <c r="S130" s="179">
        <f>VLOOKUP(Table4[[#This Row],[risk_id]],Table3[],7,FALSE)</f>
        <v>2.5</v>
      </c>
      <c r="T130" s="179">
        <f>VLOOKUP(Table4[[#This Row],[risk_id]],Table3[],6,FALSE)</f>
        <v>5</v>
      </c>
      <c r="U130" s="177">
        <f t="shared" ref="U130:U155" si="9">12.5</f>
        <v>12.5</v>
      </c>
      <c r="V130" s="187">
        <f>10</f>
        <v>10</v>
      </c>
      <c r="W130" s="187">
        <f>30</f>
        <v>30</v>
      </c>
      <c r="X130" s="17">
        <f>VLOOKUP(Table4[[#This Row],[risk_id]],Table3[],5,FALSE)</f>
        <v>2</v>
      </c>
      <c r="Y130" s="17">
        <f>94</f>
        <v>94</v>
      </c>
      <c r="Z130" s="177">
        <f>Table4[[#This Row],[EStype_summed]]*Table4[[#This Row],[Indicator_12.5pct]]</f>
        <v>3.125</v>
      </c>
      <c r="AA130" s="190">
        <f>(IF(Table4[[#This Row],[all_evtype]]&gt;=4,"4", IF(Table4[[#This Row],[all_evtype]]&gt;=3,"3", IF(Table4[[#This Row],[all_evtype]]&gt;=2,"2", IF(Table4[[#This Row],[all_evtype]]&gt;=1,"1","0")))))/Table4[[#This Row],[HPS_et]]</f>
        <v>0.25</v>
      </c>
      <c r="AB130" s="191">
        <f>VLOOKUP(Table4[[#This Row],[risk_id]],Table3[], 14, FALSE)</f>
        <v>0</v>
      </c>
      <c r="AC130" s="191">
        <f>VLOOKUP(Table4[[#This Row],[risk_id]],Table3[], 15, FALSE)</f>
        <v>2</v>
      </c>
      <c r="AD130" s="191">
        <f>VLOOKUP(Table4[[#This Row],[risk_id]], Table3[], 16, FALSE)</f>
        <v>0</v>
      </c>
      <c r="AE130" s="191">
        <f>VLOOKUP(Table4[[#This Row],[risk_id]], Table3[], 17, )</f>
        <v>0</v>
      </c>
      <c r="AF130" s="191">
        <f>4</f>
        <v>4</v>
      </c>
      <c r="AG130" s="191">
        <f>COUNTIF(Table4[[#This Row],[THEO]:[MOD]], "&gt;=1")</f>
        <v>1</v>
      </c>
      <c r="AH130" s="192">
        <f>Table4[[#This Row],[data_observations]]/Table4[[#This Row],[AllObservations_count]]</f>
        <v>2.1276595744680851E-2</v>
      </c>
      <c r="AI130" s="189">
        <f>Table4[[#This Row],[evidenceamount_pct]]*(Table4[[#This Row],[Indicator_12.5pct]])</f>
        <v>0.26595744680851063</v>
      </c>
      <c r="AJ130" s="198">
        <f>(1-(VLOOKUP(Table4[[#This Row],[risk_id]],Table3[],18, FALSE))/(Table4[[#This Row],[data_observations]]))</f>
        <v>1</v>
      </c>
      <c r="AK130" s="198">
        <f>((VLOOKUP(Table4[[#This Row],[risk_id]],Table3[],19, FALSE))+((VLOOKUP(Table4[[#This Row],[risk_id]],Table3[],36, FALSE))*0.5))/(Table4[[#This Row],[data_observations]])</f>
        <v>0.5</v>
      </c>
      <c r="AL130" s="177">
        <f>((Table4[[#This Row],[ev_data_deficient_score]]*0.5)+(Table4[[#This Row],[ev_data_availability_score]]*0.5))*(Table4[[#This Row],[Indicator_12.5pct]])</f>
        <v>9.375</v>
      </c>
      <c r="AM130" s="199">
        <f>Table4[[#This Row],[RiskScore]]</f>
        <v>17.5</v>
      </c>
      <c r="AN130" s="200">
        <f>VLOOKUP(Table4[[#This Row],[risk_id]], Table3[], 13, FALSE)</f>
        <v>3</v>
      </c>
      <c r="AO130" s="185">
        <f>(1-(Table4[[#This Row],[evidence_SD_RR]]/Table4[[#This Row],[evidence_mean_RR]]))*(Table4[[#This Row],[Indicator_12.5pct]])</f>
        <v>10.357142857142856</v>
      </c>
      <c r="AP130" s="201">
        <f>VLOOKUP(Table4[[#This Row],[risk_id]],Table3[],21, FALSE)</f>
        <v>0</v>
      </c>
      <c r="AQ130" s="201">
        <f>VLOOKUP(Table4[[#This Row],[risk_id]],Table3[],23, FALSE)</f>
        <v>0</v>
      </c>
      <c r="AR130" s="201">
        <f>VLOOKUP(Table4[[#This Row],[risk_id]],Table3[],25, FALSE)</f>
        <v>1</v>
      </c>
      <c r="AS130" s="201">
        <f>VLOOKUP(Table4[[#This Row],[risk_id]],Table3[],27, FALSE)</f>
        <v>0</v>
      </c>
      <c r="AT130" s="183">
        <f>(MAX(Table4[[#This Row],[C]:[U]]))*Table4[[#This Row],[Indicator_20pct]]</f>
        <v>10</v>
      </c>
      <c r="AU130" s="205">
        <f>COUNTIFS(Table4[[#This Row],[C]], "&gt;0", Table4[[#This Row],[U]], "&gt;0") + COUNTIFS(Table4[[#This Row],[H]], "&gt;0", Table4[[#This Row],[U]], "&gt;0") + COUNTIFS(Table4[[#This Row],[C]], "&gt;0", Table4[[#This Row],[M]], "&gt;0")</f>
        <v>0</v>
      </c>
      <c r="AV130" s="219">
        <f>((-(Table4[[#This Row],[different_scores_count]]-3))/3)*Table4[[#This Row],[Indicator_20pct]]</f>
        <v>10</v>
      </c>
      <c r="AW130" s="183">
        <f>IF(Table4[[#This Row],[data_observations]]&gt;=5, 30, IF(Table4[[#This Row],[data_observations]]&gt;=3, 15, 0))</f>
        <v>0</v>
      </c>
      <c r="AX130" s="26" t="s">
        <v>2737</v>
      </c>
    </row>
    <row r="131" spans="1:50" ht="32" hidden="1" customHeight="1" x14ac:dyDescent="0.2">
      <c r="A131" s="16" t="s">
        <v>534</v>
      </c>
      <c r="B131" s="16" t="str">
        <f>VLOOKUP(Table4[[#This Row],[risk_id]], Table3[], 35, FALSE)</f>
        <v>Risk</v>
      </c>
      <c r="C131" s="16" t="str">
        <f>VLOOKUP(Table4[[#This Row],[risk_id]], Table3[], 2, FALSE)</f>
        <v>Navigational</v>
      </c>
      <c r="D131" s="15" t="str">
        <f>VLOOKUP(Table4[[#This Row],[risk_id]], Table3[], 3, FALSE)</f>
        <v>Improper route selection</v>
      </c>
      <c r="E131"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31" s="300">
        <f t="shared" si="8"/>
        <v>17.4375</v>
      </c>
      <c r="G131" s="31">
        <f>Table4[[#This Row],[DataQuality_Score]]</f>
        <v>0.57036804918284634</v>
      </c>
      <c r="H131"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31" s="27" t="str">
        <f>Table4[[#This Row],[LoA - Metric]]&amp; ", " &amp;Table4[[#This Row],[ES - Metric]]</f>
        <v>Medium agreement, Medium evidence</v>
      </c>
      <c r="J131" s="222">
        <f>(Table4[[#This Row],[LoA_SCORE]]+Table4[[#This Row],[ES_SCORE]])/100</f>
        <v>0.57036804918284634</v>
      </c>
      <c r="K131"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31"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31" s="179">
        <f>Table4[[#This Row],[probability_average]]</f>
        <v>2.25</v>
      </c>
      <c r="N131" s="181">
        <f>Table4[[#This Row],[consequence_average]]</f>
        <v>7.75</v>
      </c>
      <c r="O131" s="220">
        <f>Table4[[#This Row],[agreementPCT_score]]+Table4[[#This Row],[agreement_dist_score]]+Table4[[#This Row],[LoA_AQ_score]]</f>
        <v>32.5</v>
      </c>
      <c r="P131" s="203">
        <f>Table4[[#This Row],[evidenceconsistency_score]]+Table4[[#This Row],[EQ_score]]+Table4[[#This Row],[EA_score]]+Table4[[#This Row],[ET_score]]</f>
        <v>24.536804918284638</v>
      </c>
      <c r="Q131" s="181">
        <f>VLOOKUP(Table4[[#This Row],[risk_id]],Table3[],10,FALSE)</f>
        <v>7.75</v>
      </c>
      <c r="R131" s="181">
        <f>VLOOKUP(Table4[[#This Row],[risk_id]],Table3[],9,FALSE)</f>
        <v>31</v>
      </c>
      <c r="S131" s="179">
        <f>VLOOKUP(Table4[[#This Row],[risk_id]],Table3[],7,FALSE)</f>
        <v>2.25</v>
      </c>
      <c r="T131" s="179">
        <f>VLOOKUP(Table4[[#This Row],[risk_id]],Table3[],6,FALSE)</f>
        <v>9</v>
      </c>
      <c r="U131" s="177">
        <f t="shared" si="9"/>
        <v>12.5</v>
      </c>
      <c r="V131" s="187">
        <f>10</f>
        <v>10</v>
      </c>
      <c r="W131" s="187">
        <f>30</f>
        <v>30</v>
      </c>
      <c r="X131" s="17">
        <f>VLOOKUP(Table4[[#This Row],[risk_id]],Table3[],5,FALSE)</f>
        <v>4</v>
      </c>
      <c r="Y131" s="17">
        <f>94</f>
        <v>94</v>
      </c>
      <c r="Z131" s="177">
        <f>Table4[[#This Row],[EStype_summed]]*Table4[[#This Row],[Indicator_12.5pct]]</f>
        <v>6.25</v>
      </c>
      <c r="AA131" s="190">
        <f>(IF(Table4[[#This Row],[all_evtype]]&gt;=4,"4", IF(Table4[[#This Row],[all_evtype]]&gt;=3,"3", IF(Table4[[#This Row],[all_evtype]]&gt;=2,"2", IF(Table4[[#This Row],[all_evtype]]&gt;=1,"1","0")))))/Table4[[#This Row],[HPS_et]]</f>
        <v>0.5</v>
      </c>
      <c r="AB131" s="191">
        <f>VLOOKUP(Table4[[#This Row],[risk_id]],Table3[], 14, FALSE)</f>
        <v>0</v>
      </c>
      <c r="AC131" s="191">
        <f>VLOOKUP(Table4[[#This Row],[risk_id]],Table3[], 15, FALSE)</f>
        <v>3</v>
      </c>
      <c r="AD131" s="191">
        <f>VLOOKUP(Table4[[#This Row],[risk_id]], Table3[], 16, FALSE)</f>
        <v>1</v>
      </c>
      <c r="AE131" s="191">
        <f>VLOOKUP(Table4[[#This Row],[risk_id]], Table3[], 17, )</f>
        <v>0</v>
      </c>
      <c r="AF131" s="191">
        <f>4</f>
        <v>4</v>
      </c>
      <c r="AG131" s="191">
        <f>COUNTIF(Table4[[#This Row],[THEO]:[MOD]], "&gt;=1")</f>
        <v>2</v>
      </c>
      <c r="AH131" s="192">
        <f>Table4[[#This Row],[data_observations]]/Table4[[#This Row],[AllObservations_count]]</f>
        <v>4.2553191489361701E-2</v>
      </c>
      <c r="AI131" s="189">
        <f>Table4[[#This Row],[evidenceamount_pct]]*(Table4[[#This Row],[Indicator_12.5pct]])</f>
        <v>0.53191489361702127</v>
      </c>
      <c r="AJ131" s="198">
        <f>(1-(VLOOKUP(Table4[[#This Row],[risk_id]],Table3[],18, FALSE))/(Table4[[#This Row],[data_observations]]))</f>
        <v>1</v>
      </c>
      <c r="AK131" s="198">
        <f>((VLOOKUP(Table4[[#This Row],[risk_id]],Table3[],19, FALSE))+((VLOOKUP(Table4[[#This Row],[risk_id]],Table3[],36, FALSE))*0.5))/(Table4[[#This Row],[data_observations]])</f>
        <v>0.625</v>
      </c>
      <c r="AL131" s="177">
        <f>((Table4[[#This Row],[ev_data_deficient_score]]*0.5)+(Table4[[#This Row],[ev_data_availability_score]]*0.5))*(Table4[[#This Row],[Indicator_12.5pct]])</f>
        <v>10.15625</v>
      </c>
      <c r="AM131" s="199">
        <f>Table4[[#This Row],[RiskScore]]</f>
        <v>17.4375</v>
      </c>
      <c r="AN131" s="200">
        <f>VLOOKUP(Table4[[#This Row],[risk_id]], Table3[], 13, FALSE)</f>
        <v>6.8373971655886718</v>
      </c>
      <c r="AO131" s="185">
        <f>(1-(Table4[[#This Row],[evidence_SD_RR]]/Table4[[#This Row],[evidence_mean_RR]]))*(Table4[[#This Row],[Indicator_12.5pct]])</f>
        <v>7.5986400246676187</v>
      </c>
      <c r="AP131" s="201">
        <f>VLOOKUP(Table4[[#This Row],[risk_id]],Table3[],21, FALSE)</f>
        <v>0</v>
      </c>
      <c r="AQ131" s="201">
        <f>VLOOKUP(Table4[[#This Row],[risk_id]],Table3[],23, FALSE)</f>
        <v>0.25</v>
      </c>
      <c r="AR131" s="201">
        <f>VLOOKUP(Table4[[#This Row],[risk_id]],Table3[],25, FALSE)</f>
        <v>0.75</v>
      </c>
      <c r="AS131" s="201">
        <f>VLOOKUP(Table4[[#This Row],[risk_id]],Table3[],27, FALSE)</f>
        <v>0</v>
      </c>
      <c r="AT131" s="183">
        <f>(MAX(Table4[[#This Row],[C]:[U]]))*Table4[[#This Row],[Indicator_20pct]]</f>
        <v>7.5</v>
      </c>
      <c r="AU131" s="205">
        <f>COUNTIFS(Table4[[#This Row],[C]], "&gt;0", Table4[[#This Row],[U]], "&gt;0") + COUNTIFS(Table4[[#This Row],[H]], "&gt;0", Table4[[#This Row],[U]], "&gt;0") + COUNTIFS(Table4[[#This Row],[C]], "&gt;0", Table4[[#This Row],[M]], "&gt;0")</f>
        <v>0</v>
      </c>
      <c r="AV131" s="219">
        <f>((-(Table4[[#This Row],[different_scores_count]]-3))/3)*Table4[[#This Row],[Indicator_20pct]]</f>
        <v>10</v>
      </c>
      <c r="AW131" s="183">
        <f>IF(Table4[[#This Row],[data_observations]]&gt;=5, 30, IF(Table4[[#This Row],[data_observations]]&gt;=3, 15, 0))</f>
        <v>15</v>
      </c>
      <c r="AX131" s="26" t="s">
        <v>2737</v>
      </c>
    </row>
    <row r="132" spans="1:50" ht="32" hidden="1" customHeight="1" x14ac:dyDescent="0.2">
      <c r="A132" s="16" t="s">
        <v>2725</v>
      </c>
      <c r="B132" s="16" t="str">
        <f>VLOOKUP(Table4[[#This Row],[risk_id]], Table3[], 35, FALSE)</f>
        <v>Risk</v>
      </c>
      <c r="C132" s="16" t="str">
        <f>VLOOKUP(Table4[[#This Row],[risk_id]], Table3[], 2, FALSE)</f>
        <v>Navigational</v>
      </c>
      <c r="D132" s="15" t="str">
        <f>VLOOKUP(Table4[[#This Row],[risk_id]], Table3[], 3, FALSE)</f>
        <v>Vessel-vessel collision</v>
      </c>
      <c r="E132"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32" s="300">
        <f t="shared" si="8"/>
        <v>17.333333333333332</v>
      </c>
      <c r="G132" s="31">
        <f>Table4[[#This Row],[DataQuality_Score]]</f>
        <v>0.73768292350281905</v>
      </c>
      <c r="H132"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32" s="27" t="str">
        <f>Table4[[#This Row],[LoA - Metric]]&amp; ", " &amp;Table4[[#This Row],[ES - Metric]]</f>
        <v>High agreement, Medium evidence</v>
      </c>
      <c r="J132" s="222">
        <f>(Table4[[#This Row],[LoA_SCORE]]+Table4[[#This Row],[ES_SCORE]])/100</f>
        <v>0.73768292350281905</v>
      </c>
      <c r="K132"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32"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32" s="179">
        <f>Table4[[#This Row],[probability_average]]</f>
        <v>2.1666666666666665</v>
      </c>
      <c r="N132" s="181">
        <f>Table4[[#This Row],[consequence_average]]</f>
        <v>8</v>
      </c>
      <c r="O132" s="220">
        <f>Table4[[#This Row],[agreementPCT_score]]+Table4[[#This Row],[agreement_dist_score]]+Table4[[#This Row],[LoA_AQ_score]]</f>
        <v>48.571428571428569</v>
      </c>
      <c r="P132" s="203">
        <f>Table4[[#This Row],[evidenceconsistency_score]]+Table4[[#This Row],[EQ_score]]+Table4[[#This Row],[EA_score]]+Table4[[#This Row],[ET_score]]</f>
        <v>25.196863778853334</v>
      </c>
      <c r="Q132" s="181">
        <f>VLOOKUP(Table4[[#This Row],[risk_id]],Table3[],10,FALSE)</f>
        <v>8</v>
      </c>
      <c r="R132" s="181">
        <f>VLOOKUP(Table4[[#This Row],[risk_id]],Table3[],9,FALSE)</f>
        <v>48</v>
      </c>
      <c r="S132" s="179">
        <f>VLOOKUP(Table4[[#This Row],[risk_id]],Table3[],7,FALSE)</f>
        <v>2.1666666666666665</v>
      </c>
      <c r="T132" s="179">
        <f>VLOOKUP(Table4[[#This Row],[risk_id]],Table3[],6,FALSE)</f>
        <v>13</v>
      </c>
      <c r="U132" s="177">
        <f t="shared" si="9"/>
        <v>12.5</v>
      </c>
      <c r="V132" s="187">
        <f>10</f>
        <v>10</v>
      </c>
      <c r="W132" s="187">
        <f>30</f>
        <v>30</v>
      </c>
      <c r="X132" s="17">
        <f>VLOOKUP(Table4[[#This Row],[risk_id]],Table3[],5,FALSE)</f>
        <v>7</v>
      </c>
      <c r="Y132" s="17">
        <f>94</f>
        <v>94</v>
      </c>
      <c r="Z132" s="177">
        <f>Table4[[#This Row],[EStype_summed]]*Table4[[#This Row],[Indicator_12.5pct]]</f>
        <v>6.25</v>
      </c>
      <c r="AA132" s="190">
        <f>(IF(Table4[[#This Row],[all_evtype]]&gt;=4,"4", IF(Table4[[#This Row],[all_evtype]]&gt;=3,"3", IF(Table4[[#This Row],[all_evtype]]&gt;=2,"2", IF(Table4[[#This Row],[all_evtype]]&gt;=1,"1","0")))))/Table4[[#This Row],[HPS_et]]</f>
        <v>0.5</v>
      </c>
      <c r="AB132" s="191">
        <f>VLOOKUP(Table4[[#This Row],[risk_id]],Table3[], 14, FALSE)</f>
        <v>0</v>
      </c>
      <c r="AC132" s="191">
        <f>VLOOKUP(Table4[[#This Row],[risk_id]],Table3[], 15, FALSE)</f>
        <v>6</v>
      </c>
      <c r="AD132" s="191">
        <f>VLOOKUP(Table4[[#This Row],[risk_id]], Table3[], 16, FALSE)</f>
        <v>1</v>
      </c>
      <c r="AE132" s="191">
        <f>VLOOKUP(Table4[[#This Row],[risk_id]], Table3[], 17, )</f>
        <v>0</v>
      </c>
      <c r="AF132" s="191">
        <f>4</f>
        <v>4</v>
      </c>
      <c r="AG132" s="191">
        <f>COUNTIF(Table4[[#This Row],[THEO]:[MOD]], "&gt;=1")</f>
        <v>2</v>
      </c>
      <c r="AH132" s="192">
        <f>Table4[[#This Row],[data_observations]]/Table4[[#This Row],[AllObservations_count]]</f>
        <v>7.4468085106382975E-2</v>
      </c>
      <c r="AI132" s="189">
        <f>Table4[[#This Row],[evidenceamount_pct]]*(Table4[[#This Row],[Indicator_12.5pct]])</f>
        <v>0.93085106382978722</v>
      </c>
      <c r="AJ132" s="198">
        <f>(1-(VLOOKUP(Table4[[#This Row],[risk_id]],Table3[],18, FALSE))/(Table4[[#This Row],[data_observations]]))</f>
        <v>1</v>
      </c>
      <c r="AK132" s="198">
        <f>((VLOOKUP(Table4[[#This Row],[risk_id]],Table3[],19, FALSE))+((VLOOKUP(Table4[[#This Row],[risk_id]],Table3[],36, FALSE))*0.5))/(Table4[[#This Row],[data_observations]])</f>
        <v>0.7142857142857143</v>
      </c>
      <c r="AL132" s="177">
        <f>((Table4[[#This Row],[ev_data_deficient_score]]*0.5)+(Table4[[#This Row],[ev_data_availability_score]]*0.5))*(Table4[[#This Row],[Indicator_12.5pct]])</f>
        <v>10.714285714285715</v>
      </c>
      <c r="AM132" s="199">
        <f>Table4[[#This Row],[RiskScore]]</f>
        <v>17.333333333333332</v>
      </c>
      <c r="AN132" s="200">
        <f>VLOOKUP(Table4[[#This Row],[risk_id]], Table3[], 13, FALSE)</f>
        <v>7.2082718923102078</v>
      </c>
      <c r="AO132" s="185">
        <f>(1-(Table4[[#This Row],[evidence_SD_RR]]/Table4[[#This Row],[evidence_mean_RR]]))*(Table4[[#This Row],[Indicator_12.5pct]])</f>
        <v>7.3017270007378317</v>
      </c>
      <c r="AP132" s="201">
        <f>VLOOKUP(Table4[[#This Row],[risk_id]],Table3[],21, FALSE)</f>
        <v>0</v>
      </c>
      <c r="AQ132" s="201">
        <f>VLOOKUP(Table4[[#This Row],[risk_id]],Table3[],23, FALSE)</f>
        <v>0</v>
      </c>
      <c r="AR132" s="201">
        <f>VLOOKUP(Table4[[#This Row],[risk_id]],Table3[],25, FALSE)</f>
        <v>0.8571428571428571</v>
      </c>
      <c r="AS132" s="201">
        <f>VLOOKUP(Table4[[#This Row],[risk_id]],Table3[],27, FALSE)</f>
        <v>0.14285714285714285</v>
      </c>
      <c r="AT132" s="183">
        <f>(MAX(Table4[[#This Row],[C]:[U]]))*Table4[[#This Row],[Indicator_20pct]]</f>
        <v>8.5714285714285712</v>
      </c>
      <c r="AU132" s="205">
        <f>COUNTIFS(Table4[[#This Row],[C]], "&gt;0", Table4[[#This Row],[U]], "&gt;0") + COUNTIFS(Table4[[#This Row],[H]], "&gt;0", Table4[[#This Row],[U]], "&gt;0") + COUNTIFS(Table4[[#This Row],[C]], "&gt;0", Table4[[#This Row],[M]], "&gt;0")</f>
        <v>0</v>
      </c>
      <c r="AV132" s="219">
        <f>((-(Table4[[#This Row],[different_scores_count]]-3))/3)*Table4[[#This Row],[Indicator_20pct]]</f>
        <v>10</v>
      </c>
      <c r="AW132" s="183">
        <f>IF(Table4[[#This Row],[data_observations]]&gt;=5, 30, IF(Table4[[#This Row],[data_observations]]&gt;=3, 15, 0))</f>
        <v>30</v>
      </c>
      <c r="AX132" s="26" t="s">
        <v>2737</v>
      </c>
    </row>
    <row r="133" spans="1:50" ht="32" hidden="1" customHeight="1" x14ac:dyDescent="0.2">
      <c r="A133" s="16" t="s">
        <v>543</v>
      </c>
      <c r="B133" s="16" t="str">
        <f>VLOOKUP(Table4[[#This Row],[risk_id]], Table3[], 35, FALSE)</f>
        <v>Risk</v>
      </c>
      <c r="C133" s="16" t="str">
        <f>VLOOKUP(Table4[[#This Row],[risk_id]], Table3[], 2, FALSE)</f>
        <v>Political</v>
      </c>
      <c r="D133" s="15" t="str">
        <f>VLOOKUP(Table4[[#This Row],[risk_id]], Table3[], 3, FALSE)</f>
        <v>Insufficient Arctic shipping jurisdiction</v>
      </c>
      <c r="E133"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33" s="300">
        <f t="shared" si="8"/>
        <v>17.333333333333332</v>
      </c>
      <c r="G133" s="31">
        <f>Table4[[#This Row],[DataQuality_Score]]</f>
        <v>0.69538160379765901</v>
      </c>
      <c r="H133"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33" s="27" t="str">
        <f>Table4[[#This Row],[LoA - Metric]]&amp; ", " &amp;Table4[[#This Row],[ES - Metric]]</f>
        <v>High agreement, Medium evidence</v>
      </c>
      <c r="J133" s="222">
        <f>(Table4[[#This Row],[LoA_SCORE]]+Table4[[#This Row],[ES_SCORE]])/100</f>
        <v>0.69538160379765901</v>
      </c>
      <c r="K133"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33"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33" s="179">
        <f>Table4[[#This Row],[probability_average]]</f>
        <v>4</v>
      </c>
      <c r="N133" s="181">
        <f>Table4[[#This Row],[consequence_average]]</f>
        <v>4.333333333333333</v>
      </c>
      <c r="O133" s="220">
        <f>Table4[[#This Row],[agreementPCT_score]]+Table4[[#This Row],[agreement_dist_score]]+Table4[[#This Row],[LoA_AQ_score]]</f>
        <v>44.444444444444443</v>
      </c>
      <c r="P133" s="203">
        <f>Table4[[#This Row],[evidenceconsistency_score]]+Table4[[#This Row],[EQ_score]]+Table4[[#This Row],[EA_score]]+Table4[[#This Row],[ET_score]]</f>
        <v>25.093715935321455</v>
      </c>
      <c r="Q133" s="181">
        <f>VLOOKUP(Table4[[#This Row],[risk_id]],Table3[],10,FALSE)</f>
        <v>4.333333333333333</v>
      </c>
      <c r="R133" s="181">
        <f>VLOOKUP(Table4[[#This Row],[risk_id]],Table3[],9,FALSE)</f>
        <v>39</v>
      </c>
      <c r="S133" s="179">
        <f>VLOOKUP(Table4[[#This Row],[risk_id]],Table3[],7,FALSE)</f>
        <v>4</v>
      </c>
      <c r="T133" s="179">
        <f>VLOOKUP(Table4[[#This Row],[risk_id]],Table3[],6,FALSE)</f>
        <v>36</v>
      </c>
      <c r="U133" s="177">
        <f t="shared" si="9"/>
        <v>12.5</v>
      </c>
      <c r="V133" s="187">
        <f>10</f>
        <v>10</v>
      </c>
      <c r="W133" s="187">
        <f>30</f>
        <v>30</v>
      </c>
      <c r="X133" s="17">
        <f>VLOOKUP(Table4[[#This Row],[risk_id]],Table3[],5,FALSE)</f>
        <v>9</v>
      </c>
      <c r="Y133" s="17">
        <f>94</f>
        <v>94</v>
      </c>
      <c r="Z133" s="177">
        <f>Table4[[#This Row],[EStype_summed]]*Table4[[#This Row],[Indicator_12.5pct]]</f>
        <v>9.375</v>
      </c>
      <c r="AA133" s="190">
        <f>(IF(Table4[[#This Row],[all_evtype]]&gt;=4,"4", IF(Table4[[#This Row],[all_evtype]]&gt;=3,"3", IF(Table4[[#This Row],[all_evtype]]&gt;=2,"2", IF(Table4[[#This Row],[all_evtype]]&gt;=1,"1","0")))))/Table4[[#This Row],[HPS_et]]</f>
        <v>0.75</v>
      </c>
      <c r="AB133" s="191">
        <f>VLOOKUP(Table4[[#This Row],[risk_id]],Table3[], 14, FALSE)</f>
        <v>5</v>
      </c>
      <c r="AC133" s="191">
        <f>VLOOKUP(Table4[[#This Row],[risk_id]],Table3[], 15, FALSE)</f>
        <v>3</v>
      </c>
      <c r="AD133" s="191">
        <f>VLOOKUP(Table4[[#This Row],[risk_id]], Table3[], 16, FALSE)</f>
        <v>1</v>
      </c>
      <c r="AE133" s="191">
        <f>VLOOKUP(Table4[[#This Row],[risk_id]], Table3[], 17, )</f>
        <v>0</v>
      </c>
      <c r="AF133" s="191">
        <f>4</f>
        <v>4</v>
      </c>
      <c r="AG133" s="191">
        <f>COUNTIF(Table4[[#This Row],[THEO]:[MOD]], "&gt;=1")</f>
        <v>3</v>
      </c>
      <c r="AH133" s="192">
        <f>Table4[[#This Row],[data_observations]]/Table4[[#This Row],[AllObservations_count]]</f>
        <v>9.5744680851063829E-2</v>
      </c>
      <c r="AI133" s="189">
        <f>Table4[[#This Row],[evidenceamount_pct]]*(Table4[[#This Row],[Indicator_12.5pct]])</f>
        <v>1.196808510638298</v>
      </c>
      <c r="AJ133" s="198">
        <f>(1-(VLOOKUP(Table4[[#This Row],[risk_id]],Table3[],18, FALSE))/(Table4[[#This Row],[data_observations]]))</f>
        <v>0.88888888888888884</v>
      </c>
      <c r="AK133" s="198">
        <f>((VLOOKUP(Table4[[#This Row],[risk_id]],Table3[],19, FALSE))+((VLOOKUP(Table4[[#This Row],[risk_id]],Table3[],36, FALSE))*0.5))/(Table4[[#This Row],[data_observations]])</f>
        <v>0.33333333333333331</v>
      </c>
      <c r="AL133" s="177">
        <f>((Table4[[#This Row],[ev_data_deficient_score]]*0.5)+(Table4[[#This Row],[ev_data_availability_score]]*0.5))*(Table4[[#This Row],[Indicator_12.5pct]])</f>
        <v>7.6388888888888884</v>
      </c>
      <c r="AM133" s="199">
        <f>Table4[[#This Row],[RiskScore]]</f>
        <v>17.333333333333332</v>
      </c>
      <c r="AN133" s="200">
        <f>VLOOKUP(Table4[[#This Row],[risk_id]], Table3[], 13, FALSE)</f>
        <v>7.7888809636986149</v>
      </c>
      <c r="AO133" s="185">
        <f>(1-(Table4[[#This Row],[evidence_SD_RR]]/Table4[[#This Row],[evidence_mean_RR]]))*(Table4[[#This Row],[Indicator_12.5pct]])</f>
        <v>6.8830185357942675</v>
      </c>
      <c r="AP133" s="201">
        <f>VLOOKUP(Table4[[#This Row],[risk_id]],Table3[],21, FALSE)</f>
        <v>0</v>
      </c>
      <c r="AQ133" s="201">
        <f>VLOOKUP(Table4[[#This Row],[risk_id]],Table3[],23, FALSE)</f>
        <v>0.1111111111111111</v>
      </c>
      <c r="AR133" s="201">
        <f>VLOOKUP(Table4[[#This Row],[risk_id]],Table3[],25, FALSE)</f>
        <v>0.77777777777777779</v>
      </c>
      <c r="AS133" s="201">
        <f>VLOOKUP(Table4[[#This Row],[risk_id]],Table3[],27, FALSE)</f>
        <v>0.1111111111111111</v>
      </c>
      <c r="AT133" s="183">
        <f>(MAX(Table4[[#This Row],[C]:[U]]))*Table4[[#This Row],[Indicator_20pct]]</f>
        <v>7.7777777777777777</v>
      </c>
      <c r="AU133" s="205">
        <f>COUNTIFS(Table4[[#This Row],[C]], "&gt;0", Table4[[#This Row],[U]], "&gt;0") + COUNTIFS(Table4[[#This Row],[H]], "&gt;0", Table4[[#This Row],[U]], "&gt;0") + COUNTIFS(Table4[[#This Row],[C]], "&gt;0", Table4[[#This Row],[M]], "&gt;0")</f>
        <v>1</v>
      </c>
      <c r="AV133" s="219">
        <f>((-(Table4[[#This Row],[different_scores_count]]-3))/3)*Table4[[#This Row],[Indicator_20pct]]</f>
        <v>6.6666666666666661</v>
      </c>
      <c r="AW133" s="183">
        <f>IF(Table4[[#This Row],[data_observations]]&gt;=5, 30, IF(Table4[[#This Row],[data_observations]]&gt;=3, 15, 0))</f>
        <v>30</v>
      </c>
      <c r="AX133" s="26" t="s">
        <v>2737</v>
      </c>
    </row>
    <row r="134" spans="1:50" ht="32" customHeight="1" x14ac:dyDescent="0.2">
      <c r="A134" s="16" t="s">
        <v>2723</v>
      </c>
      <c r="B134" s="16" t="str">
        <f>VLOOKUP(Table4[[#This Row],[risk_id]], Table3[], 35, FALSE)</f>
        <v>Hazard</v>
      </c>
      <c r="C134" s="16" t="str">
        <f>VLOOKUP(Table4[[#This Row],[risk_id]], Table3[], 2, FALSE)</f>
        <v>Navigational</v>
      </c>
      <c r="D134" s="15" t="str">
        <f>VLOOKUP(Table4[[#This Row],[risk_id]], Table3[], 3, FALSE)</f>
        <v>Vessel maneuver failure</v>
      </c>
      <c r="E134"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34" s="300">
        <f t="shared" si="8"/>
        <v>17</v>
      </c>
      <c r="G134" s="31">
        <f>Table4[[#This Row],[DataQuality_Score]]</f>
        <v>0.41221839799749688</v>
      </c>
      <c r="H134"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34" s="27" t="str">
        <f>Table4[[#This Row],[LoA - Metric]]&amp; ", " &amp;Table4[[#This Row],[ES - Metric]]</f>
        <v>Medium agreement, Medium evidence</v>
      </c>
      <c r="J134" s="222">
        <f>(Table4[[#This Row],[LoA_SCORE]]+Table4[[#This Row],[ES_SCORE]])/100</f>
        <v>0.41221839799749688</v>
      </c>
      <c r="K134"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34"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34" s="179">
        <f>Table4[[#This Row],[probability_average]]</f>
        <v>2</v>
      </c>
      <c r="N134" s="181">
        <f>Table4[[#This Row],[consequence_average]]</f>
        <v>8.5</v>
      </c>
      <c r="O134" s="220">
        <f>Table4[[#This Row],[agreementPCT_score]]+Table4[[#This Row],[agreement_dist_score]]+Table4[[#This Row],[LoA_AQ_score]]</f>
        <v>20</v>
      </c>
      <c r="P134" s="203">
        <f>Table4[[#This Row],[evidenceconsistency_score]]+Table4[[#This Row],[EQ_score]]+Table4[[#This Row],[EA_score]]+Table4[[#This Row],[ET_score]]</f>
        <v>21.221839799749688</v>
      </c>
      <c r="Q134" s="181">
        <f>VLOOKUP(Table4[[#This Row],[risk_id]],Table3[],10,FALSE)</f>
        <v>8.5</v>
      </c>
      <c r="R134" s="181">
        <f>VLOOKUP(Table4[[#This Row],[risk_id]],Table3[],9,FALSE)</f>
        <v>17</v>
      </c>
      <c r="S134" s="179">
        <f>VLOOKUP(Table4[[#This Row],[risk_id]],Table3[],7,FALSE)</f>
        <v>2</v>
      </c>
      <c r="T134" s="179">
        <f>VLOOKUP(Table4[[#This Row],[risk_id]],Table3[],6,FALSE)</f>
        <v>4</v>
      </c>
      <c r="U134" s="177">
        <f t="shared" si="9"/>
        <v>12.5</v>
      </c>
      <c r="V134" s="187">
        <f>10</f>
        <v>10</v>
      </c>
      <c r="W134" s="187">
        <f>30</f>
        <v>30</v>
      </c>
      <c r="X134" s="17">
        <f>VLOOKUP(Table4[[#This Row],[risk_id]],Table3[],5,FALSE)</f>
        <v>2</v>
      </c>
      <c r="Y134" s="17">
        <f>94</f>
        <v>94</v>
      </c>
      <c r="Z134" s="177">
        <f>Table4[[#This Row],[EStype_summed]]*Table4[[#This Row],[Indicator_12.5pct]]</f>
        <v>3.125</v>
      </c>
      <c r="AA134" s="190">
        <f>(IF(Table4[[#This Row],[all_evtype]]&gt;=4,"4", IF(Table4[[#This Row],[all_evtype]]&gt;=3,"3", IF(Table4[[#This Row],[all_evtype]]&gt;=2,"2", IF(Table4[[#This Row],[all_evtype]]&gt;=1,"1","0")))))/Table4[[#This Row],[HPS_et]]</f>
        <v>0.25</v>
      </c>
      <c r="AB134" s="191">
        <f>VLOOKUP(Table4[[#This Row],[risk_id]],Table3[], 14, FALSE)</f>
        <v>0</v>
      </c>
      <c r="AC134" s="191">
        <f>VLOOKUP(Table4[[#This Row],[risk_id]],Table3[], 15, FALSE)</f>
        <v>2</v>
      </c>
      <c r="AD134" s="191">
        <f>VLOOKUP(Table4[[#This Row],[risk_id]], Table3[], 16, FALSE)</f>
        <v>0</v>
      </c>
      <c r="AE134" s="191">
        <f>VLOOKUP(Table4[[#This Row],[risk_id]], Table3[], 17, )</f>
        <v>0</v>
      </c>
      <c r="AF134" s="191">
        <f>4</f>
        <v>4</v>
      </c>
      <c r="AG134" s="191">
        <f>COUNTIF(Table4[[#This Row],[THEO]:[MOD]], "&gt;=1")</f>
        <v>1</v>
      </c>
      <c r="AH134" s="192">
        <f>Table4[[#This Row],[data_observations]]/Table4[[#This Row],[AllObservations_count]]</f>
        <v>2.1276595744680851E-2</v>
      </c>
      <c r="AI134" s="189">
        <f>Table4[[#This Row],[evidenceamount_pct]]*(Table4[[#This Row],[Indicator_12.5pct]])</f>
        <v>0.26595744680851063</v>
      </c>
      <c r="AJ134" s="198">
        <f>(1-(VLOOKUP(Table4[[#This Row],[risk_id]],Table3[],18, FALSE))/(Table4[[#This Row],[data_observations]]))</f>
        <v>1</v>
      </c>
      <c r="AK134" s="198">
        <f>((VLOOKUP(Table4[[#This Row],[risk_id]],Table3[],19, FALSE))+((VLOOKUP(Table4[[#This Row],[risk_id]],Table3[],36, FALSE))*0.5))/(Table4[[#This Row],[data_observations]])</f>
        <v>0.5</v>
      </c>
      <c r="AL134" s="177">
        <f>((Table4[[#This Row],[ev_data_deficient_score]]*0.5)+(Table4[[#This Row],[ev_data_availability_score]]*0.5))*(Table4[[#This Row],[Indicator_12.5pct]])</f>
        <v>9.375</v>
      </c>
      <c r="AM134" s="199">
        <f>Table4[[#This Row],[RiskScore]]</f>
        <v>17</v>
      </c>
      <c r="AN134" s="200">
        <f>VLOOKUP(Table4[[#This Row],[risk_id]], Table3[], 13, FALSE)</f>
        <v>5.5</v>
      </c>
      <c r="AO134" s="185">
        <f>(1-(Table4[[#This Row],[evidence_SD_RR]]/Table4[[#This Row],[evidence_mean_RR]]))*(Table4[[#This Row],[Indicator_12.5pct]])</f>
        <v>8.4558823529411775</v>
      </c>
      <c r="AP134" s="201">
        <f>VLOOKUP(Table4[[#This Row],[risk_id]],Table3[],21, FALSE)</f>
        <v>0</v>
      </c>
      <c r="AQ134" s="201">
        <f>VLOOKUP(Table4[[#This Row],[risk_id]],Table3[],23, FALSE)</f>
        <v>0</v>
      </c>
      <c r="AR134" s="201">
        <f>VLOOKUP(Table4[[#This Row],[risk_id]],Table3[],25, FALSE)</f>
        <v>1</v>
      </c>
      <c r="AS134" s="201">
        <f>VLOOKUP(Table4[[#This Row],[risk_id]],Table3[],27, FALSE)</f>
        <v>0</v>
      </c>
      <c r="AT134" s="183">
        <f>(MAX(Table4[[#This Row],[C]:[U]]))*Table4[[#This Row],[Indicator_20pct]]</f>
        <v>10</v>
      </c>
      <c r="AU134" s="205">
        <f>COUNTIFS(Table4[[#This Row],[C]], "&gt;0", Table4[[#This Row],[U]], "&gt;0") + COUNTIFS(Table4[[#This Row],[H]], "&gt;0", Table4[[#This Row],[U]], "&gt;0") + COUNTIFS(Table4[[#This Row],[C]], "&gt;0", Table4[[#This Row],[M]], "&gt;0")</f>
        <v>0</v>
      </c>
      <c r="AV134" s="219">
        <f>((-(Table4[[#This Row],[different_scores_count]]-3))/3)*Table4[[#This Row],[Indicator_20pct]]</f>
        <v>10</v>
      </c>
      <c r="AW134" s="183">
        <f>IF(Table4[[#This Row],[data_observations]]&gt;=5, 30, IF(Table4[[#This Row],[data_observations]]&gt;=3, 15, 0))</f>
        <v>0</v>
      </c>
      <c r="AX134" s="26" t="s">
        <v>2737</v>
      </c>
    </row>
    <row r="135" spans="1:50" ht="32" hidden="1" customHeight="1" x14ac:dyDescent="0.2">
      <c r="A135" s="16" t="s">
        <v>2715</v>
      </c>
      <c r="B135" s="16" t="str">
        <f>VLOOKUP(Table4[[#This Row],[risk_id]], Table3[], 35, FALSE)</f>
        <v>Risk</v>
      </c>
      <c r="C135" s="16" t="str">
        <f>VLOOKUP(Table4[[#This Row],[risk_id]], Table3[], 2, FALSE)</f>
        <v>Navigational</v>
      </c>
      <c r="D135" s="15" t="str">
        <f>VLOOKUP(Table4[[#This Row],[risk_id]], Table3[], 3, FALSE)</f>
        <v>Ship stuck in ice</v>
      </c>
      <c r="E135"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35" s="300">
        <f t="shared" si="8"/>
        <v>15.888888888888888</v>
      </c>
      <c r="G135" s="31">
        <f>Table4[[#This Row],[DataQuality_Score]]</f>
        <v>0.77041440649189052</v>
      </c>
      <c r="H135"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35" s="27" t="str">
        <f>Table4[[#This Row],[LoA - Metric]]&amp; ", " &amp;Table4[[#This Row],[ES - Metric]]</f>
        <v>High agreement, Medium evidence</v>
      </c>
      <c r="J135" s="222">
        <f>(Table4[[#This Row],[LoA_SCORE]]+Table4[[#This Row],[ES_SCORE]])/100</f>
        <v>0.77041440649189052</v>
      </c>
      <c r="K135"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35"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35" s="179">
        <f>Table4[[#This Row],[probability_average]]</f>
        <v>2.1666666666666665</v>
      </c>
      <c r="N135" s="181">
        <f>Table4[[#This Row],[consequence_average]]</f>
        <v>7.333333333333333</v>
      </c>
      <c r="O135" s="220">
        <f>Table4[[#This Row],[agreementPCT_score]]+Table4[[#This Row],[agreement_dist_score]]+Table4[[#This Row],[LoA_AQ_score]]</f>
        <v>50</v>
      </c>
      <c r="P135" s="203">
        <f>Table4[[#This Row],[evidenceconsistency_score]]+Table4[[#This Row],[EQ_score]]+Table4[[#This Row],[EA_score]]+Table4[[#This Row],[ET_score]]</f>
        <v>27.041440649189056</v>
      </c>
      <c r="Q135" s="181">
        <f>VLOOKUP(Table4[[#This Row],[risk_id]],Table3[],10,FALSE)</f>
        <v>7.333333333333333</v>
      </c>
      <c r="R135" s="181">
        <f>VLOOKUP(Table4[[#This Row],[risk_id]],Table3[],9,FALSE)</f>
        <v>44</v>
      </c>
      <c r="S135" s="179">
        <f>VLOOKUP(Table4[[#This Row],[risk_id]],Table3[],7,FALSE)</f>
        <v>2.1666666666666665</v>
      </c>
      <c r="T135" s="179">
        <f>VLOOKUP(Table4[[#This Row],[risk_id]],Table3[],6,FALSE)</f>
        <v>13</v>
      </c>
      <c r="U135" s="177">
        <f t="shared" si="9"/>
        <v>12.5</v>
      </c>
      <c r="V135" s="187">
        <f>10</f>
        <v>10</v>
      </c>
      <c r="W135" s="187">
        <f>30</f>
        <v>30</v>
      </c>
      <c r="X135" s="17">
        <f>VLOOKUP(Table4[[#This Row],[risk_id]],Table3[],5,FALSE)</f>
        <v>6</v>
      </c>
      <c r="Y135" s="17">
        <f>94</f>
        <v>94</v>
      </c>
      <c r="Z135" s="177">
        <f>Table4[[#This Row],[EStype_summed]]*Table4[[#This Row],[Indicator_12.5pct]]</f>
        <v>6.25</v>
      </c>
      <c r="AA135" s="190">
        <f>(IF(Table4[[#This Row],[all_evtype]]&gt;=4,"4", IF(Table4[[#This Row],[all_evtype]]&gt;=3,"3", IF(Table4[[#This Row],[all_evtype]]&gt;=2,"2", IF(Table4[[#This Row],[all_evtype]]&gt;=1,"1","0")))))/Table4[[#This Row],[HPS_et]]</f>
        <v>0.5</v>
      </c>
      <c r="AB135" s="191">
        <f>VLOOKUP(Table4[[#This Row],[risk_id]],Table3[], 14, FALSE)</f>
        <v>0</v>
      </c>
      <c r="AC135" s="191">
        <f>VLOOKUP(Table4[[#This Row],[risk_id]],Table3[], 15, FALSE)</f>
        <v>5</v>
      </c>
      <c r="AD135" s="191">
        <f>VLOOKUP(Table4[[#This Row],[risk_id]], Table3[], 16, FALSE)</f>
        <v>1</v>
      </c>
      <c r="AE135" s="191">
        <f>VLOOKUP(Table4[[#This Row],[risk_id]], Table3[], 17, )</f>
        <v>0</v>
      </c>
      <c r="AF135" s="191">
        <f>4</f>
        <v>4</v>
      </c>
      <c r="AG135" s="191">
        <f>COUNTIF(Table4[[#This Row],[THEO]:[MOD]], "&gt;=1")</f>
        <v>2</v>
      </c>
      <c r="AH135" s="192">
        <f>Table4[[#This Row],[data_observations]]/Table4[[#This Row],[AllObservations_count]]</f>
        <v>6.3829787234042548E-2</v>
      </c>
      <c r="AI135" s="189">
        <f>Table4[[#This Row],[evidenceamount_pct]]*(Table4[[#This Row],[Indicator_12.5pct]])</f>
        <v>0.7978723404255319</v>
      </c>
      <c r="AJ135" s="198">
        <f>(1-(VLOOKUP(Table4[[#This Row],[risk_id]],Table3[],18, FALSE))/(Table4[[#This Row],[data_observations]]))</f>
        <v>1</v>
      </c>
      <c r="AK135" s="198">
        <f>((VLOOKUP(Table4[[#This Row],[risk_id]],Table3[],19, FALSE))+((VLOOKUP(Table4[[#This Row],[risk_id]],Table3[],36, FALSE))*0.5))/(Table4[[#This Row],[data_observations]])</f>
        <v>0.66666666666666663</v>
      </c>
      <c r="AL135" s="177">
        <f>((Table4[[#This Row],[ev_data_deficient_score]]*0.5)+(Table4[[#This Row],[ev_data_availability_score]]*0.5))*(Table4[[#This Row],[Indicator_12.5pct]])</f>
        <v>10.416666666666666</v>
      </c>
      <c r="AM135" s="199">
        <f>Table4[[#This Row],[RiskScore]]</f>
        <v>15.888888888888888</v>
      </c>
      <c r="AN135" s="200">
        <f>VLOOKUP(Table4[[#This Row],[risk_id]], Table3[], 13, FALSE)</f>
        <v>3.7155828016013257</v>
      </c>
      <c r="AO135" s="185">
        <f>(1-(Table4[[#This Row],[evidence_SD_RR]]/Table4[[#This Row],[evidence_mean_RR]]))*(Table4[[#This Row],[Indicator_12.5pct]])</f>
        <v>9.5769016420968587</v>
      </c>
      <c r="AP135" s="201">
        <f>VLOOKUP(Table4[[#This Row],[risk_id]],Table3[],21, FALSE)</f>
        <v>0</v>
      </c>
      <c r="AQ135" s="201">
        <f>VLOOKUP(Table4[[#This Row],[risk_id]],Table3[],23, FALSE)</f>
        <v>0</v>
      </c>
      <c r="AR135" s="201">
        <f>VLOOKUP(Table4[[#This Row],[risk_id]],Table3[],25, FALSE)</f>
        <v>1</v>
      </c>
      <c r="AS135" s="201">
        <f>VLOOKUP(Table4[[#This Row],[risk_id]],Table3[],27, FALSE)</f>
        <v>0</v>
      </c>
      <c r="AT135" s="183">
        <f>(MAX(Table4[[#This Row],[C]:[U]]))*Table4[[#This Row],[Indicator_20pct]]</f>
        <v>10</v>
      </c>
      <c r="AU135" s="205">
        <f>COUNTIFS(Table4[[#This Row],[C]], "&gt;0", Table4[[#This Row],[U]], "&gt;0") + COUNTIFS(Table4[[#This Row],[H]], "&gt;0", Table4[[#This Row],[U]], "&gt;0") + COUNTIFS(Table4[[#This Row],[C]], "&gt;0", Table4[[#This Row],[M]], "&gt;0")</f>
        <v>0</v>
      </c>
      <c r="AV135" s="219">
        <f>((-(Table4[[#This Row],[different_scores_count]]-3))/3)*Table4[[#This Row],[Indicator_20pct]]</f>
        <v>10</v>
      </c>
      <c r="AW135" s="183">
        <f>IF(Table4[[#This Row],[data_observations]]&gt;=5, 30, IF(Table4[[#This Row],[data_observations]]&gt;=3, 15, 0))</f>
        <v>30</v>
      </c>
      <c r="AX135" s="26" t="s">
        <v>2737</v>
      </c>
    </row>
    <row r="136" spans="1:50" ht="32" customHeight="1" x14ac:dyDescent="0.2">
      <c r="A136" s="16" t="s">
        <v>2676</v>
      </c>
      <c r="B136" s="16" t="str">
        <f>VLOOKUP(Table4[[#This Row],[risk_id]], Table3[], 35, FALSE)</f>
        <v>Hazard</v>
      </c>
      <c r="C136" s="16" t="str">
        <f>VLOOKUP(Table4[[#This Row],[risk_id]], Table3[], 2, FALSE)</f>
        <v>Technological</v>
      </c>
      <c r="D136" s="15" t="str">
        <f>VLOOKUP(Table4[[#This Row],[risk_id]], Table3[], 3, FALSE)</f>
        <v>Engine failure</v>
      </c>
      <c r="E136"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36" s="300">
        <f t="shared" si="8"/>
        <v>15.625</v>
      </c>
      <c r="G136" s="31">
        <f>Table4[[#This Row],[DataQuality_Score]]</f>
        <v>0.52133353560599616</v>
      </c>
      <c r="H136"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36" s="27" t="str">
        <f>Table4[[#This Row],[LoA - Metric]]&amp; ", " &amp;Table4[[#This Row],[ES - Metric]]</f>
        <v>Medium agreement, Medium evidence</v>
      </c>
      <c r="J136" s="222">
        <f>(Table4[[#This Row],[LoA_SCORE]]+Table4[[#This Row],[ES_SCORE]])/100</f>
        <v>0.52133353560599616</v>
      </c>
      <c r="K136"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36"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36" s="179">
        <f>Table4[[#This Row],[probability_average]]</f>
        <v>2.5</v>
      </c>
      <c r="N136" s="181">
        <f>Table4[[#This Row],[consequence_average]]</f>
        <v>6.25</v>
      </c>
      <c r="O136" s="220">
        <f>Table4[[#This Row],[agreementPCT_score]]+Table4[[#This Row],[agreement_dist_score]]+Table4[[#This Row],[LoA_AQ_score]]</f>
        <v>26.666666666666664</v>
      </c>
      <c r="P136" s="203">
        <f>Table4[[#This Row],[evidenceconsistency_score]]+Table4[[#This Row],[EQ_score]]+Table4[[#This Row],[EA_score]]+Table4[[#This Row],[ET_score]]</f>
        <v>25.466686893932952</v>
      </c>
      <c r="Q136" s="181">
        <f>VLOOKUP(Table4[[#This Row],[risk_id]],Table3[],10,FALSE)</f>
        <v>6.25</v>
      </c>
      <c r="R136" s="181">
        <f>VLOOKUP(Table4[[#This Row],[risk_id]],Table3[],9,FALSE)</f>
        <v>25</v>
      </c>
      <c r="S136" s="179">
        <f>VLOOKUP(Table4[[#This Row],[risk_id]],Table3[],7,FALSE)</f>
        <v>2.5</v>
      </c>
      <c r="T136" s="179">
        <f>VLOOKUP(Table4[[#This Row],[risk_id]],Table3[],6,FALSE)</f>
        <v>10</v>
      </c>
      <c r="U136" s="177">
        <f t="shared" si="9"/>
        <v>12.5</v>
      </c>
      <c r="V136" s="187">
        <f>10</f>
        <v>10</v>
      </c>
      <c r="W136" s="187">
        <f>30</f>
        <v>30</v>
      </c>
      <c r="X136" s="17">
        <f>VLOOKUP(Table4[[#This Row],[risk_id]],Table3[],5,FALSE)</f>
        <v>4</v>
      </c>
      <c r="Y136" s="17">
        <f>94</f>
        <v>94</v>
      </c>
      <c r="Z136" s="177">
        <f>Table4[[#This Row],[EStype_summed]]*Table4[[#This Row],[Indicator_12.5pct]]</f>
        <v>9.375</v>
      </c>
      <c r="AA136" s="190">
        <f>(IF(Table4[[#This Row],[all_evtype]]&gt;=4,"4", IF(Table4[[#This Row],[all_evtype]]&gt;=3,"3", IF(Table4[[#This Row],[all_evtype]]&gt;=2,"2", IF(Table4[[#This Row],[all_evtype]]&gt;=1,"1","0")))))/Table4[[#This Row],[HPS_et]]</f>
        <v>0.75</v>
      </c>
      <c r="AB136" s="191">
        <f>VLOOKUP(Table4[[#This Row],[risk_id]],Table3[], 14, FALSE)</f>
        <v>0</v>
      </c>
      <c r="AC136" s="191">
        <f>VLOOKUP(Table4[[#This Row],[risk_id]],Table3[], 15, FALSE)</f>
        <v>2</v>
      </c>
      <c r="AD136" s="191">
        <f>VLOOKUP(Table4[[#This Row],[risk_id]], Table3[], 16, FALSE)</f>
        <v>1</v>
      </c>
      <c r="AE136" s="191">
        <f>VLOOKUP(Table4[[#This Row],[risk_id]], Table3[], 17, )</f>
        <v>1</v>
      </c>
      <c r="AF136" s="191">
        <f>4</f>
        <v>4</v>
      </c>
      <c r="AG136" s="191">
        <f>COUNTIF(Table4[[#This Row],[THEO]:[MOD]], "&gt;=1")</f>
        <v>3</v>
      </c>
      <c r="AH136" s="192">
        <f>Table4[[#This Row],[data_observations]]/Table4[[#This Row],[AllObservations_count]]</f>
        <v>4.2553191489361701E-2</v>
      </c>
      <c r="AI136" s="189">
        <f>Table4[[#This Row],[evidenceamount_pct]]*(Table4[[#This Row],[Indicator_12.5pct]])</f>
        <v>0.53191489361702127</v>
      </c>
      <c r="AJ136" s="198">
        <f>(1-(VLOOKUP(Table4[[#This Row],[risk_id]],Table3[],18, FALSE))/(Table4[[#This Row],[data_observations]]))</f>
        <v>1</v>
      </c>
      <c r="AK136" s="198">
        <f>((VLOOKUP(Table4[[#This Row],[risk_id]],Table3[],19, FALSE))+((VLOOKUP(Table4[[#This Row],[risk_id]],Table3[],36, FALSE))*0.5))/(Table4[[#This Row],[data_observations]])</f>
        <v>0.625</v>
      </c>
      <c r="AL136" s="177">
        <f>((Table4[[#This Row],[ev_data_deficient_score]]*0.5)+(Table4[[#This Row],[ev_data_availability_score]]*0.5))*(Table4[[#This Row],[Indicator_12.5pct]])</f>
        <v>10.15625</v>
      </c>
      <c r="AM136" s="199">
        <f>Table4[[#This Row],[RiskScore]]</f>
        <v>15.625</v>
      </c>
      <c r="AN136" s="200">
        <f>VLOOKUP(Table4[[#This Row],[risk_id]], Table3[], 13, FALSE)</f>
        <v>8.8705974996050863</v>
      </c>
      <c r="AO136" s="185">
        <f>(1-(Table4[[#This Row],[evidence_SD_RR]]/Table4[[#This Row],[evidence_mean_RR]]))*(Table4[[#This Row],[Indicator_12.5pct]])</f>
        <v>5.4035220003159319</v>
      </c>
      <c r="AP136" s="201">
        <f>VLOOKUP(Table4[[#This Row],[risk_id]],Table3[],21, FALSE)</f>
        <v>0</v>
      </c>
      <c r="AQ136" s="201">
        <f>VLOOKUP(Table4[[#This Row],[risk_id]],Table3[],23, FALSE)</f>
        <v>0.25</v>
      </c>
      <c r="AR136" s="201">
        <f>VLOOKUP(Table4[[#This Row],[risk_id]],Table3[],25, FALSE)</f>
        <v>0.5</v>
      </c>
      <c r="AS136" s="201">
        <f>VLOOKUP(Table4[[#This Row],[risk_id]],Table3[],27, FALSE)</f>
        <v>0.25</v>
      </c>
      <c r="AT136" s="183">
        <f>(MAX(Table4[[#This Row],[C]:[U]]))*Table4[[#This Row],[Indicator_20pct]]</f>
        <v>5</v>
      </c>
      <c r="AU136" s="205">
        <f>COUNTIFS(Table4[[#This Row],[C]], "&gt;0", Table4[[#This Row],[U]], "&gt;0") + COUNTIFS(Table4[[#This Row],[H]], "&gt;0", Table4[[#This Row],[U]], "&gt;0") + COUNTIFS(Table4[[#This Row],[C]], "&gt;0", Table4[[#This Row],[M]], "&gt;0")</f>
        <v>1</v>
      </c>
      <c r="AV136" s="219">
        <f>((-(Table4[[#This Row],[different_scores_count]]-3))/3)*Table4[[#This Row],[Indicator_20pct]]</f>
        <v>6.6666666666666661</v>
      </c>
      <c r="AW136" s="183">
        <f>IF(Table4[[#This Row],[data_observations]]&gt;=5, 30, IF(Table4[[#This Row],[data_observations]]&gt;=3, 15, 0))</f>
        <v>15</v>
      </c>
      <c r="AX136" s="26" t="s">
        <v>2737</v>
      </c>
    </row>
    <row r="137" spans="1:50" ht="32" hidden="1" customHeight="1" x14ac:dyDescent="0.2">
      <c r="A137" s="16" t="s">
        <v>650</v>
      </c>
      <c r="B137" s="16" t="str">
        <f>VLOOKUP(Table4[[#This Row],[risk_id]], Table3[], 35, FALSE)</f>
        <v>Risk</v>
      </c>
      <c r="C137" s="16" t="str">
        <f>VLOOKUP(Table4[[#This Row],[risk_id]], Table3[], 2, FALSE)</f>
        <v>Political</v>
      </c>
      <c r="D137" s="15" t="str">
        <f>VLOOKUP(Table4[[#This Row],[risk_id]], Table3[], 3, FALSE)</f>
        <v>Trading implications/competitions</v>
      </c>
      <c r="E137"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37" s="300">
        <f t="shared" si="8"/>
        <v>15</v>
      </c>
      <c r="G137" s="31">
        <f>Table4[[#This Row],[DataQuality_Score]]</f>
        <v>0.65338539220642955</v>
      </c>
      <c r="H137"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HIGH</v>
      </c>
      <c r="I137" s="27" t="str">
        <f>Table4[[#This Row],[LoA - Metric]]&amp; ", " &amp;Table4[[#This Row],[ES - Metric]]</f>
        <v>High agreement, Medium evidence</v>
      </c>
      <c r="J137" s="222">
        <f>(Table4[[#This Row],[LoA_SCORE]]+Table4[[#This Row],[ES_SCORE]])/100</f>
        <v>0.65338539220642955</v>
      </c>
      <c r="K137"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High agreement</v>
      </c>
      <c r="L137"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37" s="179">
        <f>Table4[[#This Row],[probability_average]]</f>
        <v>3.75</v>
      </c>
      <c r="N137" s="181">
        <f>Table4[[#This Row],[consequence_average]]</f>
        <v>4</v>
      </c>
      <c r="O137" s="220">
        <f>Table4[[#This Row],[agreementPCT_score]]+Table4[[#This Row],[agreement_dist_score]]+Table4[[#This Row],[LoA_AQ_score]]</f>
        <v>35</v>
      </c>
      <c r="P137" s="203">
        <f>Table4[[#This Row],[evidenceconsistency_score]]+Table4[[#This Row],[EQ_score]]+Table4[[#This Row],[EA_score]]+Table4[[#This Row],[ET_score]]</f>
        <v>30.338539220642957</v>
      </c>
      <c r="Q137" s="181">
        <f>VLOOKUP(Table4[[#This Row],[risk_id]],Table3[],10,FALSE)</f>
        <v>4</v>
      </c>
      <c r="R137" s="181">
        <f>VLOOKUP(Table4[[#This Row],[risk_id]],Table3[],9,FALSE)</f>
        <v>16</v>
      </c>
      <c r="S137" s="179">
        <f>VLOOKUP(Table4[[#This Row],[risk_id]],Table3[],7,FALSE)</f>
        <v>3.75</v>
      </c>
      <c r="T137" s="179">
        <f>VLOOKUP(Table4[[#This Row],[risk_id]],Table3[],6,FALSE)</f>
        <v>15</v>
      </c>
      <c r="U137" s="177">
        <f t="shared" si="9"/>
        <v>12.5</v>
      </c>
      <c r="V137" s="187">
        <f>10</f>
        <v>10</v>
      </c>
      <c r="W137" s="187">
        <f>30</f>
        <v>30</v>
      </c>
      <c r="X137" s="17">
        <f>VLOOKUP(Table4[[#This Row],[risk_id]],Table3[],5,FALSE)</f>
        <v>4</v>
      </c>
      <c r="Y137" s="17">
        <f>94</f>
        <v>94</v>
      </c>
      <c r="Z137" s="177">
        <f>Table4[[#This Row],[EStype_summed]]*Table4[[#This Row],[Indicator_12.5pct]]</f>
        <v>9.375</v>
      </c>
      <c r="AA137" s="190">
        <f>(IF(Table4[[#This Row],[all_evtype]]&gt;=4,"4", IF(Table4[[#This Row],[all_evtype]]&gt;=3,"3", IF(Table4[[#This Row],[all_evtype]]&gt;=2,"2", IF(Table4[[#This Row],[all_evtype]]&gt;=1,"1","0")))))/Table4[[#This Row],[HPS_et]]</f>
        <v>0.75</v>
      </c>
      <c r="AB137" s="191">
        <f>VLOOKUP(Table4[[#This Row],[risk_id]],Table3[], 14, FALSE)</f>
        <v>1</v>
      </c>
      <c r="AC137" s="191">
        <f>VLOOKUP(Table4[[#This Row],[risk_id]],Table3[], 15, FALSE)</f>
        <v>1</v>
      </c>
      <c r="AD137" s="191">
        <f>VLOOKUP(Table4[[#This Row],[risk_id]], Table3[], 16, FALSE)</f>
        <v>2</v>
      </c>
      <c r="AE137" s="191">
        <f>VLOOKUP(Table4[[#This Row],[risk_id]], Table3[], 17, )</f>
        <v>0</v>
      </c>
      <c r="AF137" s="191">
        <f>4</f>
        <v>4</v>
      </c>
      <c r="AG137" s="191">
        <f>COUNTIF(Table4[[#This Row],[THEO]:[MOD]], "&gt;=1")</f>
        <v>3</v>
      </c>
      <c r="AH137" s="192">
        <f>Table4[[#This Row],[data_observations]]/Table4[[#This Row],[AllObservations_count]]</f>
        <v>4.2553191489361701E-2</v>
      </c>
      <c r="AI137" s="189">
        <f>Table4[[#This Row],[evidenceamount_pct]]*(Table4[[#This Row],[Indicator_12.5pct]])</f>
        <v>0.53191489361702127</v>
      </c>
      <c r="AJ137" s="198">
        <f>(1-(VLOOKUP(Table4[[#This Row],[risk_id]],Table3[],18, FALSE))/(Table4[[#This Row],[data_observations]]))</f>
        <v>1</v>
      </c>
      <c r="AK137" s="198">
        <f>((VLOOKUP(Table4[[#This Row],[risk_id]],Table3[],19, FALSE))+((VLOOKUP(Table4[[#This Row],[risk_id]],Table3[],36, FALSE))*0.5))/(Table4[[#This Row],[data_observations]])</f>
        <v>0.5</v>
      </c>
      <c r="AL137" s="177">
        <f>((Table4[[#This Row],[ev_data_deficient_score]]*0.5)+(Table4[[#This Row],[ev_data_availability_score]]*0.5))*(Table4[[#This Row],[Indicator_12.5pct]])</f>
        <v>9.375</v>
      </c>
      <c r="AM137" s="199">
        <f>Table4[[#This Row],[RiskScore]]</f>
        <v>15</v>
      </c>
      <c r="AN137" s="200">
        <f>VLOOKUP(Table4[[#This Row],[risk_id]], Table3[], 13, FALSE)</f>
        <v>1.7320508075688772</v>
      </c>
      <c r="AO137" s="185">
        <f>(1-(Table4[[#This Row],[evidence_SD_RR]]/Table4[[#This Row],[evidence_mean_RR]]))*(Table4[[#This Row],[Indicator_12.5pct]])</f>
        <v>11.056624327025935</v>
      </c>
      <c r="AP137" s="201">
        <f>VLOOKUP(Table4[[#This Row],[risk_id]],Table3[],21, FALSE)</f>
        <v>0</v>
      </c>
      <c r="AQ137" s="201">
        <f>VLOOKUP(Table4[[#This Row],[risk_id]],Table3[],23, FALSE)</f>
        <v>0</v>
      </c>
      <c r="AR137" s="201">
        <f>VLOOKUP(Table4[[#This Row],[risk_id]],Table3[],25, FALSE)</f>
        <v>1</v>
      </c>
      <c r="AS137" s="201">
        <f>VLOOKUP(Table4[[#This Row],[risk_id]],Table3[],27, FALSE)</f>
        <v>0</v>
      </c>
      <c r="AT137" s="183">
        <f>(MAX(Table4[[#This Row],[C]:[U]]))*Table4[[#This Row],[Indicator_20pct]]</f>
        <v>10</v>
      </c>
      <c r="AU137" s="205">
        <f>COUNTIFS(Table4[[#This Row],[C]], "&gt;0", Table4[[#This Row],[U]], "&gt;0") + COUNTIFS(Table4[[#This Row],[H]], "&gt;0", Table4[[#This Row],[U]], "&gt;0") + COUNTIFS(Table4[[#This Row],[C]], "&gt;0", Table4[[#This Row],[M]], "&gt;0")</f>
        <v>0</v>
      </c>
      <c r="AV137" s="219">
        <f>((-(Table4[[#This Row],[different_scores_count]]-3))/3)*Table4[[#This Row],[Indicator_20pct]]</f>
        <v>10</v>
      </c>
      <c r="AW137" s="183">
        <f>IF(Table4[[#This Row],[data_observations]]&gt;=5, 30, IF(Table4[[#This Row],[data_observations]]&gt;=3, 15, 0))</f>
        <v>15</v>
      </c>
      <c r="AX137" s="26" t="s">
        <v>2736</v>
      </c>
    </row>
    <row r="138" spans="1:50" ht="32" customHeight="1" x14ac:dyDescent="0.2">
      <c r="A138" s="16" t="s">
        <v>2696</v>
      </c>
      <c r="B138" s="16" t="str">
        <f>VLOOKUP(Table4[[#This Row],[risk_id]], Table3[], 35, FALSE)</f>
        <v>Hazard</v>
      </c>
      <c r="C138" s="16" t="str">
        <f>VLOOKUP(Table4[[#This Row],[risk_id]], Table3[], 2, FALSE)</f>
        <v>Environmental</v>
      </c>
      <c r="D138" s="15" t="str">
        <f>VLOOKUP(Table4[[#This Row],[risk_id]], Table3[], 3, FALSE)</f>
        <v>Marine mammal displacement due to noise</v>
      </c>
      <c r="E138"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38" s="300">
        <f t="shared" si="8"/>
        <v>15</v>
      </c>
      <c r="G138" s="31">
        <f>Table4[[#This Row],[DataQuality_Score]]</f>
        <v>0.42007978723404255</v>
      </c>
      <c r="H138"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38" s="27" t="str">
        <f>Table4[[#This Row],[LoA - Metric]]&amp; ", " &amp;Table4[[#This Row],[ES - Metric]]</f>
        <v>Medium agreement, Medium evidence</v>
      </c>
      <c r="J138" s="222">
        <f>(Table4[[#This Row],[LoA_SCORE]]+Table4[[#This Row],[ES_SCORE]])/100</f>
        <v>0.42007978723404255</v>
      </c>
      <c r="K138"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38"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38" s="179">
        <f>Table4[[#This Row],[probability_average]]</f>
        <v>3</v>
      </c>
      <c r="N138" s="181">
        <f>Table4[[#This Row],[consequence_average]]</f>
        <v>5</v>
      </c>
      <c r="O138" s="220">
        <f>Table4[[#This Row],[agreementPCT_score]]+Table4[[#This Row],[agreement_dist_score]]+Table4[[#This Row],[LoA_AQ_score]]</f>
        <v>20</v>
      </c>
      <c r="P138" s="203">
        <f>Table4[[#This Row],[evidenceconsistency_score]]+Table4[[#This Row],[EQ_score]]+Table4[[#This Row],[EA_score]]+Table4[[#This Row],[ET_score]]</f>
        <v>22.007978723404257</v>
      </c>
      <c r="Q138" s="181">
        <f>VLOOKUP(Table4[[#This Row],[risk_id]],Table3[],10,FALSE)</f>
        <v>5</v>
      </c>
      <c r="R138" s="181">
        <f>VLOOKUP(Table4[[#This Row],[risk_id]],Table3[],9,FALSE)</f>
        <v>5</v>
      </c>
      <c r="S138" s="179">
        <f>VLOOKUP(Table4[[#This Row],[risk_id]],Table3[],7,FALSE)</f>
        <v>3</v>
      </c>
      <c r="T138" s="179">
        <f>VLOOKUP(Table4[[#This Row],[risk_id]],Table3[],6,FALSE)</f>
        <v>3</v>
      </c>
      <c r="U138" s="177">
        <f t="shared" si="9"/>
        <v>12.5</v>
      </c>
      <c r="V138" s="187">
        <f>10</f>
        <v>10</v>
      </c>
      <c r="W138" s="187">
        <f>30</f>
        <v>30</v>
      </c>
      <c r="X138" s="17">
        <f>VLOOKUP(Table4[[#This Row],[risk_id]],Table3[],5,FALSE)</f>
        <v>1</v>
      </c>
      <c r="Y138" s="17">
        <f>94</f>
        <v>94</v>
      </c>
      <c r="Z138" s="177">
        <f>Table4[[#This Row],[EStype_summed]]*Table4[[#This Row],[Indicator_12.5pct]]</f>
        <v>3.125</v>
      </c>
      <c r="AA138" s="190">
        <f>(IF(Table4[[#This Row],[all_evtype]]&gt;=4,"4", IF(Table4[[#This Row],[all_evtype]]&gt;=3,"3", IF(Table4[[#This Row],[all_evtype]]&gt;=2,"2", IF(Table4[[#This Row],[all_evtype]]&gt;=1,"1","0")))))/Table4[[#This Row],[HPS_et]]</f>
        <v>0.25</v>
      </c>
      <c r="AB138" s="191">
        <f>VLOOKUP(Table4[[#This Row],[risk_id]],Table3[], 14, FALSE)</f>
        <v>1</v>
      </c>
      <c r="AC138" s="191">
        <f>VLOOKUP(Table4[[#This Row],[risk_id]],Table3[], 15, FALSE)</f>
        <v>0</v>
      </c>
      <c r="AD138" s="191">
        <f>VLOOKUP(Table4[[#This Row],[risk_id]], Table3[], 16, FALSE)</f>
        <v>0</v>
      </c>
      <c r="AE138" s="191">
        <f>VLOOKUP(Table4[[#This Row],[risk_id]], Table3[], 17, )</f>
        <v>0</v>
      </c>
      <c r="AF138" s="191">
        <f>4</f>
        <v>4</v>
      </c>
      <c r="AG138" s="191">
        <f>COUNTIF(Table4[[#This Row],[THEO]:[MOD]], "&gt;=1")</f>
        <v>1</v>
      </c>
      <c r="AH138" s="192">
        <f>Table4[[#This Row],[data_observations]]/Table4[[#This Row],[AllObservations_count]]</f>
        <v>1.0638297872340425E-2</v>
      </c>
      <c r="AI138" s="189">
        <f>Table4[[#This Row],[evidenceamount_pct]]*(Table4[[#This Row],[Indicator_12.5pct]])</f>
        <v>0.13297872340425532</v>
      </c>
      <c r="AJ138" s="198">
        <f>(1-(VLOOKUP(Table4[[#This Row],[risk_id]],Table3[],18, FALSE))/(Table4[[#This Row],[data_observations]]))</f>
        <v>1</v>
      </c>
      <c r="AK138" s="198">
        <f>((VLOOKUP(Table4[[#This Row],[risk_id]],Table3[],19, FALSE))+((VLOOKUP(Table4[[#This Row],[risk_id]],Table3[],36, FALSE))*0.5))/(Table4[[#This Row],[data_observations]])</f>
        <v>0</v>
      </c>
      <c r="AL138" s="177">
        <f>((Table4[[#This Row],[ev_data_deficient_score]]*0.5)+(Table4[[#This Row],[ev_data_availability_score]]*0.5))*(Table4[[#This Row],[Indicator_12.5pct]])</f>
        <v>6.25</v>
      </c>
      <c r="AM138" s="199">
        <f>Table4[[#This Row],[RiskScore]]</f>
        <v>15</v>
      </c>
      <c r="AN138" s="200">
        <f>VLOOKUP(Table4[[#This Row],[risk_id]], Table3[], 13, FALSE)</f>
        <v>0</v>
      </c>
      <c r="AO138" s="185">
        <f>(1-(Table4[[#This Row],[evidence_SD_RR]]/Table4[[#This Row],[evidence_mean_RR]]))*(Table4[[#This Row],[Indicator_12.5pct]])</f>
        <v>12.5</v>
      </c>
      <c r="AP138" s="201">
        <f>VLOOKUP(Table4[[#This Row],[risk_id]],Table3[],21, FALSE)</f>
        <v>0</v>
      </c>
      <c r="AQ138" s="201">
        <f>VLOOKUP(Table4[[#This Row],[risk_id]],Table3[],23, FALSE)</f>
        <v>0</v>
      </c>
      <c r="AR138" s="201">
        <f>VLOOKUP(Table4[[#This Row],[risk_id]],Table3[],25, FALSE)</f>
        <v>1</v>
      </c>
      <c r="AS138" s="201">
        <f>VLOOKUP(Table4[[#This Row],[risk_id]],Table3[],27, FALSE)</f>
        <v>0</v>
      </c>
      <c r="AT138" s="183">
        <f>(MAX(Table4[[#This Row],[C]:[U]]))*Table4[[#This Row],[Indicator_20pct]]</f>
        <v>10</v>
      </c>
      <c r="AU138" s="205">
        <f>COUNTIFS(Table4[[#This Row],[C]], "&gt;0", Table4[[#This Row],[U]], "&gt;0") + COUNTIFS(Table4[[#This Row],[H]], "&gt;0", Table4[[#This Row],[U]], "&gt;0") + COUNTIFS(Table4[[#This Row],[C]], "&gt;0", Table4[[#This Row],[M]], "&gt;0")</f>
        <v>0</v>
      </c>
      <c r="AV138" s="219">
        <f>((-(Table4[[#This Row],[different_scores_count]]-3))/3)*Table4[[#This Row],[Indicator_20pct]]</f>
        <v>10</v>
      </c>
      <c r="AW138" s="183">
        <f>IF(Table4[[#This Row],[data_observations]]&gt;=5, 30, IF(Table4[[#This Row],[data_observations]]&gt;=3, 15, 0))</f>
        <v>0</v>
      </c>
      <c r="AX138" s="26" t="s">
        <v>2737</v>
      </c>
    </row>
    <row r="139" spans="1:50" ht="32" customHeight="1" x14ac:dyDescent="0.2">
      <c r="A139" s="16" t="s">
        <v>2690</v>
      </c>
      <c r="B139" s="16" t="str">
        <f>VLOOKUP(Table4[[#This Row],[risk_id]], Table3[], 35, FALSE)</f>
        <v>Hazard</v>
      </c>
      <c r="C139" s="16" t="str">
        <f>VLOOKUP(Table4[[#This Row],[risk_id]], Table3[], 2, FALSE)</f>
        <v>Navigational</v>
      </c>
      <c r="D139" s="15" t="str">
        <f>VLOOKUP(Table4[[#This Row],[risk_id]], Table3[], 3, FALSE)</f>
        <v>Impact from other vessels</v>
      </c>
      <c r="E139"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39" s="300">
        <f t="shared" si="8"/>
        <v>15</v>
      </c>
      <c r="G139" s="31">
        <f>Table4[[#This Row],[DataQuality_Score]]</f>
        <v>0.34849290780141845</v>
      </c>
      <c r="H139"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LOW</v>
      </c>
      <c r="I139" s="27" t="str">
        <f>Table4[[#This Row],[LoA - Metric]]&amp; ", " &amp;Table4[[#This Row],[ES - Metric]]</f>
        <v>Low agreement, Medium evidence</v>
      </c>
      <c r="J139" s="222">
        <f>(Table4[[#This Row],[LoA_SCORE]]+Table4[[#This Row],[ES_SCORE]])/100</f>
        <v>0.34849290780141845</v>
      </c>
      <c r="K139"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139"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39" s="179">
        <f>Table4[[#This Row],[probability_average]]</f>
        <v>2.5</v>
      </c>
      <c r="N139" s="181">
        <f>Table4[[#This Row],[consequence_average]]</f>
        <v>6</v>
      </c>
      <c r="O139" s="220">
        <f>Table4[[#This Row],[agreementPCT_score]]+Table4[[#This Row],[agreement_dist_score]]+Table4[[#This Row],[LoA_AQ_score]]</f>
        <v>15</v>
      </c>
      <c r="P139" s="203">
        <f>Table4[[#This Row],[evidenceconsistency_score]]+Table4[[#This Row],[EQ_score]]+Table4[[#This Row],[EA_score]]+Table4[[#This Row],[ET_score]]</f>
        <v>19.849290780141843</v>
      </c>
      <c r="Q139" s="181">
        <f>VLOOKUP(Table4[[#This Row],[risk_id]],Table3[],10,FALSE)</f>
        <v>6</v>
      </c>
      <c r="R139" s="181">
        <f>VLOOKUP(Table4[[#This Row],[risk_id]],Table3[],9,FALSE)</f>
        <v>12</v>
      </c>
      <c r="S139" s="179">
        <f>VLOOKUP(Table4[[#This Row],[risk_id]],Table3[],7,FALSE)</f>
        <v>2.5</v>
      </c>
      <c r="T139" s="179">
        <f>VLOOKUP(Table4[[#This Row],[risk_id]],Table3[],6,FALSE)</f>
        <v>5</v>
      </c>
      <c r="U139" s="177">
        <f t="shared" si="9"/>
        <v>12.5</v>
      </c>
      <c r="V139" s="187">
        <f>10</f>
        <v>10</v>
      </c>
      <c r="W139" s="187">
        <f>30</f>
        <v>30</v>
      </c>
      <c r="X139" s="17">
        <f>VLOOKUP(Table4[[#This Row],[risk_id]],Table3[],5,FALSE)</f>
        <v>2</v>
      </c>
      <c r="Y139" s="17">
        <f>94</f>
        <v>94</v>
      </c>
      <c r="Z139" s="177">
        <f>Table4[[#This Row],[EStype_summed]]*Table4[[#This Row],[Indicator_12.5pct]]</f>
        <v>3.125</v>
      </c>
      <c r="AA139" s="190">
        <f>(IF(Table4[[#This Row],[all_evtype]]&gt;=4,"4", IF(Table4[[#This Row],[all_evtype]]&gt;=3,"3", IF(Table4[[#This Row],[all_evtype]]&gt;=2,"2", IF(Table4[[#This Row],[all_evtype]]&gt;=1,"1","0")))))/Table4[[#This Row],[HPS_et]]</f>
        <v>0.25</v>
      </c>
      <c r="AB139" s="191">
        <f>VLOOKUP(Table4[[#This Row],[risk_id]],Table3[], 14, FALSE)</f>
        <v>0</v>
      </c>
      <c r="AC139" s="191">
        <f>VLOOKUP(Table4[[#This Row],[risk_id]],Table3[], 15, FALSE)</f>
        <v>2</v>
      </c>
      <c r="AD139" s="191">
        <f>VLOOKUP(Table4[[#This Row],[risk_id]], Table3[], 16, FALSE)</f>
        <v>0</v>
      </c>
      <c r="AE139" s="191">
        <f>VLOOKUP(Table4[[#This Row],[risk_id]], Table3[], 17, )</f>
        <v>0</v>
      </c>
      <c r="AF139" s="191">
        <f>4</f>
        <v>4</v>
      </c>
      <c r="AG139" s="191">
        <f>COUNTIF(Table4[[#This Row],[THEO]:[MOD]], "&gt;=1")</f>
        <v>1</v>
      </c>
      <c r="AH139" s="192">
        <f>Table4[[#This Row],[data_observations]]/Table4[[#This Row],[AllObservations_count]]</f>
        <v>2.1276595744680851E-2</v>
      </c>
      <c r="AI139" s="189">
        <f>Table4[[#This Row],[evidenceamount_pct]]*(Table4[[#This Row],[Indicator_12.5pct]])</f>
        <v>0.26595744680851063</v>
      </c>
      <c r="AJ139" s="198">
        <f>(1-(VLOOKUP(Table4[[#This Row],[risk_id]],Table3[],18, FALSE))/(Table4[[#This Row],[data_observations]]))</f>
        <v>1</v>
      </c>
      <c r="AK139" s="198">
        <f>((VLOOKUP(Table4[[#This Row],[risk_id]],Table3[],19, FALSE))+((VLOOKUP(Table4[[#This Row],[risk_id]],Table3[],36, FALSE))*0.5))/(Table4[[#This Row],[data_observations]])</f>
        <v>0.5</v>
      </c>
      <c r="AL139" s="177">
        <f>((Table4[[#This Row],[ev_data_deficient_score]]*0.5)+(Table4[[#This Row],[ev_data_availability_score]]*0.5))*(Table4[[#This Row],[Indicator_12.5pct]])</f>
        <v>9.375</v>
      </c>
      <c r="AM139" s="199">
        <f>Table4[[#This Row],[RiskScore]]</f>
        <v>15</v>
      </c>
      <c r="AN139" s="200">
        <f>VLOOKUP(Table4[[#This Row],[risk_id]], Table3[], 13, FALSE)</f>
        <v>6.5</v>
      </c>
      <c r="AO139" s="185">
        <f>(1-(Table4[[#This Row],[evidence_SD_RR]]/Table4[[#This Row],[evidence_mean_RR]]))*(Table4[[#This Row],[Indicator_12.5pct]])</f>
        <v>7.083333333333333</v>
      </c>
      <c r="AP139" s="201">
        <f>VLOOKUP(Table4[[#This Row],[risk_id]],Table3[],21, FALSE)</f>
        <v>0</v>
      </c>
      <c r="AQ139" s="201">
        <f>VLOOKUP(Table4[[#This Row],[risk_id]],Table3[],23, FALSE)</f>
        <v>0</v>
      </c>
      <c r="AR139" s="201">
        <f>VLOOKUP(Table4[[#This Row],[risk_id]],Table3[],25, FALSE)</f>
        <v>0.5</v>
      </c>
      <c r="AS139" s="201">
        <f>VLOOKUP(Table4[[#This Row],[risk_id]],Table3[],27, FALSE)</f>
        <v>0.5</v>
      </c>
      <c r="AT139" s="183">
        <f>(MAX(Table4[[#This Row],[C]:[U]]))*Table4[[#This Row],[Indicator_20pct]]</f>
        <v>5</v>
      </c>
      <c r="AU139" s="205">
        <f>COUNTIFS(Table4[[#This Row],[C]], "&gt;0", Table4[[#This Row],[U]], "&gt;0") + COUNTIFS(Table4[[#This Row],[H]], "&gt;0", Table4[[#This Row],[U]], "&gt;0") + COUNTIFS(Table4[[#This Row],[C]], "&gt;0", Table4[[#This Row],[M]], "&gt;0")</f>
        <v>0</v>
      </c>
      <c r="AV139" s="219">
        <f>((-(Table4[[#This Row],[different_scores_count]]-3))/3)*Table4[[#This Row],[Indicator_20pct]]</f>
        <v>10</v>
      </c>
      <c r="AW139" s="183">
        <f>IF(Table4[[#This Row],[data_observations]]&gt;=5, 30, IF(Table4[[#This Row],[data_observations]]&gt;=3, 15, 0))</f>
        <v>0</v>
      </c>
      <c r="AX139" s="26" t="s">
        <v>2737</v>
      </c>
    </row>
    <row r="140" spans="1:50" ht="32" hidden="1" customHeight="1" x14ac:dyDescent="0.2">
      <c r="A140" s="16" t="s">
        <v>618</v>
      </c>
      <c r="B140" s="16" t="str">
        <f>VLOOKUP(Table4[[#This Row],[risk_id]], Table3[], 35, FALSE)</f>
        <v>Risk</v>
      </c>
      <c r="C140" s="16" t="str">
        <f>VLOOKUP(Table4[[#This Row],[risk_id]], Table3[], 2, FALSE)</f>
        <v>Technological</v>
      </c>
      <c r="D140" s="15" t="str">
        <f>VLOOKUP(Table4[[#This Row],[risk_id]], Table3[], 3, FALSE)</f>
        <v>Technical errors due to Geomagnetic storms</v>
      </c>
      <c r="E140"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40" s="300">
        <f t="shared" si="8"/>
        <v>14</v>
      </c>
      <c r="G140" s="31">
        <f>Table4[[#This Row],[DataQuality_Score]]</f>
        <v>0.48257978723404255</v>
      </c>
      <c r="H140"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40" s="27" t="str">
        <f>Table4[[#This Row],[LoA - Metric]]&amp; ", " &amp;Table4[[#This Row],[ES - Metric]]</f>
        <v>Medium agreement, Medium evidence</v>
      </c>
      <c r="J140" s="222">
        <f>(Table4[[#This Row],[LoA_SCORE]]+Table4[[#This Row],[ES_SCORE]])/100</f>
        <v>0.48257978723404255</v>
      </c>
      <c r="K140"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40"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40" s="179">
        <f>Table4[[#This Row],[probability_average]]</f>
        <v>2</v>
      </c>
      <c r="N140" s="181">
        <f>Table4[[#This Row],[consequence_average]]</f>
        <v>7</v>
      </c>
      <c r="O140" s="220">
        <f>Table4[[#This Row],[agreementPCT_score]]+Table4[[#This Row],[agreement_dist_score]]+Table4[[#This Row],[LoA_AQ_score]]</f>
        <v>20</v>
      </c>
      <c r="P140" s="203">
        <f>Table4[[#This Row],[evidenceconsistency_score]]+Table4[[#This Row],[EQ_score]]+Table4[[#This Row],[EA_score]]+Table4[[#This Row],[ET_score]]</f>
        <v>28.257978723404257</v>
      </c>
      <c r="Q140" s="181">
        <f>VLOOKUP(Table4[[#This Row],[risk_id]],Table3[],10,FALSE)</f>
        <v>7</v>
      </c>
      <c r="R140" s="181">
        <f>VLOOKUP(Table4[[#This Row],[risk_id]],Table3[],9,FALSE)</f>
        <v>7</v>
      </c>
      <c r="S140" s="179">
        <f>VLOOKUP(Table4[[#This Row],[risk_id]],Table3[],7,FALSE)</f>
        <v>2</v>
      </c>
      <c r="T140" s="179">
        <f>VLOOKUP(Table4[[#This Row],[risk_id]],Table3[],6,FALSE)</f>
        <v>2</v>
      </c>
      <c r="U140" s="177">
        <f t="shared" si="9"/>
        <v>12.5</v>
      </c>
      <c r="V140" s="187">
        <f>10</f>
        <v>10</v>
      </c>
      <c r="W140" s="187">
        <f>30</f>
        <v>30</v>
      </c>
      <c r="X140" s="17">
        <f>VLOOKUP(Table4[[#This Row],[risk_id]],Table3[],5,FALSE)</f>
        <v>1</v>
      </c>
      <c r="Y140" s="17">
        <f>94</f>
        <v>94</v>
      </c>
      <c r="Z140" s="177">
        <f>Table4[[#This Row],[EStype_summed]]*Table4[[#This Row],[Indicator_12.5pct]]</f>
        <v>3.125</v>
      </c>
      <c r="AA140" s="190">
        <f>(IF(Table4[[#This Row],[all_evtype]]&gt;=4,"4", IF(Table4[[#This Row],[all_evtype]]&gt;=3,"3", IF(Table4[[#This Row],[all_evtype]]&gt;=2,"2", IF(Table4[[#This Row],[all_evtype]]&gt;=1,"1","0")))))/Table4[[#This Row],[HPS_et]]</f>
        <v>0.25</v>
      </c>
      <c r="AB140" s="191">
        <f>VLOOKUP(Table4[[#This Row],[risk_id]],Table3[], 14, FALSE)</f>
        <v>0</v>
      </c>
      <c r="AC140" s="191">
        <f>VLOOKUP(Table4[[#This Row],[risk_id]],Table3[], 15, FALSE)</f>
        <v>0</v>
      </c>
      <c r="AD140" s="191">
        <f>VLOOKUP(Table4[[#This Row],[risk_id]], Table3[], 16, FALSE)</f>
        <v>0</v>
      </c>
      <c r="AE140" s="191">
        <f>VLOOKUP(Table4[[#This Row],[risk_id]], Table3[], 17, )</f>
        <v>1</v>
      </c>
      <c r="AF140" s="191">
        <f>4</f>
        <v>4</v>
      </c>
      <c r="AG140" s="191">
        <f>COUNTIF(Table4[[#This Row],[THEO]:[MOD]], "&gt;=1")</f>
        <v>1</v>
      </c>
      <c r="AH140" s="192">
        <f>Table4[[#This Row],[data_observations]]/Table4[[#This Row],[AllObservations_count]]</f>
        <v>1.0638297872340425E-2</v>
      </c>
      <c r="AI140" s="189">
        <f>Table4[[#This Row],[evidenceamount_pct]]*(Table4[[#This Row],[Indicator_12.5pct]])</f>
        <v>0.13297872340425532</v>
      </c>
      <c r="AJ140" s="198">
        <f>(1-(VLOOKUP(Table4[[#This Row],[risk_id]],Table3[],18, FALSE))/(Table4[[#This Row],[data_observations]]))</f>
        <v>1</v>
      </c>
      <c r="AK140" s="198">
        <f>((VLOOKUP(Table4[[#This Row],[risk_id]],Table3[],19, FALSE))+((VLOOKUP(Table4[[#This Row],[risk_id]],Table3[],36, FALSE))*0.5))/(Table4[[#This Row],[data_observations]])</f>
        <v>1</v>
      </c>
      <c r="AL140" s="177">
        <f>((Table4[[#This Row],[ev_data_deficient_score]]*0.5)+(Table4[[#This Row],[ev_data_availability_score]]*0.5))*(Table4[[#This Row],[Indicator_12.5pct]])</f>
        <v>12.5</v>
      </c>
      <c r="AM140" s="199">
        <f>Table4[[#This Row],[RiskScore]]</f>
        <v>14</v>
      </c>
      <c r="AN140" s="200">
        <f>VLOOKUP(Table4[[#This Row],[risk_id]], Table3[], 13, FALSE)</f>
        <v>0</v>
      </c>
      <c r="AO140" s="185">
        <f>(1-(Table4[[#This Row],[evidence_SD_RR]]/Table4[[#This Row],[evidence_mean_RR]]))*(Table4[[#This Row],[Indicator_12.5pct]])</f>
        <v>12.5</v>
      </c>
      <c r="AP140" s="201">
        <f>VLOOKUP(Table4[[#This Row],[risk_id]],Table3[],21, FALSE)</f>
        <v>0</v>
      </c>
      <c r="AQ140" s="201">
        <f>VLOOKUP(Table4[[#This Row],[risk_id]],Table3[],23, FALSE)</f>
        <v>0</v>
      </c>
      <c r="AR140" s="201">
        <f>VLOOKUP(Table4[[#This Row],[risk_id]],Table3[],25, FALSE)</f>
        <v>1</v>
      </c>
      <c r="AS140" s="201">
        <f>VLOOKUP(Table4[[#This Row],[risk_id]],Table3[],27, FALSE)</f>
        <v>0</v>
      </c>
      <c r="AT140" s="183">
        <f>(MAX(Table4[[#This Row],[C]:[U]]))*Table4[[#This Row],[Indicator_20pct]]</f>
        <v>10</v>
      </c>
      <c r="AU140" s="205">
        <f>COUNTIFS(Table4[[#This Row],[C]], "&gt;0", Table4[[#This Row],[U]], "&gt;0") + COUNTIFS(Table4[[#This Row],[H]], "&gt;0", Table4[[#This Row],[U]], "&gt;0") + COUNTIFS(Table4[[#This Row],[C]], "&gt;0", Table4[[#This Row],[M]], "&gt;0")</f>
        <v>0</v>
      </c>
      <c r="AV140" s="219">
        <f>((-(Table4[[#This Row],[different_scores_count]]-3))/3)*Table4[[#This Row],[Indicator_20pct]]</f>
        <v>10</v>
      </c>
      <c r="AW140" s="183">
        <f>IF(Table4[[#This Row],[data_observations]]&gt;=5, 30, IF(Table4[[#This Row],[data_observations]]&gt;=3, 15, 0))</f>
        <v>0</v>
      </c>
      <c r="AX140" s="26" t="s">
        <v>2737</v>
      </c>
    </row>
    <row r="141" spans="1:50" ht="32" customHeight="1" x14ac:dyDescent="0.2">
      <c r="A141" s="16" t="s">
        <v>2709</v>
      </c>
      <c r="B141" s="16" t="str">
        <f>VLOOKUP(Table4[[#This Row],[risk_id]], Table3[], 35, FALSE)</f>
        <v>Hazard</v>
      </c>
      <c r="C141" s="16" t="str">
        <f>VLOOKUP(Table4[[#This Row],[risk_id]], Table3[], 2, FALSE)</f>
        <v>Navigational</v>
      </c>
      <c r="D141" s="15" t="str">
        <f>VLOOKUP(Table4[[#This Row],[risk_id]], Table3[], 3, FALSE)</f>
        <v>Reduced vessel ice strengthening</v>
      </c>
      <c r="E141"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41" s="300">
        <f t="shared" si="8"/>
        <v>14</v>
      </c>
      <c r="G141" s="31">
        <f>Table4[[#This Row],[DataQuality_Score]]</f>
        <v>0.48257978723404255</v>
      </c>
      <c r="H141"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41" s="27" t="str">
        <f>Table4[[#This Row],[LoA - Metric]]&amp; ", " &amp;Table4[[#This Row],[ES - Metric]]</f>
        <v>Medium agreement, Medium evidence</v>
      </c>
      <c r="J141" s="222">
        <f>(Table4[[#This Row],[LoA_SCORE]]+Table4[[#This Row],[ES_SCORE]])/100</f>
        <v>0.48257978723404255</v>
      </c>
      <c r="K141"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41"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41" s="179">
        <f>Table4[[#This Row],[probability_average]]</f>
        <v>2</v>
      </c>
      <c r="N141" s="181">
        <f>Table4[[#This Row],[consequence_average]]</f>
        <v>7</v>
      </c>
      <c r="O141" s="220">
        <f>Table4[[#This Row],[agreementPCT_score]]+Table4[[#This Row],[agreement_dist_score]]+Table4[[#This Row],[LoA_AQ_score]]</f>
        <v>20</v>
      </c>
      <c r="P141" s="203">
        <f>Table4[[#This Row],[evidenceconsistency_score]]+Table4[[#This Row],[EQ_score]]+Table4[[#This Row],[EA_score]]+Table4[[#This Row],[ET_score]]</f>
        <v>28.257978723404257</v>
      </c>
      <c r="Q141" s="181">
        <f>VLOOKUP(Table4[[#This Row],[risk_id]],Table3[],10,FALSE)</f>
        <v>7</v>
      </c>
      <c r="R141" s="181">
        <f>VLOOKUP(Table4[[#This Row],[risk_id]],Table3[],9,FALSE)</f>
        <v>7</v>
      </c>
      <c r="S141" s="179">
        <f>VLOOKUP(Table4[[#This Row],[risk_id]],Table3[],7,FALSE)</f>
        <v>2</v>
      </c>
      <c r="T141" s="179">
        <f>VLOOKUP(Table4[[#This Row],[risk_id]],Table3[],6,FALSE)</f>
        <v>2</v>
      </c>
      <c r="U141" s="177">
        <f t="shared" si="9"/>
        <v>12.5</v>
      </c>
      <c r="V141" s="187">
        <f>10</f>
        <v>10</v>
      </c>
      <c r="W141" s="187">
        <f>30</f>
        <v>30</v>
      </c>
      <c r="X141" s="17">
        <f>VLOOKUP(Table4[[#This Row],[risk_id]],Table3[],5,FALSE)</f>
        <v>1</v>
      </c>
      <c r="Y141" s="17">
        <f>94</f>
        <v>94</v>
      </c>
      <c r="Z141" s="177">
        <f>Table4[[#This Row],[EStype_summed]]*Table4[[#This Row],[Indicator_12.5pct]]</f>
        <v>3.125</v>
      </c>
      <c r="AA141" s="190">
        <f>(IF(Table4[[#This Row],[all_evtype]]&gt;=4,"4", IF(Table4[[#This Row],[all_evtype]]&gt;=3,"3", IF(Table4[[#This Row],[all_evtype]]&gt;=2,"2", IF(Table4[[#This Row],[all_evtype]]&gt;=1,"1","0")))))/Table4[[#This Row],[HPS_et]]</f>
        <v>0.25</v>
      </c>
      <c r="AB141" s="191">
        <f>VLOOKUP(Table4[[#This Row],[risk_id]],Table3[], 14, FALSE)</f>
        <v>0</v>
      </c>
      <c r="AC141" s="191">
        <f>VLOOKUP(Table4[[#This Row],[risk_id]],Table3[], 15, FALSE)</f>
        <v>1</v>
      </c>
      <c r="AD141" s="191">
        <f>VLOOKUP(Table4[[#This Row],[risk_id]], Table3[], 16, FALSE)</f>
        <v>0</v>
      </c>
      <c r="AE141" s="191">
        <f>VLOOKUP(Table4[[#This Row],[risk_id]], Table3[], 17, )</f>
        <v>0</v>
      </c>
      <c r="AF141" s="191">
        <f>4</f>
        <v>4</v>
      </c>
      <c r="AG141" s="191">
        <f>COUNTIF(Table4[[#This Row],[THEO]:[MOD]], "&gt;=1")</f>
        <v>1</v>
      </c>
      <c r="AH141" s="192">
        <f>Table4[[#This Row],[data_observations]]/Table4[[#This Row],[AllObservations_count]]</f>
        <v>1.0638297872340425E-2</v>
      </c>
      <c r="AI141" s="189">
        <f>Table4[[#This Row],[evidenceamount_pct]]*(Table4[[#This Row],[Indicator_12.5pct]])</f>
        <v>0.13297872340425532</v>
      </c>
      <c r="AJ141" s="198">
        <f>(1-(VLOOKUP(Table4[[#This Row],[risk_id]],Table3[],18, FALSE))/(Table4[[#This Row],[data_observations]]))</f>
        <v>1</v>
      </c>
      <c r="AK141" s="198">
        <f>((VLOOKUP(Table4[[#This Row],[risk_id]],Table3[],19, FALSE))+((VLOOKUP(Table4[[#This Row],[risk_id]],Table3[],36, FALSE))*0.5))/(Table4[[#This Row],[data_observations]])</f>
        <v>1</v>
      </c>
      <c r="AL141" s="177">
        <f>((Table4[[#This Row],[ev_data_deficient_score]]*0.5)+(Table4[[#This Row],[ev_data_availability_score]]*0.5))*(Table4[[#This Row],[Indicator_12.5pct]])</f>
        <v>12.5</v>
      </c>
      <c r="AM141" s="199">
        <f>Table4[[#This Row],[RiskScore]]</f>
        <v>14</v>
      </c>
      <c r="AN141" s="200">
        <f>VLOOKUP(Table4[[#This Row],[risk_id]], Table3[], 13, FALSE)</f>
        <v>0</v>
      </c>
      <c r="AO141" s="185">
        <f>(1-(Table4[[#This Row],[evidence_SD_RR]]/Table4[[#This Row],[evidence_mean_RR]]))*(Table4[[#This Row],[Indicator_12.5pct]])</f>
        <v>12.5</v>
      </c>
      <c r="AP141" s="201">
        <f>VLOOKUP(Table4[[#This Row],[risk_id]],Table3[],21, FALSE)</f>
        <v>0</v>
      </c>
      <c r="AQ141" s="201">
        <f>VLOOKUP(Table4[[#This Row],[risk_id]],Table3[],23, FALSE)</f>
        <v>0</v>
      </c>
      <c r="AR141" s="201">
        <f>VLOOKUP(Table4[[#This Row],[risk_id]],Table3[],25, FALSE)</f>
        <v>1</v>
      </c>
      <c r="AS141" s="201">
        <f>VLOOKUP(Table4[[#This Row],[risk_id]],Table3[],27, FALSE)</f>
        <v>0</v>
      </c>
      <c r="AT141" s="183">
        <f>(MAX(Table4[[#This Row],[C]:[U]]))*Table4[[#This Row],[Indicator_20pct]]</f>
        <v>10</v>
      </c>
      <c r="AU141" s="205">
        <f>COUNTIFS(Table4[[#This Row],[C]], "&gt;0", Table4[[#This Row],[U]], "&gt;0") + COUNTIFS(Table4[[#This Row],[H]], "&gt;0", Table4[[#This Row],[U]], "&gt;0") + COUNTIFS(Table4[[#This Row],[C]], "&gt;0", Table4[[#This Row],[M]], "&gt;0")</f>
        <v>0</v>
      </c>
      <c r="AV141" s="219">
        <f>((-(Table4[[#This Row],[different_scores_count]]-3))/3)*Table4[[#This Row],[Indicator_20pct]]</f>
        <v>10</v>
      </c>
      <c r="AW141" s="183">
        <f>IF(Table4[[#This Row],[data_observations]]&gt;=5, 30, IF(Table4[[#This Row],[data_observations]]&gt;=3, 15, 0))</f>
        <v>0</v>
      </c>
      <c r="AX141" s="26" t="s">
        <v>2737</v>
      </c>
    </row>
    <row r="142" spans="1:50" ht="32" customHeight="1" x14ac:dyDescent="0.2">
      <c r="A142" s="16" t="s">
        <v>2674</v>
      </c>
      <c r="B142" s="16" t="str">
        <f>VLOOKUP(Table4[[#This Row],[risk_id]], Table3[], 35, FALSE)</f>
        <v>Hazard</v>
      </c>
      <c r="C142" s="16" t="str">
        <f>VLOOKUP(Table4[[#This Row],[risk_id]], Table3[], 2, FALSE)</f>
        <v>Human</v>
      </c>
      <c r="D142" s="15" t="str">
        <f>VLOOKUP(Table4[[#This Row],[risk_id]], Table3[], 3, FALSE)</f>
        <v>Crew fatigue</v>
      </c>
      <c r="E142"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42" s="300">
        <f t="shared" si="8"/>
        <v>14</v>
      </c>
      <c r="G142" s="31">
        <f>Table4[[#This Row],[DataQuality_Score]]</f>
        <v>0.45132978723404255</v>
      </c>
      <c r="H142"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42" s="27" t="str">
        <f>Table4[[#This Row],[LoA - Metric]]&amp; ", " &amp;Table4[[#This Row],[ES - Metric]]</f>
        <v>Medium agreement, Medium evidence</v>
      </c>
      <c r="J142" s="222">
        <f>(Table4[[#This Row],[LoA_SCORE]]+Table4[[#This Row],[ES_SCORE]])/100</f>
        <v>0.45132978723404255</v>
      </c>
      <c r="K142"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42"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42" s="179">
        <f>Table4[[#This Row],[probability_average]]</f>
        <v>2</v>
      </c>
      <c r="N142" s="181">
        <f>Table4[[#This Row],[consequence_average]]</f>
        <v>7</v>
      </c>
      <c r="O142" s="220">
        <f>Table4[[#This Row],[agreementPCT_score]]+Table4[[#This Row],[agreement_dist_score]]+Table4[[#This Row],[LoA_AQ_score]]</f>
        <v>20</v>
      </c>
      <c r="P142" s="203">
        <f>Table4[[#This Row],[evidenceconsistency_score]]+Table4[[#This Row],[EQ_score]]+Table4[[#This Row],[EA_score]]+Table4[[#This Row],[ET_score]]</f>
        <v>25.132978723404257</v>
      </c>
      <c r="Q142" s="181">
        <f>VLOOKUP(Table4[[#This Row],[risk_id]],Table3[],10,FALSE)</f>
        <v>7</v>
      </c>
      <c r="R142" s="181">
        <f>VLOOKUP(Table4[[#This Row],[risk_id]],Table3[],9,FALSE)</f>
        <v>7</v>
      </c>
      <c r="S142" s="179">
        <f>VLOOKUP(Table4[[#This Row],[risk_id]],Table3[],7,FALSE)</f>
        <v>2</v>
      </c>
      <c r="T142" s="179">
        <f>VLOOKUP(Table4[[#This Row],[risk_id]],Table3[],6,FALSE)</f>
        <v>2</v>
      </c>
      <c r="U142" s="177">
        <f t="shared" si="9"/>
        <v>12.5</v>
      </c>
      <c r="V142" s="187">
        <f>10</f>
        <v>10</v>
      </c>
      <c r="W142" s="187">
        <f>30</f>
        <v>30</v>
      </c>
      <c r="X142" s="17">
        <f>VLOOKUP(Table4[[#This Row],[risk_id]],Table3[],5,FALSE)</f>
        <v>1</v>
      </c>
      <c r="Y142" s="17">
        <f>94</f>
        <v>94</v>
      </c>
      <c r="Z142" s="177">
        <f>Table4[[#This Row],[EStype_summed]]*Table4[[#This Row],[Indicator_12.5pct]]</f>
        <v>3.125</v>
      </c>
      <c r="AA142" s="190">
        <f>(IF(Table4[[#This Row],[all_evtype]]&gt;=4,"4", IF(Table4[[#This Row],[all_evtype]]&gt;=3,"3", IF(Table4[[#This Row],[all_evtype]]&gt;=2,"2", IF(Table4[[#This Row],[all_evtype]]&gt;=1,"1","0")))))/Table4[[#This Row],[HPS_et]]</f>
        <v>0.25</v>
      </c>
      <c r="AB142" s="191">
        <f>VLOOKUP(Table4[[#This Row],[risk_id]],Table3[], 14, FALSE)</f>
        <v>0</v>
      </c>
      <c r="AC142" s="191">
        <f>VLOOKUP(Table4[[#This Row],[risk_id]],Table3[], 15, FALSE)</f>
        <v>0</v>
      </c>
      <c r="AD142" s="191">
        <f>VLOOKUP(Table4[[#This Row],[risk_id]], Table3[], 16, FALSE)</f>
        <v>1</v>
      </c>
      <c r="AE142" s="191">
        <f>VLOOKUP(Table4[[#This Row],[risk_id]], Table3[], 17, )</f>
        <v>0</v>
      </c>
      <c r="AF142" s="191">
        <f>4</f>
        <v>4</v>
      </c>
      <c r="AG142" s="191">
        <f>COUNTIF(Table4[[#This Row],[THEO]:[MOD]], "&gt;=1")</f>
        <v>1</v>
      </c>
      <c r="AH142" s="192">
        <f>Table4[[#This Row],[data_observations]]/Table4[[#This Row],[AllObservations_count]]</f>
        <v>1.0638297872340425E-2</v>
      </c>
      <c r="AI142" s="189">
        <f>Table4[[#This Row],[evidenceamount_pct]]*(Table4[[#This Row],[Indicator_12.5pct]])</f>
        <v>0.13297872340425532</v>
      </c>
      <c r="AJ142" s="198">
        <f>(1-(VLOOKUP(Table4[[#This Row],[risk_id]],Table3[],18, FALSE))/(Table4[[#This Row],[data_observations]]))</f>
        <v>1</v>
      </c>
      <c r="AK142" s="198">
        <f>((VLOOKUP(Table4[[#This Row],[risk_id]],Table3[],19, FALSE))+((VLOOKUP(Table4[[#This Row],[risk_id]],Table3[],36, FALSE))*0.5))/(Table4[[#This Row],[data_observations]])</f>
        <v>0.5</v>
      </c>
      <c r="AL142" s="177">
        <f>((Table4[[#This Row],[ev_data_deficient_score]]*0.5)+(Table4[[#This Row],[ev_data_availability_score]]*0.5))*(Table4[[#This Row],[Indicator_12.5pct]])</f>
        <v>9.375</v>
      </c>
      <c r="AM142" s="199">
        <f>Table4[[#This Row],[RiskScore]]</f>
        <v>14</v>
      </c>
      <c r="AN142" s="200">
        <f>VLOOKUP(Table4[[#This Row],[risk_id]], Table3[], 13, FALSE)</f>
        <v>0</v>
      </c>
      <c r="AO142" s="185">
        <f>(1-(Table4[[#This Row],[evidence_SD_RR]]/Table4[[#This Row],[evidence_mean_RR]]))*(Table4[[#This Row],[Indicator_12.5pct]])</f>
        <v>12.5</v>
      </c>
      <c r="AP142" s="201">
        <f>VLOOKUP(Table4[[#This Row],[risk_id]],Table3[],21, FALSE)</f>
        <v>0</v>
      </c>
      <c r="AQ142" s="201">
        <f>VLOOKUP(Table4[[#This Row],[risk_id]],Table3[],23, FALSE)</f>
        <v>0</v>
      </c>
      <c r="AR142" s="201">
        <f>VLOOKUP(Table4[[#This Row],[risk_id]],Table3[],25, FALSE)</f>
        <v>1</v>
      </c>
      <c r="AS142" s="201">
        <f>VLOOKUP(Table4[[#This Row],[risk_id]],Table3[],27, FALSE)</f>
        <v>0</v>
      </c>
      <c r="AT142" s="183">
        <f>(MAX(Table4[[#This Row],[C]:[U]]))*Table4[[#This Row],[Indicator_20pct]]</f>
        <v>10</v>
      </c>
      <c r="AU142" s="205">
        <f>COUNTIFS(Table4[[#This Row],[C]], "&gt;0", Table4[[#This Row],[U]], "&gt;0") + COUNTIFS(Table4[[#This Row],[H]], "&gt;0", Table4[[#This Row],[U]], "&gt;0") + COUNTIFS(Table4[[#This Row],[C]], "&gt;0", Table4[[#This Row],[M]], "&gt;0")</f>
        <v>0</v>
      </c>
      <c r="AV142" s="219">
        <f>((-(Table4[[#This Row],[different_scores_count]]-3))/3)*Table4[[#This Row],[Indicator_20pct]]</f>
        <v>10</v>
      </c>
      <c r="AW142" s="183">
        <f>IF(Table4[[#This Row],[data_observations]]&gt;=5, 30, IF(Table4[[#This Row],[data_observations]]&gt;=3, 15, 0))</f>
        <v>0</v>
      </c>
      <c r="AX142" s="26" t="s">
        <v>2737</v>
      </c>
    </row>
    <row r="143" spans="1:50" ht="32" hidden="1" customHeight="1" x14ac:dyDescent="0.2">
      <c r="A143" s="16" t="s">
        <v>658</v>
      </c>
      <c r="B143" s="16" t="str">
        <f>VLOOKUP(Table4[[#This Row],[risk_id]], Table3[], 35, FALSE)</f>
        <v>Risk</v>
      </c>
      <c r="C143" s="16" t="str">
        <f>VLOOKUP(Table4[[#This Row],[risk_id]], Table3[], 2, FALSE)</f>
        <v>Operational</v>
      </c>
      <c r="D143" s="15" t="str">
        <f>VLOOKUP(Table4[[#This Row],[risk_id]], Table3[], 3, FALSE)</f>
        <v>Vessel alarm and sensor malfunction</v>
      </c>
      <c r="E143"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43" s="300">
        <f t="shared" si="8"/>
        <v>13.333333333333334</v>
      </c>
      <c r="G143" s="31">
        <f>Table4[[#This Row],[DataQuality_Score]]</f>
        <v>0.462281036698796</v>
      </c>
      <c r="H143"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43" s="27" t="str">
        <f>Table4[[#This Row],[LoA - Metric]]&amp; ", " &amp;Table4[[#This Row],[ES - Metric]]</f>
        <v>Medium agreement, Medium evidence</v>
      </c>
      <c r="J143" s="222">
        <f>(Table4[[#This Row],[LoA_SCORE]]+Table4[[#This Row],[ES_SCORE]])/100</f>
        <v>0.462281036698796</v>
      </c>
      <c r="K143"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43"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43" s="179">
        <f>Table4[[#This Row],[probability_average]]</f>
        <v>1.6666666666666667</v>
      </c>
      <c r="N143" s="181">
        <f>Table4[[#This Row],[consequence_average]]</f>
        <v>8</v>
      </c>
      <c r="O143" s="220">
        <f>Table4[[#This Row],[agreementPCT_score]]+Table4[[#This Row],[agreement_dist_score]]+Table4[[#This Row],[LoA_AQ_score]]</f>
        <v>25</v>
      </c>
      <c r="P143" s="203">
        <f>Table4[[#This Row],[evidenceconsistency_score]]+Table4[[#This Row],[EQ_score]]+Table4[[#This Row],[EA_score]]+Table4[[#This Row],[ET_score]]</f>
        <v>21.228103669879602</v>
      </c>
      <c r="Q143" s="181">
        <f>VLOOKUP(Table4[[#This Row],[risk_id]],Table3[],10,FALSE)</f>
        <v>8</v>
      </c>
      <c r="R143" s="181">
        <f>VLOOKUP(Table4[[#This Row],[risk_id]],Table3[],9,FALSE)</f>
        <v>24</v>
      </c>
      <c r="S143" s="179">
        <f>VLOOKUP(Table4[[#This Row],[risk_id]],Table3[],7,FALSE)</f>
        <v>1.6666666666666667</v>
      </c>
      <c r="T143" s="179">
        <f>VLOOKUP(Table4[[#This Row],[risk_id]],Table3[],6,FALSE)</f>
        <v>5</v>
      </c>
      <c r="U143" s="177">
        <f t="shared" si="9"/>
        <v>12.5</v>
      </c>
      <c r="V143" s="187">
        <f>10</f>
        <v>10</v>
      </c>
      <c r="W143" s="187">
        <f>30</f>
        <v>30</v>
      </c>
      <c r="X143" s="17">
        <f>VLOOKUP(Table4[[#This Row],[risk_id]],Table3[],5,FALSE)</f>
        <v>3</v>
      </c>
      <c r="Y143" s="17">
        <f>94</f>
        <v>94</v>
      </c>
      <c r="Z143" s="177">
        <f>Table4[[#This Row],[EStype_summed]]*Table4[[#This Row],[Indicator_12.5pct]]</f>
        <v>9.375</v>
      </c>
      <c r="AA143" s="190">
        <f>(IF(Table4[[#This Row],[all_evtype]]&gt;=4,"4", IF(Table4[[#This Row],[all_evtype]]&gt;=3,"3", IF(Table4[[#This Row],[all_evtype]]&gt;=2,"2", IF(Table4[[#This Row],[all_evtype]]&gt;=1,"1","0")))))/Table4[[#This Row],[HPS_et]]</f>
        <v>0.75</v>
      </c>
      <c r="AB143" s="191">
        <f>VLOOKUP(Table4[[#This Row],[risk_id]],Table3[], 14, FALSE)</f>
        <v>0</v>
      </c>
      <c r="AC143" s="191">
        <f>VLOOKUP(Table4[[#This Row],[risk_id]],Table3[], 15, FALSE)</f>
        <v>1</v>
      </c>
      <c r="AD143" s="191">
        <f>VLOOKUP(Table4[[#This Row],[risk_id]], Table3[], 16, FALSE)</f>
        <v>1</v>
      </c>
      <c r="AE143" s="191">
        <f>VLOOKUP(Table4[[#This Row],[risk_id]], Table3[], 17, )</f>
        <v>1</v>
      </c>
      <c r="AF143" s="191">
        <f>4</f>
        <v>4</v>
      </c>
      <c r="AG143" s="191">
        <f>COUNTIF(Table4[[#This Row],[THEO]:[MOD]], "&gt;=1")</f>
        <v>3</v>
      </c>
      <c r="AH143" s="192">
        <f>Table4[[#This Row],[data_observations]]/Table4[[#This Row],[AllObservations_count]]</f>
        <v>3.1914893617021274E-2</v>
      </c>
      <c r="AI143" s="189">
        <f>Table4[[#This Row],[evidenceamount_pct]]*(Table4[[#This Row],[Indicator_12.5pct]])</f>
        <v>0.39893617021276595</v>
      </c>
      <c r="AJ143" s="198">
        <f>(1-(VLOOKUP(Table4[[#This Row],[risk_id]],Table3[],18, FALSE))/(Table4[[#This Row],[data_observations]]))</f>
        <v>1</v>
      </c>
      <c r="AK143" s="198">
        <f>((VLOOKUP(Table4[[#This Row],[risk_id]],Table3[],19, FALSE))+((VLOOKUP(Table4[[#This Row],[risk_id]],Table3[],36, FALSE))*0.5))/(Table4[[#This Row],[data_observations]])</f>
        <v>0.5</v>
      </c>
      <c r="AL143" s="177">
        <f>((Table4[[#This Row],[ev_data_deficient_score]]*0.5)+(Table4[[#This Row],[ev_data_availability_score]]*0.5))*(Table4[[#This Row],[Indicator_12.5pct]])</f>
        <v>9.375</v>
      </c>
      <c r="AM143" s="199">
        <f>Table4[[#This Row],[RiskScore]]</f>
        <v>13.333333333333334</v>
      </c>
      <c r="AN143" s="200">
        <f>VLOOKUP(Table4[[#This Row],[risk_id]], Table3[], 13, FALSE)</f>
        <v>11.115554667022044</v>
      </c>
      <c r="AO143" s="185">
        <f>(1-(Table4[[#This Row],[evidence_SD_RR]]/Table4[[#This Row],[evidence_mean_RR]]))*(Table4[[#This Row],[Indicator_12.5pct]])</f>
        <v>2.0791674996668341</v>
      </c>
      <c r="AP143" s="201">
        <f>VLOOKUP(Table4[[#This Row],[risk_id]],Table3[],21, FALSE)</f>
        <v>0</v>
      </c>
      <c r="AQ143" s="201">
        <f>VLOOKUP(Table4[[#This Row],[risk_id]],Table3[],23, FALSE)</f>
        <v>0.33333333333333331</v>
      </c>
      <c r="AR143" s="201">
        <f>VLOOKUP(Table4[[#This Row],[risk_id]],Table3[],25, FALSE)</f>
        <v>0.33333333333333331</v>
      </c>
      <c r="AS143" s="201">
        <f>VLOOKUP(Table4[[#This Row],[risk_id]],Table3[],27, FALSE)</f>
        <v>0.33333333333333331</v>
      </c>
      <c r="AT143" s="183">
        <f>(MAX(Table4[[#This Row],[C]:[U]]))*Table4[[#This Row],[Indicator_20pct]]</f>
        <v>3.333333333333333</v>
      </c>
      <c r="AU143" s="205">
        <f>COUNTIFS(Table4[[#This Row],[C]], "&gt;0", Table4[[#This Row],[U]], "&gt;0") + COUNTIFS(Table4[[#This Row],[H]], "&gt;0", Table4[[#This Row],[U]], "&gt;0") + COUNTIFS(Table4[[#This Row],[C]], "&gt;0", Table4[[#This Row],[M]], "&gt;0")</f>
        <v>1</v>
      </c>
      <c r="AV143" s="219">
        <f>((-(Table4[[#This Row],[different_scores_count]]-3))/3)*Table4[[#This Row],[Indicator_20pct]]</f>
        <v>6.6666666666666661</v>
      </c>
      <c r="AW143" s="183">
        <f>IF(Table4[[#This Row],[data_observations]]&gt;=5, 30, IF(Table4[[#This Row],[data_observations]]&gt;=3, 15, 0))</f>
        <v>15</v>
      </c>
      <c r="AX143" s="26" t="s">
        <v>2737</v>
      </c>
    </row>
    <row r="144" spans="1:50" ht="32" hidden="1" customHeight="1" x14ac:dyDescent="0.2">
      <c r="A144" s="16" t="s">
        <v>653</v>
      </c>
      <c r="B144" s="16" t="str">
        <f>VLOOKUP(Table4[[#This Row],[risk_id]], Table3[], 35, FALSE)</f>
        <v>Risk</v>
      </c>
      <c r="C144" s="16" t="str">
        <f>VLOOKUP(Table4[[#This Row],[risk_id]], Table3[], 2, FALSE)</f>
        <v>Navigational</v>
      </c>
      <c r="D144" s="15" t="str">
        <f>VLOOKUP(Table4[[#This Row],[risk_id]], Table3[], 3, FALSE)</f>
        <v>Unfamilliar route planning</v>
      </c>
      <c r="E144"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44" s="300">
        <f t="shared" si="8"/>
        <v>12</v>
      </c>
      <c r="G144" s="31">
        <f>Table4[[#This Row],[DataQuality_Score]]</f>
        <v>0.57830200416347244</v>
      </c>
      <c r="H144"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44" s="27" t="str">
        <f>Table4[[#This Row],[LoA - Metric]]&amp; ", " &amp;Table4[[#This Row],[ES - Metric]]</f>
        <v>Medium agreement, Medium evidence</v>
      </c>
      <c r="J144" s="222">
        <f>(Table4[[#This Row],[LoA_SCORE]]+Table4[[#This Row],[ES_SCORE]])/100</f>
        <v>0.57830200416347244</v>
      </c>
      <c r="K144"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44"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44" s="179">
        <f>Table4[[#This Row],[probability_average]]</f>
        <v>3</v>
      </c>
      <c r="N144" s="181">
        <f>Table4[[#This Row],[consequence_average]]</f>
        <v>4</v>
      </c>
      <c r="O144" s="220">
        <f>Table4[[#This Row],[agreementPCT_score]]+Table4[[#This Row],[agreement_dist_score]]+Table4[[#This Row],[LoA_AQ_score]]</f>
        <v>31.666666666666664</v>
      </c>
      <c r="P144" s="203">
        <f>Table4[[#This Row],[evidenceconsistency_score]]+Table4[[#This Row],[EQ_score]]+Table4[[#This Row],[EA_score]]+Table4[[#This Row],[ET_score]]</f>
        <v>26.163533749680575</v>
      </c>
      <c r="Q144" s="181">
        <f>VLOOKUP(Table4[[#This Row],[risk_id]],Table3[],10,FALSE)</f>
        <v>4</v>
      </c>
      <c r="R144" s="181">
        <f>VLOOKUP(Table4[[#This Row],[risk_id]],Table3[],9,FALSE)</f>
        <v>12</v>
      </c>
      <c r="S144" s="179">
        <f>VLOOKUP(Table4[[#This Row],[risk_id]],Table3[],7,FALSE)</f>
        <v>3</v>
      </c>
      <c r="T144" s="179">
        <f>VLOOKUP(Table4[[#This Row],[risk_id]],Table3[],6,FALSE)</f>
        <v>9</v>
      </c>
      <c r="U144" s="177">
        <f t="shared" si="9"/>
        <v>12.5</v>
      </c>
      <c r="V144" s="187">
        <f>10</f>
        <v>10</v>
      </c>
      <c r="W144" s="187">
        <f>30</f>
        <v>30</v>
      </c>
      <c r="X144" s="17">
        <f>VLOOKUP(Table4[[#This Row],[risk_id]],Table3[],5,FALSE)</f>
        <v>3</v>
      </c>
      <c r="Y144" s="17">
        <f>94</f>
        <v>94</v>
      </c>
      <c r="Z144" s="177">
        <f>Table4[[#This Row],[EStype_summed]]*Table4[[#This Row],[Indicator_12.5pct]]</f>
        <v>6.25</v>
      </c>
      <c r="AA144" s="190">
        <f>(IF(Table4[[#This Row],[all_evtype]]&gt;=4,"4", IF(Table4[[#This Row],[all_evtype]]&gt;=3,"3", IF(Table4[[#This Row],[all_evtype]]&gt;=2,"2", IF(Table4[[#This Row],[all_evtype]]&gt;=1,"1","0")))))/Table4[[#This Row],[HPS_et]]</f>
        <v>0.5</v>
      </c>
      <c r="AB144" s="191">
        <f>VLOOKUP(Table4[[#This Row],[risk_id]],Table3[], 14, FALSE)</f>
        <v>0</v>
      </c>
      <c r="AC144" s="191">
        <f>VLOOKUP(Table4[[#This Row],[risk_id]],Table3[], 15, FALSE)</f>
        <v>2</v>
      </c>
      <c r="AD144" s="191">
        <f>VLOOKUP(Table4[[#This Row],[risk_id]], Table3[], 16, FALSE)</f>
        <v>1</v>
      </c>
      <c r="AE144" s="191">
        <f>VLOOKUP(Table4[[#This Row],[risk_id]], Table3[], 17, )</f>
        <v>0</v>
      </c>
      <c r="AF144" s="191">
        <f>4</f>
        <v>4</v>
      </c>
      <c r="AG144" s="191">
        <f>COUNTIF(Table4[[#This Row],[THEO]:[MOD]], "&gt;=1")</f>
        <v>2</v>
      </c>
      <c r="AH144" s="192">
        <f>Table4[[#This Row],[data_observations]]/Table4[[#This Row],[AllObservations_count]]</f>
        <v>3.1914893617021274E-2</v>
      </c>
      <c r="AI144" s="189">
        <f>Table4[[#This Row],[evidenceamount_pct]]*(Table4[[#This Row],[Indicator_12.5pct]])</f>
        <v>0.39893617021276595</v>
      </c>
      <c r="AJ144" s="198">
        <f>(1-(VLOOKUP(Table4[[#This Row],[risk_id]],Table3[],18, FALSE))/(Table4[[#This Row],[data_observations]]))</f>
        <v>1</v>
      </c>
      <c r="AK144" s="198">
        <f>((VLOOKUP(Table4[[#This Row],[risk_id]],Table3[],19, FALSE))+((VLOOKUP(Table4[[#This Row],[risk_id]],Table3[],36, FALSE))*0.5))/(Table4[[#This Row],[data_observations]])</f>
        <v>0.66666666666666663</v>
      </c>
      <c r="AL144" s="177">
        <f>((Table4[[#This Row],[ev_data_deficient_score]]*0.5)+(Table4[[#This Row],[ev_data_availability_score]]*0.5))*(Table4[[#This Row],[Indicator_12.5pct]])</f>
        <v>10.416666666666666</v>
      </c>
      <c r="AM144" s="199">
        <f>Table4[[#This Row],[RiskScore]]</f>
        <v>12</v>
      </c>
      <c r="AN144" s="200">
        <f>VLOOKUP(Table4[[#This Row],[risk_id]], Table3[], 13, FALSE)</f>
        <v>3.2659863237109041</v>
      </c>
      <c r="AO144" s="185">
        <f>(1-(Table4[[#This Row],[evidence_SD_RR]]/Table4[[#This Row],[evidence_mean_RR]]))*(Table4[[#This Row],[Indicator_12.5pct]])</f>
        <v>9.0979309128011412</v>
      </c>
      <c r="AP144" s="201">
        <f>VLOOKUP(Table4[[#This Row],[risk_id]],Table3[],21, FALSE)</f>
        <v>0</v>
      </c>
      <c r="AQ144" s="201">
        <f>VLOOKUP(Table4[[#This Row],[risk_id]],Table3[],23, FALSE)</f>
        <v>0</v>
      </c>
      <c r="AR144" s="201">
        <f>VLOOKUP(Table4[[#This Row],[risk_id]],Table3[],25, FALSE)</f>
        <v>0.66666666666666663</v>
      </c>
      <c r="AS144" s="201">
        <f>VLOOKUP(Table4[[#This Row],[risk_id]],Table3[],27, FALSE)</f>
        <v>0.33333333333333331</v>
      </c>
      <c r="AT144" s="183">
        <f>(MAX(Table4[[#This Row],[C]:[U]]))*Table4[[#This Row],[Indicator_20pct]]</f>
        <v>6.6666666666666661</v>
      </c>
      <c r="AU144" s="205">
        <f>COUNTIFS(Table4[[#This Row],[C]], "&gt;0", Table4[[#This Row],[U]], "&gt;0") + COUNTIFS(Table4[[#This Row],[H]], "&gt;0", Table4[[#This Row],[U]], "&gt;0") + COUNTIFS(Table4[[#This Row],[C]], "&gt;0", Table4[[#This Row],[M]], "&gt;0")</f>
        <v>0</v>
      </c>
      <c r="AV144" s="219">
        <f>((-(Table4[[#This Row],[different_scores_count]]-3))/3)*Table4[[#This Row],[Indicator_20pct]]</f>
        <v>10</v>
      </c>
      <c r="AW144" s="183">
        <f>IF(Table4[[#This Row],[data_observations]]&gt;=5, 30, IF(Table4[[#This Row],[data_observations]]&gt;=3, 15, 0))</f>
        <v>15</v>
      </c>
      <c r="AX144" s="26" t="s">
        <v>2737</v>
      </c>
    </row>
    <row r="145" spans="1:50" ht="32" hidden="1" customHeight="1" x14ac:dyDescent="0.2">
      <c r="A145" s="16" t="s">
        <v>516</v>
      </c>
      <c r="B145" s="16" t="str">
        <f>VLOOKUP(Table4[[#This Row],[risk_id]], Table3[], 35, FALSE)</f>
        <v>Risk</v>
      </c>
      <c r="C145" s="16" t="str">
        <f>VLOOKUP(Table4[[#This Row],[risk_id]], Table3[], 2, FALSE)</f>
        <v>Assessment</v>
      </c>
      <c r="D145" s="15" t="str">
        <f>VLOOKUP(Table4[[#This Row],[risk_id]], Table3[], 3, FALSE)</f>
        <v>Frequent callibration of model parameters</v>
      </c>
      <c r="E145"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45" s="300">
        <f t="shared" si="8"/>
        <v>12</v>
      </c>
      <c r="G145" s="31">
        <f>Table4[[#This Row],[DataQuality_Score]]</f>
        <v>0.48257978723404255</v>
      </c>
      <c r="H145"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45" s="27" t="str">
        <f>Table4[[#This Row],[LoA - Metric]]&amp; ", " &amp;Table4[[#This Row],[ES - Metric]]</f>
        <v>Medium agreement, Medium evidence</v>
      </c>
      <c r="J145" s="222">
        <f>(Table4[[#This Row],[LoA_SCORE]]+Table4[[#This Row],[ES_SCORE]])/100</f>
        <v>0.48257978723404255</v>
      </c>
      <c r="K145"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45"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45" s="179">
        <f>Table4[[#This Row],[probability_average]]</f>
        <v>3</v>
      </c>
      <c r="N145" s="181">
        <f>Table4[[#This Row],[consequence_average]]</f>
        <v>4</v>
      </c>
      <c r="O145" s="220">
        <f>Table4[[#This Row],[agreementPCT_score]]+Table4[[#This Row],[agreement_dist_score]]+Table4[[#This Row],[LoA_AQ_score]]</f>
        <v>20</v>
      </c>
      <c r="P145" s="203">
        <f>Table4[[#This Row],[evidenceconsistency_score]]+Table4[[#This Row],[EQ_score]]+Table4[[#This Row],[EA_score]]+Table4[[#This Row],[ET_score]]</f>
        <v>28.257978723404257</v>
      </c>
      <c r="Q145" s="181">
        <f>VLOOKUP(Table4[[#This Row],[risk_id]],Table3[],10,FALSE)</f>
        <v>4</v>
      </c>
      <c r="R145" s="181">
        <f>VLOOKUP(Table4[[#This Row],[risk_id]],Table3[],9,FALSE)</f>
        <v>4</v>
      </c>
      <c r="S145" s="179">
        <f>VLOOKUP(Table4[[#This Row],[risk_id]],Table3[],7,FALSE)</f>
        <v>3</v>
      </c>
      <c r="T145" s="179">
        <f>VLOOKUP(Table4[[#This Row],[risk_id]],Table3[],6,FALSE)</f>
        <v>3</v>
      </c>
      <c r="U145" s="177">
        <f t="shared" si="9"/>
        <v>12.5</v>
      </c>
      <c r="V145" s="187">
        <f>10</f>
        <v>10</v>
      </c>
      <c r="W145" s="187">
        <f>30</f>
        <v>30</v>
      </c>
      <c r="X145" s="17">
        <f>VLOOKUP(Table4[[#This Row],[risk_id]],Table3[],5,FALSE)</f>
        <v>1</v>
      </c>
      <c r="Y145" s="17">
        <f>94</f>
        <v>94</v>
      </c>
      <c r="Z145" s="177">
        <f>Table4[[#This Row],[EStype_summed]]*Table4[[#This Row],[Indicator_12.5pct]]</f>
        <v>3.125</v>
      </c>
      <c r="AA145" s="190">
        <f>(IF(Table4[[#This Row],[all_evtype]]&gt;=4,"4", IF(Table4[[#This Row],[all_evtype]]&gt;=3,"3", IF(Table4[[#This Row],[all_evtype]]&gt;=2,"2", IF(Table4[[#This Row],[all_evtype]]&gt;=1,"1","0")))))/Table4[[#This Row],[HPS_et]]</f>
        <v>0.25</v>
      </c>
      <c r="AB145" s="191">
        <f>VLOOKUP(Table4[[#This Row],[risk_id]],Table3[], 14, FALSE)</f>
        <v>0</v>
      </c>
      <c r="AC145" s="191">
        <f>VLOOKUP(Table4[[#This Row],[risk_id]],Table3[], 15, FALSE)</f>
        <v>1</v>
      </c>
      <c r="AD145" s="191">
        <f>VLOOKUP(Table4[[#This Row],[risk_id]], Table3[], 16, FALSE)</f>
        <v>0</v>
      </c>
      <c r="AE145" s="191">
        <f>VLOOKUP(Table4[[#This Row],[risk_id]], Table3[], 17, )</f>
        <v>0</v>
      </c>
      <c r="AF145" s="191">
        <f>4</f>
        <v>4</v>
      </c>
      <c r="AG145" s="191">
        <f>COUNTIF(Table4[[#This Row],[THEO]:[MOD]], "&gt;=1")</f>
        <v>1</v>
      </c>
      <c r="AH145" s="192">
        <f>Table4[[#This Row],[data_observations]]/Table4[[#This Row],[AllObservations_count]]</f>
        <v>1.0638297872340425E-2</v>
      </c>
      <c r="AI145" s="189">
        <f>Table4[[#This Row],[evidenceamount_pct]]*(Table4[[#This Row],[Indicator_12.5pct]])</f>
        <v>0.13297872340425532</v>
      </c>
      <c r="AJ145" s="198">
        <f>(1-(VLOOKUP(Table4[[#This Row],[risk_id]],Table3[],18, FALSE))/(Table4[[#This Row],[data_observations]]))</f>
        <v>1</v>
      </c>
      <c r="AK145" s="198">
        <f>((VLOOKUP(Table4[[#This Row],[risk_id]],Table3[],19, FALSE))+((VLOOKUP(Table4[[#This Row],[risk_id]],Table3[],36, FALSE))*0.5))/(Table4[[#This Row],[data_observations]])</f>
        <v>1</v>
      </c>
      <c r="AL145" s="177">
        <f>((Table4[[#This Row],[ev_data_deficient_score]]*0.5)+(Table4[[#This Row],[ev_data_availability_score]]*0.5))*(Table4[[#This Row],[Indicator_12.5pct]])</f>
        <v>12.5</v>
      </c>
      <c r="AM145" s="199">
        <f>Table4[[#This Row],[RiskScore]]</f>
        <v>12</v>
      </c>
      <c r="AN145" s="200">
        <f>VLOOKUP(Table4[[#This Row],[risk_id]], Table3[], 13, FALSE)</f>
        <v>0</v>
      </c>
      <c r="AO145" s="185">
        <f>(1-(Table4[[#This Row],[evidence_SD_RR]]/Table4[[#This Row],[evidence_mean_RR]]))*(Table4[[#This Row],[Indicator_12.5pct]])</f>
        <v>12.5</v>
      </c>
      <c r="AP145" s="201">
        <f>VLOOKUP(Table4[[#This Row],[risk_id]],Table3[],21, FALSE)</f>
        <v>0</v>
      </c>
      <c r="AQ145" s="201">
        <f>VLOOKUP(Table4[[#This Row],[risk_id]],Table3[],23, FALSE)</f>
        <v>0</v>
      </c>
      <c r="AR145" s="201">
        <f>VLOOKUP(Table4[[#This Row],[risk_id]],Table3[],25, FALSE)</f>
        <v>1</v>
      </c>
      <c r="AS145" s="201">
        <f>VLOOKUP(Table4[[#This Row],[risk_id]],Table3[],27, FALSE)</f>
        <v>0</v>
      </c>
      <c r="AT145" s="183">
        <f>(MAX(Table4[[#This Row],[C]:[U]]))*Table4[[#This Row],[Indicator_20pct]]</f>
        <v>10</v>
      </c>
      <c r="AU145" s="205">
        <f>COUNTIFS(Table4[[#This Row],[C]], "&gt;0", Table4[[#This Row],[U]], "&gt;0") + COUNTIFS(Table4[[#This Row],[H]], "&gt;0", Table4[[#This Row],[U]], "&gt;0") + COUNTIFS(Table4[[#This Row],[C]], "&gt;0", Table4[[#This Row],[M]], "&gt;0")</f>
        <v>0</v>
      </c>
      <c r="AV145" s="219">
        <f>((-(Table4[[#This Row],[different_scores_count]]-3))/3)*Table4[[#This Row],[Indicator_20pct]]</f>
        <v>10</v>
      </c>
      <c r="AW145" s="183">
        <f>IF(Table4[[#This Row],[data_observations]]&gt;=5, 30, IF(Table4[[#This Row],[data_observations]]&gt;=3, 15, 0))</f>
        <v>0</v>
      </c>
      <c r="AX145" s="26" t="s">
        <v>2737</v>
      </c>
    </row>
    <row r="146" spans="1:50" ht="32" hidden="1" customHeight="1" x14ac:dyDescent="0.2">
      <c r="A146" s="16" t="s">
        <v>542</v>
      </c>
      <c r="B146" s="16" t="str">
        <f>VLOOKUP(Table4[[#This Row],[risk_id]], Table3[], 35, FALSE)</f>
        <v>Risk</v>
      </c>
      <c r="C146" s="16" t="str">
        <f>VLOOKUP(Table4[[#This Row],[risk_id]], Table3[], 2, FALSE)</f>
        <v>Operational</v>
      </c>
      <c r="D146" s="15" t="str">
        <f>VLOOKUP(Table4[[#This Row],[risk_id]], Table3[], 3, FALSE)</f>
        <v>Inadequate bunkering planning</v>
      </c>
      <c r="E146"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46" s="300">
        <f t="shared" si="8"/>
        <v>12</v>
      </c>
      <c r="G146" s="31">
        <f>Table4[[#This Row],[DataQuality_Score]]</f>
        <v>0.45132978723404255</v>
      </c>
      <c r="H146"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46" s="27" t="str">
        <f>Table4[[#This Row],[LoA - Metric]]&amp; ", " &amp;Table4[[#This Row],[ES - Metric]]</f>
        <v>Medium agreement, Medium evidence</v>
      </c>
      <c r="J146" s="222">
        <f>(Table4[[#This Row],[LoA_SCORE]]+Table4[[#This Row],[ES_SCORE]])/100</f>
        <v>0.45132978723404255</v>
      </c>
      <c r="K146"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46"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46" s="179">
        <f>Table4[[#This Row],[probability_average]]</f>
        <v>3</v>
      </c>
      <c r="N146" s="181">
        <f>Table4[[#This Row],[consequence_average]]</f>
        <v>4</v>
      </c>
      <c r="O146" s="220">
        <f>Table4[[#This Row],[agreementPCT_score]]+Table4[[#This Row],[agreement_dist_score]]+Table4[[#This Row],[LoA_AQ_score]]</f>
        <v>20</v>
      </c>
      <c r="P146" s="203">
        <f>Table4[[#This Row],[evidenceconsistency_score]]+Table4[[#This Row],[EQ_score]]+Table4[[#This Row],[EA_score]]+Table4[[#This Row],[ET_score]]</f>
        <v>25.132978723404257</v>
      </c>
      <c r="Q146" s="181">
        <f>VLOOKUP(Table4[[#This Row],[risk_id]],Table3[],10,FALSE)</f>
        <v>4</v>
      </c>
      <c r="R146" s="181">
        <f>VLOOKUP(Table4[[#This Row],[risk_id]],Table3[],9,FALSE)</f>
        <v>4</v>
      </c>
      <c r="S146" s="179">
        <f>VLOOKUP(Table4[[#This Row],[risk_id]],Table3[],7,FALSE)</f>
        <v>3</v>
      </c>
      <c r="T146" s="179">
        <f>VLOOKUP(Table4[[#This Row],[risk_id]],Table3[],6,FALSE)</f>
        <v>3</v>
      </c>
      <c r="U146" s="177">
        <f t="shared" si="9"/>
        <v>12.5</v>
      </c>
      <c r="V146" s="187">
        <f>10</f>
        <v>10</v>
      </c>
      <c r="W146" s="187">
        <f>30</f>
        <v>30</v>
      </c>
      <c r="X146" s="17">
        <f>VLOOKUP(Table4[[#This Row],[risk_id]],Table3[],5,FALSE)</f>
        <v>1</v>
      </c>
      <c r="Y146" s="17">
        <f>94</f>
        <v>94</v>
      </c>
      <c r="Z146" s="177">
        <f>Table4[[#This Row],[EStype_summed]]*Table4[[#This Row],[Indicator_12.5pct]]</f>
        <v>3.125</v>
      </c>
      <c r="AA146" s="190">
        <f>(IF(Table4[[#This Row],[all_evtype]]&gt;=4,"4", IF(Table4[[#This Row],[all_evtype]]&gt;=3,"3", IF(Table4[[#This Row],[all_evtype]]&gt;=2,"2", IF(Table4[[#This Row],[all_evtype]]&gt;=1,"1","0")))))/Table4[[#This Row],[HPS_et]]</f>
        <v>0.25</v>
      </c>
      <c r="AB146" s="191">
        <f>VLOOKUP(Table4[[#This Row],[risk_id]],Table3[], 14, FALSE)</f>
        <v>0</v>
      </c>
      <c r="AC146" s="191">
        <f>VLOOKUP(Table4[[#This Row],[risk_id]],Table3[], 15, FALSE)</f>
        <v>0</v>
      </c>
      <c r="AD146" s="191">
        <f>VLOOKUP(Table4[[#This Row],[risk_id]], Table3[], 16, FALSE)</f>
        <v>1</v>
      </c>
      <c r="AE146" s="191">
        <f>VLOOKUP(Table4[[#This Row],[risk_id]], Table3[], 17, )</f>
        <v>0</v>
      </c>
      <c r="AF146" s="191">
        <f>4</f>
        <v>4</v>
      </c>
      <c r="AG146" s="191">
        <f>COUNTIF(Table4[[#This Row],[THEO]:[MOD]], "&gt;=1")</f>
        <v>1</v>
      </c>
      <c r="AH146" s="192">
        <f>Table4[[#This Row],[data_observations]]/Table4[[#This Row],[AllObservations_count]]</f>
        <v>1.0638297872340425E-2</v>
      </c>
      <c r="AI146" s="189">
        <f>Table4[[#This Row],[evidenceamount_pct]]*(Table4[[#This Row],[Indicator_12.5pct]])</f>
        <v>0.13297872340425532</v>
      </c>
      <c r="AJ146" s="198">
        <f>(1-(VLOOKUP(Table4[[#This Row],[risk_id]],Table3[],18, FALSE))/(Table4[[#This Row],[data_observations]]))</f>
        <v>1</v>
      </c>
      <c r="AK146" s="198">
        <f>((VLOOKUP(Table4[[#This Row],[risk_id]],Table3[],19, FALSE))+((VLOOKUP(Table4[[#This Row],[risk_id]],Table3[],36, FALSE))*0.5))/(Table4[[#This Row],[data_observations]])</f>
        <v>0.5</v>
      </c>
      <c r="AL146" s="177">
        <f>((Table4[[#This Row],[ev_data_deficient_score]]*0.5)+(Table4[[#This Row],[ev_data_availability_score]]*0.5))*(Table4[[#This Row],[Indicator_12.5pct]])</f>
        <v>9.375</v>
      </c>
      <c r="AM146" s="199">
        <f>Table4[[#This Row],[RiskScore]]</f>
        <v>12</v>
      </c>
      <c r="AN146" s="200">
        <f>VLOOKUP(Table4[[#This Row],[risk_id]], Table3[], 13, FALSE)</f>
        <v>0</v>
      </c>
      <c r="AO146" s="185">
        <f>(1-(Table4[[#This Row],[evidence_SD_RR]]/Table4[[#This Row],[evidence_mean_RR]]))*(Table4[[#This Row],[Indicator_12.5pct]])</f>
        <v>12.5</v>
      </c>
      <c r="AP146" s="201">
        <f>VLOOKUP(Table4[[#This Row],[risk_id]],Table3[],21, FALSE)</f>
        <v>0</v>
      </c>
      <c r="AQ146" s="201">
        <f>VLOOKUP(Table4[[#This Row],[risk_id]],Table3[],23, FALSE)</f>
        <v>0</v>
      </c>
      <c r="AR146" s="201">
        <f>VLOOKUP(Table4[[#This Row],[risk_id]],Table3[],25, FALSE)</f>
        <v>1</v>
      </c>
      <c r="AS146" s="201">
        <f>VLOOKUP(Table4[[#This Row],[risk_id]],Table3[],27, FALSE)</f>
        <v>0</v>
      </c>
      <c r="AT146" s="183">
        <f>(MAX(Table4[[#This Row],[C]:[U]]))*Table4[[#This Row],[Indicator_20pct]]</f>
        <v>10</v>
      </c>
      <c r="AU146" s="205">
        <f>COUNTIFS(Table4[[#This Row],[C]], "&gt;0", Table4[[#This Row],[U]], "&gt;0") + COUNTIFS(Table4[[#This Row],[H]], "&gt;0", Table4[[#This Row],[U]], "&gt;0") + COUNTIFS(Table4[[#This Row],[C]], "&gt;0", Table4[[#This Row],[M]], "&gt;0")</f>
        <v>0</v>
      </c>
      <c r="AV146" s="219">
        <f>((-(Table4[[#This Row],[different_scores_count]]-3))/3)*Table4[[#This Row],[Indicator_20pct]]</f>
        <v>10</v>
      </c>
      <c r="AW146" s="183">
        <f>IF(Table4[[#This Row],[data_observations]]&gt;=5, 30, IF(Table4[[#This Row],[data_observations]]&gt;=3, 15, 0))</f>
        <v>0</v>
      </c>
      <c r="AX146" s="26" t="s">
        <v>2737</v>
      </c>
    </row>
    <row r="147" spans="1:50" ht="32" hidden="1" customHeight="1" x14ac:dyDescent="0.2">
      <c r="A147" s="16" t="s">
        <v>510</v>
      </c>
      <c r="B147" s="16" t="str">
        <f>VLOOKUP(Table4[[#This Row],[risk_id]], Table3[], 35, FALSE)</f>
        <v>Risk</v>
      </c>
      <c r="C147" s="16" t="str">
        <f>VLOOKUP(Table4[[#This Row],[risk_id]], Table3[], 2, FALSE)</f>
        <v>Navigational</v>
      </c>
      <c r="D147" s="15" t="str">
        <f>VLOOKUP(Table4[[#This Row],[risk_id]], Table3[], 3, FALSE)</f>
        <v>Deviation from suggested route</v>
      </c>
      <c r="E147"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47" s="300">
        <f t="shared" si="8"/>
        <v>10.5</v>
      </c>
      <c r="G147" s="31">
        <f>Table4[[#This Row],[DataQuality_Score]]</f>
        <v>0.39075481256332323</v>
      </c>
      <c r="H147"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LOW</v>
      </c>
      <c r="I147" s="27" t="str">
        <f>Table4[[#This Row],[LoA - Metric]]&amp; ", " &amp;Table4[[#This Row],[ES - Metric]]</f>
        <v>Low agreement, Medium evidence</v>
      </c>
      <c r="J147" s="222">
        <f>(Table4[[#This Row],[LoA_SCORE]]+Table4[[#This Row],[ES_SCORE]])/100</f>
        <v>0.39075481256332323</v>
      </c>
      <c r="K147"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Low agreement</v>
      </c>
      <c r="L147"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47" s="179">
        <f>Table4[[#This Row],[probability_average]]</f>
        <v>1.5</v>
      </c>
      <c r="N147" s="181">
        <f>Table4[[#This Row],[consequence_average]]</f>
        <v>7</v>
      </c>
      <c r="O147" s="220">
        <f>Table4[[#This Row],[agreementPCT_score]]+Table4[[#This Row],[agreement_dist_score]]+Table4[[#This Row],[LoA_AQ_score]]</f>
        <v>15</v>
      </c>
      <c r="P147" s="203">
        <f>Table4[[#This Row],[evidenceconsistency_score]]+Table4[[#This Row],[EQ_score]]+Table4[[#This Row],[EA_score]]+Table4[[#This Row],[ET_score]]</f>
        <v>24.075481256332321</v>
      </c>
      <c r="Q147" s="181">
        <f>VLOOKUP(Table4[[#This Row],[risk_id]],Table3[],10,FALSE)</f>
        <v>7</v>
      </c>
      <c r="R147" s="181">
        <f>VLOOKUP(Table4[[#This Row],[risk_id]],Table3[],9,FALSE)</f>
        <v>14</v>
      </c>
      <c r="S147" s="179">
        <f>VLOOKUP(Table4[[#This Row],[risk_id]],Table3[],7,FALSE)</f>
        <v>1.5</v>
      </c>
      <c r="T147" s="179">
        <f>VLOOKUP(Table4[[#This Row],[risk_id]],Table3[],6,FALSE)</f>
        <v>3</v>
      </c>
      <c r="U147" s="177">
        <f t="shared" si="9"/>
        <v>12.5</v>
      </c>
      <c r="V147" s="187">
        <f>10</f>
        <v>10</v>
      </c>
      <c r="W147" s="187">
        <f>30</f>
        <v>30</v>
      </c>
      <c r="X147" s="17">
        <f>VLOOKUP(Table4[[#This Row],[risk_id]],Table3[],5,FALSE)</f>
        <v>2</v>
      </c>
      <c r="Y147" s="17">
        <f>94</f>
        <v>94</v>
      </c>
      <c r="Z147" s="177">
        <f>Table4[[#This Row],[EStype_summed]]*Table4[[#This Row],[Indicator_12.5pct]]</f>
        <v>3.125</v>
      </c>
      <c r="AA147" s="190">
        <f>(IF(Table4[[#This Row],[all_evtype]]&gt;=4,"4", IF(Table4[[#This Row],[all_evtype]]&gt;=3,"3", IF(Table4[[#This Row],[all_evtype]]&gt;=2,"2", IF(Table4[[#This Row],[all_evtype]]&gt;=1,"1","0")))))/Table4[[#This Row],[HPS_et]]</f>
        <v>0.25</v>
      </c>
      <c r="AB147" s="191">
        <f>VLOOKUP(Table4[[#This Row],[risk_id]],Table3[], 14, FALSE)</f>
        <v>0</v>
      </c>
      <c r="AC147" s="191">
        <f>VLOOKUP(Table4[[#This Row],[risk_id]],Table3[], 15, FALSE)</f>
        <v>2</v>
      </c>
      <c r="AD147" s="191">
        <f>VLOOKUP(Table4[[#This Row],[risk_id]], Table3[], 16, FALSE)</f>
        <v>0</v>
      </c>
      <c r="AE147" s="191">
        <f>VLOOKUP(Table4[[#This Row],[risk_id]], Table3[], 17, )</f>
        <v>0</v>
      </c>
      <c r="AF147" s="191">
        <f>4</f>
        <v>4</v>
      </c>
      <c r="AG147" s="191">
        <f>COUNTIF(Table4[[#This Row],[THEO]:[MOD]], "&gt;=1")</f>
        <v>1</v>
      </c>
      <c r="AH147" s="192">
        <f>Table4[[#This Row],[data_observations]]/Table4[[#This Row],[AllObservations_count]]</f>
        <v>2.1276595744680851E-2</v>
      </c>
      <c r="AI147" s="189">
        <f>Table4[[#This Row],[evidenceamount_pct]]*(Table4[[#This Row],[Indicator_12.5pct]])</f>
        <v>0.26595744680851063</v>
      </c>
      <c r="AJ147" s="198">
        <f>(1-(VLOOKUP(Table4[[#This Row],[risk_id]],Table3[],18, FALSE))/(Table4[[#This Row],[data_observations]]))</f>
        <v>1</v>
      </c>
      <c r="AK147" s="198">
        <f>((VLOOKUP(Table4[[#This Row],[risk_id]],Table3[],19, FALSE))+((VLOOKUP(Table4[[#This Row],[risk_id]],Table3[],36, FALSE))*0.5))/(Table4[[#This Row],[data_observations]])</f>
        <v>0.5</v>
      </c>
      <c r="AL147" s="177">
        <f>((Table4[[#This Row],[ev_data_deficient_score]]*0.5)+(Table4[[#This Row],[ev_data_availability_score]]*0.5))*(Table4[[#This Row],[Indicator_12.5pct]])</f>
        <v>9.375</v>
      </c>
      <c r="AM147" s="199">
        <f>Table4[[#This Row],[RiskScore]]</f>
        <v>10.5</v>
      </c>
      <c r="AN147" s="200">
        <f>VLOOKUP(Table4[[#This Row],[risk_id]], Table3[], 13, FALSE)</f>
        <v>1</v>
      </c>
      <c r="AO147" s="185">
        <f>(1-(Table4[[#This Row],[evidence_SD_RR]]/Table4[[#This Row],[evidence_mean_RR]]))*(Table4[[#This Row],[Indicator_12.5pct]])</f>
        <v>11.30952380952381</v>
      </c>
      <c r="AP147" s="201">
        <f>VLOOKUP(Table4[[#This Row],[risk_id]],Table3[],21, FALSE)</f>
        <v>0</v>
      </c>
      <c r="AQ147" s="201">
        <f>VLOOKUP(Table4[[#This Row],[risk_id]],Table3[],23, FALSE)</f>
        <v>0</v>
      </c>
      <c r="AR147" s="201">
        <f>VLOOKUP(Table4[[#This Row],[risk_id]],Table3[],25, FALSE)</f>
        <v>0.5</v>
      </c>
      <c r="AS147" s="201">
        <f>VLOOKUP(Table4[[#This Row],[risk_id]],Table3[],27, FALSE)</f>
        <v>0.5</v>
      </c>
      <c r="AT147" s="183">
        <f>(MAX(Table4[[#This Row],[C]:[U]]))*Table4[[#This Row],[Indicator_20pct]]</f>
        <v>5</v>
      </c>
      <c r="AU147" s="205">
        <f>COUNTIFS(Table4[[#This Row],[C]], "&gt;0", Table4[[#This Row],[U]], "&gt;0") + COUNTIFS(Table4[[#This Row],[H]], "&gt;0", Table4[[#This Row],[U]], "&gt;0") + COUNTIFS(Table4[[#This Row],[C]], "&gt;0", Table4[[#This Row],[M]], "&gt;0")</f>
        <v>0</v>
      </c>
      <c r="AV147" s="219">
        <f>((-(Table4[[#This Row],[different_scores_count]]-3))/3)*Table4[[#This Row],[Indicator_20pct]]</f>
        <v>10</v>
      </c>
      <c r="AW147" s="183">
        <f>IF(Table4[[#This Row],[data_observations]]&gt;=5, 30, IF(Table4[[#This Row],[data_observations]]&gt;=3, 15, 0))</f>
        <v>0</v>
      </c>
      <c r="AX147" s="26" t="s">
        <v>2737</v>
      </c>
    </row>
    <row r="148" spans="1:50" ht="32" hidden="1" customHeight="1" x14ac:dyDescent="0.2">
      <c r="A148" s="16" t="s">
        <v>520</v>
      </c>
      <c r="B148" s="16" t="str">
        <f>VLOOKUP(Table4[[#This Row],[risk_id]], Table3[], 35, FALSE)</f>
        <v>Risk</v>
      </c>
      <c r="C148" s="16" t="str">
        <f>VLOOKUP(Table4[[#This Row],[risk_id]], Table3[], 2, FALSE)</f>
        <v>Operational</v>
      </c>
      <c r="D148" s="15" t="str">
        <f>VLOOKUP(Table4[[#This Row],[risk_id]], Table3[], 3, FALSE)</f>
        <v>Hull failure</v>
      </c>
      <c r="E148"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48" s="300">
        <f t="shared" si="8"/>
        <v>10</v>
      </c>
      <c r="G148" s="31">
        <f>Table4[[#This Row],[DataQuality_Score]]</f>
        <v>0.45132978723404255</v>
      </c>
      <c r="H148"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48" s="27" t="str">
        <f>Table4[[#This Row],[LoA - Metric]]&amp; ", " &amp;Table4[[#This Row],[ES - Metric]]</f>
        <v>Medium agreement, Medium evidence</v>
      </c>
      <c r="J148" s="222">
        <f>(Table4[[#This Row],[LoA_SCORE]]+Table4[[#This Row],[ES_SCORE]])/100</f>
        <v>0.45132978723404255</v>
      </c>
      <c r="K148"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48"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48" s="179">
        <f>Table4[[#This Row],[probability_average]]</f>
        <v>1</v>
      </c>
      <c r="N148" s="181">
        <f>Table4[[#This Row],[consequence_average]]</f>
        <v>10</v>
      </c>
      <c r="O148" s="220">
        <f>Table4[[#This Row],[agreementPCT_score]]+Table4[[#This Row],[agreement_dist_score]]+Table4[[#This Row],[LoA_AQ_score]]</f>
        <v>20</v>
      </c>
      <c r="P148" s="203">
        <f>Table4[[#This Row],[evidenceconsistency_score]]+Table4[[#This Row],[EQ_score]]+Table4[[#This Row],[EA_score]]+Table4[[#This Row],[ET_score]]</f>
        <v>25.132978723404257</v>
      </c>
      <c r="Q148" s="181">
        <f>VLOOKUP(Table4[[#This Row],[risk_id]],Table3[],10,FALSE)</f>
        <v>10</v>
      </c>
      <c r="R148" s="181">
        <f>VLOOKUP(Table4[[#This Row],[risk_id]],Table3[],9,FALSE)</f>
        <v>10</v>
      </c>
      <c r="S148" s="179">
        <f>VLOOKUP(Table4[[#This Row],[risk_id]],Table3[],7,FALSE)</f>
        <v>1</v>
      </c>
      <c r="T148" s="179">
        <f>VLOOKUP(Table4[[#This Row],[risk_id]],Table3[],6,FALSE)</f>
        <v>1</v>
      </c>
      <c r="U148" s="177">
        <f t="shared" si="9"/>
        <v>12.5</v>
      </c>
      <c r="V148" s="187">
        <f>10</f>
        <v>10</v>
      </c>
      <c r="W148" s="187">
        <f>30</f>
        <v>30</v>
      </c>
      <c r="X148" s="17">
        <f>VLOOKUP(Table4[[#This Row],[risk_id]],Table3[],5,FALSE)</f>
        <v>1</v>
      </c>
      <c r="Y148" s="17">
        <f>94</f>
        <v>94</v>
      </c>
      <c r="Z148" s="177">
        <f>Table4[[#This Row],[EStype_summed]]*Table4[[#This Row],[Indicator_12.5pct]]</f>
        <v>3.125</v>
      </c>
      <c r="AA148" s="190">
        <f>(IF(Table4[[#This Row],[all_evtype]]&gt;=4,"4", IF(Table4[[#This Row],[all_evtype]]&gt;=3,"3", IF(Table4[[#This Row],[all_evtype]]&gt;=2,"2", IF(Table4[[#This Row],[all_evtype]]&gt;=1,"1","0")))))/Table4[[#This Row],[HPS_et]]</f>
        <v>0.25</v>
      </c>
      <c r="AB148" s="191">
        <f>VLOOKUP(Table4[[#This Row],[risk_id]],Table3[], 14, FALSE)</f>
        <v>0</v>
      </c>
      <c r="AC148" s="191">
        <f>VLOOKUP(Table4[[#This Row],[risk_id]],Table3[], 15, FALSE)</f>
        <v>1</v>
      </c>
      <c r="AD148" s="191">
        <f>VLOOKUP(Table4[[#This Row],[risk_id]], Table3[], 16, FALSE)</f>
        <v>0</v>
      </c>
      <c r="AE148" s="191">
        <f>VLOOKUP(Table4[[#This Row],[risk_id]], Table3[], 17, )</f>
        <v>0</v>
      </c>
      <c r="AF148" s="191">
        <f>4</f>
        <v>4</v>
      </c>
      <c r="AG148" s="191">
        <f>COUNTIF(Table4[[#This Row],[THEO]:[MOD]], "&gt;=1")</f>
        <v>1</v>
      </c>
      <c r="AH148" s="192">
        <f>Table4[[#This Row],[data_observations]]/Table4[[#This Row],[AllObservations_count]]</f>
        <v>1.0638297872340425E-2</v>
      </c>
      <c r="AI148" s="189">
        <f>Table4[[#This Row],[evidenceamount_pct]]*(Table4[[#This Row],[Indicator_12.5pct]])</f>
        <v>0.13297872340425532</v>
      </c>
      <c r="AJ148" s="198">
        <f>(1-(VLOOKUP(Table4[[#This Row],[risk_id]],Table3[],18, FALSE))/(Table4[[#This Row],[data_observations]]))</f>
        <v>1</v>
      </c>
      <c r="AK148" s="198">
        <f>((VLOOKUP(Table4[[#This Row],[risk_id]],Table3[],19, FALSE))+((VLOOKUP(Table4[[#This Row],[risk_id]],Table3[],36, FALSE))*0.5))/(Table4[[#This Row],[data_observations]])</f>
        <v>0.5</v>
      </c>
      <c r="AL148" s="177">
        <f>((Table4[[#This Row],[ev_data_deficient_score]]*0.5)+(Table4[[#This Row],[ev_data_availability_score]]*0.5))*(Table4[[#This Row],[Indicator_12.5pct]])</f>
        <v>9.375</v>
      </c>
      <c r="AM148" s="199">
        <f>Table4[[#This Row],[RiskScore]]</f>
        <v>10</v>
      </c>
      <c r="AN148" s="200">
        <f>VLOOKUP(Table4[[#This Row],[risk_id]], Table3[], 13, FALSE)</f>
        <v>0</v>
      </c>
      <c r="AO148" s="185">
        <f>(1-(Table4[[#This Row],[evidence_SD_RR]]/Table4[[#This Row],[evidence_mean_RR]]))*(Table4[[#This Row],[Indicator_12.5pct]])</f>
        <v>12.5</v>
      </c>
      <c r="AP148" s="201">
        <f>VLOOKUP(Table4[[#This Row],[risk_id]],Table3[],21, FALSE)</f>
        <v>0</v>
      </c>
      <c r="AQ148" s="201">
        <f>VLOOKUP(Table4[[#This Row],[risk_id]],Table3[],23, FALSE)</f>
        <v>0</v>
      </c>
      <c r="AR148" s="201">
        <f>VLOOKUP(Table4[[#This Row],[risk_id]],Table3[],25, FALSE)</f>
        <v>1</v>
      </c>
      <c r="AS148" s="201">
        <f>VLOOKUP(Table4[[#This Row],[risk_id]],Table3[],27, FALSE)</f>
        <v>0</v>
      </c>
      <c r="AT148" s="183">
        <f>(MAX(Table4[[#This Row],[C]:[U]]))*Table4[[#This Row],[Indicator_20pct]]</f>
        <v>10</v>
      </c>
      <c r="AU148" s="205">
        <f>COUNTIFS(Table4[[#This Row],[C]], "&gt;0", Table4[[#This Row],[U]], "&gt;0") + COUNTIFS(Table4[[#This Row],[H]], "&gt;0", Table4[[#This Row],[U]], "&gt;0") + COUNTIFS(Table4[[#This Row],[C]], "&gt;0", Table4[[#This Row],[M]], "&gt;0")</f>
        <v>0</v>
      </c>
      <c r="AV148" s="219">
        <f>((-(Table4[[#This Row],[different_scores_count]]-3))/3)*Table4[[#This Row],[Indicator_20pct]]</f>
        <v>10</v>
      </c>
      <c r="AW148" s="183">
        <f>IF(Table4[[#This Row],[data_observations]]&gt;=5, 30, IF(Table4[[#This Row],[data_observations]]&gt;=3, 15, 0))</f>
        <v>0</v>
      </c>
      <c r="AX148" s="26" t="s">
        <v>2737</v>
      </c>
    </row>
    <row r="149" spans="1:50" ht="32" customHeight="1" x14ac:dyDescent="0.2">
      <c r="A149" s="16" t="s">
        <v>2717</v>
      </c>
      <c r="B149" s="16" t="str">
        <f>VLOOKUP(Table4[[#This Row],[risk_id]], Table3[], 35, FALSE)</f>
        <v>Hazard</v>
      </c>
      <c r="C149" s="16" t="str">
        <f>VLOOKUP(Table4[[#This Row],[risk_id]], Table3[], 2, FALSE)</f>
        <v>Operational</v>
      </c>
      <c r="D149" s="15" t="str">
        <f>VLOOKUP(Table4[[#This Row],[risk_id]], Table3[], 3, FALSE)</f>
        <v>Steering gear failure</v>
      </c>
      <c r="E149"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MODERATE</v>
      </c>
      <c r="F149" s="300">
        <f t="shared" si="8"/>
        <v>10</v>
      </c>
      <c r="G149" s="31">
        <f>Table4[[#This Row],[DataQuality_Score]]</f>
        <v>0.45132978723404255</v>
      </c>
      <c r="H149"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49" s="27" t="str">
        <f>Table4[[#This Row],[LoA - Metric]]&amp; ", " &amp;Table4[[#This Row],[ES - Metric]]</f>
        <v>Medium agreement, Medium evidence</v>
      </c>
      <c r="J149" s="222">
        <f>(Table4[[#This Row],[LoA_SCORE]]+Table4[[#This Row],[ES_SCORE]])/100</f>
        <v>0.45132978723404255</v>
      </c>
      <c r="K149"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49"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49" s="179">
        <f>Table4[[#This Row],[probability_average]]</f>
        <v>1</v>
      </c>
      <c r="N149" s="181">
        <f>Table4[[#This Row],[consequence_average]]</f>
        <v>10</v>
      </c>
      <c r="O149" s="220">
        <f>Table4[[#This Row],[agreementPCT_score]]+Table4[[#This Row],[agreement_dist_score]]+Table4[[#This Row],[LoA_AQ_score]]</f>
        <v>20</v>
      </c>
      <c r="P149" s="203">
        <f>Table4[[#This Row],[evidenceconsistency_score]]+Table4[[#This Row],[EQ_score]]+Table4[[#This Row],[EA_score]]+Table4[[#This Row],[ET_score]]</f>
        <v>25.132978723404257</v>
      </c>
      <c r="Q149" s="181">
        <f>VLOOKUP(Table4[[#This Row],[risk_id]],Table3[],10,FALSE)</f>
        <v>10</v>
      </c>
      <c r="R149" s="181">
        <f>VLOOKUP(Table4[[#This Row],[risk_id]],Table3[],9,FALSE)</f>
        <v>10</v>
      </c>
      <c r="S149" s="179">
        <f>VLOOKUP(Table4[[#This Row],[risk_id]],Table3[],7,FALSE)</f>
        <v>1</v>
      </c>
      <c r="T149" s="179">
        <f>VLOOKUP(Table4[[#This Row],[risk_id]],Table3[],6,FALSE)</f>
        <v>1</v>
      </c>
      <c r="U149" s="177">
        <f t="shared" si="9"/>
        <v>12.5</v>
      </c>
      <c r="V149" s="187">
        <f>10</f>
        <v>10</v>
      </c>
      <c r="W149" s="187">
        <f>30</f>
        <v>30</v>
      </c>
      <c r="X149" s="17">
        <f>VLOOKUP(Table4[[#This Row],[risk_id]],Table3[],5,FALSE)</f>
        <v>1</v>
      </c>
      <c r="Y149" s="17">
        <f>94</f>
        <v>94</v>
      </c>
      <c r="Z149" s="177">
        <f>Table4[[#This Row],[EStype_summed]]*Table4[[#This Row],[Indicator_12.5pct]]</f>
        <v>3.125</v>
      </c>
      <c r="AA149" s="190">
        <f>(IF(Table4[[#This Row],[all_evtype]]&gt;=4,"4", IF(Table4[[#This Row],[all_evtype]]&gt;=3,"3", IF(Table4[[#This Row],[all_evtype]]&gt;=2,"2", IF(Table4[[#This Row],[all_evtype]]&gt;=1,"1","0")))))/Table4[[#This Row],[HPS_et]]</f>
        <v>0.25</v>
      </c>
      <c r="AB149" s="191">
        <f>VLOOKUP(Table4[[#This Row],[risk_id]],Table3[], 14, FALSE)</f>
        <v>0</v>
      </c>
      <c r="AC149" s="191">
        <f>VLOOKUP(Table4[[#This Row],[risk_id]],Table3[], 15, FALSE)</f>
        <v>1</v>
      </c>
      <c r="AD149" s="191">
        <f>VLOOKUP(Table4[[#This Row],[risk_id]], Table3[], 16, FALSE)</f>
        <v>0</v>
      </c>
      <c r="AE149" s="191">
        <f>VLOOKUP(Table4[[#This Row],[risk_id]], Table3[], 17, )</f>
        <v>0</v>
      </c>
      <c r="AF149" s="191">
        <f>4</f>
        <v>4</v>
      </c>
      <c r="AG149" s="191">
        <f>COUNTIF(Table4[[#This Row],[THEO]:[MOD]], "&gt;=1")</f>
        <v>1</v>
      </c>
      <c r="AH149" s="192">
        <f>Table4[[#This Row],[data_observations]]/Table4[[#This Row],[AllObservations_count]]</f>
        <v>1.0638297872340425E-2</v>
      </c>
      <c r="AI149" s="189">
        <f>Table4[[#This Row],[evidenceamount_pct]]*(Table4[[#This Row],[Indicator_12.5pct]])</f>
        <v>0.13297872340425532</v>
      </c>
      <c r="AJ149" s="198">
        <f>(1-(VLOOKUP(Table4[[#This Row],[risk_id]],Table3[],18, FALSE))/(Table4[[#This Row],[data_observations]]))</f>
        <v>1</v>
      </c>
      <c r="AK149" s="198">
        <f>((VLOOKUP(Table4[[#This Row],[risk_id]],Table3[],19, FALSE))+((VLOOKUP(Table4[[#This Row],[risk_id]],Table3[],36, FALSE))*0.5))/(Table4[[#This Row],[data_observations]])</f>
        <v>0.5</v>
      </c>
      <c r="AL149" s="177">
        <f>((Table4[[#This Row],[ev_data_deficient_score]]*0.5)+(Table4[[#This Row],[ev_data_availability_score]]*0.5))*(Table4[[#This Row],[Indicator_12.5pct]])</f>
        <v>9.375</v>
      </c>
      <c r="AM149" s="199">
        <f>Table4[[#This Row],[RiskScore]]</f>
        <v>10</v>
      </c>
      <c r="AN149" s="200">
        <f>VLOOKUP(Table4[[#This Row],[risk_id]], Table3[], 13, FALSE)</f>
        <v>0</v>
      </c>
      <c r="AO149" s="185">
        <f>(1-(Table4[[#This Row],[evidence_SD_RR]]/Table4[[#This Row],[evidence_mean_RR]]))*(Table4[[#This Row],[Indicator_12.5pct]])</f>
        <v>12.5</v>
      </c>
      <c r="AP149" s="201">
        <f>VLOOKUP(Table4[[#This Row],[risk_id]],Table3[],21, FALSE)</f>
        <v>0</v>
      </c>
      <c r="AQ149" s="201">
        <f>VLOOKUP(Table4[[#This Row],[risk_id]],Table3[],23, FALSE)</f>
        <v>0</v>
      </c>
      <c r="AR149" s="201">
        <f>VLOOKUP(Table4[[#This Row],[risk_id]],Table3[],25, FALSE)</f>
        <v>1</v>
      </c>
      <c r="AS149" s="201">
        <f>VLOOKUP(Table4[[#This Row],[risk_id]],Table3[],27, FALSE)</f>
        <v>0</v>
      </c>
      <c r="AT149" s="183">
        <f>(MAX(Table4[[#This Row],[C]:[U]]))*Table4[[#This Row],[Indicator_20pct]]</f>
        <v>10</v>
      </c>
      <c r="AU149" s="205">
        <f>COUNTIFS(Table4[[#This Row],[C]], "&gt;0", Table4[[#This Row],[U]], "&gt;0") + COUNTIFS(Table4[[#This Row],[H]], "&gt;0", Table4[[#This Row],[U]], "&gt;0") + COUNTIFS(Table4[[#This Row],[C]], "&gt;0", Table4[[#This Row],[M]], "&gt;0")</f>
        <v>0</v>
      </c>
      <c r="AV149" s="219">
        <f>((-(Table4[[#This Row],[different_scores_count]]-3))/3)*Table4[[#This Row],[Indicator_20pct]]</f>
        <v>10</v>
      </c>
      <c r="AW149" s="183">
        <f>IF(Table4[[#This Row],[data_observations]]&gt;=5, 30, IF(Table4[[#This Row],[data_observations]]&gt;=3, 15, 0))</f>
        <v>0</v>
      </c>
      <c r="AX149" s="26" t="s">
        <v>2737</v>
      </c>
    </row>
    <row r="150" spans="1:50" ht="32" hidden="1" customHeight="1" x14ac:dyDescent="0.2">
      <c r="A150" s="16" t="s">
        <v>521</v>
      </c>
      <c r="B150" s="16" t="str">
        <f>VLOOKUP(Table4[[#This Row],[risk_id]], Table3[], 35, FALSE)</f>
        <v>Risk</v>
      </c>
      <c r="C150" s="16" t="str">
        <f>VLOOKUP(Table4[[#This Row],[risk_id]], Table3[], 2, FALSE)</f>
        <v>Operational</v>
      </c>
      <c r="D150" s="15" t="str">
        <f>VLOOKUP(Table4[[#This Row],[risk_id]], Table3[], 3, FALSE)</f>
        <v>Improper buker line-up</v>
      </c>
      <c r="E150"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UNDETECTABLE</v>
      </c>
      <c r="F150" s="300">
        <f t="shared" si="8"/>
        <v>8</v>
      </c>
      <c r="G150" s="31">
        <f>Table4[[#This Row],[DataQuality_Score]]</f>
        <v>0.45132978723404255</v>
      </c>
      <c r="H150"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50" s="27" t="str">
        <f>Table4[[#This Row],[LoA - Metric]]&amp; ", " &amp;Table4[[#This Row],[ES - Metric]]</f>
        <v>Medium agreement, Medium evidence</v>
      </c>
      <c r="J150" s="222">
        <f>(Table4[[#This Row],[LoA_SCORE]]+Table4[[#This Row],[ES_SCORE]])/100</f>
        <v>0.45132978723404255</v>
      </c>
      <c r="K150"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50"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50" s="179">
        <f>Table4[[#This Row],[probability_average]]</f>
        <v>2</v>
      </c>
      <c r="N150" s="181">
        <f>Table4[[#This Row],[consequence_average]]</f>
        <v>4</v>
      </c>
      <c r="O150" s="220">
        <f>Table4[[#This Row],[agreementPCT_score]]+Table4[[#This Row],[agreement_dist_score]]+Table4[[#This Row],[LoA_AQ_score]]</f>
        <v>20</v>
      </c>
      <c r="P150" s="203">
        <f>Table4[[#This Row],[evidenceconsistency_score]]+Table4[[#This Row],[EQ_score]]+Table4[[#This Row],[EA_score]]+Table4[[#This Row],[ET_score]]</f>
        <v>25.132978723404257</v>
      </c>
      <c r="Q150" s="181">
        <f>VLOOKUP(Table4[[#This Row],[risk_id]],Table3[],10,FALSE)</f>
        <v>4</v>
      </c>
      <c r="R150" s="181">
        <f>VLOOKUP(Table4[[#This Row],[risk_id]],Table3[],9,FALSE)</f>
        <v>4</v>
      </c>
      <c r="S150" s="179">
        <f>VLOOKUP(Table4[[#This Row],[risk_id]],Table3[],7,FALSE)</f>
        <v>2</v>
      </c>
      <c r="T150" s="179">
        <f>VLOOKUP(Table4[[#This Row],[risk_id]],Table3[],6,FALSE)</f>
        <v>2</v>
      </c>
      <c r="U150" s="177">
        <f t="shared" si="9"/>
        <v>12.5</v>
      </c>
      <c r="V150" s="187">
        <f>10</f>
        <v>10</v>
      </c>
      <c r="W150" s="187">
        <f>30</f>
        <v>30</v>
      </c>
      <c r="X150" s="17">
        <f>VLOOKUP(Table4[[#This Row],[risk_id]],Table3[],5,FALSE)</f>
        <v>1</v>
      </c>
      <c r="Y150" s="17">
        <f>94</f>
        <v>94</v>
      </c>
      <c r="Z150" s="177">
        <f>Table4[[#This Row],[EStype_summed]]*Table4[[#This Row],[Indicator_12.5pct]]</f>
        <v>3.125</v>
      </c>
      <c r="AA150" s="190">
        <f>(IF(Table4[[#This Row],[all_evtype]]&gt;=4,"4", IF(Table4[[#This Row],[all_evtype]]&gt;=3,"3", IF(Table4[[#This Row],[all_evtype]]&gt;=2,"2", IF(Table4[[#This Row],[all_evtype]]&gt;=1,"1","0")))))/Table4[[#This Row],[HPS_et]]</f>
        <v>0.25</v>
      </c>
      <c r="AB150" s="191">
        <f>VLOOKUP(Table4[[#This Row],[risk_id]],Table3[], 14, FALSE)</f>
        <v>0</v>
      </c>
      <c r="AC150" s="191">
        <f>VLOOKUP(Table4[[#This Row],[risk_id]],Table3[], 15, FALSE)</f>
        <v>0</v>
      </c>
      <c r="AD150" s="191">
        <f>VLOOKUP(Table4[[#This Row],[risk_id]], Table3[], 16, FALSE)</f>
        <v>1</v>
      </c>
      <c r="AE150" s="191">
        <f>VLOOKUP(Table4[[#This Row],[risk_id]], Table3[], 17, )</f>
        <v>0</v>
      </c>
      <c r="AF150" s="191">
        <f>4</f>
        <v>4</v>
      </c>
      <c r="AG150" s="191">
        <f>COUNTIF(Table4[[#This Row],[THEO]:[MOD]], "&gt;=1")</f>
        <v>1</v>
      </c>
      <c r="AH150" s="192">
        <f>Table4[[#This Row],[data_observations]]/Table4[[#This Row],[AllObservations_count]]</f>
        <v>1.0638297872340425E-2</v>
      </c>
      <c r="AI150" s="189">
        <f>Table4[[#This Row],[evidenceamount_pct]]*(Table4[[#This Row],[Indicator_12.5pct]])</f>
        <v>0.13297872340425532</v>
      </c>
      <c r="AJ150" s="198">
        <f>(1-(VLOOKUP(Table4[[#This Row],[risk_id]],Table3[],18, FALSE))/(Table4[[#This Row],[data_observations]]))</f>
        <v>1</v>
      </c>
      <c r="AK150" s="198">
        <f>((VLOOKUP(Table4[[#This Row],[risk_id]],Table3[],19, FALSE))+((VLOOKUP(Table4[[#This Row],[risk_id]],Table3[],36, FALSE))*0.5))/(Table4[[#This Row],[data_observations]])</f>
        <v>0.5</v>
      </c>
      <c r="AL150" s="177">
        <f>((Table4[[#This Row],[ev_data_deficient_score]]*0.5)+(Table4[[#This Row],[ev_data_availability_score]]*0.5))*(Table4[[#This Row],[Indicator_12.5pct]])</f>
        <v>9.375</v>
      </c>
      <c r="AM150" s="199">
        <f>Table4[[#This Row],[RiskScore]]</f>
        <v>8</v>
      </c>
      <c r="AN150" s="200">
        <f>VLOOKUP(Table4[[#This Row],[risk_id]], Table3[], 13, FALSE)</f>
        <v>0</v>
      </c>
      <c r="AO150" s="185">
        <f>(1-(Table4[[#This Row],[evidence_SD_RR]]/Table4[[#This Row],[evidence_mean_RR]]))*(Table4[[#This Row],[Indicator_12.5pct]])</f>
        <v>12.5</v>
      </c>
      <c r="AP150" s="201">
        <f>VLOOKUP(Table4[[#This Row],[risk_id]],Table3[],21, FALSE)</f>
        <v>0</v>
      </c>
      <c r="AQ150" s="201">
        <f>VLOOKUP(Table4[[#This Row],[risk_id]],Table3[],23, FALSE)</f>
        <v>0</v>
      </c>
      <c r="AR150" s="201">
        <f>VLOOKUP(Table4[[#This Row],[risk_id]],Table3[],25, FALSE)</f>
        <v>0</v>
      </c>
      <c r="AS150" s="201">
        <f>VLOOKUP(Table4[[#This Row],[risk_id]],Table3[],27, FALSE)</f>
        <v>1</v>
      </c>
      <c r="AT150" s="183">
        <f>(MAX(Table4[[#This Row],[C]:[U]]))*Table4[[#This Row],[Indicator_20pct]]</f>
        <v>10</v>
      </c>
      <c r="AU150" s="205">
        <f>COUNTIFS(Table4[[#This Row],[C]], "&gt;0", Table4[[#This Row],[U]], "&gt;0") + COUNTIFS(Table4[[#This Row],[H]], "&gt;0", Table4[[#This Row],[U]], "&gt;0") + COUNTIFS(Table4[[#This Row],[C]], "&gt;0", Table4[[#This Row],[M]], "&gt;0")</f>
        <v>0</v>
      </c>
      <c r="AV150" s="219">
        <f>((-(Table4[[#This Row],[different_scores_count]]-3))/3)*Table4[[#This Row],[Indicator_20pct]]</f>
        <v>10</v>
      </c>
      <c r="AW150" s="183">
        <f>IF(Table4[[#This Row],[data_observations]]&gt;=5, 30, IF(Table4[[#This Row],[data_observations]]&gt;=3, 15, 0))</f>
        <v>0</v>
      </c>
      <c r="AX150" s="26" t="s">
        <v>2737</v>
      </c>
    </row>
    <row r="151" spans="1:50" ht="32" hidden="1" customHeight="1" x14ac:dyDescent="0.2">
      <c r="A151" s="16" t="s">
        <v>664</v>
      </c>
      <c r="B151" s="16" t="str">
        <f>VLOOKUP(Table4[[#This Row],[risk_id]], Table3[], 35, FALSE)</f>
        <v>Risk</v>
      </c>
      <c r="C151" s="16" t="str">
        <f>VLOOKUP(Table4[[#This Row],[risk_id]], Table3[], 2, FALSE)</f>
        <v>Operational</v>
      </c>
      <c r="D151" s="15" t="str">
        <f>VLOOKUP(Table4[[#This Row],[risk_id]], Table3[], 3, FALSE)</f>
        <v>Vessel-barge bunkering communication</v>
      </c>
      <c r="E151"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UNDETECTABLE</v>
      </c>
      <c r="F151" s="300">
        <f t="shared" si="8"/>
        <v>8</v>
      </c>
      <c r="G151" s="31">
        <f>Table4[[#This Row],[DataQuality_Score]]</f>
        <v>0.45132978723404255</v>
      </c>
      <c r="H151"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51" s="27" t="str">
        <f>Table4[[#This Row],[LoA - Metric]]&amp; ", " &amp;Table4[[#This Row],[ES - Metric]]</f>
        <v>Medium agreement, Medium evidence</v>
      </c>
      <c r="J151" s="222">
        <f>(Table4[[#This Row],[LoA_SCORE]]+Table4[[#This Row],[ES_SCORE]])/100</f>
        <v>0.45132978723404255</v>
      </c>
      <c r="K151"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51"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51" s="179">
        <f>Table4[[#This Row],[probability_average]]</f>
        <v>2</v>
      </c>
      <c r="N151" s="181">
        <f>Table4[[#This Row],[consequence_average]]</f>
        <v>4</v>
      </c>
      <c r="O151" s="220">
        <f>Table4[[#This Row],[agreementPCT_score]]+Table4[[#This Row],[agreement_dist_score]]+Table4[[#This Row],[LoA_AQ_score]]</f>
        <v>20</v>
      </c>
      <c r="P151" s="203">
        <f>Table4[[#This Row],[evidenceconsistency_score]]+Table4[[#This Row],[EQ_score]]+Table4[[#This Row],[EA_score]]+Table4[[#This Row],[ET_score]]</f>
        <v>25.132978723404257</v>
      </c>
      <c r="Q151" s="181">
        <f>VLOOKUP(Table4[[#This Row],[risk_id]],Table3[],10,FALSE)</f>
        <v>4</v>
      </c>
      <c r="R151" s="181">
        <f>VLOOKUP(Table4[[#This Row],[risk_id]],Table3[],9,FALSE)</f>
        <v>4</v>
      </c>
      <c r="S151" s="179">
        <f>VLOOKUP(Table4[[#This Row],[risk_id]],Table3[],7,FALSE)</f>
        <v>2</v>
      </c>
      <c r="T151" s="179">
        <f>VLOOKUP(Table4[[#This Row],[risk_id]],Table3[],6,FALSE)</f>
        <v>2</v>
      </c>
      <c r="U151" s="177">
        <f t="shared" si="9"/>
        <v>12.5</v>
      </c>
      <c r="V151" s="187">
        <f>10</f>
        <v>10</v>
      </c>
      <c r="W151" s="187">
        <f>30</f>
        <v>30</v>
      </c>
      <c r="X151" s="17">
        <f>VLOOKUP(Table4[[#This Row],[risk_id]],Table3[],5,FALSE)</f>
        <v>1</v>
      </c>
      <c r="Y151" s="17">
        <f>94</f>
        <v>94</v>
      </c>
      <c r="Z151" s="177">
        <f>Table4[[#This Row],[EStype_summed]]*Table4[[#This Row],[Indicator_12.5pct]]</f>
        <v>3.125</v>
      </c>
      <c r="AA151" s="190">
        <f>(IF(Table4[[#This Row],[all_evtype]]&gt;=4,"4", IF(Table4[[#This Row],[all_evtype]]&gt;=3,"3", IF(Table4[[#This Row],[all_evtype]]&gt;=2,"2", IF(Table4[[#This Row],[all_evtype]]&gt;=1,"1","0")))))/Table4[[#This Row],[HPS_et]]</f>
        <v>0.25</v>
      </c>
      <c r="AB151" s="191">
        <f>VLOOKUP(Table4[[#This Row],[risk_id]],Table3[], 14, FALSE)</f>
        <v>0</v>
      </c>
      <c r="AC151" s="191">
        <f>VLOOKUP(Table4[[#This Row],[risk_id]],Table3[], 15, FALSE)</f>
        <v>0</v>
      </c>
      <c r="AD151" s="191">
        <f>VLOOKUP(Table4[[#This Row],[risk_id]], Table3[], 16, FALSE)</f>
        <v>1</v>
      </c>
      <c r="AE151" s="191">
        <f>VLOOKUP(Table4[[#This Row],[risk_id]], Table3[], 17, )</f>
        <v>0</v>
      </c>
      <c r="AF151" s="191">
        <f>4</f>
        <v>4</v>
      </c>
      <c r="AG151" s="191">
        <f>COUNTIF(Table4[[#This Row],[THEO]:[MOD]], "&gt;=1")</f>
        <v>1</v>
      </c>
      <c r="AH151" s="192">
        <f>Table4[[#This Row],[data_observations]]/Table4[[#This Row],[AllObservations_count]]</f>
        <v>1.0638297872340425E-2</v>
      </c>
      <c r="AI151" s="189">
        <f>Table4[[#This Row],[evidenceamount_pct]]*(Table4[[#This Row],[Indicator_12.5pct]])</f>
        <v>0.13297872340425532</v>
      </c>
      <c r="AJ151" s="198">
        <f>(1-(VLOOKUP(Table4[[#This Row],[risk_id]],Table3[],18, FALSE))/(Table4[[#This Row],[data_observations]]))</f>
        <v>1</v>
      </c>
      <c r="AK151" s="198">
        <f>((VLOOKUP(Table4[[#This Row],[risk_id]],Table3[],19, FALSE))+((VLOOKUP(Table4[[#This Row],[risk_id]],Table3[],36, FALSE))*0.5))/(Table4[[#This Row],[data_observations]])</f>
        <v>0.5</v>
      </c>
      <c r="AL151" s="177">
        <f>((Table4[[#This Row],[ev_data_deficient_score]]*0.5)+(Table4[[#This Row],[ev_data_availability_score]]*0.5))*(Table4[[#This Row],[Indicator_12.5pct]])</f>
        <v>9.375</v>
      </c>
      <c r="AM151" s="199">
        <f>Table4[[#This Row],[RiskScore]]</f>
        <v>8</v>
      </c>
      <c r="AN151" s="200">
        <f>VLOOKUP(Table4[[#This Row],[risk_id]], Table3[], 13, FALSE)</f>
        <v>0</v>
      </c>
      <c r="AO151" s="185">
        <f>(1-(Table4[[#This Row],[evidence_SD_RR]]/Table4[[#This Row],[evidence_mean_RR]]))*(Table4[[#This Row],[Indicator_12.5pct]])</f>
        <v>12.5</v>
      </c>
      <c r="AP151" s="201">
        <f>VLOOKUP(Table4[[#This Row],[risk_id]],Table3[],21, FALSE)</f>
        <v>0</v>
      </c>
      <c r="AQ151" s="201">
        <f>VLOOKUP(Table4[[#This Row],[risk_id]],Table3[],23, FALSE)</f>
        <v>0</v>
      </c>
      <c r="AR151" s="201">
        <f>VLOOKUP(Table4[[#This Row],[risk_id]],Table3[],25, FALSE)</f>
        <v>0</v>
      </c>
      <c r="AS151" s="201">
        <f>VLOOKUP(Table4[[#This Row],[risk_id]],Table3[],27, FALSE)</f>
        <v>1</v>
      </c>
      <c r="AT151" s="183">
        <f>(MAX(Table4[[#This Row],[C]:[U]]))*Table4[[#This Row],[Indicator_20pct]]</f>
        <v>10</v>
      </c>
      <c r="AU151" s="205">
        <f>COUNTIFS(Table4[[#This Row],[C]], "&gt;0", Table4[[#This Row],[U]], "&gt;0") + COUNTIFS(Table4[[#This Row],[H]], "&gt;0", Table4[[#This Row],[U]], "&gt;0") + COUNTIFS(Table4[[#This Row],[C]], "&gt;0", Table4[[#This Row],[M]], "&gt;0")</f>
        <v>0</v>
      </c>
      <c r="AV151" s="219">
        <f>((-(Table4[[#This Row],[different_scores_count]]-3))/3)*Table4[[#This Row],[Indicator_20pct]]</f>
        <v>10</v>
      </c>
      <c r="AW151" s="183">
        <f>IF(Table4[[#This Row],[data_observations]]&gt;=5, 30, IF(Table4[[#This Row],[data_observations]]&gt;=3, 15, 0))</f>
        <v>0</v>
      </c>
      <c r="AX151" s="26" t="s">
        <v>2737</v>
      </c>
    </row>
    <row r="152" spans="1:50" ht="32" customHeight="1" x14ac:dyDescent="0.2">
      <c r="A152" s="16" t="s">
        <v>2707</v>
      </c>
      <c r="B152" s="16" t="str">
        <f>VLOOKUP(Table4[[#This Row],[risk_id]], Table3[], 35, FALSE)</f>
        <v>Hazard</v>
      </c>
      <c r="C152" s="16" t="str">
        <f>VLOOKUP(Table4[[#This Row],[risk_id]], Table3[], 2, FALSE)</f>
        <v>Social</v>
      </c>
      <c r="D152" s="15" t="str">
        <f>VLOOKUP(Table4[[#This Row],[risk_id]], Table3[], 3, FALSE)</f>
        <v>Priacy</v>
      </c>
      <c r="E152"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UNDETECTABLE</v>
      </c>
      <c r="F152" s="300">
        <f t="shared" si="8"/>
        <v>8</v>
      </c>
      <c r="G152" s="31">
        <f>Table4[[#This Row],[DataQuality_Score]]</f>
        <v>0.45132978723404255</v>
      </c>
      <c r="H152"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52" s="27" t="str">
        <f>Table4[[#This Row],[LoA - Metric]]&amp; ", " &amp;Table4[[#This Row],[ES - Metric]]</f>
        <v>Medium agreement, Medium evidence</v>
      </c>
      <c r="J152" s="222">
        <f>(Table4[[#This Row],[LoA_SCORE]]+Table4[[#This Row],[ES_SCORE]])/100</f>
        <v>0.45132978723404255</v>
      </c>
      <c r="K152"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52"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52" s="179">
        <f>Table4[[#This Row],[probability_average]]</f>
        <v>2</v>
      </c>
      <c r="N152" s="181">
        <f>Table4[[#This Row],[consequence_average]]</f>
        <v>4</v>
      </c>
      <c r="O152" s="220">
        <f>Table4[[#This Row],[agreementPCT_score]]+Table4[[#This Row],[agreement_dist_score]]+Table4[[#This Row],[LoA_AQ_score]]</f>
        <v>20</v>
      </c>
      <c r="P152" s="203">
        <f>Table4[[#This Row],[evidenceconsistency_score]]+Table4[[#This Row],[EQ_score]]+Table4[[#This Row],[EA_score]]+Table4[[#This Row],[ET_score]]</f>
        <v>25.132978723404257</v>
      </c>
      <c r="Q152" s="181">
        <f>VLOOKUP(Table4[[#This Row],[risk_id]],Table3[],10,FALSE)</f>
        <v>4</v>
      </c>
      <c r="R152" s="181">
        <f>VLOOKUP(Table4[[#This Row],[risk_id]],Table3[],9,FALSE)</f>
        <v>4</v>
      </c>
      <c r="S152" s="179">
        <f>VLOOKUP(Table4[[#This Row],[risk_id]],Table3[],7,FALSE)</f>
        <v>2</v>
      </c>
      <c r="T152" s="179">
        <f>VLOOKUP(Table4[[#This Row],[risk_id]],Table3[],6,FALSE)</f>
        <v>2</v>
      </c>
      <c r="U152" s="177">
        <f t="shared" si="9"/>
        <v>12.5</v>
      </c>
      <c r="V152" s="187">
        <f>10</f>
        <v>10</v>
      </c>
      <c r="W152" s="187">
        <f>30</f>
        <v>30</v>
      </c>
      <c r="X152" s="17">
        <f>VLOOKUP(Table4[[#This Row],[risk_id]],Table3[],5,FALSE)</f>
        <v>1</v>
      </c>
      <c r="Y152" s="17">
        <f>94</f>
        <v>94</v>
      </c>
      <c r="Z152" s="177">
        <f>Table4[[#This Row],[EStype_summed]]*Table4[[#This Row],[Indicator_12.5pct]]</f>
        <v>3.125</v>
      </c>
      <c r="AA152" s="190">
        <f>(IF(Table4[[#This Row],[all_evtype]]&gt;=4,"4", IF(Table4[[#This Row],[all_evtype]]&gt;=3,"3", IF(Table4[[#This Row],[all_evtype]]&gt;=2,"2", IF(Table4[[#This Row],[all_evtype]]&gt;=1,"1","0")))))/Table4[[#This Row],[HPS_et]]</f>
        <v>0.25</v>
      </c>
      <c r="AB152" s="191">
        <f>VLOOKUP(Table4[[#This Row],[risk_id]],Table3[], 14, FALSE)</f>
        <v>0</v>
      </c>
      <c r="AC152" s="191">
        <f>VLOOKUP(Table4[[#This Row],[risk_id]],Table3[], 15, FALSE)</f>
        <v>1</v>
      </c>
      <c r="AD152" s="191">
        <f>VLOOKUP(Table4[[#This Row],[risk_id]], Table3[], 16, FALSE)</f>
        <v>0</v>
      </c>
      <c r="AE152" s="191">
        <f>VLOOKUP(Table4[[#This Row],[risk_id]], Table3[], 17, )</f>
        <v>0</v>
      </c>
      <c r="AF152" s="191">
        <f>4</f>
        <v>4</v>
      </c>
      <c r="AG152" s="191">
        <f>COUNTIF(Table4[[#This Row],[THEO]:[MOD]], "&gt;=1")</f>
        <v>1</v>
      </c>
      <c r="AH152" s="192">
        <f>Table4[[#This Row],[data_observations]]/Table4[[#This Row],[AllObservations_count]]</f>
        <v>1.0638297872340425E-2</v>
      </c>
      <c r="AI152" s="189">
        <f>Table4[[#This Row],[evidenceamount_pct]]*(Table4[[#This Row],[Indicator_12.5pct]])</f>
        <v>0.13297872340425532</v>
      </c>
      <c r="AJ152" s="198">
        <f>(1-(VLOOKUP(Table4[[#This Row],[risk_id]],Table3[],18, FALSE))/(Table4[[#This Row],[data_observations]]))</f>
        <v>1</v>
      </c>
      <c r="AK152" s="198">
        <f>((VLOOKUP(Table4[[#This Row],[risk_id]],Table3[],19, FALSE))+((VLOOKUP(Table4[[#This Row],[risk_id]],Table3[],36, FALSE))*0.5))/(Table4[[#This Row],[data_observations]])</f>
        <v>0.5</v>
      </c>
      <c r="AL152" s="177">
        <f>((Table4[[#This Row],[ev_data_deficient_score]]*0.5)+(Table4[[#This Row],[ev_data_availability_score]]*0.5))*(Table4[[#This Row],[Indicator_12.5pct]])</f>
        <v>9.375</v>
      </c>
      <c r="AM152" s="199">
        <f>Table4[[#This Row],[RiskScore]]</f>
        <v>8</v>
      </c>
      <c r="AN152" s="200">
        <f>VLOOKUP(Table4[[#This Row],[risk_id]], Table3[], 13, FALSE)</f>
        <v>0</v>
      </c>
      <c r="AO152" s="185">
        <f>(1-(Table4[[#This Row],[evidence_SD_RR]]/Table4[[#This Row],[evidence_mean_RR]]))*(Table4[[#This Row],[Indicator_12.5pct]])</f>
        <v>12.5</v>
      </c>
      <c r="AP152" s="201">
        <f>VLOOKUP(Table4[[#This Row],[risk_id]],Table3[],21, FALSE)</f>
        <v>0</v>
      </c>
      <c r="AQ152" s="201">
        <f>VLOOKUP(Table4[[#This Row],[risk_id]],Table3[],23, FALSE)</f>
        <v>0</v>
      </c>
      <c r="AR152" s="201">
        <f>VLOOKUP(Table4[[#This Row],[risk_id]],Table3[],25, FALSE)</f>
        <v>0</v>
      </c>
      <c r="AS152" s="201">
        <f>VLOOKUP(Table4[[#This Row],[risk_id]],Table3[],27, FALSE)</f>
        <v>1</v>
      </c>
      <c r="AT152" s="183">
        <f>(MAX(Table4[[#This Row],[C]:[U]]))*Table4[[#This Row],[Indicator_20pct]]</f>
        <v>10</v>
      </c>
      <c r="AU152" s="205">
        <f>COUNTIFS(Table4[[#This Row],[C]], "&gt;0", Table4[[#This Row],[U]], "&gt;0") + COUNTIFS(Table4[[#This Row],[H]], "&gt;0", Table4[[#This Row],[U]], "&gt;0") + COUNTIFS(Table4[[#This Row],[C]], "&gt;0", Table4[[#This Row],[M]], "&gt;0")</f>
        <v>0</v>
      </c>
      <c r="AV152" s="219">
        <f>((-(Table4[[#This Row],[different_scores_count]]-3))/3)*Table4[[#This Row],[Indicator_20pct]]</f>
        <v>10</v>
      </c>
      <c r="AW152" s="183">
        <f>IF(Table4[[#This Row],[data_observations]]&gt;=5, 30, IF(Table4[[#This Row],[data_observations]]&gt;=3, 15, 0))</f>
        <v>0</v>
      </c>
      <c r="AX152" s="26" t="s">
        <v>2737</v>
      </c>
    </row>
    <row r="153" spans="1:50" ht="32" customHeight="1" x14ac:dyDescent="0.2">
      <c r="A153" s="16" t="s">
        <v>2669</v>
      </c>
      <c r="B153" s="16" t="str">
        <f>VLOOKUP(Table4[[#This Row],[risk_id]], Table3[], 35, FALSE)</f>
        <v>Hazard</v>
      </c>
      <c r="C153" s="16" t="str">
        <f>VLOOKUP(Table4[[#This Row],[risk_id]], Table3[], 2, FALSE)</f>
        <v>Operational</v>
      </c>
      <c r="D153" s="15" t="str">
        <f>VLOOKUP(Table4[[#This Row],[risk_id]], Table3[], 3, FALSE)</f>
        <v>Bunker connection hose damaged/ruptured</v>
      </c>
      <c r="E153"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UNDETECTABLE</v>
      </c>
      <c r="F153" s="300">
        <f t="shared" si="8"/>
        <v>4</v>
      </c>
      <c r="G153" s="31">
        <f>Table4[[#This Row],[DataQuality_Score]]</f>
        <v>0.45132978723404255</v>
      </c>
      <c r="H153"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53" s="27" t="str">
        <f>Table4[[#This Row],[LoA - Metric]]&amp; ", " &amp;Table4[[#This Row],[ES - Metric]]</f>
        <v>Medium agreement, Medium evidence</v>
      </c>
      <c r="J153" s="222">
        <f>(Table4[[#This Row],[LoA_SCORE]]+Table4[[#This Row],[ES_SCORE]])/100</f>
        <v>0.45132978723404255</v>
      </c>
      <c r="K153"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53"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53" s="179">
        <f>Table4[[#This Row],[probability_average]]</f>
        <v>1</v>
      </c>
      <c r="N153" s="181">
        <f>Table4[[#This Row],[consequence_average]]</f>
        <v>4</v>
      </c>
      <c r="O153" s="220">
        <f>Table4[[#This Row],[agreementPCT_score]]+Table4[[#This Row],[agreement_dist_score]]+Table4[[#This Row],[LoA_AQ_score]]</f>
        <v>20</v>
      </c>
      <c r="P153" s="203">
        <f>Table4[[#This Row],[evidenceconsistency_score]]+Table4[[#This Row],[EQ_score]]+Table4[[#This Row],[EA_score]]+Table4[[#This Row],[ET_score]]</f>
        <v>25.132978723404257</v>
      </c>
      <c r="Q153" s="181">
        <f>VLOOKUP(Table4[[#This Row],[risk_id]],Table3[],10,FALSE)</f>
        <v>4</v>
      </c>
      <c r="R153" s="181">
        <f>VLOOKUP(Table4[[#This Row],[risk_id]],Table3[],9,FALSE)</f>
        <v>4</v>
      </c>
      <c r="S153" s="179">
        <f>VLOOKUP(Table4[[#This Row],[risk_id]],Table3[],7,FALSE)</f>
        <v>1</v>
      </c>
      <c r="T153" s="179">
        <f>VLOOKUP(Table4[[#This Row],[risk_id]],Table3[],6,FALSE)</f>
        <v>1</v>
      </c>
      <c r="U153" s="177">
        <f t="shared" si="9"/>
        <v>12.5</v>
      </c>
      <c r="V153" s="187">
        <f>10</f>
        <v>10</v>
      </c>
      <c r="W153" s="187">
        <f>30</f>
        <v>30</v>
      </c>
      <c r="X153" s="17">
        <f>VLOOKUP(Table4[[#This Row],[risk_id]],Table3[],5,FALSE)</f>
        <v>1</v>
      </c>
      <c r="Y153" s="17">
        <f>94</f>
        <v>94</v>
      </c>
      <c r="Z153" s="177">
        <f>Table4[[#This Row],[EStype_summed]]*Table4[[#This Row],[Indicator_12.5pct]]</f>
        <v>3.125</v>
      </c>
      <c r="AA153" s="190">
        <f>(IF(Table4[[#This Row],[all_evtype]]&gt;=4,"4", IF(Table4[[#This Row],[all_evtype]]&gt;=3,"3", IF(Table4[[#This Row],[all_evtype]]&gt;=2,"2", IF(Table4[[#This Row],[all_evtype]]&gt;=1,"1","0")))))/Table4[[#This Row],[HPS_et]]</f>
        <v>0.25</v>
      </c>
      <c r="AB153" s="191">
        <f>VLOOKUP(Table4[[#This Row],[risk_id]],Table3[], 14, FALSE)</f>
        <v>0</v>
      </c>
      <c r="AC153" s="191">
        <f>VLOOKUP(Table4[[#This Row],[risk_id]],Table3[], 15, FALSE)</f>
        <v>0</v>
      </c>
      <c r="AD153" s="191">
        <f>VLOOKUP(Table4[[#This Row],[risk_id]], Table3[], 16, FALSE)</f>
        <v>1</v>
      </c>
      <c r="AE153" s="191">
        <f>VLOOKUP(Table4[[#This Row],[risk_id]], Table3[], 17, )</f>
        <v>0</v>
      </c>
      <c r="AF153" s="191">
        <f>4</f>
        <v>4</v>
      </c>
      <c r="AG153" s="191">
        <f>COUNTIF(Table4[[#This Row],[THEO]:[MOD]], "&gt;=1")</f>
        <v>1</v>
      </c>
      <c r="AH153" s="192">
        <f>Table4[[#This Row],[data_observations]]/Table4[[#This Row],[AllObservations_count]]</f>
        <v>1.0638297872340425E-2</v>
      </c>
      <c r="AI153" s="189">
        <f>Table4[[#This Row],[evidenceamount_pct]]*(Table4[[#This Row],[Indicator_12.5pct]])</f>
        <v>0.13297872340425532</v>
      </c>
      <c r="AJ153" s="198">
        <f>(1-(VLOOKUP(Table4[[#This Row],[risk_id]],Table3[],18, FALSE))/(Table4[[#This Row],[data_observations]]))</f>
        <v>1</v>
      </c>
      <c r="AK153" s="198">
        <f>((VLOOKUP(Table4[[#This Row],[risk_id]],Table3[],19, FALSE))+((VLOOKUP(Table4[[#This Row],[risk_id]],Table3[],36, FALSE))*0.5))/(Table4[[#This Row],[data_observations]])</f>
        <v>0.5</v>
      </c>
      <c r="AL153" s="177">
        <f>((Table4[[#This Row],[ev_data_deficient_score]]*0.5)+(Table4[[#This Row],[ev_data_availability_score]]*0.5))*(Table4[[#This Row],[Indicator_12.5pct]])</f>
        <v>9.375</v>
      </c>
      <c r="AM153" s="199">
        <f>Table4[[#This Row],[RiskScore]]</f>
        <v>4</v>
      </c>
      <c r="AN153" s="200">
        <f>VLOOKUP(Table4[[#This Row],[risk_id]], Table3[], 13, FALSE)</f>
        <v>0</v>
      </c>
      <c r="AO153" s="185">
        <f>(1-(Table4[[#This Row],[evidence_SD_RR]]/Table4[[#This Row],[evidence_mean_RR]]))*(Table4[[#This Row],[Indicator_12.5pct]])</f>
        <v>12.5</v>
      </c>
      <c r="AP153" s="201">
        <f>VLOOKUP(Table4[[#This Row],[risk_id]],Table3[],21, FALSE)</f>
        <v>0</v>
      </c>
      <c r="AQ153" s="201">
        <f>VLOOKUP(Table4[[#This Row],[risk_id]],Table3[],23, FALSE)</f>
        <v>0</v>
      </c>
      <c r="AR153" s="201">
        <f>VLOOKUP(Table4[[#This Row],[risk_id]],Table3[],25, FALSE)</f>
        <v>0</v>
      </c>
      <c r="AS153" s="201">
        <f>VLOOKUP(Table4[[#This Row],[risk_id]],Table3[],27, FALSE)</f>
        <v>1</v>
      </c>
      <c r="AT153" s="183">
        <f>(MAX(Table4[[#This Row],[C]:[U]]))*Table4[[#This Row],[Indicator_20pct]]</f>
        <v>10</v>
      </c>
      <c r="AU153" s="205">
        <f>COUNTIFS(Table4[[#This Row],[C]], "&gt;0", Table4[[#This Row],[U]], "&gt;0") + COUNTIFS(Table4[[#This Row],[H]], "&gt;0", Table4[[#This Row],[U]], "&gt;0") + COUNTIFS(Table4[[#This Row],[C]], "&gt;0", Table4[[#This Row],[M]], "&gt;0")</f>
        <v>0</v>
      </c>
      <c r="AV153" s="219">
        <f>((-(Table4[[#This Row],[different_scores_count]]-3))/3)*Table4[[#This Row],[Indicator_20pct]]</f>
        <v>10</v>
      </c>
      <c r="AW153" s="183">
        <f>IF(Table4[[#This Row],[data_observations]]&gt;=5, 30, IF(Table4[[#This Row],[data_observations]]&gt;=3, 15, 0))</f>
        <v>0</v>
      </c>
      <c r="AX153" s="26" t="s">
        <v>2737</v>
      </c>
    </row>
    <row r="154" spans="1:50" ht="32" customHeight="1" x14ac:dyDescent="0.2">
      <c r="A154" s="16" t="s">
        <v>2670</v>
      </c>
      <c r="B154" s="16" t="str">
        <f>VLOOKUP(Table4[[#This Row],[risk_id]], Table3[], 35, FALSE)</f>
        <v>Hazard</v>
      </c>
      <c r="C154" s="16" t="str">
        <f>VLOOKUP(Table4[[#This Row],[risk_id]], Table3[], 2, FALSE)</f>
        <v>Operational</v>
      </c>
      <c r="D154" s="15" t="str">
        <f>VLOOKUP(Table4[[#This Row],[risk_id]], Table3[], 3, FALSE)</f>
        <v>Bunkering operations</v>
      </c>
      <c r="E154"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UNDETECTABLE</v>
      </c>
      <c r="F154" s="300">
        <f t="shared" si="8"/>
        <v>4</v>
      </c>
      <c r="G154" s="31">
        <f>Table4[[#This Row],[DataQuality_Score]]</f>
        <v>0.45132978723404255</v>
      </c>
      <c r="H154"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54" s="27" t="str">
        <f>Table4[[#This Row],[LoA - Metric]]&amp; ", " &amp;Table4[[#This Row],[ES - Metric]]</f>
        <v>Medium agreement, Medium evidence</v>
      </c>
      <c r="J154" s="222">
        <f>(Table4[[#This Row],[LoA_SCORE]]+Table4[[#This Row],[ES_SCORE]])/100</f>
        <v>0.45132978723404255</v>
      </c>
      <c r="K154"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54"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54" s="179">
        <f>Table4[[#This Row],[probability_average]]</f>
        <v>1</v>
      </c>
      <c r="N154" s="181">
        <f>Table4[[#This Row],[consequence_average]]</f>
        <v>4</v>
      </c>
      <c r="O154" s="220">
        <f>Table4[[#This Row],[agreementPCT_score]]+Table4[[#This Row],[agreement_dist_score]]+Table4[[#This Row],[LoA_AQ_score]]</f>
        <v>20</v>
      </c>
      <c r="P154" s="203">
        <f>Table4[[#This Row],[evidenceconsistency_score]]+Table4[[#This Row],[EQ_score]]+Table4[[#This Row],[EA_score]]+Table4[[#This Row],[ET_score]]</f>
        <v>25.132978723404257</v>
      </c>
      <c r="Q154" s="181">
        <f>VLOOKUP(Table4[[#This Row],[risk_id]],Table3[],10,FALSE)</f>
        <v>4</v>
      </c>
      <c r="R154" s="181">
        <f>VLOOKUP(Table4[[#This Row],[risk_id]],Table3[],9,FALSE)</f>
        <v>4</v>
      </c>
      <c r="S154" s="179">
        <f>VLOOKUP(Table4[[#This Row],[risk_id]],Table3[],7,FALSE)</f>
        <v>1</v>
      </c>
      <c r="T154" s="179">
        <f>VLOOKUP(Table4[[#This Row],[risk_id]],Table3[],6,FALSE)</f>
        <v>1</v>
      </c>
      <c r="U154" s="177">
        <f t="shared" si="9"/>
        <v>12.5</v>
      </c>
      <c r="V154" s="187">
        <f>10</f>
        <v>10</v>
      </c>
      <c r="W154" s="187">
        <f>30</f>
        <v>30</v>
      </c>
      <c r="X154" s="17">
        <f>VLOOKUP(Table4[[#This Row],[risk_id]],Table3[],5,FALSE)</f>
        <v>1</v>
      </c>
      <c r="Y154" s="17">
        <f>94</f>
        <v>94</v>
      </c>
      <c r="Z154" s="177">
        <f>Table4[[#This Row],[EStype_summed]]*Table4[[#This Row],[Indicator_12.5pct]]</f>
        <v>3.125</v>
      </c>
      <c r="AA154" s="190">
        <f>(IF(Table4[[#This Row],[all_evtype]]&gt;=4,"4", IF(Table4[[#This Row],[all_evtype]]&gt;=3,"3", IF(Table4[[#This Row],[all_evtype]]&gt;=2,"2", IF(Table4[[#This Row],[all_evtype]]&gt;=1,"1","0")))))/Table4[[#This Row],[HPS_et]]</f>
        <v>0.25</v>
      </c>
      <c r="AB154" s="191">
        <f>VLOOKUP(Table4[[#This Row],[risk_id]],Table3[], 14, FALSE)</f>
        <v>0</v>
      </c>
      <c r="AC154" s="191">
        <f>VLOOKUP(Table4[[#This Row],[risk_id]],Table3[], 15, FALSE)</f>
        <v>0</v>
      </c>
      <c r="AD154" s="191">
        <f>VLOOKUP(Table4[[#This Row],[risk_id]], Table3[], 16, FALSE)</f>
        <v>1</v>
      </c>
      <c r="AE154" s="191">
        <f>VLOOKUP(Table4[[#This Row],[risk_id]], Table3[], 17, )</f>
        <v>0</v>
      </c>
      <c r="AF154" s="191">
        <f>4</f>
        <v>4</v>
      </c>
      <c r="AG154" s="191">
        <f>COUNTIF(Table4[[#This Row],[THEO]:[MOD]], "&gt;=1")</f>
        <v>1</v>
      </c>
      <c r="AH154" s="192">
        <f>Table4[[#This Row],[data_observations]]/Table4[[#This Row],[AllObservations_count]]</f>
        <v>1.0638297872340425E-2</v>
      </c>
      <c r="AI154" s="189">
        <f>Table4[[#This Row],[evidenceamount_pct]]*(Table4[[#This Row],[Indicator_12.5pct]])</f>
        <v>0.13297872340425532</v>
      </c>
      <c r="AJ154" s="198">
        <f>(1-(VLOOKUP(Table4[[#This Row],[risk_id]],Table3[],18, FALSE))/(Table4[[#This Row],[data_observations]]))</f>
        <v>1</v>
      </c>
      <c r="AK154" s="198">
        <f>((VLOOKUP(Table4[[#This Row],[risk_id]],Table3[],19, FALSE))+((VLOOKUP(Table4[[#This Row],[risk_id]],Table3[],36, FALSE))*0.5))/(Table4[[#This Row],[data_observations]])</f>
        <v>0.5</v>
      </c>
      <c r="AL154" s="177">
        <f>((Table4[[#This Row],[ev_data_deficient_score]]*0.5)+(Table4[[#This Row],[ev_data_availability_score]]*0.5))*(Table4[[#This Row],[Indicator_12.5pct]])</f>
        <v>9.375</v>
      </c>
      <c r="AM154" s="199">
        <f>Table4[[#This Row],[RiskScore]]</f>
        <v>4</v>
      </c>
      <c r="AN154" s="200">
        <f>VLOOKUP(Table4[[#This Row],[risk_id]], Table3[], 13, FALSE)</f>
        <v>0</v>
      </c>
      <c r="AO154" s="185">
        <f>(1-(Table4[[#This Row],[evidence_SD_RR]]/Table4[[#This Row],[evidence_mean_RR]]))*(Table4[[#This Row],[Indicator_12.5pct]])</f>
        <v>12.5</v>
      </c>
      <c r="AP154" s="201">
        <f>VLOOKUP(Table4[[#This Row],[risk_id]],Table3[],21, FALSE)</f>
        <v>0</v>
      </c>
      <c r="AQ154" s="201">
        <f>VLOOKUP(Table4[[#This Row],[risk_id]],Table3[],23, FALSE)</f>
        <v>0</v>
      </c>
      <c r="AR154" s="201">
        <f>VLOOKUP(Table4[[#This Row],[risk_id]],Table3[],25, FALSE)</f>
        <v>0</v>
      </c>
      <c r="AS154" s="201">
        <f>VLOOKUP(Table4[[#This Row],[risk_id]],Table3[],27, FALSE)</f>
        <v>1</v>
      </c>
      <c r="AT154" s="183">
        <f>(MAX(Table4[[#This Row],[C]:[U]]))*Table4[[#This Row],[Indicator_20pct]]</f>
        <v>10</v>
      </c>
      <c r="AU154" s="205">
        <f>COUNTIFS(Table4[[#This Row],[C]], "&gt;0", Table4[[#This Row],[U]], "&gt;0") + COUNTIFS(Table4[[#This Row],[H]], "&gt;0", Table4[[#This Row],[U]], "&gt;0") + COUNTIFS(Table4[[#This Row],[C]], "&gt;0", Table4[[#This Row],[M]], "&gt;0")</f>
        <v>0</v>
      </c>
      <c r="AV154" s="219">
        <f>((-(Table4[[#This Row],[different_scores_count]]-3))/3)*Table4[[#This Row],[Indicator_20pct]]</f>
        <v>10</v>
      </c>
      <c r="AW154" s="183">
        <f>IF(Table4[[#This Row],[data_observations]]&gt;=5, 30, IF(Table4[[#This Row],[data_observations]]&gt;=3, 15, 0))</f>
        <v>0</v>
      </c>
      <c r="AX154" s="26" t="s">
        <v>2737</v>
      </c>
    </row>
    <row r="155" spans="1:50" ht="32" customHeight="1" x14ac:dyDescent="0.2">
      <c r="A155" s="16" t="s">
        <v>2726</v>
      </c>
      <c r="B155" s="16" t="str">
        <f>VLOOKUP(Table4[[#This Row],[risk_id]], Table3[], 35, FALSE)</f>
        <v>Hazard</v>
      </c>
      <c r="C155" s="16" t="str">
        <f>VLOOKUP(Table4[[#This Row],[risk_id]], Table3[], 2, FALSE)</f>
        <v>Social</v>
      </c>
      <c r="D155" s="15" t="str">
        <f>VLOOKUP(Table4[[#This Row],[risk_id]], Table3[], 3, FALSE)</f>
        <v>Violence or violent acts</v>
      </c>
      <c r="E155" s="17" t="str">
        <f>IF(AND(Table4[[#This Row],[RiskScore]]&gt;=0, 9.999&gt;=Table4[[#This Row],[RiskScore]]), "UNDETECTABLE", IF(AND(Table4[[#This Row],[RiskScore]]&gt;9.001, 24.999&gt;=Table4[[#This Row],[RiskScore]]), "MODERATE", IF(AND(Table4[[#This Row],[RiskScore]]&gt;=25, 35.9999&gt;=Table4[[#This Row],[RiskScore]]), "HIGH", IF(AND(Table4[[#This Row],[RiskScore]]&gt;36, 50&gt;=Table4[[#This Row],[RiskScore]]), "VERY HIGH", "Check Formula"))))</f>
        <v>UNDETECTABLE</v>
      </c>
      <c r="F155" s="300">
        <f t="shared" si="8"/>
        <v>2</v>
      </c>
      <c r="G155" s="31">
        <f>Table4[[#This Row],[DataQuality_Score]]</f>
        <v>0.48257978723404255</v>
      </c>
      <c r="H155" s="27" t="str">
        <f xml:space="preserve"> IF(AND(Table4[[#This Row],[DataQuality_Score]]&gt;0, 0.2&gt;=Table4[[#This Row],[DataQuality_Score]]), "VERY LOW", IF(AND(Table4[[#This Row],[DataQuality_Score]]&gt;0.201, 0.4 &gt;=Table4[[#This Row],[DataQuality_Score]]), "LOW", IF(AND(Table4[[#This Row],[DataQuality_Score]]&gt;0.401, 0.6&gt;=Table4[[#This Row],[DataQuality_Score]]), "MODERATE", IF(AND(Table4[[#This Row],[DataQuality_Score]]&gt;0.6000001, 0.8&gt;=Table4[[#This Row],[DataQuality_Score]]), "HIGH", IF(AND(Table4[[#This Row],[DataQuality_Score]]&gt;0.800001, 1&gt;=Table4[[#This Row],[DataQuality_Score]]), "VERY HIGH", "Check Formula")))))</f>
        <v>MODERATE</v>
      </c>
      <c r="I155" s="27" t="str">
        <f>Table4[[#This Row],[LoA - Metric]]&amp; ", " &amp;Table4[[#This Row],[ES - Metric]]</f>
        <v>Medium agreement, Medium evidence</v>
      </c>
      <c r="J155" s="222">
        <f>(Table4[[#This Row],[LoA_SCORE]]+Table4[[#This Row],[ES_SCORE]])/100</f>
        <v>0.48257978723404255</v>
      </c>
      <c r="K155" s="175" t="str">
        <f xml:space="preserve"> IF(AND(Table4[[#This Row],[LoA_SCORE]]&gt;=0, 16.66&gt;=Table4[[#This Row],[LoA_SCORE]]), "Low agreement", IF(AND(Table4[[#This Row],[LoA_SCORE]]&gt;=16.67, 33.33 &gt;=Table4[[#This Row],[LoA_SCORE]]), "Medium agreement", IF(AND(Table4[[#This Row],[LoA_SCORE]]&gt;=33.34, 50&gt;=Table4[[#This Row],[LoA_SCORE]]), "High agreement", "Check Formula")))</f>
        <v>Medium agreement</v>
      </c>
      <c r="L155" s="175" t="str">
        <f xml:space="preserve"> IF(AND(Table4[[#This Row],[ES_SCORE]]&gt;=0, 16.66&gt;=Table4[[#This Row],[ES_SCORE]]), "Limited evidence", IF(AND(Table4[[#This Row],[ES_SCORE]]&gt;=16.67, 33.33 &gt;=Table4[[#This Row],[ES_SCORE]]), "Medium evidence", IF(AND(Table4[[#This Row],[ES_SCORE]]&gt;=33.34, 50&gt;=Table4[[#This Row],[ES_SCORE]]), "Robust evidence", "Check Formula")))</f>
        <v>Medium evidence</v>
      </c>
      <c r="M155" s="179">
        <f>Table4[[#This Row],[probability_average]]</f>
        <v>2</v>
      </c>
      <c r="N155" s="16">
        <f>Table4[[#This Row],[consequence_average]]</f>
        <v>1</v>
      </c>
      <c r="O155" s="220">
        <f>Table4[[#This Row],[agreementPCT_score]]+Table4[[#This Row],[agreement_dist_score]]+Table4[[#This Row],[LoA_AQ_score]]</f>
        <v>20</v>
      </c>
      <c r="P155" s="203">
        <f>Table4[[#This Row],[evidenceconsistency_score]]+Table4[[#This Row],[EQ_score]]+Table4[[#This Row],[EA_score]]+Table4[[#This Row],[ET_score]]</f>
        <v>28.257978723404257</v>
      </c>
      <c r="Q155" s="181">
        <f>VLOOKUP(Table4[[#This Row],[risk_id]],Table3[],10,FALSE)</f>
        <v>1</v>
      </c>
      <c r="R155" s="181">
        <f>VLOOKUP(Table4[[#This Row],[risk_id]],Table3[],9,FALSE)</f>
        <v>1</v>
      </c>
      <c r="S155" s="16">
        <f>VLOOKUP(Table4[[#This Row],[risk_id]],Table3[],7,FALSE)</f>
        <v>2</v>
      </c>
      <c r="T155" s="16">
        <f>VLOOKUP(Table4[[#This Row],[risk_id]],Table3[],6,FALSE)</f>
        <v>2</v>
      </c>
      <c r="U155" s="17">
        <f t="shared" si="9"/>
        <v>12.5</v>
      </c>
      <c r="V155" s="187">
        <f>10</f>
        <v>10</v>
      </c>
      <c r="W155" s="187">
        <f>30</f>
        <v>30</v>
      </c>
      <c r="X155" s="17">
        <f>VLOOKUP(Table4[[#This Row],[risk_id]],Table3[],5,FALSE)</f>
        <v>1</v>
      </c>
      <c r="Y155" s="17">
        <f>94</f>
        <v>94</v>
      </c>
      <c r="Z155" s="177">
        <f>Table4[[#This Row],[EStype_summed]]*Table4[[#This Row],[Indicator_12.5pct]]</f>
        <v>3.125</v>
      </c>
      <c r="AA155" s="190">
        <f>(IF(Table4[[#This Row],[all_evtype]]&gt;=4,"4", IF(Table4[[#This Row],[all_evtype]]&gt;=3,"3", IF(Table4[[#This Row],[all_evtype]]&gt;=2,"2", IF(Table4[[#This Row],[all_evtype]]&gt;=1,"1","0")))))/Table4[[#This Row],[HPS_et]]</f>
        <v>0.25</v>
      </c>
      <c r="AB155" s="191">
        <f>VLOOKUP(Table4[[#This Row],[risk_id]],Table3[], 14, FALSE)</f>
        <v>0</v>
      </c>
      <c r="AC155" s="191">
        <f>VLOOKUP(Table4[[#This Row],[risk_id]],Table3[], 15, FALSE)</f>
        <v>1</v>
      </c>
      <c r="AD155" s="191">
        <f>VLOOKUP(Table4[[#This Row],[risk_id]], Table3[], 16, FALSE)</f>
        <v>0</v>
      </c>
      <c r="AE155" s="191">
        <f>VLOOKUP(Table4[[#This Row],[risk_id]], Table3[], 17, )</f>
        <v>0</v>
      </c>
      <c r="AF155" s="191">
        <f>4</f>
        <v>4</v>
      </c>
      <c r="AG155" s="191">
        <f>COUNTIF(Table4[[#This Row],[THEO]:[MOD]], "&gt;=1")</f>
        <v>1</v>
      </c>
      <c r="AH155" s="192">
        <f>Table4[[#This Row],[data_observations]]/Table4[[#This Row],[AllObservations_count]]</f>
        <v>1.0638297872340425E-2</v>
      </c>
      <c r="AI155" s="189">
        <f>Table4[[#This Row],[evidenceamount_pct]]*(Table4[[#This Row],[Indicator_12.5pct]])</f>
        <v>0.13297872340425532</v>
      </c>
      <c r="AJ155" s="198">
        <f>(1-(VLOOKUP(Table4[[#This Row],[risk_id]],Table3[],18, FALSE))/(Table4[[#This Row],[data_observations]]))</f>
        <v>1</v>
      </c>
      <c r="AK155" s="198">
        <f>((VLOOKUP(Table4[[#This Row],[risk_id]],Table3[],19, FALSE))+((VLOOKUP(Table4[[#This Row],[risk_id]],Table3[],36, FALSE))*0.5))/(Table4[[#This Row],[data_observations]])</f>
        <v>1</v>
      </c>
      <c r="AL155" s="177">
        <f>((Table4[[#This Row],[ev_data_deficient_score]]*0.5)+(Table4[[#This Row],[ev_data_availability_score]]*0.5))*(Table4[[#This Row],[Indicator_12.5pct]])</f>
        <v>12.5</v>
      </c>
      <c r="AM155" s="199">
        <f>Table4[[#This Row],[RiskScore]]</f>
        <v>2</v>
      </c>
      <c r="AN155" s="200">
        <f>VLOOKUP(Table4[[#This Row],[risk_id]], Table3[], 13, FALSE)</f>
        <v>0</v>
      </c>
      <c r="AO155" s="185">
        <f>(1-(Table4[[#This Row],[evidence_SD_RR]]/Table4[[#This Row],[evidence_mean_RR]]))*(Table4[[#This Row],[Indicator_12.5pct]])</f>
        <v>12.5</v>
      </c>
      <c r="AP155" s="201">
        <f>VLOOKUP(Table4[[#This Row],[risk_id]],Table3[],21, FALSE)</f>
        <v>0</v>
      </c>
      <c r="AQ155" s="201">
        <f>VLOOKUP(Table4[[#This Row],[risk_id]],Table3[],23, FALSE)</f>
        <v>0</v>
      </c>
      <c r="AR155" s="201">
        <f>VLOOKUP(Table4[[#This Row],[risk_id]],Table3[],25, FALSE)</f>
        <v>0</v>
      </c>
      <c r="AS155" s="201">
        <f>VLOOKUP(Table4[[#This Row],[risk_id]],Table3[],27, FALSE)</f>
        <v>1</v>
      </c>
      <c r="AT155" s="183">
        <f>(MAX(Table4[[#This Row],[C]:[U]]))*Table4[[#This Row],[Indicator_20pct]]</f>
        <v>10</v>
      </c>
      <c r="AU155" s="205">
        <f>COUNTIFS(Table4[[#This Row],[C]], "&gt;0", Table4[[#This Row],[U]], "&gt;0") + COUNTIFS(Table4[[#This Row],[H]], "&gt;0", Table4[[#This Row],[U]], "&gt;0") + COUNTIFS(Table4[[#This Row],[C]], "&gt;0", Table4[[#This Row],[M]], "&gt;0")</f>
        <v>0</v>
      </c>
      <c r="AV155" s="219">
        <f>((-(Table4[[#This Row],[different_scores_count]]-3))/3)*Table4[[#This Row],[Indicator_20pct]]</f>
        <v>10</v>
      </c>
      <c r="AW155" s="183">
        <f>IF(Table4[[#This Row],[data_observations]]&gt;=5, 30, IF(Table4[[#This Row],[data_observations]]&gt;=3, 15, 0))</f>
        <v>0</v>
      </c>
      <c r="AX155" s="26" t="s">
        <v>2737</v>
      </c>
    </row>
  </sheetData>
  <phoneticPr fontId="9" type="noConversion"/>
  <conditionalFormatting sqref="E1:F1048576">
    <cfRule type="containsText" dxfId="41" priority="1" operator="containsText" text="MODERATE">
      <formula>NOT(ISERROR(SEARCH("MODERATE",E1)))</formula>
    </cfRule>
    <cfRule type="containsText" dxfId="40" priority="2" operator="containsText" text="VERY HIGH">
      <formula>NOT(ISERROR(SEARCH("VERY HIGH",E1)))</formula>
    </cfRule>
    <cfRule type="containsText" dxfId="39" priority="3" operator="containsText" text="HIGH">
      <formula>NOT(ISERROR(SEARCH("HIGH",E1)))</formula>
    </cfRule>
    <cfRule type="cellIs" dxfId="38" priority="4" operator="between">
      <formula>10</formula>
      <formula>24.999</formula>
    </cfRule>
    <cfRule type="cellIs" dxfId="37" priority="5" operator="between">
      <formula>25</formula>
      <formula>35.999</formula>
    </cfRule>
    <cfRule type="cellIs" dxfId="36" priority="6" operator="between">
      <formula>36</formula>
      <formula>50</formula>
    </cfRule>
  </conditionalFormatting>
  <conditionalFormatting sqref="G1:G1048576">
    <cfRule type="iconSet" priority="7">
      <iconSet iconSet="5Rating">
        <cfvo type="percent" val="0"/>
        <cfvo type="num" val="0.2"/>
        <cfvo type="num" val="0.4"/>
        <cfvo type="num" val="0.6"/>
        <cfvo type="num" val="0.8"/>
      </iconSet>
    </cfRule>
  </conditionalFormatting>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FD24E-7B00-BE40-AD54-413CFF6DED66}">
  <sheetPr>
    <tabColor theme="8" tint="-0.249977111117893"/>
  </sheetPr>
  <dimension ref="A1:X27"/>
  <sheetViews>
    <sheetView workbookViewId="0">
      <selection activeCell="G13" sqref="G13"/>
    </sheetView>
  </sheetViews>
  <sheetFormatPr baseColWidth="10" defaultRowHeight="16" x14ac:dyDescent="0.2"/>
  <cols>
    <col min="2" max="2" width="21.33203125" customWidth="1"/>
    <col min="3" max="3" width="21.33203125" style="10" customWidth="1"/>
    <col min="4" max="4" width="17" bestFit="1" customWidth="1"/>
    <col min="5" max="5" width="17" customWidth="1"/>
    <col min="6" max="6" width="12.83203125" bestFit="1" customWidth="1"/>
    <col min="7" max="7" width="35.5" bestFit="1" customWidth="1"/>
    <col min="8" max="8" width="17.83203125" style="10" customWidth="1"/>
    <col min="9" max="9" width="14.83203125" style="235" customWidth="1"/>
    <col min="10" max="11" width="17.83203125" style="10" customWidth="1"/>
    <col min="12" max="12" width="16.33203125" customWidth="1"/>
    <col min="13" max="13" width="12.83203125" customWidth="1"/>
    <col min="14" max="20" width="10.83203125" customWidth="1"/>
    <col min="21" max="22" width="17.6640625" customWidth="1"/>
    <col min="23" max="24" width="11.6640625" customWidth="1"/>
  </cols>
  <sheetData>
    <row r="1" spans="1:24" x14ac:dyDescent="0.2">
      <c r="A1" t="s">
        <v>2161</v>
      </c>
      <c r="B1" t="s">
        <v>472</v>
      </c>
      <c r="C1" s="10" t="s">
        <v>1706</v>
      </c>
      <c r="D1" t="s">
        <v>2155</v>
      </c>
      <c r="E1" t="s">
        <v>2160</v>
      </c>
      <c r="F1" t="s">
        <v>2156</v>
      </c>
      <c r="G1" t="s">
        <v>2189</v>
      </c>
      <c r="H1" s="10" t="s">
        <v>2739</v>
      </c>
      <c r="I1" s="235" t="s">
        <v>2742</v>
      </c>
      <c r="J1" s="10" t="s">
        <v>2740</v>
      </c>
      <c r="K1" s="10" t="s">
        <v>2741</v>
      </c>
      <c r="L1" t="s">
        <v>2157</v>
      </c>
      <c r="M1" t="s">
        <v>2158</v>
      </c>
      <c r="N1" t="s">
        <v>2159</v>
      </c>
      <c r="O1" t="s">
        <v>2744</v>
      </c>
      <c r="P1" t="s">
        <v>2745</v>
      </c>
      <c r="Q1" t="s">
        <v>748</v>
      </c>
      <c r="R1" t="s">
        <v>749</v>
      </c>
      <c r="S1" t="s">
        <v>750</v>
      </c>
      <c r="T1" t="s">
        <v>751</v>
      </c>
      <c r="U1" s="29" t="s">
        <v>1462</v>
      </c>
      <c r="V1" s="29" t="s">
        <v>1463</v>
      </c>
      <c r="W1" t="s">
        <v>2190</v>
      </c>
      <c r="X1" t="s">
        <v>2191</v>
      </c>
    </row>
    <row r="2" spans="1:24" x14ac:dyDescent="0.2">
      <c r="A2" t="s">
        <v>2164</v>
      </c>
      <c r="B2" t="s">
        <v>1004</v>
      </c>
      <c r="C2" s="17" t="str">
        <f>IF(AND(Table5[[#This Row],[AVG Risk Score]]&gt;=0, 9.999&gt;=Table5[[#This Row],[AVG Risk Score]]), "UNDETECTABLE", IF(AND(Table5[[#This Row],[AVG Risk Score]]&gt;9.001, 24.999&gt;=Table5[[#This Row],[AVG Risk Score]]), "MODERATE", IF(AND(Table5[[#This Row],[AVG Risk Score]]&gt;=25, 35.9999&gt;=Table5[[#This Row],[AVG Risk Score]]), "HIGH", IF(AND(Table5[[#This Row],[AVG Risk Score]]&gt;36, 50&gt;=Table5[[#This Row],[AVG Risk Score]]), "VERY HIGH", "Check Formula"))))</f>
        <v>HIGH</v>
      </c>
      <c r="D2" s="234">
        <f>(Table5[[#This Row],[Consequence]]/Table5[[#This Row],[Data Observations]])*(Table5[[#This Row],[Probabiliuty]]/Table5[[#This Row],[Data Observations]])</f>
        <v>32.060606060606062</v>
      </c>
      <c r="E2" s="17" t="str">
        <f xml:space="preserve"> IF(AND(Table5[[#This Row],[AVG DQ Score]]&gt;0, 0.2&gt;=Table5[[#This Row],[AVG DQ Score]]), "VERY LOW", IF(AND(Table5[[#This Row],[AVG DQ Score]]&gt;0.201, 0.4 &gt;=Table5[[#This Row],[AVG DQ Score]]), "LOW", IF(AND(Table5[[#This Row],[AVG DQ Score]]&gt;0.401, 0.6&gt;=Table5[[#This Row],[AVG DQ Score]]), "MODERATE", IF(AND(Table5[[#This Row],[AVG DQ Score]]&gt;0.6000001, 0.8&gt;=Table5[[#This Row],[AVG DQ Score]]), "HIGH", IF(AND(Table5[[#This Row],[AVG DQ Score]]&gt;0.800001, 1&gt;=Table5[[#This Row],[AVG DQ Score]]), "VERY HIGH", "Check Formula")))))</f>
        <v>MODERATE</v>
      </c>
      <c r="F2" s="301">
        <f>AVERAGEIFS(Table4[DataQuality_Score],Table4[HazardRisk_Category],Table5[[#This Row],[Category]])</f>
        <v>0.50146240310162082</v>
      </c>
      <c r="G2" s="235" t="str">
        <f>Table5[[#This Row],[LoA - Metric]]&amp;", "&amp;Table5[[#This Row],[ES - Metric]]</f>
        <v>Medium agreement, Medium evidence</v>
      </c>
      <c r="H2" s="10">
        <f>COUNTIF(Table4[HazardRisk_Category],Table5[[#This Row],[Category]])</f>
        <v>10</v>
      </c>
      <c r="I2" s="235">
        <f>Table5[[#This Row],[Intangible]]/Table5[[#This Row],[HazRisk Count]]</f>
        <v>0.6</v>
      </c>
      <c r="J2" s="10">
        <f>COUNTIFS(Table4[HazardRisk_Category],Table5[[#This Row],[Category]],Table4[Intangable], "Y")</f>
        <v>6</v>
      </c>
      <c r="K2" s="10">
        <f>COUNTIFS(Table4[HazardRisk_Category],Table5[[#This Row],[Category]],Table4[Intangable], "N")</f>
        <v>4</v>
      </c>
      <c r="L2">
        <f>SUMIFS(Table4[data_observations],Table4[HazardRisk_Category],Table5[[#This Row],[Category]])</f>
        <v>33</v>
      </c>
      <c r="M2">
        <f>SUMIFS(Table4[consequence_summed],Table4[HazardRisk_Category],Table5[[#This Row],[Category]])</f>
        <v>253</v>
      </c>
      <c r="N2">
        <f>SUMIFS(Table4[probability_summed],Table4[HazardRisk_Category],Table5[[#This Row],[Category]])</f>
        <v>138</v>
      </c>
      <c r="O2" s="17">
        <f>COUNTIFS(Table4[HazardRisk_Category],Table5[[#This Row],[Category]], Table4[HazardRisk], "Hazard")</f>
        <v>0</v>
      </c>
      <c r="P2" s="17">
        <f>COUNTIFS(Table4[HazardRisk_Category],Table5[[#This Row],[Category]], Table4[HazardRisk], "Risk")</f>
        <v>10</v>
      </c>
      <c r="Q2" s="17">
        <f>COUNTIFS(Table4[HazardRisk_Category],Table5[[#This Row],[Category]], Table4[RiskRating], "Very High")</f>
        <v>1</v>
      </c>
      <c r="R2" s="17">
        <f>COUNTIFS(Table4[HazardRisk_Category],Table5[[#This Row],[Category]], Table4[RiskRating], "High")</f>
        <v>7</v>
      </c>
      <c r="S2" s="17">
        <f>COUNTIFS(Table4[HazardRisk_Category],Table5[[#This Row],[Category]], Table4[RiskRating], "Moderate")</f>
        <v>2</v>
      </c>
      <c r="T2" s="17">
        <f>COUNTIFS(Table4[HazardRisk_Category],Table5[[#This Row],[Category]], Table4[RiskRating], "Undetectable")</f>
        <v>0</v>
      </c>
      <c r="U2" s="175" t="str">
        <f xml:space="preserve"> IF(AND(Table5[[#This Row],[LoA]]&gt;=0, 16.66&gt;=Table5[[#This Row],[LoA]]), "Low agreement", IF(AND(Table5[[#This Row],[LoA]]&gt;=16.67, 33.33 &gt;=Table5[[#This Row],[LoA]]), "Medium agreement", IF(AND(Table5[[#This Row],[LoA]]&gt;=33.34, 50&gt;=Table5[[#This Row],[LoA]]), "High agreement", "Check Formula")))</f>
        <v>Medium agreement</v>
      </c>
      <c r="V2" s="175" t="str">
        <f xml:space="preserve"> IF(AND(Table5[[#This Row],[ES]]&gt;=0, 16.66&gt;=Table5[[#This Row],[ES]]), "Limited evidence", IF(AND(Table5[[#This Row],[ES]]&gt;=16.67, 33.33 &gt;=Table5[[#This Row],[ES]]), "Medium evidence", IF(AND(Table5[[#This Row],[ES]]&gt;=33.34, 50&gt;=Table5[[#This Row],[ES]]), "Robust evidence", "Check Formula")))</f>
        <v>Medium evidence</v>
      </c>
      <c r="W2" s="261">
        <f>(SUMIFS(Table4[LoA_SCORE], Table4[HazardRisk_Category], Table5[[#This Row],[Category]]))/(COUNTIFS(Table4[HazardRisk_Category], Table5[[#This Row],[Category]]))</f>
        <v>24.945238095238093</v>
      </c>
      <c r="X2" s="263">
        <f>(SUMIFS(Table4[ES_SCORE], Table4[HazardRisk_Category], Table5[[#This Row],[Category]]))/(COUNTIFS(Table4[HazardRisk_Category], Table5[[#This Row],[Category]]))</f>
        <v>25.201002214923992</v>
      </c>
    </row>
    <row r="3" spans="1:24" x14ac:dyDescent="0.2">
      <c r="A3" t="s">
        <v>2168</v>
      </c>
      <c r="B3" t="s">
        <v>541</v>
      </c>
      <c r="C3" s="17" t="str">
        <f>IF(AND(Table5[[#This Row],[AVG Risk Score]]&gt;=0, 9.999&gt;=Table5[[#This Row],[AVG Risk Score]]), "UNDETECTABLE", IF(AND(Table5[[#This Row],[AVG Risk Score]]&gt;9.001, 24.999&gt;=Table5[[#This Row],[AVG Risk Score]]), "MODERATE", IF(AND(Table5[[#This Row],[AVG Risk Score]]&gt;=25, 35.9999&gt;=Table5[[#This Row],[AVG Risk Score]]), "HIGH", IF(AND(Table5[[#This Row],[AVG Risk Score]]&gt;36, 50&gt;=Table5[[#This Row],[AVG Risk Score]]), "VERY HIGH", "Check Formula"))))</f>
        <v>HIGH</v>
      </c>
      <c r="D3" s="234">
        <f>(Table5[[#This Row],[Consequence]]/Table5[[#This Row],[Data Observations]])*(Table5[[#This Row],[Probabiliuty]]/Table5[[#This Row],[Data Observations]])</f>
        <v>29.382716049382715</v>
      </c>
      <c r="E3" s="17" t="str">
        <f xml:space="preserve"> IF(AND(Table5[[#This Row],[AVG DQ Score]]&gt;0, 0.2&gt;=Table5[[#This Row],[AVG DQ Score]]), "VERY LOW", IF(AND(Table5[[#This Row],[AVG DQ Score]]&gt;0.201, 0.4 &gt;=Table5[[#This Row],[AVG DQ Score]]), "LOW", IF(AND(Table5[[#This Row],[AVG DQ Score]]&gt;0.401, 0.6&gt;=Table5[[#This Row],[AVG DQ Score]]), "MODERATE", IF(AND(Table5[[#This Row],[AVG DQ Score]]&gt;0.6000001, 0.8&gt;=Table5[[#This Row],[AVG DQ Score]]), "HIGH", IF(AND(Table5[[#This Row],[AVG DQ Score]]&gt;0.800001, 1&gt;=Table5[[#This Row],[AVG DQ Score]]), "VERY HIGH", "Check Formula")))))</f>
        <v>MODERATE</v>
      </c>
      <c r="F3" s="301">
        <f>AVERAGEIFS(Table4[DataQuality_Score],Table4[HazardRisk_Category],Table5[[#This Row],[Category]])</f>
        <v>0.5701658792960469</v>
      </c>
      <c r="G3" s="235" t="str">
        <f>Table5[[#This Row],[LoA - Metric]]&amp;", "&amp;Table5[[#This Row],[ES - Metric]]</f>
        <v>Medium agreement, Medium evidence</v>
      </c>
      <c r="H3" s="311">
        <f>COUNTIF(Table4[HazardRisk_Category],Table5[[#This Row],[Category]])</f>
        <v>13</v>
      </c>
      <c r="I3" s="235">
        <f>Table5[[#This Row],[Intangible]]/Table5[[#This Row],[HazRisk Count]]</f>
        <v>7.6923076923076927E-2</v>
      </c>
      <c r="J3" s="311">
        <f>COUNTIFS(Table4[HazardRisk_Category],Table5[[#This Row],[Category]],Table4[Intangable], "Y")</f>
        <v>1</v>
      </c>
      <c r="K3" s="10">
        <f>COUNTIFS(Table4[HazardRisk_Category],Table5[[#This Row],[Category]],Table4[Intangable], "N")</f>
        <v>12</v>
      </c>
      <c r="L3">
        <f>SUMIFS(Table4[data_observations],Table4[HazardRisk_Category],Table5[[#This Row],[Category]])</f>
        <v>72</v>
      </c>
      <c r="M3">
        <f>SUMIFS(Table4[consequence_summed],Table4[HazardRisk_Category],Table5[[#This Row],[Category]])</f>
        <v>560</v>
      </c>
      <c r="N3">
        <f>SUMIFS(Table4[probability_summed],Table4[HazardRisk_Category],Table5[[#This Row],[Category]])</f>
        <v>272</v>
      </c>
      <c r="O3" s="17">
        <f>COUNTIFS(Table4[HazardRisk_Category],Table5[[#This Row],[Category]], Table4[HazardRisk], "Hazard")</f>
        <v>7</v>
      </c>
      <c r="P3" s="17">
        <f>COUNTIFS(Table4[HazardRisk_Category],Table5[[#This Row],[Category]], Table4[HazardRisk], "Risk")</f>
        <v>6</v>
      </c>
      <c r="Q3" s="17">
        <f>COUNTIFS(Table4[HazardRisk_Category],Table5[[#This Row],[Category]], Table4[RiskRating], "Very High")</f>
        <v>1</v>
      </c>
      <c r="R3" s="17">
        <f>COUNTIFS(Table4[HazardRisk_Category],Table5[[#This Row],[Category]], Table4[RiskRating], "High")</f>
        <v>8</v>
      </c>
      <c r="S3" s="17">
        <f>COUNTIFS(Table4[HazardRisk_Category],Table5[[#This Row],[Category]], Table4[RiskRating], "Moderate")</f>
        <v>4</v>
      </c>
      <c r="T3" s="17">
        <f>COUNTIFS(Table4[HazardRisk_Category],Table5[[#This Row],[Category]], Table4[RiskRating], "Undetectable")</f>
        <v>0</v>
      </c>
      <c r="U3" s="175" t="str">
        <f xml:space="preserve"> IF(AND(Table5[[#This Row],[LoA]]&gt;=0, 16.66&gt;=Table5[[#This Row],[LoA]]), "Low agreement", IF(AND(Table5[[#This Row],[LoA]]&gt;=16.67, 33.33 &gt;=Table5[[#This Row],[LoA]]), "Medium agreement", IF(AND(Table5[[#This Row],[LoA]]&gt;=33.34, 50&gt;=Table5[[#This Row],[LoA]]), "High agreement", "Check Formula")))</f>
        <v>Medium agreement</v>
      </c>
      <c r="V3" s="175" t="str">
        <f xml:space="preserve"> IF(AND(Table5[[#This Row],[ES]]&gt;=0, 16.66&gt;=Table5[[#This Row],[ES]]), "Limited evidence", IF(AND(Table5[[#This Row],[ES]]&gt;=16.67, 33.33 &gt;=Table5[[#This Row],[ES]]), "Medium evidence", IF(AND(Table5[[#This Row],[ES]]&gt;=33.34, 50&gt;=Table5[[#This Row],[ES]]), "Robust evidence", "Check Formula")))</f>
        <v>Medium evidence</v>
      </c>
      <c r="W3" s="262">
        <f>(SUMIFS(Table4[LoA_SCORE], Table4[HazardRisk_Category], Table5[[#This Row],[Category]]))/(COUNTIFS(Table4[HazardRisk_Category], Table5[[#This Row],[Category]]))</f>
        <v>30.636537670474322</v>
      </c>
      <c r="X3" s="264">
        <f>(SUMIFS(Table4[ES_SCORE], Table4[HazardRisk_Category], Table5[[#This Row],[Category]]))/(COUNTIFS(Table4[HazardRisk_Category], Table5[[#This Row],[Category]]))</f>
        <v>26.380050259130368</v>
      </c>
    </row>
    <row r="4" spans="1:24" x14ac:dyDescent="0.2">
      <c r="A4" t="s">
        <v>2173</v>
      </c>
      <c r="B4" t="s">
        <v>446</v>
      </c>
      <c r="C4" s="17" t="str">
        <f>IF(AND(Table5[[#This Row],[AVG Risk Score]]&gt;=0, 9.999&gt;=Table5[[#This Row],[AVG Risk Score]]), "UNDETECTABLE", IF(AND(Table5[[#This Row],[AVG Risk Score]]&gt;9.001, 24.999&gt;=Table5[[#This Row],[AVG Risk Score]]), "MODERATE", IF(AND(Table5[[#This Row],[AVG Risk Score]]&gt;=25, 35.9999&gt;=Table5[[#This Row],[AVG Risk Score]]), "HIGH", IF(AND(Table5[[#This Row],[AVG Risk Score]]&gt;36, 50&gt;=Table5[[#This Row],[AVG Risk Score]]), "VERY HIGH", "Check Formula"))))</f>
        <v>HIGH</v>
      </c>
      <c r="D4" s="234">
        <f>(Table5[[#This Row],[Consequence]]/Table5[[#This Row],[Data Observations]])*(Table5[[#This Row],[Probabiliuty]]/Table5[[#This Row],[Data Observations]])</f>
        <v>29.376344086021504</v>
      </c>
      <c r="E4" s="17" t="str">
        <f xml:space="preserve"> IF(AND(Table5[[#This Row],[AVG DQ Score]]&gt;0, 0.2&gt;=Table5[[#This Row],[AVG DQ Score]]), "VERY LOW", IF(AND(Table5[[#This Row],[AVG DQ Score]]&gt;0.201, 0.4 &gt;=Table5[[#This Row],[AVG DQ Score]]), "LOW", IF(AND(Table5[[#This Row],[AVG DQ Score]]&gt;0.401, 0.6&gt;=Table5[[#This Row],[AVG DQ Score]]), "MODERATE", IF(AND(Table5[[#This Row],[AVG DQ Score]]&gt;0.6000001, 0.8&gt;=Table5[[#This Row],[AVG DQ Score]]), "HIGH", IF(AND(Table5[[#This Row],[AVG DQ Score]]&gt;0.800001, 1&gt;=Table5[[#This Row],[AVG DQ Score]]), "VERY HIGH", "Check Formula")))))</f>
        <v>HIGH</v>
      </c>
      <c r="F4" s="301">
        <f>AVERAGEIFS(Table4[DataQuality_Score],Table4[HazardRisk_Category],Table5[[#This Row],[Category]])</f>
        <v>0.64859289685513832</v>
      </c>
      <c r="G4" s="235" t="str">
        <f>Table5[[#This Row],[LoA - Metric]]&amp;", "&amp;Table5[[#This Row],[ES - Metric]]</f>
        <v>High agreement, Medium evidence</v>
      </c>
      <c r="H4" s="311">
        <f>COUNTIF(Table4[HazardRisk_Category],Table5[[#This Row],[Category]])</f>
        <v>7</v>
      </c>
      <c r="I4" s="235">
        <f>Table5[[#This Row],[Intangible]]/Table5[[#This Row],[HazRisk Count]]</f>
        <v>0</v>
      </c>
      <c r="J4" s="311">
        <f>COUNTIFS(Table4[HazardRisk_Category],Table5[[#This Row],[Category]],Table4[Intangable], "Y")</f>
        <v>0</v>
      </c>
      <c r="K4" s="10">
        <f>COUNTIFS(Table4[HazardRisk_Category],Table5[[#This Row],[Category]],Table4[Intangable], "N")</f>
        <v>7</v>
      </c>
      <c r="L4">
        <f>SUMIFS(Table4[data_observations],Table4[HazardRisk_Category],Table5[[#This Row],[Category]])</f>
        <v>93</v>
      </c>
      <c r="M4">
        <f>SUMIFS(Table4[consequence_summed],Table4[HazardRisk_Category],Table5[[#This Row],[Category]])</f>
        <v>683</v>
      </c>
      <c r="N4">
        <f>SUMIFS(Table4[probability_summed],Table4[HazardRisk_Category],Table5[[#This Row],[Category]])</f>
        <v>372</v>
      </c>
      <c r="O4" s="17">
        <f>COUNTIFS(Table4[HazardRisk_Category],Table5[[#This Row],[Category]], Table4[HazardRisk], "Hazard")</f>
        <v>6</v>
      </c>
      <c r="P4" s="17">
        <f>COUNTIFS(Table4[HazardRisk_Category],Table5[[#This Row],[Category]], Table4[HazardRisk], "Risk")</f>
        <v>1</v>
      </c>
      <c r="Q4" s="17">
        <f>COUNTIFS(Table4[HazardRisk_Category],Table5[[#This Row],[Category]], Table4[RiskRating], "Very High")</f>
        <v>1</v>
      </c>
      <c r="R4" s="17">
        <f>COUNTIFS(Table4[HazardRisk_Category],Table5[[#This Row],[Category]], Table4[RiskRating], "High")</f>
        <v>6</v>
      </c>
      <c r="S4" s="17">
        <f>COUNTIFS(Table4[HazardRisk_Category],Table5[[#This Row],[Category]], Table4[RiskRating], "Moderate")</f>
        <v>0</v>
      </c>
      <c r="T4" s="17">
        <f>COUNTIFS(Table4[HazardRisk_Category],Table5[[#This Row],[Category]], Table4[RiskRating], "Undetectable")</f>
        <v>0</v>
      </c>
      <c r="U4" s="175" t="str">
        <f xml:space="preserve"> IF(AND(Table5[[#This Row],[LoA]]&gt;=0, 16.66&gt;=Table5[[#This Row],[LoA]]), "Low agreement", IF(AND(Table5[[#This Row],[LoA]]&gt;=16.67, 33.33 &gt;=Table5[[#This Row],[LoA]]), "Medium agreement", IF(AND(Table5[[#This Row],[LoA]]&gt;=33.34, 50&gt;=Table5[[#This Row],[LoA]]), "High agreement", "Check Formula")))</f>
        <v>High agreement</v>
      </c>
      <c r="V4" s="175" t="str">
        <f xml:space="preserve"> IF(AND(Table5[[#This Row],[ES]]&gt;=0, 16.66&gt;=Table5[[#This Row],[ES]]), "Limited evidence", IF(AND(Table5[[#This Row],[ES]]&gt;=16.67, 33.33 &gt;=Table5[[#This Row],[ES]]), "Medium evidence", IF(AND(Table5[[#This Row],[ES]]&gt;=33.34, 50&gt;=Table5[[#This Row],[ES]]), "Robust evidence", "Check Formula")))</f>
        <v>Medium evidence</v>
      </c>
      <c r="W4" s="262">
        <f>(SUMIFS(Table4[LoA_SCORE], Table4[HazardRisk_Category], Table5[[#This Row],[Category]]))/(COUNTIFS(Table4[HazardRisk_Category], Table5[[#This Row],[Category]]))</f>
        <v>35.281702424559569</v>
      </c>
      <c r="X4" s="264">
        <f>(SUMIFS(Table4[ES_SCORE], Table4[HazardRisk_Category], Table5[[#This Row],[Category]]))/(COUNTIFS(Table4[HazardRisk_Category], Table5[[#This Row],[Category]]))</f>
        <v>29.577587260954257</v>
      </c>
    </row>
    <row r="5" spans="1:24" x14ac:dyDescent="0.2">
      <c r="A5" t="s">
        <v>2162</v>
      </c>
      <c r="B5" t="s">
        <v>482</v>
      </c>
      <c r="C5" s="17" t="str">
        <f>IF(AND(Table5[[#This Row],[AVG Risk Score]]&gt;=0, 9.999&gt;=Table5[[#This Row],[AVG Risk Score]]), "UNDETECTABLE", IF(AND(Table5[[#This Row],[AVG Risk Score]]&gt;9.001, 24.999&gt;=Table5[[#This Row],[AVG Risk Score]]), "MODERATE", IF(AND(Table5[[#This Row],[AVG Risk Score]]&gt;=25, 35.9999&gt;=Table5[[#This Row],[AVG Risk Score]]), "HIGH", IF(AND(Table5[[#This Row],[AVG Risk Score]]&gt;36, 50&gt;=Table5[[#This Row],[AVG Risk Score]]), "VERY HIGH", "Check Formula"))))</f>
        <v>HIGH</v>
      </c>
      <c r="D5" s="234">
        <f>(Table5[[#This Row],[Consequence]]/Table5[[#This Row],[Data Observations]])*(Table5[[#This Row],[Probabiliuty]]/Table5[[#This Row],[Data Observations]])</f>
        <v>26.37434320133282</v>
      </c>
      <c r="E5" s="17" t="str">
        <f xml:space="preserve"> IF(AND(Table5[[#This Row],[AVG DQ Score]]&gt;0, 0.2&gt;=Table5[[#This Row],[AVG DQ Score]]), "VERY LOW", IF(AND(Table5[[#This Row],[AVG DQ Score]]&gt;0.201, 0.4 &gt;=Table5[[#This Row],[AVG DQ Score]]), "LOW", IF(AND(Table5[[#This Row],[AVG DQ Score]]&gt;0.401, 0.6&gt;=Table5[[#This Row],[AVG DQ Score]]), "MODERATE", IF(AND(Table5[[#This Row],[AVG DQ Score]]&gt;0.6000001, 0.8&gt;=Table5[[#This Row],[AVG DQ Score]]), "HIGH", IF(AND(Table5[[#This Row],[AVG DQ Score]]&gt;0.800001, 1&gt;=Table5[[#This Row],[AVG DQ Score]]), "VERY HIGH", "Check Formula")))))</f>
        <v>HIGH</v>
      </c>
      <c r="F5" s="301">
        <f>AVERAGEIFS(Table4[DataQuality_Score],Table4[HazardRisk_Category],Table5[[#This Row],[Category]])</f>
        <v>0.60745160179974467</v>
      </c>
      <c r="G5" s="235" t="str">
        <f>Table5[[#This Row],[LoA - Metric]]&amp;", "&amp;Table5[[#This Row],[ES - Metric]]</f>
        <v>High agreement, Medium evidence</v>
      </c>
      <c r="H5" s="311">
        <f>COUNTIF(Table4[HazardRisk_Category],Table5[[#This Row],[Category]])</f>
        <v>26</v>
      </c>
      <c r="I5" s="235">
        <f>Table5[[#This Row],[Intangible]]/Table5[[#This Row],[HazRisk Count]]</f>
        <v>7.6923076923076927E-2</v>
      </c>
      <c r="J5" s="311">
        <f>COUNTIFS(Table4[HazardRisk_Category],Table5[[#This Row],[Category]],Table4[Intangable], "Y")</f>
        <v>2</v>
      </c>
      <c r="K5" s="10">
        <f>COUNTIFS(Table4[HazardRisk_Category],Table5[[#This Row],[Category]],Table4[Intangable], "N")</f>
        <v>24</v>
      </c>
      <c r="L5">
        <f>SUMIFS(Table4[data_observations],Table4[HazardRisk_Category],Table5[[#This Row],[Category]])</f>
        <v>153</v>
      </c>
      <c r="M5">
        <f>SUMIFS(Table4[consequence_summed],Table4[HazardRisk_Category],Table5[[#This Row],[Category]])</f>
        <v>1059</v>
      </c>
      <c r="N5">
        <f>SUMIFS(Table4[probability_summed],Table4[HazardRisk_Category],Table5[[#This Row],[Category]])</f>
        <v>583</v>
      </c>
      <c r="O5" s="17">
        <f>COUNTIFS(Table4[HazardRisk_Category],Table5[[#This Row],[Category]], Table4[HazardRisk], "Hazard")</f>
        <v>15</v>
      </c>
      <c r="P5" s="17">
        <f>COUNTIFS(Table4[HazardRisk_Category],Table5[[#This Row],[Category]], Table4[HazardRisk], "Risk")</f>
        <v>11</v>
      </c>
      <c r="Q5" s="17">
        <f>COUNTIFS(Table4[HazardRisk_Category],Table5[[#This Row],[Category]], Table4[RiskRating], "Very High")</f>
        <v>0</v>
      </c>
      <c r="R5" s="17">
        <f>COUNTIFS(Table4[HazardRisk_Category],Table5[[#This Row],[Category]], Table4[RiskRating], "High")</f>
        <v>19</v>
      </c>
      <c r="S5" s="17">
        <f>COUNTIFS(Table4[HazardRisk_Category],Table5[[#This Row],[Category]], Table4[RiskRating], "Moderate")</f>
        <v>7</v>
      </c>
      <c r="T5" s="17">
        <f>COUNTIFS(Table4[HazardRisk_Category],Table5[[#This Row],[Category]], Table4[RiskRating], "Undetectable")</f>
        <v>0</v>
      </c>
      <c r="U5" s="175" t="str">
        <f xml:space="preserve"> IF(AND(Table5[[#This Row],[LoA]]&gt;=0, 16.66&gt;=Table5[[#This Row],[LoA]]), "Low agreement", IF(AND(Table5[[#This Row],[LoA]]&gt;=16.67, 33.33 &gt;=Table5[[#This Row],[LoA]]), "Medium agreement", IF(AND(Table5[[#This Row],[LoA]]&gt;=33.34, 50&gt;=Table5[[#This Row],[LoA]]), "High agreement", "Check Formula")))</f>
        <v>High agreement</v>
      </c>
      <c r="V5" s="175" t="str">
        <f xml:space="preserve"> IF(AND(Table5[[#This Row],[ES]]&gt;=0, 16.66&gt;=Table5[[#This Row],[ES]]), "Limited evidence", IF(AND(Table5[[#This Row],[ES]]&gt;=16.67, 33.33 &gt;=Table5[[#This Row],[ES]]), "Medium evidence", IF(AND(Table5[[#This Row],[ES]]&gt;=33.34, 50&gt;=Table5[[#This Row],[ES]]), "Robust evidence", "Check Formula")))</f>
        <v>Medium evidence</v>
      </c>
      <c r="W5" s="262">
        <f>(SUMIFS(Table4[LoA_SCORE], Table4[HazardRisk_Category], Table5[[#This Row],[Category]]))/(COUNTIFS(Table4[HazardRisk_Category], Table5[[#This Row],[Category]]))</f>
        <v>33.928910958322717</v>
      </c>
      <c r="X5" s="264">
        <f>(SUMIFS(Table4[ES_SCORE], Table4[HazardRisk_Category], Table5[[#This Row],[Category]]))/(COUNTIFS(Table4[HazardRisk_Category], Table5[[#This Row],[Category]]))</f>
        <v>26.816249221651756</v>
      </c>
    </row>
    <row r="6" spans="1:24" x14ac:dyDescent="0.2">
      <c r="A6" t="s">
        <v>2165</v>
      </c>
      <c r="B6" t="s">
        <v>560</v>
      </c>
      <c r="C6" s="17" t="str">
        <f>IF(AND(Table5[[#This Row],[AVG Risk Score]]&gt;=0, 9.999&gt;=Table5[[#This Row],[AVG Risk Score]]), "UNDETECTABLE", IF(AND(Table5[[#This Row],[AVG Risk Score]]&gt;9.001, 24.999&gt;=Table5[[#This Row],[AVG Risk Score]]), "MODERATE", IF(AND(Table5[[#This Row],[AVG Risk Score]]&gt;=25, 35.9999&gt;=Table5[[#This Row],[AVG Risk Score]]), "HIGH", IF(AND(Table5[[#This Row],[AVG Risk Score]]&gt;36, 50&gt;=Table5[[#This Row],[AVG Risk Score]]), "VERY HIGH", "Check Formula"))))</f>
        <v>HIGH</v>
      </c>
      <c r="D6" s="234">
        <f>(Table5[[#This Row],[Consequence]]/Table5[[#This Row],[Data Observations]])*(Table5[[#This Row],[Probabiliuty]]/Table5[[#This Row],[Data Observations]])</f>
        <v>26.115699537201849</v>
      </c>
      <c r="E6" s="17" t="str">
        <f xml:space="preserve"> IF(AND(Table5[[#This Row],[AVG DQ Score]]&gt;0, 0.2&gt;=Table5[[#This Row],[AVG DQ Score]]), "VERY LOW", IF(AND(Table5[[#This Row],[AVG DQ Score]]&gt;0.201, 0.4 &gt;=Table5[[#This Row],[AVG DQ Score]]), "LOW", IF(AND(Table5[[#This Row],[AVG DQ Score]]&gt;0.401, 0.6&gt;=Table5[[#This Row],[AVG DQ Score]]), "MODERATE", IF(AND(Table5[[#This Row],[AVG DQ Score]]&gt;0.6000001, 0.8&gt;=Table5[[#This Row],[AVG DQ Score]]), "HIGH", IF(AND(Table5[[#This Row],[AVG DQ Score]]&gt;0.800001, 1&gt;=Table5[[#This Row],[AVG DQ Score]]), "VERY HIGH", "Check Formula")))))</f>
        <v>MODERATE</v>
      </c>
      <c r="F6" s="301">
        <f>AVERAGEIFS(Table4[DataQuality_Score],Table4[HazardRisk_Category],Table5[[#This Row],[Category]])</f>
        <v>0.54534001046061353</v>
      </c>
      <c r="G6" s="235" t="str">
        <f>Table5[[#This Row],[LoA - Metric]]&amp;", "&amp;Table5[[#This Row],[ES - Metric]]</f>
        <v>Medium agreement, Medium evidence</v>
      </c>
      <c r="H6" s="311">
        <f>COUNTIF(Table4[HazardRisk_Category],Table5[[#This Row],[Category]])</f>
        <v>11</v>
      </c>
      <c r="I6" s="235">
        <f>Table5[[#This Row],[Intangible]]/Table5[[#This Row],[HazRisk Count]]</f>
        <v>9.0909090909090912E-2</v>
      </c>
      <c r="J6" s="311">
        <f>COUNTIFS(Table4[HazardRisk_Category],Table5[[#This Row],[Category]],Table4[Intangable], "Y")</f>
        <v>1</v>
      </c>
      <c r="K6" s="10">
        <f>COUNTIFS(Table4[HazardRisk_Category],Table5[[#This Row],[Category]],Table4[Intangable], "N")</f>
        <v>10</v>
      </c>
      <c r="L6">
        <f>SUMIFS(Table4[data_observations],Table4[HazardRisk_Category],Table5[[#This Row],[Category]])</f>
        <v>53</v>
      </c>
      <c r="M6">
        <f>SUMIFS(Table4[consequence_summed],Table4[HazardRisk_Category],Table5[[#This Row],[Category]])</f>
        <v>351</v>
      </c>
      <c r="N6">
        <f>SUMIFS(Table4[probability_summed],Table4[HazardRisk_Category],Table5[[#This Row],[Category]])</f>
        <v>209</v>
      </c>
      <c r="O6" s="17">
        <f>COUNTIFS(Table4[HazardRisk_Category],Table5[[#This Row],[Category]], Table4[HazardRisk], "Hazard")</f>
        <v>4</v>
      </c>
      <c r="P6" s="17">
        <f>COUNTIFS(Table4[HazardRisk_Category],Table5[[#This Row],[Category]], Table4[HazardRisk], "Risk")</f>
        <v>7</v>
      </c>
      <c r="Q6" s="17">
        <f>COUNTIFS(Table4[HazardRisk_Category],Table5[[#This Row],[Category]], Table4[RiskRating], "Very High")</f>
        <v>1</v>
      </c>
      <c r="R6" s="17">
        <f>COUNTIFS(Table4[HazardRisk_Category],Table5[[#This Row],[Category]], Table4[RiskRating], "High")</f>
        <v>4</v>
      </c>
      <c r="S6" s="17">
        <f>COUNTIFS(Table4[HazardRisk_Category],Table5[[#This Row],[Category]], Table4[RiskRating], "Moderate")</f>
        <v>4</v>
      </c>
      <c r="T6" s="17">
        <f>COUNTIFS(Table4[HazardRisk_Category],Table5[[#This Row],[Category]], Table4[RiskRating], "Undetectable")</f>
        <v>2</v>
      </c>
      <c r="U6" s="175" t="str">
        <f xml:space="preserve"> IF(AND(Table5[[#This Row],[LoA]]&gt;=0, 16.66&gt;=Table5[[#This Row],[LoA]]), "Low agreement", IF(AND(Table5[[#This Row],[LoA]]&gt;=16.67, 33.33 &gt;=Table5[[#This Row],[LoA]]), "Medium agreement", IF(AND(Table5[[#This Row],[LoA]]&gt;=33.34, 50&gt;=Table5[[#This Row],[LoA]]), "High agreement", "Check Formula")))</f>
        <v>Medium agreement</v>
      </c>
      <c r="V6" s="175" t="str">
        <f xml:space="preserve"> IF(AND(Table5[[#This Row],[ES]]&gt;=0, 16.66&gt;=Table5[[#This Row],[ES]]), "Limited evidence", IF(AND(Table5[[#This Row],[ES]]&gt;=16.67, 33.33 &gt;=Table5[[#This Row],[ES]]), "Medium evidence", IF(AND(Table5[[#This Row],[ES]]&gt;=33.34, 50&gt;=Table5[[#This Row],[ES]]), "Robust evidence", "Check Formula")))</f>
        <v>Medium evidence</v>
      </c>
      <c r="W6" s="262">
        <f>(SUMIFS(Table4[LoA_SCORE], Table4[HazardRisk_Category], Table5[[#This Row],[Category]]))/(COUNTIFS(Table4[HazardRisk_Category], Table5[[#This Row],[Category]]))</f>
        <v>27.844352617079888</v>
      </c>
      <c r="X6" s="264">
        <f>(SUMIFS(Table4[ES_SCORE], Table4[HazardRisk_Category], Table5[[#This Row],[Category]]))/(COUNTIFS(Table4[HazardRisk_Category], Table5[[#This Row],[Category]]))</f>
        <v>26.68964842898146</v>
      </c>
    </row>
    <row r="7" spans="1:24" x14ac:dyDescent="0.2">
      <c r="A7" t="s">
        <v>2163</v>
      </c>
      <c r="B7" t="s">
        <v>462</v>
      </c>
      <c r="C7" s="17" t="str">
        <f>IF(AND(Table5[[#This Row],[AVG Risk Score]]&gt;=0, 9.999&gt;=Table5[[#This Row],[AVG Risk Score]]), "UNDETECTABLE", IF(AND(Table5[[#This Row],[AVG Risk Score]]&gt;9.001, 24.999&gt;=Table5[[#This Row],[AVG Risk Score]]), "MODERATE", IF(AND(Table5[[#This Row],[AVG Risk Score]]&gt;=25, 35.9999&gt;=Table5[[#This Row],[AVG Risk Score]]), "HIGH", IF(AND(Table5[[#This Row],[AVG Risk Score]]&gt;36, 50&gt;=Table5[[#This Row],[AVG Risk Score]]), "VERY HIGH", "Check Formula"))))</f>
        <v>MODERATE</v>
      </c>
      <c r="D7" s="234">
        <f>(Table5[[#This Row],[Consequence]]/Table5[[#This Row],[Data Observations]])*(Table5[[#This Row],[Probabiliuty]]/Table5[[#This Row],[Data Observations]])</f>
        <v>24.623039480800429</v>
      </c>
      <c r="E7" s="17" t="str">
        <f xml:space="preserve"> IF(AND(Table5[[#This Row],[AVG DQ Score]]&gt;0, 0.2&gt;=Table5[[#This Row],[AVG DQ Score]]), "VERY LOW", IF(AND(Table5[[#This Row],[AVG DQ Score]]&gt;0.201, 0.4 &gt;=Table5[[#This Row],[AVG DQ Score]]), "LOW", IF(AND(Table5[[#This Row],[AVG DQ Score]]&gt;0.401, 0.6&gt;=Table5[[#This Row],[AVG DQ Score]]), "MODERATE", IF(AND(Table5[[#This Row],[AVG DQ Score]]&gt;0.6000001, 0.8&gt;=Table5[[#This Row],[AVG DQ Score]]), "HIGH", IF(AND(Table5[[#This Row],[AVG DQ Score]]&gt;0.800001, 1&gt;=Table5[[#This Row],[AVG DQ Score]]), "VERY HIGH", "Check Formula")))))</f>
        <v>MODERATE</v>
      </c>
      <c r="F7" s="301">
        <f>AVERAGEIFS(Table4[DataQuality_Score],Table4[HazardRisk_Category],Table5[[#This Row],[Category]])</f>
        <v>0.59959865340550089</v>
      </c>
      <c r="G7" s="235" t="str">
        <f>Table5[[#This Row],[LoA - Metric]]&amp;", "&amp;Table5[[#This Row],[ES - Metric]]</f>
        <v>High agreement, Medium evidence</v>
      </c>
      <c r="H7" s="311">
        <f>COUNTIF(Table4[HazardRisk_Category],Table5[[#This Row],[Category]])</f>
        <v>9</v>
      </c>
      <c r="I7" s="235">
        <f>Table5[[#This Row],[Intangible]]/Table5[[#This Row],[HazRisk Count]]</f>
        <v>0.44444444444444442</v>
      </c>
      <c r="J7" s="311">
        <f>COUNTIFS(Table4[HazardRisk_Category],Table5[[#This Row],[Category]],Table4[Intangable], "Y")</f>
        <v>4</v>
      </c>
      <c r="K7" s="10">
        <f>COUNTIFS(Table4[HazardRisk_Category],Table5[[#This Row],[Category]],Table4[Intangable], "N")</f>
        <v>5</v>
      </c>
      <c r="L7">
        <f>SUMIFS(Table4[data_observations],Table4[HazardRisk_Category],Table5[[#This Row],[Category]])</f>
        <v>43</v>
      </c>
      <c r="M7">
        <f>SUMIFS(Table4[consequence_summed],Table4[HazardRisk_Category],Table5[[#This Row],[Category]])</f>
        <v>271</v>
      </c>
      <c r="N7">
        <f>SUMIFS(Table4[probability_summed],Table4[HazardRisk_Category],Table5[[#This Row],[Category]])</f>
        <v>168</v>
      </c>
      <c r="O7" s="17">
        <f>COUNTIFS(Table4[HazardRisk_Category],Table5[[#This Row],[Category]], Table4[HazardRisk], "Hazard")</f>
        <v>0</v>
      </c>
      <c r="P7" s="17">
        <f>COUNTIFS(Table4[HazardRisk_Category],Table5[[#This Row],[Category]], Table4[HazardRisk], "Risk")</f>
        <v>9</v>
      </c>
      <c r="Q7" s="17">
        <f>COUNTIFS(Table4[HazardRisk_Category],Table5[[#This Row],[Category]], Table4[RiskRating], "Very High")</f>
        <v>0</v>
      </c>
      <c r="R7" s="17">
        <f>COUNTIFS(Table4[HazardRisk_Category],Table5[[#This Row],[Category]], Table4[RiskRating], "High")</f>
        <v>3</v>
      </c>
      <c r="S7" s="17">
        <f>COUNTIFS(Table4[HazardRisk_Category],Table5[[#This Row],[Category]], Table4[RiskRating], "Moderate")</f>
        <v>6</v>
      </c>
      <c r="T7" s="17">
        <f>COUNTIFS(Table4[HazardRisk_Category],Table5[[#This Row],[Category]], Table4[RiskRating], "Undetectable")</f>
        <v>0</v>
      </c>
      <c r="U7" s="175" t="str">
        <f xml:space="preserve"> IF(AND(Table5[[#This Row],[LoA]]&gt;=0, 16.66&gt;=Table5[[#This Row],[LoA]]), "Low agreement", IF(AND(Table5[[#This Row],[LoA]]&gt;=16.67, 33.33 &gt;=Table5[[#This Row],[LoA]]), "Medium agreement", IF(AND(Table5[[#This Row],[LoA]]&gt;=33.34, 50&gt;=Table5[[#This Row],[LoA]]), "High agreement", "Check Formula")))</f>
        <v>High agreement</v>
      </c>
      <c r="V7" s="175" t="str">
        <f xml:space="preserve"> IF(AND(Table5[[#This Row],[ES]]&gt;=0, 16.66&gt;=Table5[[#This Row],[ES]]), "Limited evidence", IF(AND(Table5[[#This Row],[ES]]&gt;=16.67, 33.33 &gt;=Table5[[#This Row],[ES]]), "Medium evidence", IF(AND(Table5[[#This Row],[ES]]&gt;=33.34, 50&gt;=Table5[[#This Row],[ES]]), "Robust evidence", "Check Formula")))</f>
        <v>Medium evidence</v>
      </c>
      <c r="W7" s="262">
        <f>(SUMIFS(Table4[LoA_SCORE], Table4[HazardRisk_Category], Table5[[#This Row],[Category]]))/(COUNTIFS(Table4[HazardRisk_Category], Table5[[#This Row],[Category]]))</f>
        <v>34.638447971781297</v>
      </c>
      <c r="X7" s="264">
        <f>(SUMIFS(Table4[ES_SCORE], Table4[HazardRisk_Category], Table5[[#This Row],[Category]]))/(COUNTIFS(Table4[HazardRisk_Category], Table5[[#This Row],[Category]]))</f>
        <v>25.321417368768792</v>
      </c>
    </row>
    <row r="8" spans="1:24" x14ac:dyDescent="0.2">
      <c r="A8" t="s">
        <v>2166</v>
      </c>
      <c r="B8" t="s">
        <v>475</v>
      </c>
      <c r="C8" s="17" t="str">
        <f>IF(AND(Table5[[#This Row],[AVG Risk Score]]&gt;=0, 9.999&gt;=Table5[[#This Row],[AVG Risk Score]]), "UNDETECTABLE", IF(AND(Table5[[#This Row],[AVG Risk Score]]&gt;9.001, 24.999&gt;=Table5[[#This Row],[AVG Risk Score]]), "MODERATE", IF(AND(Table5[[#This Row],[AVG Risk Score]]&gt;=25, 35.9999&gt;=Table5[[#This Row],[AVG Risk Score]]), "HIGH", IF(AND(Table5[[#This Row],[AVG Risk Score]]&gt;36, 50&gt;=Table5[[#This Row],[AVG Risk Score]]), "VERY HIGH", "Check Formula"))))</f>
        <v>MODERATE</v>
      </c>
      <c r="D8" s="234">
        <f>(Table5[[#This Row],[Consequence]]/Table5[[#This Row],[Data Observations]])*(Table5[[#This Row],[Probabiliuty]]/Table5[[#This Row],[Data Observations]])</f>
        <v>23.394296061566319</v>
      </c>
      <c r="E8" s="17" t="str">
        <f xml:space="preserve"> IF(AND(Table5[[#This Row],[AVG DQ Score]]&gt;0, 0.2&gt;=Table5[[#This Row],[AVG DQ Score]]), "VERY LOW", IF(AND(Table5[[#This Row],[AVG DQ Score]]&gt;0.201, 0.4 &gt;=Table5[[#This Row],[AVG DQ Score]]), "LOW", IF(AND(Table5[[#This Row],[AVG DQ Score]]&gt;0.401, 0.6&gt;=Table5[[#This Row],[AVG DQ Score]]), "MODERATE", IF(AND(Table5[[#This Row],[AVG DQ Score]]&gt;0.6000001, 0.8&gt;=Table5[[#This Row],[AVG DQ Score]]), "HIGH", IF(AND(Table5[[#This Row],[AVG DQ Score]]&gt;0.800001, 1&gt;=Table5[[#This Row],[AVG DQ Score]]), "VERY HIGH", "Check Formula")))))</f>
        <v>MODERATE</v>
      </c>
      <c r="F8" s="301">
        <f>AVERAGEIFS(Table4[DataQuality_Score],Table4[HazardRisk_Category],Table5[[#This Row],[Category]])</f>
        <v>0.55128075996703441</v>
      </c>
      <c r="G8" s="235" t="str">
        <f>Table5[[#This Row],[LoA - Metric]]&amp;", "&amp;Table5[[#This Row],[ES - Metric]]</f>
        <v>Medium agreement, Medium evidence</v>
      </c>
      <c r="H8" s="311">
        <f>COUNTIF(Table4[HazardRisk_Category],Table5[[#This Row],[Category]])</f>
        <v>25</v>
      </c>
      <c r="I8" s="235">
        <f>Table5[[#This Row],[Intangible]]/Table5[[#This Row],[HazRisk Count]]</f>
        <v>0</v>
      </c>
      <c r="J8" s="311">
        <f>COUNTIFS(Table4[HazardRisk_Category],Table5[[#This Row],[Category]],Table4[Intangable], "Y")</f>
        <v>0</v>
      </c>
      <c r="K8" s="10">
        <f>COUNTIFS(Table4[HazardRisk_Category],Table5[[#This Row],[Category]],Table4[Intangable], "N")</f>
        <v>25</v>
      </c>
      <c r="L8">
        <f>SUMIFS(Table4[data_observations],Table4[HazardRisk_Category],Table5[[#This Row],[Category]])</f>
        <v>94</v>
      </c>
      <c r="M8">
        <f>SUMIFS(Table4[consequence_summed],Table4[HazardRisk_Category],Table5[[#This Row],[Category]])</f>
        <v>638</v>
      </c>
      <c r="N8">
        <f>SUMIFS(Table4[probability_summed],Table4[HazardRisk_Category],Table5[[#This Row],[Category]])</f>
        <v>324</v>
      </c>
      <c r="O8" s="17">
        <f>COUNTIFS(Table4[HazardRisk_Category],Table5[[#This Row],[Category]], Table4[HazardRisk], "Hazard")</f>
        <v>10</v>
      </c>
      <c r="P8" s="17">
        <f>COUNTIFS(Table4[HazardRisk_Category],Table5[[#This Row],[Category]], Table4[HazardRisk], "Risk")</f>
        <v>15</v>
      </c>
      <c r="Q8" s="17">
        <f>COUNTIFS(Table4[HazardRisk_Category],Table5[[#This Row],[Category]], Table4[RiskRating], "Very High")</f>
        <v>1</v>
      </c>
      <c r="R8" s="17">
        <f>COUNTIFS(Table4[HazardRisk_Category],Table5[[#This Row],[Category]], Table4[RiskRating], "High")</f>
        <v>5</v>
      </c>
      <c r="S8" s="17">
        <f>COUNTIFS(Table4[HazardRisk_Category],Table5[[#This Row],[Category]], Table4[RiskRating], "Moderate")</f>
        <v>15</v>
      </c>
      <c r="T8" s="17">
        <f>COUNTIFS(Table4[HazardRisk_Category],Table5[[#This Row],[Category]], Table4[RiskRating], "Undetectable")</f>
        <v>4</v>
      </c>
      <c r="U8" s="175" t="str">
        <f xml:space="preserve"> IF(AND(Table5[[#This Row],[LoA]]&gt;=0, 16.66&gt;=Table5[[#This Row],[LoA]]), "Low agreement", IF(AND(Table5[[#This Row],[LoA]]&gt;=16.67, 33.33 &gt;=Table5[[#This Row],[LoA]]), "Medium agreement", IF(AND(Table5[[#This Row],[LoA]]&gt;=33.34, 50&gt;=Table5[[#This Row],[LoA]]), "High agreement", "Check Formula")))</f>
        <v>Medium agreement</v>
      </c>
      <c r="V8" s="175" t="str">
        <f xml:space="preserve"> IF(AND(Table5[[#This Row],[ES]]&gt;=0, 16.66&gt;=Table5[[#This Row],[ES]]), "Limited evidence", IF(AND(Table5[[#This Row],[ES]]&gt;=16.67, 33.33 &gt;=Table5[[#This Row],[ES]]), "Medium evidence", IF(AND(Table5[[#This Row],[ES]]&gt;=33.34, 50&gt;=Table5[[#This Row],[ES]]), "Robust evidence", "Check Formula")))</f>
        <v>Medium evidence</v>
      </c>
      <c r="W8" s="262">
        <f>(SUMIFS(Table4[LoA_SCORE], Table4[HazardRisk_Category], Table5[[#This Row],[Category]]))/(COUNTIFS(Table4[HazardRisk_Category], Table5[[#This Row],[Category]]))</f>
        <v>30.15775910364146</v>
      </c>
      <c r="X8" s="264">
        <f>(SUMIFS(Table4[ES_SCORE], Table4[HazardRisk_Category], Table5[[#This Row],[Category]]))/(COUNTIFS(Table4[HazardRisk_Category], Table5[[#This Row],[Category]]))</f>
        <v>24.97031689306198</v>
      </c>
    </row>
    <row r="9" spans="1:24" x14ac:dyDescent="0.2">
      <c r="A9" t="s">
        <v>2170</v>
      </c>
      <c r="B9" t="s">
        <v>697</v>
      </c>
      <c r="C9" s="17" t="str">
        <f>IF(AND(Table5[[#This Row],[AVG Risk Score]]&gt;=0, 9.999&gt;=Table5[[#This Row],[AVG Risk Score]]), "UNDETECTABLE", IF(AND(Table5[[#This Row],[AVG Risk Score]]&gt;9.001, 24.999&gt;=Table5[[#This Row],[AVG Risk Score]]), "MODERATE", IF(AND(Table5[[#This Row],[AVG Risk Score]]&gt;=25, 35.9999&gt;=Table5[[#This Row],[AVG Risk Score]]), "HIGH", IF(AND(Table5[[#This Row],[AVG Risk Score]]&gt;36, 50&gt;=Table5[[#This Row],[AVG Risk Score]]), "VERY HIGH", "Check Formula"))))</f>
        <v>MODERATE</v>
      </c>
      <c r="D9" s="234">
        <f>(Table5[[#This Row],[Consequence]]/Table5[[#This Row],[Data Observations]])*(Table5[[#This Row],[Probabiliuty]]/Table5[[#This Row],[Data Observations]])</f>
        <v>22.947658402203853</v>
      </c>
      <c r="E9" s="17" t="str">
        <f xml:space="preserve"> IF(AND(Table5[[#This Row],[AVG DQ Score]]&gt;0, 0.2&gt;=Table5[[#This Row],[AVG DQ Score]]), "VERY LOW", IF(AND(Table5[[#This Row],[AVG DQ Score]]&gt;0.201, 0.4 &gt;=Table5[[#This Row],[AVG DQ Score]]), "LOW", IF(AND(Table5[[#This Row],[AVG DQ Score]]&gt;0.401, 0.6&gt;=Table5[[#This Row],[AVG DQ Score]]), "MODERATE", IF(AND(Table5[[#This Row],[AVG DQ Score]]&gt;0.6000001, 0.8&gt;=Table5[[#This Row],[AVG DQ Score]]), "HIGH", IF(AND(Table5[[#This Row],[AVG DQ Score]]&gt;0.800001, 1&gt;=Table5[[#This Row],[AVG DQ Score]]), "VERY HIGH", "Check Formula")))))</f>
        <v>MODERATE</v>
      </c>
      <c r="F9" s="301">
        <f>AVERAGEIFS(Table4[DataQuality_Score],Table4[HazardRisk_Category],Table5[[#This Row],[Category]])</f>
        <v>0.58214925158989306</v>
      </c>
      <c r="G9" s="235" t="str">
        <f>Table5[[#This Row],[LoA - Metric]]&amp;", "&amp;Table5[[#This Row],[ES - Metric]]</f>
        <v>Medium agreement, Medium evidence</v>
      </c>
      <c r="H9" s="311">
        <f>COUNTIF(Table4[HazardRisk_Category],Table5[[#This Row],[Category]])</f>
        <v>7</v>
      </c>
      <c r="I9" s="235">
        <f>Table5[[#This Row],[Intangible]]/Table5[[#This Row],[HazRisk Count]]</f>
        <v>0.2857142857142857</v>
      </c>
      <c r="J9" s="311">
        <f>COUNTIFS(Table4[HazardRisk_Category],Table5[[#This Row],[Category]],Table4[Intangable], "Y")</f>
        <v>2</v>
      </c>
      <c r="K9" s="10">
        <f>COUNTIFS(Table4[HazardRisk_Category],Table5[[#This Row],[Category]],Table4[Intangable], "N")</f>
        <v>5</v>
      </c>
      <c r="L9">
        <f>SUMIFS(Table4[data_observations],Table4[HazardRisk_Category],Table5[[#This Row],[Category]])</f>
        <v>33</v>
      </c>
      <c r="M9">
        <f>SUMIFS(Table4[consequence_summed],Table4[HazardRisk_Category],Table5[[#This Row],[Category]])</f>
        <v>170</v>
      </c>
      <c r="N9">
        <f>SUMIFS(Table4[probability_summed],Table4[HazardRisk_Category],Table5[[#This Row],[Category]])</f>
        <v>147</v>
      </c>
      <c r="O9" s="17">
        <f>COUNTIFS(Table4[HazardRisk_Category],Table5[[#This Row],[Category]], Table4[HazardRisk], "Hazard")</f>
        <v>0</v>
      </c>
      <c r="P9" s="17">
        <f>COUNTIFS(Table4[HazardRisk_Category],Table5[[#This Row],[Category]], Table4[HazardRisk], "Risk")</f>
        <v>7</v>
      </c>
      <c r="Q9" s="17">
        <f>COUNTIFS(Table4[HazardRisk_Category],Table5[[#This Row],[Category]], Table4[RiskRating], "Very High")</f>
        <v>0</v>
      </c>
      <c r="R9" s="17">
        <f>COUNTIFS(Table4[HazardRisk_Category],Table5[[#This Row],[Category]], Table4[RiskRating], "High")</f>
        <v>0</v>
      </c>
      <c r="S9" s="17">
        <f>COUNTIFS(Table4[HazardRisk_Category],Table5[[#This Row],[Category]], Table4[RiskRating], "Moderate")</f>
        <v>7</v>
      </c>
      <c r="T9" s="17">
        <f>COUNTIFS(Table4[HazardRisk_Category],Table5[[#This Row],[Category]], Table4[RiskRating], "Undetectable")</f>
        <v>0</v>
      </c>
      <c r="U9" s="175" t="str">
        <f xml:space="preserve"> IF(AND(Table5[[#This Row],[LoA]]&gt;=0, 16.66&gt;=Table5[[#This Row],[LoA]]), "Low agreement", IF(AND(Table5[[#This Row],[LoA]]&gt;=16.67, 33.33 &gt;=Table5[[#This Row],[LoA]]), "Medium agreement", IF(AND(Table5[[#This Row],[LoA]]&gt;=33.34, 50&gt;=Table5[[#This Row],[LoA]]), "High agreement", "Check Formula")))</f>
        <v>Medium agreement</v>
      </c>
      <c r="V9" s="175" t="str">
        <f xml:space="preserve"> IF(AND(Table5[[#This Row],[ES]]&gt;=0, 16.66&gt;=Table5[[#This Row],[ES]]), "Limited evidence", IF(AND(Table5[[#This Row],[ES]]&gt;=16.67, 33.33 &gt;=Table5[[#This Row],[ES]]), "Medium evidence", IF(AND(Table5[[#This Row],[ES]]&gt;=33.34, 50&gt;=Table5[[#This Row],[ES]]), "Robust evidence", "Check Formula")))</f>
        <v>Medium evidence</v>
      </c>
      <c r="W9" s="262">
        <f>(SUMIFS(Table4[LoA_SCORE], Table4[HazardRisk_Category], Table5[[#This Row],[Category]]))/(COUNTIFS(Table4[HazardRisk_Category], Table5[[#This Row],[Category]]))</f>
        <v>29.696428571428573</v>
      </c>
      <c r="X9" s="264">
        <f>(SUMIFS(Table4[ES_SCORE], Table4[HazardRisk_Category], Table5[[#This Row],[Category]]))/(COUNTIFS(Table4[HazardRisk_Category], Table5[[#This Row],[Category]]))</f>
        <v>28.518496587560726</v>
      </c>
    </row>
    <row r="10" spans="1:24" x14ac:dyDescent="0.2">
      <c r="A10" t="s">
        <v>2167</v>
      </c>
      <c r="B10" t="s">
        <v>481</v>
      </c>
      <c r="C10" s="17" t="str">
        <f>IF(AND(Table5[[#This Row],[AVG Risk Score]]&gt;=0, 9.999&gt;=Table5[[#This Row],[AVG Risk Score]]), "UNDETECTABLE", IF(AND(Table5[[#This Row],[AVG Risk Score]]&gt;9.001, 24.999&gt;=Table5[[#This Row],[AVG Risk Score]]), "MODERATE", IF(AND(Table5[[#This Row],[AVG Risk Score]]&gt;=25, 35.9999&gt;=Table5[[#This Row],[AVG Risk Score]]), "HIGH", IF(AND(Table5[[#This Row],[AVG Risk Score]]&gt;36, 50&gt;=Table5[[#This Row],[AVG Risk Score]]), "VERY HIGH", "Check Formula"))))</f>
        <v>MODERATE</v>
      </c>
      <c r="D10" s="234">
        <f>(Table5[[#This Row],[Consequence]]/Table5[[#This Row],[Data Observations]])*(Table5[[#This Row],[Probabiliuty]]/Table5[[#This Row],[Data Observations]])</f>
        <v>22.142857142857142</v>
      </c>
      <c r="E10" s="17" t="str">
        <f xml:space="preserve"> IF(AND(Table5[[#This Row],[AVG DQ Score]]&gt;0, 0.2&gt;=Table5[[#This Row],[AVG DQ Score]]), "VERY LOW", IF(AND(Table5[[#This Row],[AVG DQ Score]]&gt;0.201, 0.4 &gt;=Table5[[#This Row],[AVG DQ Score]]), "LOW", IF(AND(Table5[[#This Row],[AVG DQ Score]]&gt;0.401, 0.6&gt;=Table5[[#This Row],[AVG DQ Score]]), "MODERATE", IF(AND(Table5[[#This Row],[AVG DQ Score]]&gt;0.6000001, 0.8&gt;=Table5[[#This Row],[AVG DQ Score]]), "HIGH", IF(AND(Table5[[#This Row],[AVG DQ Score]]&gt;0.800001, 1&gt;=Table5[[#This Row],[AVG DQ Score]]), "VERY HIGH", "Check Formula")))))</f>
        <v>HIGH</v>
      </c>
      <c r="F10" s="301">
        <f>AVERAGEIFS(Table4[DataQuality_Score],Table4[HazardRisk_Category],Table5[[#This Row],[Category]])</f>
        <v>0.60406777816048796</v>
      </c>
      <c r="G10" s="235" t="str">
        <f>Table5[[#This Row],[LoA - Metric]]&amp;", "&amp;Table5[[#This Row],[ES - Metric]]</f>
        <v>High agreement, Medium evidence</v>
      </c>
      <c r="H10" s="311">
        <f>COUNTIF(Table4[HazardRisk_Category],Table5[[#This Row],[Category]])</f>
        <v>24</v>
      </c>
      <c r="I10" s="235">
        <f>Table5[[#This Row],[Intangible]]/Table5[[#This Row],[HazRisk Count]]</f>
        <v>0</v>
      </c>
      <c r="J10" s="311">
        <f>COUNTIFS(Table4[HazardRisk_Category],Table5[[#This Row],[Category]],Table4[Intangable], "Y")</f>
        <v>0</v>
      </c>
      <c r="K10" s="10">
        <f>COUNTIFS(Table4[HazardRisk_Category],Table5[[#This Row],[Category]],Table4[Intangable], "N")</f>
        <v>24</v>
      </c>
      <c r="L10">
        <f>SUMIFS(Table4[data_observations],Table4[HazardRisk_Category],Table5[[#This Row],[Category]])</f>
        <v>161</v>
      </c>
      <c r="M10">
        <f>SUMIFS(Table4[consequence_summed],Table4[HazardRisk_Category],Table5[[#This Row],[Category]])</f>
        <v>1085</v>
      </c>
      <c r="N10">
        <f>SUMIFS(Table4[probability_summed],Table4[HazardRisk_Category],Table5[[#This Row],[Category]])</f>
        <v>529</v>
      </c>
      <c r="O10" s="17">
        <f>COUNTIFS(Table4[HazardRisk_Category],Table5[[#This Row],[Category]], Table4[HazardRisk], "Hazard")</f>
        <v>7</v>
      </c>
      <c r="P10" s="17">
        <f>COUNTIFS(Table4[HazardRisk_Category],Table5[[#This Row],[Category]], Table4[HazardRisk], "Risk")</f>
        <v>17</v>
      </c>
      <c r="Q10" s="17">
        <f>COUNTIFS(Table4[HazardRisk_Category],Table5[[#This Row],[Category]], Table4[RiskRating], "Very High")</f>
        <v>0</v>
      </c>
      <c r="R10" s="17">
        <f>COUNTIFS(Table4[HazardRisk_Category],Table5[[#This Row],[Category]], Table4[RiskRating], "High")</f>
        <v>5</v>
      </c>
      <c r="S10" s="17">
        <f>COUNTIFS(Table4[HazardRisk_Category],Table5[[#This Row],[Category]], Table4[RiskRating], "Moderate")</f>
        <v>19</v>
      </c>
      <c r="T10" s="17">
        <f>COUNTIFS(Table4[HazardRisk_Category],Table5[[#This Row],[Category]], Table4[RiskRating], "Undetectable")</f>
        <v>0</v>
      </c>
      <c r="U10" s="175" t="str">
        <f xml:space="preserve"> IF(AND(Table5[[#This Row],[LoA]]&gt;=0, 16.66&gt;=Table5[[#This Row],[LoA]]), "Low agreement", IF(AND(Table5[[#This Row],[LoA]]&gt;=16.67, 33.33 &gt;=Table5[[#This Row],[LoA]]), "Medium agreement", IF(AND(Table5[[#This Row],[LoA]]&gt;=33.34, 50&gt;=Table5[[#This Row],[LoA]]), "High agreement", "Check Formula")))</f>
        <v>High agreement</v>
      </c>
      <c r="V10" s="175" t="str">
        <f xml:space="preserve"> IF(AND(Table5[[#This Row],[ES]]&gt;=0, 16.66&gt;=Table5[[#This Row],[ES]]), "Limited evidence", IF(AND(Table5[[#This Row],[ES]]&gt;=16.67, 33.33 &gt;=Table5[[#This Row],[ES]]), "Medium evidence", IF(AND(Table5[[#This Row],[ES]]&gt;=33.34, 50&gt;=Table5[[#This Row],[ES]]), "Robust evidence", "Check Formula")))</f>
        <v>Medium evidence</v>
      </c>
      <c r="W10" s="262">
        <f>(SUMIFS(Table4[LoA_SCORE], Table4[HazardRisk_Category], Table5[[#This Row],[Category]]))/(COUNTIFS(Table4[HazardRisk_Category], Table5[[#This Row],[Category]]))</f>
        <v>33.704408846872077</v>
      </c>
      <c r="X10" s="264">
        <f>(SUMIFS(Table4[ES_SCORE], Table4[HazardRisk_Category], Table5[[#This Row],[Category]]))/(COUNTIFS(Table4[HazardRisk_Category], Table5[[#This Row],[Category]]))</f>
        <v>26.702368969176721</v>
      </c>
    </row>
    <row r="11" spans="1:24" x14ac:dyDescent="0.2">
      <c r="A11" t="s">
        <v>2172</v>
      </c>
      <c r="B11" t="s">
        <v>494</v>
      </c>
      <c r="C11" s="17" t="str">
        <f>IF(AND(Table5[[#This Row],[AVG Risk Score]]&gt;=0, 9.999&gt;=Table5[[#This Row],[AVG Risk Score]]), "UNDETECTABLE", IF(AND(Table5[[#This Row],[AVG Risk Score]]&gt;9.001, 24.999&gt;=Table5[[#This Row],[AVG Risk Score]]), "MODERATE", IF(AND(Table5[[#This Row],[AVG Risk Score]]&gt;=25, 35.9999&gt;=Table5[[#This Row],[AVG Risk Score]]), "HIGH", IF(AND(Table5[[#This Row],[AVG Risk Score]]&gt;36, 50&gt;=Table5[[#This Row],[AVG Risk Score]]), "VERY HIGH", "Check Formula"))))</f>
        <v>MODERATE</v>
      </c>
      <c r="D11" s="234">
        <f>(Table5[[#This Row],[Consequence]]/Table5[[#This Row],[Data Observations]])*(Table5[[#This Row],[Probabiliuty]]/Table5[[#This Row],[Data Observations]])</f>
        <v>21.755102040816325</v>
      </c>
      <c r="E11" s="17" t="str">
        <f xml:space="preserve"> IF(AND(Table5[[#This Row],[AVG DQ Score]]&gt;0, 0.2&gt;=Table5[[#This Row],[AVG DQ Score]]), "VERY LOW", IF(AND(Table5[[#This Row],[AVG DQ Score]]&gt;0.201, 0.4 &gt;=Table5[[#This Row],[AVG DQ Score]]), "LOW", IF(AND(Table5[[#This Row],[AVG DQ Score]]&gt;0.401, 0.6&gt;=Table5[[#This Row],[AVG DQ Score]]), "MODERATE", IF(AND(Table5[[#This Row],[AVG DQ Score]]&gt;0.6000001, 0.8&gt;=Table5[[#This Row],[AVG DQ Score]]), "HIGH", IF(AND(Table5[[#This Row],[AVG DQ Score]]&gt;0.800001, 1&gt;=Table5[[#This Row],[AVG DQ Score]]), "VERY HIGH", "Check Formula")))))</f>
        <v>MODERATE</v>
      </c>
      <c r="F11" s="301">
        <f>AVERAGEIFS(Table4[DataQuality_Score],Table4[HazardRisk_Category],Table5[[#This Row],[Category]])</f>
        <v>0.48234424068568843</v>
      </c>
      <c r="G11" s="235" t="str">
        <f>Table5[[#This Row],[LoA - Metric]]&amp;", "&amp;Table5[[#This Row],[ES - Metric]]</f>
        <v>Medium agreement, Medium evidence</v>
      </c>
      <c r="H11" s="311">
        <f>COUNTIF(Table4[HazardRisk_Category],Table5[[#This Row],[Category]])</f>
        <v>6</v>
      </c>
      <c r="I11" s="235">
        <f>Table5[[#This Row],[Intangible]]/Table5[[#This Row],[HazRisk Count]]</f>
        <v>0.5</v>
      </c>
      <c r="J11" s="311">
        <f>COUNTIFS(Table4[HazardRisk_Category],Table5[[#This Row],[Category]],Table4[Intangable], "Y")</f>
        <v>3</v>
      </c>
      <c r="K11" s="10">
        <f>COUNTIFS(Table4[HazardRisk_Category],Table5[[#This Row],[Category]],Table4[Intangable], "N")</f>
        <v>3</v>
      </c>
      <c r="L11">
        <f>SUMIFS(Table4[data_observations],Table4[HazardRisk_Category],Table5[[#This Row],[Category]])</f>
        <v>14</v>
      </c>
      <c r="M11">
        <f>SUMIFS(Table4[consequence_summed],Table4[HazardRisk_Category],Table5[[#This Row],[Category]])</f>
        <v>104</v>
      </c>
      <c r="N11">
        <f>SUMIFS(Table4[probability_summed],Table4[HazardRisk_Category],Table5[[#This Row],[Category]])</f>
        <v>41</v>
      </c>
      <c r="O11" s="17">
        <f>COUNTIFS(Table4[HazardRisk_Category],Table5[[#This Row],[Category]], Table4[HazardRisk], "Hazard")</f>
        <v>4</v>
      </c>
      <c r="P11" s="17">
        <f>COUNTIFS(Table4[HazardRisk_Category],Table5[[#This Row],[Category]], Table4[HazardRisk], "Risk")</f>
        <v>2</v>
      </c>
      <c r="Q11" s="17">
        <f>COUNTIFS(Table4[HazardRisk_Category],Table5[[#This Row],[Category]], Table4[RiskRating], "Very High")</f>
        <v>0</v>
      </c>
      <c r="R11" s="17">
        <f>COUNTIFS(Table4[HazardRisk_Category],Table5[[#This Row],[Category]], Table4[RiskRating], "High")</f>
        <v>2</v>
      </c>
      <c r="S11" s="17">
        <f>COUNTIFS(Table4[HazardRisk_Category],Table5[[#This Row],[Category]], Table4[RiskRating], "Moderate")</f>
        <v>4</v>
      </c>
      <c r="T11" s="17">
        <f>COUNTIFS(Table4[HazardRisk_Category],Table5[[#This Row],[Category]], Table4[RiskRating], "Undetectable")</f>
        <v>0</v>
      </c>
      <c r="U11" s="175" t="str">
        <f xml:space="preserve"> IF(AND(Table5[[#This Row],[LoA]]&gt;=0, 16.66&gt;=Table5[[#This Row],[LoA]]), "Low agreement", IF(AND(Table5[[#This Row],[LoA]]&gt;=16.67, 33.33 &gt;=Table5[[#This Row],[LoA]]), "Medium agreement", IF(AND(Table5[[#This Row],[LoA]]&gt;=33.34, 50&gt;=Table5[[#This Row],[LoA]]), "High agreement", "Check Formula")))</f>
        <v>Medium agreement</v>
      </c>
      <c r="V11" s="175" t="str">
        <f xml:space="preserve"> IF(AND(Table5[[#This Row],[ES]]&gt;=0, 16.66&gt;=Table5[[#This Row],[ES]]), "Limited evidence", IF(AND(Table5[[#This Row],[ES]]&gt;=16.67, 33.33 &gt;=Table5[[#This Row],[ES]]), "Medium evidence", IF(AND(Table5[[#This Row],[ES]]&gt;=33.34, 50&gt;=Table5[[#This Row],[ES]]), "Robust evidence", "Check Formula")))</f>
        <v>Medium evidence</v>
      </c>
      <c r="W11" s="262">
        <f>(SUMIFS(Table4[LoA_SCORE], Table4[HazardRisk_Category], Table5[[#This Row],[Category]]))/(COUNTIFS(Table4[HazardRisk_Category], Table5[[#This Row],[Category]]))</f>
        <v>24.055555555555554</v>
      </c>
      <c r="X11" s="264">
        <f>(SUMIFS(Table4[ES_SCORE], Table4[HazardRisk_Category], Table5[[#This Row],[Category]]))/(COUNTIFS(Table4[HazardRisk_Category], Table5[[#This Row],[Category]]))</f>
        <v>24.178868513013285</v>
      </c>
    </row>
    <row r="12" spans="1:24" x14ac:dyDescent="0.2">
      <c r="A12" t="s">
        <v>2169</v>
      </c>
      <c r="B12" t="s">
        <v>473</v>
      </c>
      <c r="C12" s="17" t="str">
        <f>IF(AND(Table5[[#This Row],[AVG Risk Score]]&gt;=0, 9.999&gt;=Table5[[#This Row],[AVG Risk Score]]), "UNDETECTABLE", IF(AND(Table5[[#This Row],[AVG Risk Score]]&gt;9.001, 24.999&gt;=Table5[[#This Row],[AVG Risk Score]]), "MODERATE", IF(AND(Table5[[#This Row],[AVG Risk Score]]&gt;=25, 35.9999&gt;=Table5[[#This Row],[AVG Risk Score]]), "HIGH", IF(AND(Table5[[#This Row],[AVG Risk Score]]&gt;36, 50&gt;=Table5[[#This Row],[AVG Risk Score]]), "VERY HIGH", "Check Formula"))))</f>
        <v>MODERATE</v>
      </c>
      <c r="D12" s="234">
        <f>(Table5[[#This Row],[Consequence]]/Table5[[#This Row],[Data Observations]])*(Table5[[#This Row],[Probabiliuty]]/Table5[[#This Row],[Data Observations]])</f>
        <v>21.37890625</v>
      </c>
      <c r="E12" s="17" t="str">
        <f xml:space="preserve"> IF(AND(Table5[[#This Row],[AVG DQ Score]]&gt;0, 0.2&gt;=Table5[[#This Row],[AVG DQ Score]]), "VERY LOW", IF(AND(Table5[[#This Row],[AVG DQ Score]]&gt;0.201, 0.4 &gt;=Table5[[#This Row],[AVG DQ Score]]), "LOW", IF(AND(Table5[[#This Row],[AVG DQ Score]]&gt;0.401, 0.6&gt;=Table5[[#This Row],[AVG DQ Score]]), "MODERATE", IF(AND(Table5[[#This Row],[AVG DQ Score]]&gt;0.6000001, 0.8&gt;=Table5[[#This Row],[AVG DQ Score]]), "HIGH", IF(AND(Table5[[#This Row],[AVG DQ Score]]&gt;0.800001, 1&gt;=Table5[[#This Row],[AVG DQ Score]]), "VERY HIGH", "Check Formula")))))</f>
        <v>HIGH</v>
      </c>
      <c r="F12" s="301">
        <f>AVERAGEIFS(Table4[DataQuality_Score],Table4[HazardRisk_Category],Table5[[#This Row],[Category]])</f>
        <v>0.62481302639798963</v>
      </c>
      <c r="G12" s="235" t="str">
        <f>Table5[[#This Row],[LoA - Metric]]&amp;", "&amp;Table5[[#This Row],[ES - Metric]]</f>
        <v>High agreement, Medium evidence</v>
      </c>
      <c r="H12" s="311">
        <f>COUNTIF(Table4[HazardRisk_Category],Table5[[#This Row],[Category]])</f>
        <v>11</v>
      </c>
      <c r="I12" s="235">
        <f>Table5[[#This Row],[Intangible]]/Table5[[#This Row],[HazRisk Count]]</f>
        <v>0.81818181818181823</v>
      </c>
      <c r="J12" s="311">
        <f>COUNTIFS(Table4[HazardRisk_Category],Table5[[#This Row],[Category]],Table4[Intangable], "Y")</f>
        <v>9</v>
      </c>
      <c r="K12" s="10">
        <f>COUNTIFS(Table4[HazardRisk_Category],Table5[[#This Row],[Category]],Table4[Intangable], "N")</f>
        <v>2</v>
      </c>
      <c r="L12">
        <f>SUMIFS(Table4[data_observations],Table4[HazardRisk_Category],Table5[[#This Row],[Category]])</f>
        <v>80</v>
      </c>
      <c r="M12">
        <f>SUMIFS(Table4[consequence_summed],Table4[HazardRisk_Category],Table5[[#This Row],[Category]])</f>
        <v>421</v>
      </c>
      <c r="N12">
        <f>SUMIFS(Table4[probability_summed],Table4[HazardRisk_Category],Table5[[#This Row],[Category]])</f>
        <v>325</v>
      </c>
      <c r="O12" s="314">
        <f>COUNTIFS(Table4[HazardRisk_Category],Table5[[#This Row],[Category]], Table4[HazardRisk], "Hazard")</f>
        <v>0</v>
      </c>
      <c r="P12" s="314">
        <f>COUNTIFS(Table4[HazardRisk_Category],Table5[[#This Row],[Category]], Table4[HazardRisk], "Risk")</f>
        <v>11</v>
      </c>
      <c r="Q12" s="314">
        <f>COUNTIFS(Table4[HazardRisk_Category],Table5[[#This Row],[Category]], Table4[RiskRating], "Very High")</f>
        <v>0</v>
      </c>
      <c r="R12" s="314">
        <f>COUNTIFS(Table4[HazardRisk_Category],Table5[[#This Row],[Category]], Table4[RiskRating], "High")</f>
        <v>2</v>
      </c>
      <c r="S12" s="314">
        <f>COUNTIFS(Table4[HazardRisk_Category],Table5[[#This Row],[Category]], Table4[RiskRating], "Moderate")</f>
        <v>9</v>
      </c>
      <c r="T12" s="314">
        <f>COUNTIFS(Table4[HazardRisk_Category],Table5[[#This Row],[Category]], Table4[RiskRating], "Undetectable")</f>
        <v>0</v>
      </c>
      <c r="U12" s="175" t="str">
        <f xml:space="preserve"> IF(AND(Table5[[#This Row],[LoA]]&gt;=0, 16.66&gt;=Table5[[#This Row],[LoA]]), "Low agreement", IF(AND(Table5[[#This Row],[LoA]]&gt;=16.67, 33.33 &gt;=Table5[[#This Row],[LoA]]), "Medium agreement", IF(AND(Table5[[#This Row],[LoA]]&gt;=33.34, 50&gt;=Table5[[#This Row],[LoA]]), "High agreement", "Check Formula")))</f>
        <v>High agreement</v>
      </c>
      <c r="V12" s="175" t="str">
        <f xml:space="preserve"> IF(AND(Table5[[#This Row],[ES]]&gt;=0, 16.66&gt;=Table5[[#This Row],[ES]]), "Limited evidence", IF(AND(Table5[[#This Row],[ES]]&gt;=16.67, 33.33 &gt;=Table5[[#This Row],[ES]]), "Medium evidence", IF(AND(Table5[[#This Row],[ES]]&gt;=33.34, 50&gt;=Table5[[#This Row],[ES]]), "Robust evidence", "Check Formula")))</f>
        <v>Medium evidence</v>
      </c>
      <c r="W12" s="262">
        <f>(SUMIFS(Table4[LoA_SCORE], Table4[HazardRisk_Category], Table5[[#This Row],[Category]]))/(COUNTIFS(Table4[HazardRisk_Category], Table5[[#This Row],[Category]]))</f>
        <v>36.035631035631035</v>
      </c>
      <c r="X12" s="264">
        <f>(SUMIFS(Table4[ES_SCORE], Table4[HazardRisk_Category], Table5[[#This Row],[Category]]))/(COUNTIFS(Table4[HazardRisk_Category], Table5[[#This Row],[Category]]))</f>
        <v>26.445671604167924</v>
      </c>
    </row>
    <row r="13" spans="1:24" x14ac:dyDescent="0.2">
      <c r="A13" t="s">
        <v>2171</v>
      </c>
      <c r="B13" t="s">
        <v>702</v>
      </c>
      <c r="C13" s="17" t="str">
        <f>IF(AND(Table5[[#This Row],[AVG Risk Score]]&gt;=0, 9.999&gt;=Table5[[#This Row],[AVG Risk Score]]), "UNDETECTABLE", IF(AND(Table5[[#This Row],[AVG Risk Score]]&gt;9.001, 24.999&gt;=Table5[[#This Row],[AVG Risk Score]]), "MODERATE", IF(AND(Table5[[#This Row],[AVG Risk Score]]&gt;=25, 35.9999&gt;=Table5[[#This Row],[AVG Risk Score]]), "HIGH", IF(AND(Table5[[#This Row],[AVG Risk Score]]&gt;36, 50&gt;=Table5[[#This Row],[AVG Risk Score]]), "VERY HIGH", "Check Formula"))))</f>
        <v>MODERATE</v>
      </c>
      <c r="D13" s="234">
        <f>(Table5[[#This Row],[Consequence]]/Table5[[#This Row],[Data Observations]])*(Table5[[#This Row],[Probabiliuty]]/Table5[[#This Row],[Data Observations]])</f>
        <v>21.232514177693762</v>
      </c>
      <c r="E13" s="17" t="str">
        <f xml:space="preserve"> IF(AND(Table5[[#This Row],[AVG DQ Score]]&gt;0, 0.2&gt;=Table5[[#This Row],[AVG DQ Score]]), "VERY LOW", IF(AND(Table5[[#This Row],[AVG DQ Score]]&gt;0.201, 0.4 &gt;=Table5[[#This Row],[AVG DQ Score]]), "LOW", IF(AND(Table5[[#This Row],[AVG DQ Score]]&gt;0.401, 0.6&gt;=Table5[[#This Row],[AVG DQ Score]]), "MODERATE", IF(AND(Table5[[#This Row],[AVG DQ Score]]&gt;0.6000001, 0.8&gt;=Table5[[#This Row],[AVG DQ Score]]), "HIGH", IF(AND(Table5[[#This Row],[AVG DQ Score]]&gt;0.800001, 1&gt;=Table5[[#This Row],[AVG DQ Score]]), "VERY HIGH", "Check Formula")))))</f>
        <v>MODERATE</v>
      </c>
      <c r="F13" s="301">
        <f>AVERAGEIFS(Table4[DataQuality_Score],Table4[HazardRisk_Category],Table5[[#This Row],[Category]])</f>
        <v>0.5678531921709008</v>
      </c>
      <c r="G13" s="235" t="str">
        <f>Table5[[#This Row],[LoA - Metric]]&amp;", "&amp;Table5[[#This Row],[ES - Metric]]</f>
        <v>Medium agreement, Medium evidence</v>
      </c>
      <c r="H13" s="311">
        <f>COUNTIF(Table4[HazardRisk_Category],Table5[[#This Row],[Category]])</f>
        <v>5</v>
      </c>
      <c r="I13" s="235">
        <f>Table5[[#This Row],[Intangible]]/Table5[[#This Row],[HazRisk Count]]</f>
        <v>0</v>
      </c>
      <c r="J13" s="311">
        <f>COUNTIFS(Table4[HazardRisk_Category],Table5[[#This Row],[Category]],Table4[Intangable], "Y")</f>
        <v>0</v>
      </c>
      <c r="K13" s="10">
        <f>COUNTIFS(Table4[HazardRisk_Category],Table5[[#This Row],[Category]],Table4[Intangable], "N")</f>
        <v>5</v>
      </c>
      <c r="L13">
        <f>SUMIFS(Table4[data_observations],Table4[HazardRisk_Category],Table5[[#This Row],[Category]])</f>
        <v>23</v>
      </c>
      <c r="M13">
        <f>SUMIFS(Table4[consequence_summed],Table4[HazardRisk_Category],Table5[[#This Row],[Category]])</f>
        <v>144</v>
      </c>
      <c r="N13">
        <f>SUMIFS(Table4[probability_summed],Table4[HazardRisk_Category],Table5[[#This Row],[Category]])</f>
        <v>78</v>
      </c>
      <c r="O13" s="17">
        <f>COUNTIFS(Table4[HazardRisk_Category],Table5[[#This Row],[Category]], Table4[HazardRisk], "Hazard")</f>
        <v>2</v>
      </c>
      <c r="P13" s="17">
        <f>COUNTIFS(Table4[HazardRisk_Category],Table5[[#This Row],[Category]], Table4[HazardRisk], "Risk")</f>
        <v>3</v>
      </c>
      <c r="Q13" s="17">
        <f>COUNTIFS(Table4[HazardRisk_Category],Table5[[#This Row],[Category]], Table4[RiskRating], "Very High")</f>
        <v>0</v>
      </c>
      <c r="R13" s="17">
        <f>COUNTIFS(Table4[HazardRisk_Category],Table5[[#This Row],[Category]], Table4[RiskRating], "High")</f>
        <v>0</v>
      </c>
      <c r="S13" s="17">
        <f>COUNTIFS(Table4[HazardRisk_Category],Table5[[#This Row],[Category]], Table4[RiskRating], "Moderate")</f>
        <v>5</v>
      </c>
      <c r="T13" s="17">
        <f>COUNTIFS(Table4[HazardRisk_Category],Table5[[#This Row],[Category]], Table4[RiskRating], "Undetectable")</f>
        <v>0</v>
      </c>
      <c r="U13" s="175" t="str">
        <f xml:space="preserve"> IF(AND(Table5[[#This Row],[LoA]]&gt;=0, 16.66&gt;=Table5[[#This Row],[LoA]]), "Low agreement", IF(AND(Table5[[#This Row],[LoA]]&gt;=16.67, 33.33 &gt;=Table5[[#This Row],[LoA]]), "Medium agreement", IF(AND(Table5[[#This Row],[LoA]]&gt;=33.34, 50&gt;=Table5[[#This Row],[LoA]]), "High agreement", "Check Formula")))</f>
        <v>Medium agreement</v>
      </c>
      <c r="V13" s="175" t="str">
        <f xml:space="preserve"> IF(AND(Table5[[#This Row],[ES]]&gt;=0, 16.66&gt;=Table5[[#This Row],[ES]]), "Limited evidence", IF(AND(Table5[[#This Row],[ES]]&gt;=16.67, 33.33 &gt;=Table5[[#This Row],[ES]]), "Medium evidence", IF(AND(Table5[[#This Row],[ES]]&gt;=33.34, 50&gt;=Table5[[#This Row],[ES]]), "Robust evidence", "Check Formula")))</f>
        <v>Medium evidence</v>
      </c>
      <c r="W13" s="262">
        <f>(SUMIFS(Table4[LoA_SCORE], Table4[HazardRisk_Category], Table5[[#This Row],[Category]]))/(COUNTIFS(Table4[HazardRisk_Category], Table5[[#This Row],[Category]]))</f>
        <v>29.533333333333331</v>
      </c>
      <c r="X13" s="264">
        <f>(SUMIFS(Table4[ES_SCORE], Table4[HazardRisk_Category], Table5[[#This Row],[Category]]))/(COUNTIFS(Table4[HazardRisk_Category], Table5[[#This Row],[Category]]))</f>
        <v>27.251985883756742</v>
      </c>
    </row>
    <row r="26" spans="6:10" x14ac:dyDescent="0.2">
      <c r="J26" s="10">
        <f>5/12</f>
        <v>0.41666666666666669</v>
      </c>
    </row>
    <row r="27" spans="6:10" x14ac:dyDescent="0.2">
      <c r="F27">
        <f>71/154</f>
        <v>0.46103896103896103</v>
      </c>
    </row>
  </sheetData>
  <phoneticPr fontId="9" type="noConversion"/>
  <conditionalFormatting sqref="C2:C13">
    <cfRule type="containsText" dxfId="35" priority="1" operator="containsText" text="MODERATE">
      <formula>NOT(ISERROR(SEARCH("MODERATE",C2)))</formula>
    </cfRule>
    <cfRule type="containsText" dxfId="34" priority="2" operator="containsText" text="VERY HIGH">
      <formula>NOT(ISERROR(SEARCH("VERY HIGH",C2)))</formula>
    </cfRule>
    <cfRule type="containsText" dxfId="33" priority="3" operator="containsText" text="HIGH">
      <formula>NOT(ISERROR(SEARCH("HIGH",C2)))</formula>
    </cfRule>
    <cfRule type="cellIs" dxfId="32" priority="4" operator="between">
      <formula>10</formula>
      <formula>24.999</formula>
    </cfRule>
    <cfRule type="cellIs" dxfId="31" priority="5" operator="between">
      <formula>25</formula>
      <formula>35.999</formula>
    </cfRule>
    <cfRule type="cellIs" dxfId="30" priority="6" operator="between">
      <formula>36</formula>
      <formula>50</formula>
    </cfRule>
  </conditionalFormatting>
  <pageMargins left="0.7" right="0.7" top="0.75" bottom="0.75" header="0.3" footer="0.3"/>
  <pageSetup orientation="portrait" horizontalDpi="0" verticalDpi="0"/>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D2C25-B587-F24A-A0A6-A9F2D68FFFE9}">
  <sheetPr>
    <tabColor theme="2" tint="-9.9978637043366805E-2"/>
  </sheetPr>
  <dimension ref="A1:AK103"/>
  <sheetViews>
    <sheetView topLeftCell="AA24" zoomScale="200" zoomScaleNormal="200" workbookViewId="0">
      <selection activeCell="AE38" sqref="AE38"/>
    </sheetView>
  </sheetViews>
  <sheetFormatPr baseColWidth="10" defaultRowHeight="16" x14ac:dyDescent="0.2"/>
  <cols>
    <col min="2" max="2" width="5.83203125" customWidth="1"/>
    <col min="3" max="3" width="22" customWidth="1"/>
    <col min="4" max="4" width="10.83203125" bestFit="1" customWidth="1"/>
    <col min="5" max="10" width="28.6640625" customWidth="1"/>
    <col min="11" max="13" width="28.6640625" style="3" customWidth="1"/>
    <col min="14" max="14" width="26.5" style="3" customWidth="1"/>
    <col min="15" max="16" width="9" style="3" customWidth="1"/>
    <col min="17" max="17" width="4.33203125" style="3" customWidth="1"/>
    <col min="18" max="18" width="23.1640625" style="3" customWidth="1"/>
    <col min="19" max="19" width="8.1640625" style="3" customWidth="1"/>
    <col min="20" max="20" width="16.83203125" style="3" customWidth="1"/>
    <col min="21" max="23" width="16.83203125" customWidth="1"/>
    <col min="28" max="28" width="15.6640625" customWidth="1"/>
    <col min="29" max="32" width="13.33203125" customWidth="1"/>
    <col min="33" max="34" width="15.5" customWidth="1"/>
    <col min="35" max="35" width="30.83203125" customWidth="1"/>
  </cols>
  <sheetData>
    <row r="1" spans="1:36" s="6" customFormat="1" x14ac:dyDescent="0.2">
      <c r="K1" s="7"/>
      <c r="L1" s="7"/>
      <c r="M1" s="7"/>
      <c r="N1" s="7"/>
      <c r="O1" s="7"/>
      <c r="P1" s="7"/>
      <c r="Q1" s="7"/>
      <c r="R1" s="7"/>
      <c r="S1" s="7"/>
      <c r="T1" s="7"/>
    </row>
    <row r="2" spans="1:36" s="6" customFormat="1" ht="45" x14ac:dyDescent="0.45">
      <c r="B2" s="169" t="s">
        <v>1209</v>
      </c>
      <c r="K2" s="7"/>
      <c r="L2" s="7"/>
      <c r="M2" s="7"/>
      <c r="N2" s="7"/>
      <c r="O2" s="7"/>
      <c r="P2" s="7"/>
      <c r="Q2" s="7"/>
      <c r="R2" s="7"/>
      <c r="S2" s="7"/>
      <c r="T2" s="7"/>
    </row>
    <row r="3" spans="1:36" s="6" customFormat="1" x14ac:dyDescent="0.2">
      <c r="K3" s="7"/>
      <c r="L3" s="7"/>
      <c r="M3" s="7"/>
      <c r="N3" s="7"/>
      <c r="O3" s="7"/>
      <c r="P3" s="7"/>
      <c r="Q3" s="7"/>
      <c r="R3" s="7"/>
      <c r="S3" s="7"/>
      <c r="T3" s="7"/>
    </row>
    <row r="4" spans="1:36" s="4" customFormat="1" x14ac:dyDescent="0.2">
      <c r="K4" s="5"/>
      <c r="L4" s="5"/>
      <c r="M4" s="5"/>
      <c r="N4" s="5"/>
      <c r="O4" s="5"/>
      <c r="P4" s="5"/>
      <c r="Q4" s="5"/>
      <c r="R4" s="5"/>
      <c r="S4" s="5"/>
      <c r="T4" s="5"/>
    </row>
    <row r="5" spans="1:36" s="4" customFormat="1" ht="17" thickBot="1" x14ac:dyDescent="0.25">
      <c r="C5" s="70" t="s">
        <v>1092</v>
      </c>
      <c r="K5" s="5"/>
      <c r="L5" s="5"/>
      <c r="M5" s="5"/>
      <c r="N5" s="5"/>
      <c r="O5" s="5"/>
      <c r="P5" s="5"/>
      <c r="Q5" s="5"/>
      <c r="R5" s="5"/>
      <c r="S5" s="5"/>
      <c r="T5" s="5"/>
    </row>
    <row r="6" spans="1:36" s="4" customFormat="1" x14ac:dyDescent="0.2">
      <c r="C6" s="153" t="s">
        <v>1008</v>
      </c>
      <c r="D6" s="161" t="s">
        <v>1006</v>
      </c>
      <c r="E6" s="158" t="s">
        <v>697</v>
      </c>
      <c r="F6" s="68" t="s">
        <v>1004</v>
      </c>
      <c r="G6" s="68" t="s">
        <v>462</v>
      </c>
      <c r="H6" s="68" t="s">
        <v>482</v>
      </c>
      <c r="I6" s="68" t="s">
        <v>1005</v>
      </c>
      <c r="J6" s="68" t="s">
        <v>1002</v>
      </c>
      <c r="K6" s="68" t="s">
        <v>541</v>
      </c>
      <c r="L6" s="68" t="s">
        <v>1003</v>
      </c>
      <c r="M6" s="68" t="s">
        <v>446</v>
      </c>
      <c r="N6" s="69" t="s">
        <v>702</v>
      </c>
      <c r="O6" s="5"/>
      <c r="P6" s="5"/>
      <c r="Q6" s="5"/>
      <c r="R6" s="5"/>
      <c r="S6" s="5"/>
      <c r="T6" s="5"/>
    </row>
    <row r="7" spans="1:36" s="4" customFormat="1" ht="56" x14ac:dyDescent="0.2">
      <c r="C7" s="154" t="s">
        <v>1067</v>
      </c>
      <c r="D7" s="162">
        <v>10</v>
      </c>
      <c r="E7" s="159" t="s">
        <v>952</v>
      </c>
      <c r="F7" s="64" t="s">
        <v>953</v>
      </c>
      <c r="G7" s="64" t="s">
        <v>954</v>
      </c>
      <c r="H7" s="64" t="s">
        <v>955</v>
      </c>
      <c r="I7" s="64" t="s">
        <v>956</v>
      </c>
      <c r="J7" s="64" t="s">
        <v>977</v>
      </c>
      <c r="K7" s="64" t="s">
        <v>978</v>
      </c>
      <c r="L7" s="64" t="s">
        <v>979</v>
      </c>
      <c r="M7" s="64" t="s">
        <v>980</v>
      </c>
      <c r="N7" s="65" t="s">
        <v>981</v>
      </c>
      <c r="O7" s="5"/>
      <c r="P7" s="5"/>
    </row>
    <row r="8" spans="1:36" s="4" customFormat="1" ht="56" x14ac:dyDescent="0.2">
      <c r="C8" s="155" t="s">
        <v>18</v>
      </c>
      <c r="D8" s="162">
        <v>7</v>
      </c>
      <c r="E8" s="159" t="s">
        <v>957</v>
      </c>
      <c r="F8" s="64" t="s">
        <v>958</v>
      </c>
      <c r="G8" s="64" t="s">
        <v>959</v>
      </c>
      <c r="H8" s="64" t="s">
        <v>960</v>
      </c>
      <c r="I8" s="64" t="s">
        <v>961</v>
      </c>
      <c r="J8" s="64" t="s">
        <v>982</v>
      </c>
      <c r="K8" s="64" t="s">
        <v>983</v>
      </c>
      <c r="L8" s="64" t="s">
        <v>984</v>
      </c>
      <c r="M8" s="64" t="s">
        <v>985</v>
      </c>
      <c r="N8" s="65" t="s">
        <v>986</v>
      </c>
      <c r="O8" s="5"/>
      <c r="P8" s="5"/>
    </row>
    <row r="9" spans="1:36" s="4" customFormat="1" ht="56" x14ac:dyDescent="0.2">
      <c r="C9" s="156" t="s">
        <v>1066</v>
      </c>
      <c r="D9" s="162">
        <v>4</v>
      </c>
      <c r="E9" s="159" t="s">
        <v>962</v>
      </c>
      <c r="F9" s="64" t="s">
        <v>963</v>
      </c>
      <c r="G9" s="64" t="s">
        <v>964</v>
      </c>
      <c r="H9" s="64" t="s">
        <v>965</v>
      </c>
      <c r="I9" s="64" t="s">
        <v>966</v>
      </c>
      <c r="J9" s="64" t="s">
        <v>987</v>
      </c>
      <c r="K9" s="64" t="s">
        <v>988</v>
      </c>
      <c r="L9" s="64" t="s">
        <v>989</v>
      </c>
      <c r="M9" s="64" t="s">
        <v>990</v>
      </c>
      <c r="N9" s="65" t="s">
        <v>991</v>
      </c>
      <c r="O9" s="5"/>
      <c r="P9" s="5"/>
    </row>
    <row r="10" spans="1:36" s="4" customFormat="1" ht="43" thickBot="1" x14ac:dyDescent="0.25">
      <c r="C10" s="157" t="s">
        <v>1021</v>
      </c>
      <c r="D10" s="163">
        <v>1</v>
      </c>
      <c r="E10" s="160" t="s">
        <v>967</v>
      </c>
      <c r="F10" s="66" t="s">
        <v>968</v>
      </c>
      <c r="G10" s="66" t="s">
        <v>969</v>
      </c>
      <c r="H10" s="66" t="s">
        <v>970</v>
      </c>
      <c r="I10" s="66" t="s">
        <v>971</v>
      </c>
      <c r="J10" s="66" t="s">
        <v>992</v>
      </c>
      <c r="K10" s="66" t="s">
        <v>993</v>
      </c>
      <c r="L10" s="66" t="s">
        <v>994</v>
      </c>
      <c r="M10" s="66" t="s">
        <v>995</v>
      </c>
      <c r="N10" s="67" t="s">
        <v>996</v>
      </c>
      <c r="O10" s="5"/>
      <c r="P10" s="5"/>
    </row>
    <row r="11" spans="1:36" s="4" customFormat="1" ht="29" hidden="1" thickBot="1" x14ac:dyDescent="0.25">
      <c r="C11" s="149" t="s">
        <v>21</v>
      </c>
      <c r="D11" s="150">
        <v>1</v>
      </c>
      <c r="E11" s="151" t="s">
        <v>972</v>
      </c>
      <c r="F11" s="151" t="s">
        <v>973</v>
      </c>
      <c r="G11" s="151" t="s">
        <v>974</v>
      </c>
      <c r="H11" s="151" t="s">
        <v>975</v>
      </c>
      <c r="I11" s="151" t="s">
        <v>976</v>
      </c>
      <c r="J11" s="151" t="s">
        <v>997</v>
      </c>
      <c r="K11" s="151" t="s">
        <v>998</v>
      </c>
      <c r="L11" s="151" t="s">
        <v>999</v>
      </c>
      <c r="M11" s="151" t="s">
        <v>1000</v>
      </c>
      <c r="N11" s="152" t="s">
        <v>1001</v>
      </c>
      <c r="O11" s="5"/>
      <c r="P11" s="5"/>
    </row>
    <row r="12" spans="1:36" s="4" customFormat="1" x14ac:dyDescent="0.2">
      <c r="N12" s="5"/>
      <c r="O12" s="5"/>
      <c r="P12" s="5"/>
    </row>
    <row r="13" spans="1:36" s="4" customFormat="1" ht="17" thickBot="1" x14ac:dyDescent="0.25">
      <c r="C13" s="70" t="s">
        <v>1012</v>
      </c>
      <c r="D13" s="71"/>
      <c r="E13" s="71"/>
      <c r="F13" s="71"/>
      <c r="G13" s="71"/>
      <c r="N13" s="5"/>
      <c r="O13" s="5"/>
      <c r="P13" s="5"/>
    </row>
    <row r="14" spans="1:36" s="4" customFormat="1" ht="17" customHeight="1" x14ac:dyDescent="0.2">
      <c r="C14" s="81" t="s">
        <v>951</v>
      </c>
      <c r="D14" s="82" t="s">
        <v>1093</v>
      </c>
      <c r="E14" s="385" t="s">
        <v>22</v>
      </c>
      <c r="F14" s="386"/>
      <c r="G14" s="387"/>
      <c r="N14" s="5"/>
      <c r="O14" s="5"/>
      <c r="P14" s="5"/>
    </row>
    <row r="15" spans="1:36" s="4" customFormat="1" ht="33" customHeight="1" x14ac:dyDescent="0.2">
      <c r="A15" s="101"/>
      <c r="C15" s="72" t="s">
        <v>17</v>
      </c>
      <c r="D15" s="102" t="s">
        <v>1079</v>
      </c>
      <c r="E15" s="388" t="s">
        <v>1097</v>
      </c>
      <c r="F15" s="389"/>
      <c r="G15" s="390"/>
      <c r="N15" s="5"/>
      <c r="O15" s="5"/>
      <c r="P15" s="5"/>
      <c r="Q15" s="5"/>
      <c r="R15" s="5"/>
      <c r="S15" s="5"/>
      <c r="T15" s="5"/>
      <c r="AB15" s="134"/>
      <c r="AC15" s="134"/>
      <c r="AD15" s="134"/>
      <c r="AE15" s="134"/>
      <c r="AF15" s="134"/>
      <c r="AG15" s="134"/>
      <c r="AH15" s="134"/>
      <c r="AI15" s="134"/>
      <c r="AJ15" s="134"/>
    </row>
    <row r="16" spans="1:36" s="4" customFormat="1" ht="33" customHeight="1" x14ac:dyDescent="0.2">
      <c r="A16" s="101"/>
      <c r="C16" s="73" t="s">
        <v>18</v>
      </c>
      <c r="D16" s="102" t="s">
        <v>1080</v>
      </c>
      <c r="E16" s="388" t="s">
        <v>1096</v>
      </c>
      <c r="F16" s="389"/>
      <c r="G16" s="390"/>
      <c r="N16" s="5"/>
      <c r="O16" s="5"/>
      <c r="P16" s="5"/>
      <c r="Q16" s="5"/>
      <c r="R16" s="5"/>
      <c r="S16" s="5"/>
      <c r="T16" s="5"/>
    </row>
    <row r="17" spans="1:37" s="4" customFormat="1" ht="33" customHeight="1" x14ac:dyDescent="0.2">
      <c r="A17" s="101"/>
      <c r="C17" s="74" t="s">
        <v>19</v>
      </c>
      <c r="D17" s="103" t="s">
        <v>1081</v>
      </c>
      <c r="E17" s="388" t="s">
        <v>1095</v>
      </c>
      <c r="F17" s="389"/>
      <c r="G17" s="390"/>
      <c r="N17" s="5"/>
      <c r="O17" s="5"/>
      <c r="P17" s="5"/>
      <c r="Q17" s="5"/>
      <c r="R17" s="5"/>
      <c r="S17" s="5"/>
      <c r="T17" s="5"/>
    </row>
    <row r="18" spans="1:37" s="4" customFormat="1" ht="33" customHeight="1" thickBot="1" x14ac:dyDescent="0.25">
      <c r="A18" s="101"/>
      <c r="C18" s="96" t="s">
        <v>20</v>
      </c>
      <c r="D18" s="104" t="s">
        <v>1078</v>
      </c>
      <c r="E18" s="391" t="s">
        <v>1094</v>
      </c>
      <c r="F18" s="392"/>
      <c r="G18" s="393"/>
      <c r="H18" s="4" t="s">
        <v>1098</v>
      </c>
      <c r="N18" s="5"/>
      <c r="O18" s="5"/>
      <c r="P18" s="5"/>
      <c r="Q18" s="5"/>
      <c r="R18" s="5"/>
      <c r="S18" s="5"/>
      <c r="T18" s="5"/>
    </row>
    <row r="19" spans="1:37" s="4" customFormat="1" ht="16" customHeight="1" x14ac:dyDescent="0.2">
      <c r="C19" s="71"/>
      <c r="D19" s="71"/>
      <c r="E19" s="71"/>
      <c r="F19" s="71"/>
      <c r="G19" s="71"/>
      <c r="K19" s="5"/>
      <c r="L19" s="5"/>
      <c r="M19" s="5"/>
      <c r="N19" s="5"/>
      <c r="O19" s="5"/>
      <c r="P19" s="5"/>
      <c r="Q19" s="5"/>
      <c r="R19" s="5"/>
      <c r="S19" s="5"/>
      <c r="T19" s="5"/>
    </row>
    <row r="20" spans="1:37" ht="17" thickBot="1" x14ac:dyDescent="0.25">
      <c r="A20" s="4"/>
      <c r="B20" s="4"/>
      <c r="C20" s="70" t="s">
        <v>1013</v>
      </c>
      <c r="D20" s="71"/>
      <c r="E20" s="71"/>
      <c r="F20" s="71"/>
      <c r="G20" s="71"/>
      <c r="H20" s="4"/>
      <c r="I20" s="4"/>
      <c r="J20" s="4"/>
      <c r="K20" s="5"/>
      <c r="L20" s="5"/>
      <c r="M20" s="5"/>
      <c r="N20" s="5"/>
      <c r="O20" s="5"/>
      <c r="P20" s="5"/>
      <c r="Q20" s="5"/>
      <c r="R20" s="344" t="s">
        <v>1089</v>
      </c>
      <c r="S20" s="344"/>
      <c r="T20" s="344"/>
      <c r="U20" s="344"/>
      <c r="V20" s="344"/>
      <c r="W20" s="344"/>
      <c r="X20" s="344"/>
      <c r="Y20" s="344"/>
      <c r="Z20" s="4"/>
      <c r="AA20" s="4"/>
      <c r="AB20" s="4"/>
      <c r="AC20" s="4"/>
      <c r="AD20" s="4"/>
      <c r="AE20" s="4"/>
      <c r="AF20" s="4"/>
      <c r="AG20" s="4"/>
      <c r="AH20" s="4"/>
      <c r="AI20" s="4"/>
      <c r="AJ20" s="4"/>
      <c r="AK20" s="4"/>
    </row>
    <row r="21" spans="1:37" ht="17" thickBot="1" x14ac:dyDescent="0.25">
      <c r="A21" s="4"/>
      <c r="B21" s="4"/>
      <c r="C21" s="83" t="s">
        <v>1008</v>
      </c>
      <c r="D21" s="75" t="s">
        <v>1006</v>
      </c>
      <c r="E21" s="360" t="s">
        <v>22</v>
      </c>
      <c r="F21" s="360"/>
      <c r="G21" s="361"/>
      <c r="H21" s="4"/>
      <c r="I21" s="4"/>
      <c r="J21" s="4"/>
      <c r="K21" s="5"/>
      <c r="L21" s="5"/>
      <c r="M21" s="5"/>
      <c r="N21" s="5"/>
      <c r="O21" s="5"/>
      <c r="P21" s="135"/>
      <c r="Q21" s="136"/>
      <c r="R21" s="136"/>
      <c r="S21" s="136"/>
      <c r="T21" s="136"/>
      <c r="U21" s="137"/>
      <c r="V21" s="137"/>
      <c r="W21" s="137"/>
      <c r="X21" s="137"/>
      <c r="Y21" s="137"/>
      <c r="Z21" s="138"/>
      <c r="AA21" s="4"/>
      <c r="AB21" s="4"/>
      <c r="AC21" s="4"/>
      <c r="AD21" s="4"/>
      <c r="AE21" s="4"/>
      <c r="AF21" s="4"/>
      <c r="AG21" s="4"/>
      <c r="AH21" s="4"/>
      <c r="AI21" s="4"/>
      <c r="AJ21" s="4"/>
      <c r="AK21" s="4"/>
    </row>
    <row r="22" spans="1:37" ht="17" x14ac:dyDescent="0.2">
      <c r="A22" s="4"/>
      <c r="B22" s="4"/>
      <c r="C22" s="72" t="s">
        <v>1067</v>
      </c>
      <c r="D22" s="76">
        <v>10</v>
      </c>
      <c r="E22" s="374"/>
      <c r="F22" s="374"/>
      <c r="G22" s="375"/>
      <c r="H22" s="4"/>
      <c r="I22" s="4" t="s">
        <v>1070</v>
      </c>
      <c r="J22" s="4"/>
      <c r="K22" s="5"/>
      <c r="L22" s="5"/>
      <c r="M22" s="5"/>
      <c r="N22" s="5"/>
      <c r="O22" s="5"/>
      <c r="P22" s="139"/>
      <c r="Q22" s="369" t="s">
        <v>1077</v>
      </c>
      <c r="R22" s="125" t="s">
        <v>24</v>
      </c>
      <c r="S22" s="127">
        <v>5</v>
      </c>
      <c r="T22" s="113">
        <f>S22*$T$27</f>
        <v>5</v>
      </c>
      <c r="U22" s="107">
        <f>$S22*$U$27</f>
        <v>20</v>
      </c>
      <c r="V22" s="108">
        <f>$S22*$V$27</f>
        <v>35</v>
      </c>
      <c r="W22" s="109">
        <f>$S22*$W$27</f>
        <v>50</v>
      </c>
      <c r="X22" s="4"/>
      <c r="Y22" s="4"/>
      <c r="Z22" s="140"/>
      <c r="AA22" s="4"/>
      <c r="AB22" s="4"/>
      <c r="AC22" s="4"/>
      <c r="AD22" s="4"/>
      <c r="AE22" s="4"/>
      <c r="AF22" s="4"/>
      <c r="AG22" s="4"/>
      <c r="AH22" s="4"/>
      <c r="AI22" s="4"/>
      <c r="AJ22" s="4"/>
      <c r="AK22" s="4"/>
    </row>
    <row r="23" spans="1:37" ht="17" x14ac:dyDescent="0.2">
      <c r="A23" s="4"/>
      <c r="B23" s="4"/>
      <c r="C23" s="73" t="s">
        <v>18</v>
      </c>
      <c r="D23" s="76">
        <v>7</v>
      </c>
      <c r="E23" s="374"/>
      <c r="F23" s="374"/>
      <c r="G23" s="375"/>
      <c r="H23" s="4"/>
      <c r="I23" s="4"/>
      <c r="J23" s="4"/>
      <c r="K23" s="5"/>
      <c r="L23" s="5"/>
      <c r="M23" s="5"/>
      <c r="N23" s="5"/>
      <c r="O23" s="5"/>
      <c r="P23" s="139"/>
      <c r="Q23" s="370"/>
      <c r="R23" s="126" t="s">
        <v>1009</v>
      </c>
      <c r="S23" s="128">
        <v>4</v>
      </c>
      <c r="T23" s="114">
        <f>S23*$T$27</f>
        <v>4</v>
      </c>
      <c r="U23" s="105">
        <f>$S23*$U$27</f>
        <v>16</v>
      </c>
      <c r="V23" s="106">
        <f>$S23*$V$27</f>
        <v>28</v>
      </c>
      <c r="W23" s="110">
        <f>$S23*$W$27</f>
        <v>40</v>
      </c>
      <c r="X23" s="4"/>
      <c r="Y23" s="4"/>
      <c r="Z23" s="140"/>
      <c r="AA23" s="4"/>
      <c r="AB23" s="4"/>
      <c r="AC23" s="4"/>
      <c r="AD23" s="4"/>
      <c r="AE23" s="4"/>
      <c r="AF23" s="4"/>
      <c r="AG23" s="4"/>
      <c r="AH23" s="4"/>
      <c r="AI23" s="4"/>
      <c r="AJ23" s="4"/>
      <c r="AK23" s="4"/>
    </row>
    <row r="24" spans="1:37" ht="17" x14ac:dyDescent="0.2">
      <c r="A24" s="4"/>
      <c r="B24" s="4"/>
      <c r="C24" s="74" t="s">
        <v>1066</v>
      </c>
      <c r="D24" s="76">
        <v>4</v>
      </c>
      <c r="E24" s="374"/>
      <c r="F24" s="374"/>
      <c r="G24" s="375"/>
      <c r="H24" s="4"/>
      <c r="I24" s="4"/>
      <c r="J24" s="4"/>
      <c r="K24" s="5"/>
      <c r="L24" s="5"/>
      <c r="M24" s="5"/>
      <c r="N24" s="5"/>
      <c r="O24" s="5"/>
      <c r="P24" s="139"/>
      <c r="Q24" s="370"/>
      <c r="R24" s="120" t="s">
        <v>1010</v>
      </c>
      <c r="S24" s="128">
        <v>3</v>
      </c>
      <c r="T24" s="114">
        <f>S24*$T$27</f>
        <v>3</v>
      </c>
      <c r="U24" s="105">
        <f>$S24*$U$27</f>
        <v>12</v>
      </c>
      <c r="V24" s="105">
        <f>$S24*$V$27</f>
        <v>21</v>
      </c>
      <c r="W24" s="111">
        <f>$S24*$W$27</f>
        <v>30</v>
      </c>
      <c r="X24" s="4"/>
      <c r="Y24" s="4"/>
      <c r="Z24" s="140"/>
      <c r="AA24" s="4"/>
      <c r="AB24" s="4"/>
      <c r="AC24" s="4"/>
      <c r="AD24" s="4"/>
      <c r="AE24" s="4"/>
      <c r="AF24" s="4"/>
      <c r="AG24" s="4"/>
      <c r="AH24" s="4"/>
      <c r="AI24" s="4"/>
      <c r="AJ24" s="4"/>
      <c r="AK24" s="4"/>
    </row>
    <row r="25" spans="1:37" ht="18" thickBot="1" x14ac:dyDescent="0.25">
      <c r="A25" s="4"/>
      <c r="B25" s="4"/>
      <c r="C25" s="96" t="s">
        <v>1021</v>
      </c>
      <c r="D25" s="77">
        <v>1</v>
      </c>
      <c r="E25" s="376"/>
      <c r="F25" s="376"/>
      <c r="G25" s="377"/>
      <c r="H25" s="4"/>
      <c r="I25" s="4"/>
      <c r="J25" s="4"/>
      <c r="K25" s="5"/>
      <c r="L25" s="5"/>
      <c r="M25" s="5"/>
      <c r="N25" s="5"/>
      <c r="O25" s="5"/>
      <c r="P25" s="139"/>
      <c r="Q25" s="370"/>
      <c r="R25" s="121" t="s">
        <v>1011</v>
      </c>
      <c r="S25" s="128">
        <v>2</v>
      </c>
      <c r="T25" s="114">
        <f>S25*$T$27</f>
        <v>2</v>
      </c>
      <c r="U25" s="100">
        <f>$S25*$U$27</f>
        <v>8</v>
      </c>
      <c r="V25" s="105">
        <f>$S25*$V$27</f>
        <v>14</v>
      </c>
      <c r="W25" s="112">
        <f>$S25*$W$27</f>
        <v>20</v>
      </c>
      <c r="X25" s="4"/>
      <c r="Y25" s="4"/>
      <c r="Z25" s="140"/>
      <c r="AA25" s="4"/>
      <c r="AB25" s="4"/>
      <c r="AC25" s="4"/>
      <c r="AD25" s="4"/>
      <c r="AE25" s="4"/>
      <c r="AF25" s="4"/>
      <c r="AG25" s="4"/>
      <c r="AH25" s="4"/>
      <c r="AI25" s="4"/>
      <c r="AJ25" s="4"/>
      <c r="AK25" s="4"/>
    </row>
    <row r="26" spans="1:37" ht="18" thickBot="1" x14ac:dyDescent="0.25">
      <c r="A26" s="4"/>
      <c r="B26" s="4"/>
      <c r="C26" s="71"/>
      <c r="D26" s="71"/>
      <c r="E26" s="71"/>
      <c r="F26" s="71"/>
      <c r="G26" s="71"/>
      <c r="H26" s="4"/>
      <c r="I26" s="4"/>
      <c r="J26" s="4"/>
      <c r="K26" s="5"/>
      <c r="L26" s="5"/>
      <c r="M26" s="5"/>
      <c r="N26" s="5"/>
      <c r="O26" s="5"/>
      <c r="P26" s="139"/>
      <c r="Q26" s="371"/>
      <c r="R26" s="118" t="s">
        <v>25</v>
      </c>
      <c r="S26" s="129">
        <v>1</v>
      </c>
      <c r="T26" s="115">
        <f>S26*$T$27</f>
        <v>1</v>
      </c>
      <c r="U26" s="116">
        <f>$S26*$U$27</f>
        <v>4</v>
      </c>
      <c r="V26" s="116">
        <f>$S26*$V$27</f>
        <v>7</v>
      </c>
      <c r="W26" s="117">
        <f>$S26*$W$27</f>
        <v>10</v>
      </c>
      <c r="X26" s="4"/>
      <c r="Y26" s="4"/>
      <c r="Z26" s="140"/>
      <c r="AA26" s="4"/>
      <c r="AB26" s="4"/>
      <c r="AC26" s="4"/>
      <c r="AD26" s="4"/>
      <c r="AE26" s="4"/>
      <c r="AF26" s="4"/>
      <c r="AG26" s="4"/>
      <c r="AH26" s="4"/>
      <c r="AI26" s="4"/>
      <c r="AJ26" s="4"/>
      <c r="AK26" s="4"/>
    </row>
    <row r="27" spans="1:37" ht="18" thickBot="1" x14ac:dyDescent="0.25">
      <c r="A27" s="4"/>
      <c r="B27" s="4"/>
      <c r="C27" s="70" t="s">
        <v>1014</v>
      </c>
      <c r="D27" s="71"/>
      <c r="E27" s="71"/>
      <c r="F27" s="71"/>
      <c r="G27" s="71"/>
      <c r="H27" s="4"/>
      <c r="I27" s="4"/>
      <c r="J27" s="4"/>
      <c r="K27" s="5"/>
      <c r="L27" s="5"/>
      <c r="M27" s="5"/>
      <c r="N27" s="5"/>
      <c r="O27" s="5"/>
      <c r="P27" s="139"/>
      <c r="Q27" s="141"/>
      <c r="R27" s="141"/>
      <c r="S27" s="130" t="s">
        <v>23</v>
      </c>
      <c r="T27" s="131">
        <v>1</v>
      </c>
      <c r="U27" s="132">
        <v>4</v>
      </c>
      <c r="V27" s="132">
        <v>7</v>
      </c>
      <c r="W27" s="133">
        <v>10</v>
      </c>
      <c r="X27" s="4"/>
      <c r="Y27" s="4"/>
      <c r="Z27" s="140"/>
      <c r="AA27" s="4"/>
      <c r="AB27" s="4"/>
      <c r="AC27" s="4"/>
      <c r="AD27" s="4"/>
      <c r="AE27" s="4"/>
      <c r="AF27" s="4"/>
      <c r="AG27" s="4"/>
      <c r="AH27" s="4"/>
      <c r="AI27" s="4"/>
      <c r="AJ27" s="4"/>
      <c r="AK27" s="4"/>
    </row>
    <row r="28" spans="1:37" ht="17" x14ac:dyDescent="0.2">
      <c r="A28" s="4"/>
      <c r="B28" s="4"/>
      <c r="C28" s="83" t="s">
        <v>1007</v>
      </c>
      <c r="D28" s="75" t="s">
        <v>1006</v>
      </c>
      <c r="E28" s="354" t="s">
        <v>22</v>
      </c>
      <c r="F28" s="355"/>
      <c r="G28" s="360" t="s">
        <v>1099</v>
      </c>
      <c r="H28" s="361"/>
      <c r="I28" s="4"/>
      <c r="J28" s="4" t="s">
        <v>1072</v>
      </c>
      <c r="K28" s="5"/>
      <c r="L28" s="5"/>
      <c r="M28" s="5"/>
      <c r="N28" s="5"/>
      <c r="O28" s="5"/>
      <c r="P28" s="139"/>
      <c r="Q28" s="141"/>
      <c r="R28" s="141"/>
      <c r="S28" s="141"/>
      <c r="T28" s="119" t="s">
        <v>1021</v>
      </c>
      <c r="U28" s="122" t="s">
        <v>1066</v>
      </c>
      <c r="V28" s="123" t="s">
        <v>18</v>
      </c>
      <c r="W28" s="124" t="s">
        <v>1075</v>
      </c>
      <c r="X28" s="4"/>
      <c r="Y28" s="4"/>
      <c r="Z28" s="140"/>
      <c r="AA28" s="4"/>
      <c r="AB28" s="4"/>
      <c r="AC28" s="4"/>
      <c r="AD28" s="4"/>
      <c r="AE28" s="4"/>
      <c r="AF28" s="4"/>
      <c r="AG28" s="4"/>
      <c r="AH28" s="4"/>
      <c r="AI28" s="4"/>
      <c r="AJ28" s="4"/>
      <c r="AK28" s="4"/>
    </row>
    <row r="29" spans="1:37" ht="17" thickBot="1" x14ac:dyDescent="0.25">
      <c r="A29" s="4"/>
      <c r="B29" s="4"/>
      <c r="C29" s="72" t="s">
        <v>24</v>
      </c>
      <c r="D29" s="76">
        <v>5</v>
      </c>
      <c r="E29" s="356" t="s">
        <v>1100</v>
      </c>
      <c r="F29" s="357"/>
      <c r="G29" s="362" t="s">
        <v>1105</v>
      </c>
      <c r="H29" s="363"/>
      <c r="I29" s="4"/>
      <c r="J29" s="173" t="s">
        <v>1070</v>
      </c>
      <c r="K29" s="5"/>
      <c r="L29" s="5"/>
      <c r="M29" s="5"/>
      <c r="N29" s="5"/>
      <c r="O29" s="5"/>
      <c r="P29" s="139"/>
      <c r="Q29" s="141"/>
      <c r="R29" s="141"/>
      <c r="S29" s="141"/>
      <c r="T29" s="348" t="s">
        <v>1076</v>
      </c>
      <c r="U29" s="349"/>
      <c r="V29" s="349"/>
      <c r="W29" s="350"/>
      <c r="X29" s="4"/>
      <c r="Y29" s="4"/>
      <c r="Z29" s="140"/>
      <c r="AA29" s="4"/>
      <c r="AB29" s="4"/>
      <c r="AC29" s="4"/>
      <c r="AD29" s="4"/>
      <c r="AE29" s="4"/>
      <c r="AF29" s="4"/>
      <c r="AG29" s="4"/>
      <c r="AH29" s="4"/>
      <c r="AI29" s="4"/>
      <c r="AJ29" s="4"/>
      <c r="AK29" s="4"/>
    </row>
    <row r="30" spans="1:37" ht="17" thickBot="1" x14ac:dyDescent="0.25">
      <c r="A30" s="4"/>
      <c r="B30" s="4"/>
      <c r="C30" s="73" t="s">
        <v>1009</v>
      </c>
      <c r="D30" s="76">
        <v>4</v>
      </c>
      <c r="E30" s="356" t="s">
        <v>1101</v>
      </c>
      <c r="F30" s="357"/>
      <c r="G30" s="356" t="s">
        <v>1068</v>
      </c>
      <c r="H30" s="364"/>
      <c r="I30" s="4"/>
      <c r="J30" s="174" t="s">
        <v>1071</v>
      </c>
      <c r="K30" s="5"/>
      <c r="L30" s="5"/>
      <c r="M30" s="5"/>
      <c r="N30" s="5"/>
      <c r="O30" s="5"/>
      <c r="P30" s="142"/>
      <c r="Q30" s="11"/>
      <c r="R30" s="11"/>
      <c r="S30" s="11"/>
      <c r="T30" s="11"/>
      <c r="U30" s="8"/>
      <c r="V30" s="8"/>
      <c r="W30" s="8"/>
      <c r="X30" s="8"/>
      <c r="Y30" s="8"/>
      <c r="Z30" s="143"/>
      <c r="AA30" s="4"/>
      <c r="AB30" s="337" t="s">
        <v>1091</v>
      </c>
      <c r="AC30" s="337"/>
      <c r="AD30" s="337"/>
      <c r="AE30" s="337"/>
      <c r="AF30" s="337"/>
      <c r="AG30" s="337"/>
      <c r="AH30" s="337"/>
      <c r="AI30" s="337"/>
      <c r="AJ30" s="4"/>
      <c r="AK30" s="4"/>
    </row>
    <row r="31" spans="1:37" ht="17" thickBot="1" x14ac:dyDescent="0.25">
      <c r="A31" s="4"/>
      <c r="B31" s="4"/>
      <c r="C31" s="78" t="s">
        <v>1010</v>
      </c>
      <c r="D31" s="76">
        <v>3</v>
      </c>
      <c r="E31" s="356" t="s">
        <v>1102</v>
      </c>
      <c r="F31" s="357"/>
      <c r="G31" s="356" t="s">
        <v>1069</v>
      </c>
      <c r="H31" s="364"/>
      <c r="I31" s="4"/>
      <c r="J31" s="97"/>
      <c r="K31" s="5"/>
      <c r="L31" s="5"/>
      <c r="M31" s="5"/>
      <c r="N31" s="5"/>
      <c r="O31" s="5"/>
      <c r="P31" s="5"/>
      <c r="Q31" s="5"/>
      <c r="R31" s="5"/>
      <c r="S31" s="5"/>
      <c r="T31" s="5"/>
      <c r="U31" s="4"/>
      <c r="V31" s="4"/>
      <c r="W31" s="4"/>
      <c r="X31" s="4"/>
      <c r="Y31" s="4"/>
      <c r="Z31" s="4"/>
      <c r="AA31" s="4"/>
      <c r="AB31" s="4"/>
      <c r="AC31" s="4"/>
      <c r="AD31" s="4"/>
      <c r="AE31" s="4"/>
      <c r="AF31" s="4"/>
      <c r="AG31" s="4"/>
      <c r="AH31" s="4"/>
      <c r="AI31" s="4"/>
      <c r="AJ31" s="4"/>
      <c r="AK31" s="4"/>
    </row>
    <row r="32" spans="1:37" x14ac:dyDescent="0.2">
      <c r="A32" s="4"/>
      <c r="B32" s="4"/>
      <c r="C32" s="79" t="s">
        <v>1011</v>
      </c>
      <c r="D32" s="76">
        <v>2</v>
      </c>
      <c r="E32" s="356" t="s">
        <v>1103</v>
      </c>
      <c r="F32" s="357"/>
      <c r="G32" s="356" t="s">
        <v>1106</v>
      </c>
      <c r="H32" s="364"/>
      <c r="I32" s="4"/>
      <c r="J32" s="27"/>
      <c r="K32" s="5"/>
      <c r="L32" s="5"/>
      <c r="M32" s="5"/>
      <c r="N32" s="5"/>
      <c r="O32" s="5"/>
      <c r="P32" s="5"/>
      <c r="Q32" s="5"/>
      <c r="R32" s="5"/>
      <c r="S32" s="5"/>
      <c r="T32" s="5"/>
      <c r="U32" s="4"/>
      <c r="V32" s="4"/>
      <c r="W32" s="4"/>
      <c r="X32" s="4"/>
      <c r="Y32" s="4"/>
      <c r="Z32" s="4"/>
      <c r="AA32" s="4"/>
      <c r="AB32" s="146" t="s">
        <v>1082</v>
      </c>
      <c r="AC32" s="338" t="s">
        <v>1032</v>
      </c>
      <c r="AD32" s="339"/>
      <c r="AE32" s="339"/>
      <c r="AF32" s="340"/>
      <c r="AG32" s="341" t="s">
        <v>1030</v>
      </c>
      <c r="AH32" s="342"/>
      <c r="AI32" s="343"/>
      <c r="AJ32" s="4"/>
      <c r="AK32" s="4"/>
    </row>
    <row r="33" spans="1:37" ht="17" thickBot="1" x14ac:dyDescent="0.25">
      <c r="A33" s="4"/>
      <c r="B33" s="4"/>
      <c r="C33" s="80" t="s">
        <v>25</v>
      </c>
      <c r="D33" s="77">
        <v>1</v>
      </c>
      <c r="E33" s="358" t="s">
        <v>1104</v>
      </c>
      <c r="F33" s="359"/>
      <c r="G33" s="372" t="s">
        <v>1107</v>
      </c>
      <c r="H33" s="373"/>
      <c r="I33" s="4"/>
      <c r="J33" s="98" t="s">
        <v>1074</v>
      </c>
      <c r="K33" s="5"/>
      <c r="L33" s="5"/>
      <c r="M33" s="5"/>
      <c r="N33" s="5"/>
      <c r="O33" s="5"/>
      <c r="P33" s="5"/>
      <c r="Q33" s="5"/>
      <c r="R33" s="5"/>
      <c r="S33" s="5"/>
      <c r="T33" s="5"/>
      <c r="U33" s="4"/>
      <c r="V33" s="4"/>
      <c r="W33" s="4"/>
      <c r="X33" s="4"/>
      <c r="Y33" s="4"/>
      <c r="Z33" s="4"/>
      <c r="AA33" s="4"/>
      <c r="AB33" s="147" t="s">
        <v>1083</v>
      </c>
      <c r="AC33" s="145" t="s">
        <v>1085</v>
      </c>
      <c r="AD33" s="145" t="s">
        <v>1086</v>
      </c>
      <c r="AE33" s="145" t="s">
        <v>1088</v>
      </c>
      <c r="AF33" s="145" t="s">
        <v>1087</v>
      </c>
      <c r="AG33" s="144" t="s">
        <v>2748</v>
      </c>
      <c r="AH33" s="319" t="s">
        <v>2747</v>
      </c>
      <c r="AI33" s="148" t="s">
        <v>1084</v>
      </c>
      <c r="AJ33" s="4"/>
      <c r="AK33" s="4"/>
    </row>
    <row r="34" spans="1:37" s="4" customFormat="1" x14ac:dyDescent="0.2">
      <c r="C34" s="84"/>
      <c r="D34" s="85"/>
      <c r="E34" s="86"/>
      <c r="F34" s="86"/>
      <c r="G34" s="86"/>
      <c r="J34" s="34"/>
      <c r="K34" s="5"/>
      <c r="L34" s="5"/>
      <c r="M34" s="5"/>
      <c r="N34" s="5"/>
      <c r="O34" s="5"/>
      <c r="P34" s="5"/>
      <c r="Q34" s="5"/>
      <c r="R34" s="5"/>
      <c r="S34" s="5"/>
      <c r="T34" s="5"/>
      <c r="AB34" s="147" t="s">
        <v>1090</v>
      </c>
      <c r="AC34" s="145">
        <v>12.5</v>
      </c>
      <c r="AD34" s="145">
        <v>12.5</v>
      </c>
      <c r="AE34" s="145">
        <v>12.5</v>
      </c>
      <c r="AF34" s="145">
        <v>12.5</v>
      </c>
      <c r="AG34" s="144">
        <v>10</v>
      </c>
      <c r="AH34" s="319">
        <v>10</v>
      </c>
      <c r="AI34" s="148">
        <v>30</v>
      </c>
    </row>
    <row r="35" spans="1:37" ht="26" thickBot="1" x14ac:dyDescent="0.25">
      <c r="A35" s="4"/>
      <c r="B35" s="4"/>
      <c r="C35" s="70" t="s">
        <v>1054</v>
      </c>
      <c r="D35" s="71"/>
      <c r="E35" s="71"/>
      <c r="F35" s="71"/>
      <c r="G35" s="71"/>
      <c r="H35" s="4"/>
      <c r="I35" s="27"/>
      <c r="J35" s="34"/>
      <c r="K35" s="5"/>
      <c r="L35" s="5"/>
      <c r="M35" s="5"/>
      <c r="N35" s="5"/>
      <c r="O35" s="5"/>
      <c r="P35" s="5"/>
      <c r="Q35" s="5"/>
      <c r="R35" s="5"/>
      <c r="S35" s="5"/>
      <c r="T35" s="5"/>
      <c r="U35" s="4"/>
      <c r="V35" s="4"/>
      <c r="W35" s="4"/>
      <c r="X35" s="4"/>
      <c r="Y35" s="4"/>
      <c r="Z35" s="4"/>
      <c r="AA35" s="4"/>
      <c r="AB35" s="266" t="s">
        <v>2192</v>
      </c>
      <c r="AC35" s="345">
        <v>100</v>
      </c>
      <c r="AD35" s="346"/>
      <c r="AE35" s="346"/>
      <c r="AF35" s="346"/>
      <c r="AG35" s="346"/>
      <c r="AH35" s="346"/>
      <c r="AI35" s="347"/>
      <c r="AJ35" s="4"/>
      <c r="AK35" s="4"/>
    </row>
    <row r="36" spans="1:37" x14ac:dyDescent="0.2">
      <c r="A36" s="4"/>
      <c r="B36" s="4"/>
      <c r="C36" s="89" t="s">
        <v>833</v>
      </c>
      <c r="D36" s="383" t="s">
        <v>22</v>
      </c>
      <c r="E36" s="383"/>
      <c r="F36" s="383" t="s">
        <v>1044</v>
      </c>
      <c r="G36" s="384"/>
      <c r="H36" s="4"/>
      <c r="I36" s="4"/>
      <c r="J36" s="4"/>
      <c r="K36" s="5"/>
      <c r="L36" s="5"/>
      <c r="M36" s="5"/>
      <c r="N36" s="5"/>
      <c r="O36" s="5"/>
      <c r="P36" s="5"/>
      <c r="Q36" s="5"/>
      <c r="R36" s="5"/>
      <c r="S36" s="5"/>
      <c r="T36" s="5"/>
      <c r="U36" s="4"/>
      <c r="V36" s="4"/>
      <c r="W36" s="4"/>
      <c r="X36" s="4"/>
      <c r="Y36" s="4"/>
      <c r="Z36" s="4"/>
      <c r="AA36" s="4"/>
      <c r="AB36" s="4"/>
      <c r="AC36" s="4"/>
      <c r="AD36" s="4"/>
      <c r="AE36" s="4"/>
      <c r="AF36" s="4"/>
      <c r="AG36" s="4"/>
      <c r="AH36" s="4"/>
      <c r="AI36" s="4"/>
      <c r="AJ36" s="4"/>
      <c r="AK36" s="4"/>
    </row>
    <row r="37" spans="1:37" s="16" customFormat="1" ht="60" customHeight="1" x14ac:dyDescent="0.2">
      <c r="A37" s="26"/>
      <c r="B37" s="26"/>
      <c r="C37" s="87" t="s">
        <v>1028</v>
      </c>
      <c r="D37" s="365" t="s">
        <v>1029</v>
      </c>
      <c r="E37" s="365"/>
      <c r="F37" s="365" t="s">
        <v>1045</v>
      </c>
      <c r="G37" s="366"/>
      <c r="H37" s="26"/>
      <c r="I37" s="26"/>
      <c r="J37" s="26"/>
      <c r="K37" s="39"/>
      <c r="L37" s="39"/>
      <c r="M37" s="39"/>
      <c r="N37" s="39"/>
      <c r="O37" s="39"/>
      <c r="P37" s="39"/>
      <c r="Q37" s="39"/>
      <c r="R37" s="39"/>
      <c r="S37" s="39"/>
      <c r="T37" s="39"/>
      <c r="U37" s="26"/>
      <c r="V37" s="26"/>
      <c r="W37" s="26"/>
      <c r="X37" s="26"/>
      <c r="Y37" s="26"/>
      <c r="Z37" s="26"/>
      <c r="AA37" s="26"/>
      <c r="AB37" s="26"/>
      <c r="AC37" s="26"/>
      <c r="AD37" s="26"/>
      <c r="AE37" s="26"/>
      <c r="AF37" s="26"/>
      <c r="AG37" s="26"/>
      <c r="AH37" s="26"/>
      <c r="AI37" s="26"/>
      <c r="AJ37" s="26"/>
      <c r="AK37" s="26"/>
    </row>
    <row r="38" spans="1:37" s="16" customFormat="1" ht="60" customHeight="1" x14ac:dyDescent="0.2">
      <c r="A38" s="26"/>
      <c r="B38" s="26"/>
      <c r="C38" s="87" t="s">
        <v>1030</v>
      </c>
      <c r="D38" s="365" t="s">
        <v>1031</v>
      </c>
      <c r="E38" s="365"/>
      <c r="F38" s="365" t="s">
        <v>1046</v>
      </c>
      <c r="G38" s="366"/>
      <c r="H38" s="26"/>
      <c r="I38" s="26"/>
      <c r="J38" s="26"/>
      <c r="K38" s="39"/>
      <c r="L38" s="39"/>
      <c r="M38" s="39"/>
      <c r="N38" s="39"/>
      <c r="O38" s="39"/>
      <c r="P38" s="39"/>
      <c r="Q38" s="39"/>
      <c r="R38" s="39"/>
      <c r="S38" s="39"/>
      <c r="T38" s="39"/>
      <c r="U38" s="26"/>
      <c r="V38" s="26"/>
      <c r="W38" s="26"/>
      <c r="X38" s="26"/>
      <c r="Y38" s="26"/>
      <c r="Z38" s="26"/>
      <c r="AA38" s="26"/>
      <c r="AB38" s="26"/>
      <c r="AC38" s="26"/>
      <c r="AD38" s="26"/>
      <c r="AE38" s="26"/>
      <c r="AF38" s="26"/>
      <c r="AG38" s="26"/>
      <c r="AH38" s="26"/>
      <c r="AI38" s="26"/>
      <c r="AJ38" s="26"/>
      <c r="AK38" s="26"/>
    </row>
    <row r="39" spans="1:37" s="16" customFormat="1" ht="60" customHeight="1" x14ac:dyDescent="0.2">
      <c r="A39" s="26"/>
      <c r="B39" s="26"/>
      <c r="C39" s="87" t="s">
        <v>1032</v>
      </c>
      <c r="D39" s="365" t="s">
        <v>1033</v>
      </c>
      <c r="E39" s="365"/>
      <c r="F39" s="365" t="s">
        <v>1047</v>
      </c>
      <c r="G39" s="366"/>
      <c r="H39" s="26"/>
      <c r="I39" s="26"/>
      <c r="J39" s="26"/>
      <c r="K39" s="39"/>
      <c r="L39" s="39"/>
      <c r="M39" s="39"/>
      <c r="N39" s="39"/>
      <c r="O39" s="39"/>
      <c r="P39" s="39"/>
      <c r="Q39" s="39"/>
      <c r="R39" s="39"/>
      <c r="S39" s="39"/>
      <c r="T39" s="39"/>
      <c r="U39" s="26"/>
      <c r="V39" s="26"/>
      <c r="W39" s="26"/>
      <c r="X39" s="26"/>
      <c r="Y39" s="26"/>
      <c r="Z39" s="26"/>
      <c r="AA39" s="26"/>
      <c r="AB39" s="26"/>
      <c r="AC39" s="26"/>
      <c r="AD39" s="26"/>
      <c r="AE39" s="26"/>
      <c r="AF39" s="26"/>
      <c r="AG39" s="26"/>
      <c r="AH39" s="26"/>
      <c r="AI39" s="26"/>
      <c r="AJ39" s="26"/>
      <c r="AK39" s="26"/>
    </row>
    <row r="40" spans="1:37" s="16" customFormat="1" ht="60" customHeight="1" x14ac:dyDescent="0.2">
      <c r="A40" s="26"/>
      <c r="B40" s="26"/>
      <c r="C40" s="87" t="s">
        <v>1034</v>
      </c>
      <c r="D40" s="365" t="s">
        <v>1035</v>
      </c>
      <c r="E40" s="365"/>
      <c r="F40" s="365" t="s">
        <v>1048</v>
      </c>
      <c r="G40" s="366"/>
      <c r="H40" s="26"/>
      <c r="I40" s="26"/>
      <c r="J40" s="26"/>
      <c r="K40" s="39"/>
      <c r="L40" s="39"/>
      <c r="M40" s="39"/>
      <c r="N40" s="39"/>
      <c r="O40" s="39"/>
      <c r="P40" s="39"/>
      <c r="Q40" s="39"/>
      <c r="R40" s="39"/>
      <c r="S40" s="39"/>
      <c r="T40" s="15"/>
    </row>
    <row r="41" spans="1:37" s="16" customFormat="1" ht="60" customHeight="1" x14ac:dyDescent="0.2">
      <c r="A41" s="26"/>
      <c r="B41" s="26"/>
      <c r="C41" s="87" t="s">
        <v>1084</v>
      </c>
      <c r="D41" s="365" t="s">
        <v>1036</v>
      </c>
      <c r="E41" s="365"/>
      <c r="F41" s="365" t="s">
        <v>1049</v>
      </c>
      <c r="G41" s="366"/>
      <c r="H41" s="26"/>
      <c r="I41" s="26"/>
      <c r="J41" s="26"/>
      <c r="K41" s="39"/>
      <c r="L41" s="39"/>
      <c r="M41" s="39"/>
      <c r="N41" s="39"/>
      <c r="O41" s="39"/>
      <c r="P41" s="39"/>
      <c r="Q41" s="39"/>
      <c r="R41" s="39"/>
      <c r="S41" s="39"/>
      <c r="T41" s="15"/>
    </row>
    <row r="42" spans="1:37" s="16" customFormat="1" ht="67" customHeight="1" x14ac:dyDescent="0.2">
      <c r="A42" s="26"/>
      <c r="B42" s="26"/>
      <c r="C42" s="87" t="s">
        <v>1037</v>
      </c>
      <c r="D42" s="365" t="s">
        <v>1038</v>
      </c>
      <c r="E42" s="365"/>
      <c r="F42" s="365" t="s">
        <v>1050</v>
      </c>
      <c r="G42" s="366"/>
      <c r="H42" s="26"/>
      <c r="I42" s="26"/>
      <c r="J42" s="26"/>
      <c r="K42" s="39"/>
      <c r="L42" s="39"/>
      <c r="M42" s="39"/>
      <c r="N42" s="39"/>
      <c r="O42" s="39"/>
      <c r="P42" s="39"/>
      <c r="Q42" s="39"/>
      <c r="R42" s="39"/>
      <c r="S42" s="39"/>
      <c r="T42" s="15"/>
    </row>
    <row r="43" spans="1:37" s="16" customFormat="1" ht="60" customHeight="1" x14ac:dyDescent="0.2">
      <c r="A43" s="26"/>
      <c r="B43" s="26"/>
      <c r="C43" s="87" t="s">
        <v>1039</v>
      </c>
      <c r="D43" s="365" t="s">
        <v>1040</v>
      </c>
      <c r="E43" s="365"/>
      <c r="F43" s="365" t="s">
        <v>1051</v>
      </c>
      <c r="G43" s="366"/>
      <c r="H43" s="26"/>
      <c r="I43" s="26"/>
      <c r="J43" s="26"/>
      <c r="K43" s="39"/>
      <c r="L43" s="39"/>
      <c r="M43" s="39"/>
      <c r="N43" s="39"/>
      <c r="O43" s="39"/>
      <c r="P43" s="39"/>
      <c r="Q43" s="39"/>
      <c r="R43" s="39"/>
      <c r="S43" s="39"/>
      <c r="T43" s="15"/>
    </row>
    <row r="44" spans="1:37" s="16" customFormat="1" ht="60" customHeight="1" x14ac:dyDescent="0.2">
      <c r="A44" s="26"/>
      <c r="B44" s="26"/>
      <c r="C44" s="87" t="s">
        <v>1041</v>
      </c>
      <c r="D44" s="365" t="s">
        <v>1042</v>
      </c>
      <c r="E44" s="365"/>
      <c r="F44" s="365" t="s">
        <v>1052</v>
      </c>
      <c r="G44" s="366"/>
      <c r="H44" s="26"/>
      <c r="I44" s="26"/>
      <c r="J44" s="26"/>
      <c r="K44" s="39"/>
      <c r="L44" s="39"/>
      <c r="M44" s="39"/>
      <c r="N44" s="39"/>
      <c r="O44" s="39"/>
      <c r="P44" s="39"/>
      <c r="Q44" s="39"/>
      <c r="R44" s="39"/>
      <c r="S44" s="39"/>
      <c r="T44" s="15"/>
    </row>
    <row r="45" spans="1:37" s="16" customFormat="1" ht="60" customHeight="1" thickBot="1" x14ac:dyDescent="0.25">
      <c r="A45" s="26"/>
      <c r="B45" s="26"/>
      <c r="C45" s="88" t="s">
        <v>1207</v>
      </c>
      <c r="D45" s="367" t="s">
        <v>1043</v>
      </c>
      <c r="E45" s="367"/>
      <c r="F45" s="367" t="s">
        <v>1053</v>
      </c>
      <c r="G45" s="368"/>
      <c r="H45" s="26" t="s">
        <v>1073</v>
      </c>
      <c r="I45" s="26" t="s">
        <v>1208</v>
      </c>
      <c r="J45" s="26"/>
      <c r="K45" s="39"/>
      <c r="L45" s="39"/>
      <c r="M45" s="39"/>
      <c r="N45" s="39"/>
      <c r="O45" s="39"/>
      <c r="P45" s="39"/>
      <c r="Q45" s="39"/>
      <c r="R45" s="39"/>
      <c r="S45" s="39"/>
      <c r="T45" s="15"/>
    </row>
    <row r="46" spans="1:37" x14ac:dyDescent="0.2">
      <c r="A46" s="4"/>
      <c r="B46" s="4"/>
      <c r="C46" s="35"/>
      <c r="D46" s="4"/>
      <c r="E46" s="4"/>
      <c r="F46" s="4"/>
      <c r="G46" s="4"/>
      <c r="H46" s="4"/>
      <c r="I46" s="4"/>
      <c r="J46" s="4"/>
      <c r="K46" s="5"/>
      <c r="L46" s="5"/>
      <c r="M46" s="5"/>
      <c r="N46" s="5"/>
      <c r="O46" s="5"/>
      <c r="P46" s="5"/>
      <c r="Q46" s="5"/>
      <c r="R46" s="5"/>
      <c r="S46" s="5"/>
    </row>
    <row r="47" spans="1:37" ht="17" thickBot="1" x14ac:dyDescent="0.25">
      <c r="A47" s="4"/>
      <c r="B47" s="4"/>
      <c r="C47" s="70" t="s">
        <v>1027</v>
      </c>
      <c r="D47" s="71"/>
      <c r="E47" s="71"/>
      <c r="F47" s="71"/>
      <c r="G47" s="71"/>
      <c r="H47" s="4"/>
      <c r="I47" s="4"/>
      <c r="J47" s="4"/>
      <c r="K47" s="5"/>
      <c r="L47" s="5"/>
      <c r="M47" s="5"/>
      <c r="N47" s="5"/>
      <c r="O47" s="5"/>
      <c r="P47" s="5"/>
      <c r="Q47" s="5"/>
      <c r="R47" s="5"/>
      <c r="S47" s="5"/>
    </row>
    <row r="48" spans="1:37" x14ac:dyDescent="0.2">
      <c r="A48" s="4"/>
      <c r="B48" s="4"/>
      <c r="C48" s="90" t="s">
        <v>1015</v>
      </c>
      <c r="D48" s="91" t="s">
        <v>1016</v>
      </c>
      <c r="E48" s="381" t="s">
        <v>22</v>
      </c>
      <c r="F48" s="381"/>
      <c r="G48" s="382"/>
      <c r="H48" s="4"/>
      <c r="I48" s="4"/>
      <c r="J48" s="4"/>
      <c r="K48" s="5"/>
      <c r="L48" s="5"/>
      <c r="M48" s="5"/>
      <c r="N48" s="5"/>
      <c r="O48" s="5"/>
      <c r="P48" s="5"/>
      <c r="Q48" s="5"/>
      <c r="R48" s="5"/>
      <c r="S48" s="5"/>
    </row>
    <row r="49" spans="1:19" x14ac:dyDescent="0.2">
      <c r="A49" s="4"/>
      <c r="B49" s="4"/>
      <c r="C49" s="92" t="s">
        <v>17</v>
      </c>
      <c r="D49" s="93" t="s">
        <v>1017</v>
      </c>
      <c r="E49" s="351" t="s">
        <v>1055</v>
      </c>
      <c r="F49" s="352"/>
      <c r="G49" s="353"/>
      <c r="H49" s="4"/>
      <c r="I49" s="99"/>
      <c r="J49" s="99"/>
      <c r="K49" s="99"/>
      <c r="L49" s="5"/>
      <c r="M49" s="5"/>
      <c r="N49" s="5"/>
      <c r="O49" s="5"/>
      <c r="P49" s="5"/>
      <c r="Q49" s="5"/>
      <c r="R49" s="5"/>
      <c r="S49" s="5"/>
    </row>
    <row r="50" spans="1:19" x14ac:dyDescent="0.2">
      <c r="A50" s="4"/>
      <c r="B50" s="4"/>
      <c r="C50" s="92" t="s">
        <v>18</v>
      </c>
      <c r="D50" s="93" t="s">
        <v>1018</v>
      </c>
      <c r="E50" s="351" t="s">
        <v>1056</v>
      </c>
      <c r="F50" s="352"/>
      <c r="G50" s="353"/>
      <c r="H50" s="4"/>
      <c r="I50" s="99"/>
      <c r="J50" s="99"/>
      <c r="K50" s="99"/>
      <c r="L50" s="5"/>
      <c r="M50" s="5"/>
      <c r="N50" s="5"/>
      <c r="O50" s="5"/>
      <c r="P50" s="5"/>
      <c r="Q50" s="5"/>
      <c r="R50" s="5"/>
      <c r="S50" s="5"/>
    </row>
    <row r="51" spans="1:19" x14ac:dyDescent="0.2">
      <c r="A51" s="4"/>
      <c r="B51" s="4"/>
      <c r="C51" s="92" t="s">
        <v>19</v>
      </c>
      <c r="D51" s="93" t="s">
        <v>1019</v>
      </c>
      <c r="E51" s="351" t="s">
        <v>1020</v>
      </c>
      <c r="F51" s="352"/>
      <c r="G51" s="353"/>
      <c r="H51" s="4"/>
      <c r="I51" s="99"/>
      <c r="J51" s="99"/>
      <c r="K51" s="99"/>
      <c r="L51" s="5"/>
      <c r="M51" s="5"/>
      <c r="N51" s="5"/>
      <c r="O51" s="5"/>
      <c r="P51" s="5"/>
      <c r="Q51" s="5"/>
      <c r="R51" s="5"/>
      <c r="S51" s="5"/>
    </row>
    <row r="52" spans="1:19" x14ac:dyDescent="0.2">
      <c r="A52" s="4"/>
      <c r="B52" s="4"/>
      <c r="C52" s="92" t="s">
        <v>1021</v>
      </c>
      <c r="D52" s="93" t="s">
        <v>1022</v>
      </c>
      <c r="E52" s="351" t="s">
        <v>1023</v>
      </c>
      <c r="F52" s="352"/>
      <c r="G52" s="353"/>
      <c r="H52" s="4"/>
      <c r="I52" s="99"/>
      <c r="J52" s="99"/>
      <c r="K52" s="99"/>
      <c r="L52" s="5"/>
      <c r="M52" s="5"/>
      <c r="N52" s="5"/>
      <c r="O52" s="5"/>
      <c r="P52" s="5"/>
      <c r="Q52" s="5"/>
      <c r="R52" s="5"/>
      <c r="S52" s="5"/>
    </row>
    <row r="53" spans="1:19" ht="17" thickBot="1" x14ac:dyDescent="0.25">
      <c r="A53" s="4"/>
      <c r="B53" s="4"/>
      <c r="C53" s="94" t="s">
        <v>1024</v>
      </c>
      <c r="D53" s="95" t="s">
        <v>1025</v>
      </c>
      <c r="E53" s="378" t="s">
        <v>1026</v>
      </c>
      <c r="F53" s="379"/>
      <c r="G53" s="380"/>
      <c r="H53" s="4"/>
      <c r="I53" s="99"/>
      <c r="J53" s="99"/>
      <c r="K53" s="99"/>
      <c r="L53" s="5"/>
      <c r="M53" s="5"/>
      <c r="N53" s="5"/>
      <c r="O53" s="5"/>
      <c r="P53" s="5"/>
      <c r="Q53" s="5"/>
      <c r="R53" s="5"/>
      <c r="S53" s="5"/>
    </row>
    <row r="54" spans="1:19" x14ac:dyDescent="0.2">
      <c r="A54" s="4"/>
      <c r="B54" s="4"/>
      <c r="C54" s="35" t="s">
        <v>26</v>
      </c>
      <c r="D54" s="4"/>
      <c r="E54" s="4"/>
      <c r="F54" s="4"/>
      <c r="G54" s="4"/>
      <c r="H54" s="4"/>
      <c r="I54" s="4"/>
      <c r="J54" s="4"/>
      <c r="K54" s="5"/>
      <c r="L54" s="5"/>
      <c r="M54" s="5"/>
      <c r="N54" s="5"/>
      <c r="O54" s="5"/>
      <c r="P54" s="5"/>
      <c r="Q54" s="5"/>
      <c r="R54" s="5"/>
      <c r="S54" s="5"/>
    </row>
    <row r="55" spans="1:19" x14ac:dyDescent="0.2">
      <c r="A55" s="4"/>
      <c r="B55" s="4"/>
      <c r="C55" s="4"/>
      <c r="D55" s="4"/>
      <c r="E55" s="4"/>
      <c r="F55" s="4"/>
      <c r="G55" s="4"/>
      <c r="H55" s="4"/>
      <c r="I55" s="4"/>
      <c r="J55" s="4"/>
      <c r="K55" s="5"/>
      <c r="L55" s="5"/>
      <c r="M55" s="5"/>
      <c r="N55" s="5"/>
      <c r="O55" s="5"/>
      <c r="P55" s="5"/>
      <c r="Q55" s="5"/>
      <c r="R55" s="5"/>
      <c r="S55" s="5"/>
    </row>
    <row r="56" spans="1:19" x14ac:dyDescent="0.2">
      <c r="A56" s="4"/>
      <c r="B56" s="4"/>
      <c r="C56" s="4"/>
      <c r="D56" s="4"/>
      <c r="E56" s="4"/>
      <c r="F56" s="4"/>
      <c r="G56" s="4"/>
      <c r="H56" s="4"/>
      <c r="I56" s="4"/>
      <c r="J56" s="4"/>
      <c r="K56" s="5"/>
      <c r="L56" s="5"/>
      <c r="M56" s="5"/>
      <c r="N56" s="5"/>
      <c r="O56" s="5"/>
      <c r="P56" s="5"/>
      <c r="Q56" s="5"/>
      <c r="R56" s="5"/>
      <c r="S56" s="5"/>
    </row>
    <row r="57" spans="1:19" x14ac:dyDescent="0.2">
      <c r="A57" s="4"/>
      <c r="B57" s="4"/>
      <c r="C57" s="4"/>
      <c r="D57" s="4"/>
      <c r="E57" s="4"/>
      <c r="F57" s="4"/>
      <c r="G57" s="4"/>
      <c r="H57" s="4"/>
      <c r="I57" s="4"/>
      <c r="J57" s="4"/>
      <c r="K57" s="5"/>
      <c r="L57" s="5"/>
      <c r="M57" s="5"/>
      <c r="N57" s="5"/>
      <c r="O57" s="5"/>
      <c r="P57" s="5"/>
      <c r="Q57" s="5"/>
      <c r="R57" s="5"/>
      <c r="S57" s="5"/>
    </row>
    <row r="58" spans="1:19" x14ac:dyDescent="0.2">
      <c r="A58" s="4"/>
      <c r="B58" s="4"/>
      <c r="C58" s="4"/>
      <c r="D58" s="4"/>
      <c r="E58" s="4"/>
      <c r="F58" s="4"/>
      <c r="G58" s="4"/>
      <c r="H58" s="4"/>
      <c r="I58" s="4"/>
      <c r="J58" s="4"/>
      <c r="K58" s="5"/>
      <c r="L58" s="5"/>
      <c r="M58" s="5"/>
      <c r="N58" s="5"/>
      <c r="O58" s="5"/>
      <c r="P58" s="5"/>
      <c r="Q58" s="5"/>
      <c r="R58" s="5"/>
      <c r="S58" s="5"/>
    </row>
    <row r="59" spans="1:19" x14ac:dyDescent="0.2">
      <c r="A59" s="4"/>
      <c r="B59" s="4"/>
      <c r="C59" s="4"/>
      <c r="D59" s="4"/>
      <c r="E59" s="4"/>
      <c r="F59" s="4"/>
      <c r="G59" s="4"/>
      <c r="H59" s="4"/>
      <c r="I59" s="4"/>
      <c r="J59" s="4"/>
      <c r="K59" s="5"/>
      <c r="L59" s="5"/>
      <c r="M59" s="5"/>
      <c r="N59" s="5"/>
      <c r="O59" s="5"/>
      <c r="P59" s="5"/>
      <c r="Q59" s="5"/>
      <c r="R59" s="5"/>
      <c r="S59" s="5"/>
    </row>
    <row r="60" spans="1:19" x14ac:dyDescent="0.2">
      <c r="A60" s="4"/>
      <c r="B60" s="4"/>
      <c r="C60" s="4"/>
      <c r="D60" s="4"/>
      <c r="E60" s="4"/>
      <c r="F60" s="4"/>
      <c r="G60" s="4"/>
      <c r="H60" s="4"/>
      <c r="I60" s="4"/>
      <c r="J60" s="4"/>
      <c r="K60" s="5"/>
      <c r="L60" s="5"/>
      <c r="M60" s="5"/>
      <c r="N60" s="5"/>
      <c r="O60" s="5"/>
      <c r="P60" s="5"/>
      <c r="Q60" s="5"/>
      <c r="R60" s="5"/>
      <c r="S60" s="5"/>
    </row>
    <row r="61" spans="1:19" x14ac:dyDescent="0.2">
      <c r="A61" s="4"/>
      <c r="B61" s="4"/>
      <c r="C61" s="4"/>
      <c r="D61" s="4"/>
      <c r="E61" s="4"/>
      <c r="F61" s="4"/>
      <c r="G61" s="4"/>
      <c r="H61" s="4"/>
      <c r="I61" s="4"/>
      <c r="J61" s="4"/>
      <c r="K61" s="5"/>
      <c r="L61" s="5"/>
      <c r="M61" s="5"/>
      <c r="N61" s="5"/>
      <c r="O61" s="5"/>
      <c r="P61" s="5"/>
      <c r="Q61" s="5"/>
      <c r="R61" s="5"/>
      <c r="S61" s="5"/>
    </row>
    <row r="62" spans="1:19" x14ac:dyDescent="0.2">
      <c r="A62" s="4"/>
      <c r="B62" s="4"/>
      <c r="C62" s="4"/>
      <c r="D62" s="4"/>
      <c r="E62" s="4"/>
      <c r="F62" s="4"/>
      <c r="G62" s="4"/>
      <c r="H62" s="4"/>
      <c r="I62" s="4"/>
      <c r="J62" s="4"/>
      <c r="K62" s="5"/>
      <c r="L62" s="5"/>
      <c r="M62" s="5"/>
      <c r="N62" s="5"/>
      <c r="O62" s="5"/>
      <c r="P62" s="5"/>
      <c r="Q62" s="5"/>
      <c r="R62" s="5"/>
      <c r="S62" s="5"/>
    </row>
    <row r="63" spans="1:19" x14ac:dyDescent="0.2">
      <c r="A63" s="4"/>
      <c r="B63" s="4"/>
      <c r="C63" s="4"/>
      <c r="D63" s="4"/>
      <c r="E63" s="4"/>
      <c r="F63" s="4"/>
      <c r="G63" s="4"/>
      <c r="H63" s="4"/>
      <c r="I63" s="4"/>
      <c r="J63" s="4"/>
      <c r="K63" s="5"/>
      <c r="L63" s="5"/>
      <c r="M63" s="5"/>
      <c r="N63" s="5"/>
      <c r="O63" s="5"/>
      <c r="P63" s="5"/>
      <c r="Q63" s="5"/>
      <c r="R63" s="5"/>
      <c r="S63" s="5"/>
    </row>
    <row r="64" spans="1:19" x14ac:dyDescent="0.2">
      <c r="A64" s="4"/>
      <c r="B64" s="4"/>
      <c r="C64" s="4"/>
      <c r="D64" s="4"/>
      <c r="E64" s="4"/>
      <c r="F64" s="4"/>
      <c r="G64" s="4"/>
      <c r="H64" s="4"/>
      <c r="I64" s="4"/>
      <c r="J64" s="4"/>
      <c r="K64" s="5"/>
      <c r="L64" s="5"/>
      <c r="M64" s="5"/>
      <c r="N64" s="5"/>
      <c r="O64" s="5"/>
      <c r="P64" s="5"/>
      <c r="Q64" s="5"/>
      <c r="R64" s="5"/>
      <c r="S64" s="5"/>
    </row>
    <row r="65" spans="1:19" x14ac:dyDescent="0.2">
      <c r="A65" s="4"/>
      <c r="B65" s="4"/>
      <c r="C65" s="4"/>
      <c r="D65" s="4"/>
      <c r="E65" s="4"/>
      <c r="F65" s="4"/>
      <c r="G65" s="4"/>
      <c r="H65" s="4"/>
      <c r="I65" s="4"/>
      <c r="J65" s="4"/>
      <c r="K65" s="5"/>
      <c r="L65" s="5"/>
      <c r="M65" s="5"/>
      <c r="N65" s="5"/>
      <c r="O65" s="5"/>
      <c r="P65" s="5"/>
      <c r="Q65" s="5"/>
      <c r="R65" s="5"/>
      <c r="S65" s="5"/>
    </row>
    <row r="66" spans="1:19" x14ac:dyDescent="0.2">
      <c r="A66" s="4"/>
      <c r="B66" s="4"/>
      <c r="C66" s="4"/>
      <c r="D66" s="4"/>
      <c r="E66" s="4"/>
      <c r="F66" s="4"/>
      <c r="G66" s="4"/>
      <c r="H66" s="4"/>
      <c r="I66" s="4"/>
      <c r="J66" s="4"/>
      <c r="K66" s="5"/>
      <c r="L66" s="5"/>
      <c r="M66" s="5"/>
      <c r="N66" s="5"/>
      <c r="O66" s="5"/>
      <c r="P66" s="5"/>
      <c r="Q66" s="5"/>
      <c r="R66" s="5"/>
      <c r="S66" s="5"/>
    </row>
    <row r="67" spans="1:19" x14ac:dyDescent="0.2">
      <c r="A67" s="4"/>
      <c r="B67" s="4"/>
      <c r="C67" s="4"/>
      <c r="D67" s="4"/>
      <c r="E67" s="4"/>
      <c r="F67" s="4"/>
      <c r="G67" s="4"/>
      <c r="H67" s="4"/>
      <c r="I67" s="4"/>
      <c r="J67" s="4"/>
      <c r="K67" s="5"/>
      <c r="L67" s="5"/>
      <c r="M67" s="5"/>
      <c r="N67" s="5"/>
      <c r="O67" s="5"/>
      <c r="P67" s="5"/>
      <c r="Q67" s="5"/>
      <c r="R67" s="5"/>
      <c r="S67" s="5"/>
    </row>
    <row r="68" spans="1:19" x14ac:dyDescent="0.2">
      <c r="A68" s="4"/>
      <c r="B68" s="4"/>
      <c r="C68" s="4"/>
      <c r="D68" s="4"/>
      <c r="E68" s="4"/>
      <c r="F68" s="4"/>
      <c r="G68" s="4"/>
      <c r="H68" s="4"/>
      <c r="I68" s="4"/>
      <c r="J68" s="4"/>
      <c r="K68" s="5"/>
      <c r="L68" s="5"/>
      <c r="M68" s="5"/>
      <c r="N68" s="5"/>
      <c r="O68" s="5"/>
      <c r="P68" s="5"/>
      <c r="Q68" s="5"/>
      <c r="R68" s="5"/>
      <c r="S68" s="5"/>
    </row>
    <row r="69" spans="1:19" x14ac:dyDescent="0.2">
      <c r="A69" s="4"/>
      <c r="B69" s="4"/>
      <c r="C69" s="4"/>
      <c r="D69" s="4"/>
      <c r="E69" s="4"/>
      <c r="F69" s="4"/>
      <c r="G69" s="4"/>
      <c r="H69" s="4"/>
      <c r="I69" s="4"/>
      <c r="J69" s="4"/>
      <c r="K69" s="5"/>
      <c r="L69" s="5"/>
      <c r="M69" s="5"/>
      <c r="N69" s="5"/>
      <c r="O69" s="5"/>
      <c r="P69" s="5"/>
      <c r="Q69" s="5"/>
      <c r="R69" s="5"/>
      <c r="S69" s="5"/>
    </row>
    <row r="70" spans="1:19" x14ac:dyDescent="0.2">
      <c r="A70" s="4"/>
      <c r="B70" s="4"/>
      <c r="C70" s="4"/>
      <c r="D70" s="4"/>
      <c r="E70" s="4"/>
      <c r="F70" s="4"/>
      <c r="G70" s="4"/>
      <c r="H70" s="4"/>
      <c r="I70" s="4"/>
      <c r="J70" s="4"/>
      <c r="K70" s="5"/>
      <c r="L70" s="5"/>
      <c r="M70" s="5"/>
      <c r="N70" s="5"/>
      <c r="O70" s="5"/>
      <c r="P70" s="5"/>
      <c r="Q70" s="5"/>
      <c r="R70" s="5"/>
      <c r="S70" s="5"/>
    </row>
    <row r="71" spans="1:19" x14ac:dyDescent="0.2">
      <c r="A71" s="4"/>
      <c r="B71" s="4"/>
      <c r="C71" s="4"/>
      <c r="D71" s="4"/>
      <c r="E71" s="4"/>
      <c r="F71" s="4"/>
      <c r="G71" s="4"/>
      <c r="H71" s="4"/>
      <c r="I71" s="4"/>
      <c r="J71" s="4"/>
      <c r="K71" s="5"/>
      <c r="L71" s="5"/>
      <c r="M71" s="5"/>
      <c r="N71" s="5"/>
      <c r="O71" s="5"/>
      <c r="P71" s="5"/>
      <c r="Q71" s="5"/>
      <c r="R71" s="5"/>
      <c r="S71" s="5"/>
    </row>
    <row r="72" spans="1:19" x14ac:dyDescent="0.2">
      <c r="A72" s="4"/>
      <c r="B72" s="4"/>
      <c r="C72" s="4"/>
      <c r="D72" s="4"/>
      <c r="E72" s="4"/>
      <c r="F72" s="4"/>
      <c r="G72" s="4"/>
      <c r="H72" s="4"/>
      <c r="I72" s="4"/>
      <c r="J72" s="4"/>
      <c r="K72" s="5"/>
      <c r="L72" s="5"/>
      <c r="M72" s="5"/>
      <c r="N72" s="5"/>
      <c r="O72" s="5"/>
      <c r="P72" s="5"/>
      <c r="Q72" s="5"/>
      <c r="R72" s="5"/>
      <c r="S72" s="5"/>
    </row>
    <row r="73" spans="1:19" x14ac:dyDescent="0.2">
      <c r="A73" s="4"/>
      <c r="B73" s="4"/>
      <c r="C73" s="4"/>
      <c r="D73" s="4"/>
      <c r="E73" s="4"/>
      <c r="F73" s="4"/>
      <c r="G73" s="4"/>
      <c r="H73" s="4"/>
      <c r="I73" s="4"/>
      <c r="J73" s="4"/>
      <c r="K73" s="5"/>
      <c r="L73" s="5"/>
      <c r="M73" s="5"/>
      <c r="N73" s="5"/>
      <c r="O73" s="5"/>
      <c r="P73" s="5"/>
      <c r="Q73" s="5"/>
      <c r="R73" s="5"/>
      <c r="S73" s="5"/>
    </row>
    <row r="74" spans="1:19" x14ac:dyDescent="0.2">
      <c r="A74" s="4"/>
      <c r="B74" s="4"/>
      <c r="C74" s="4"/>
      <c r="D74" s="4"/>
      <c r="E74" s="4"/>
      <c r="F74" s="4"/>
      <c r="G74" s="4"/>
      <c r="H74" s="4"/>
      <c r="I74" s="4"/>
      <c r="J74" s="4"/>
      <c r="K74" s="5"/>
      <c r="L74" s="5"/>
      <c r="M74" s="5"/>
      <c r="N74" s="5"/>
      <c r="O74" s="5"/>
      <c r="P74" s="5"/>
      <c r="Q74" s="5"/>
      <c r="R74" s="5"/>
      <c r="S74" s="5"/>
    </row>
    <row r="75" spans="1:19" x14ac:dyDescent="0.2">
      <c r="A75" s="4"/>
      <c r="B75" s="4"/>
      <c r="C75" s="4"/>
      <c r="D75" s="4"/>
      <c r="E75" s="4"/>
      <c r="F75" s="4"/>
      <c r="G75" s="4"/>
      <c r="H75" s="4"/>
      <c r="I75" s="4"/>
      <c r="J75" s="4"/>
      <c r="K75" s="5"/>
      <c r="L75" s="5"/>
      <c r="M75" s="5"/>
      <c r="N75" s="5"/>
      <c r="O75" s="5"/>
      <c r="P75" s="5"/>
      <c r="Q75" s="5"/>
      <c r="R75" s="5"/>
      <c r="S75" s="5"/>
    </row>
    <row r="76" spans="1:19" x14ac:dyDescent="0.2">
      <c r="A76" s="4"/>
      <c r="B76" s="4"/>
      <c r="C76" s="4"/>
      <c r="D76" s="4"/>
      <c r="E76" s="4"/>
      <c r="F76" s="4"/>
      <c r="G76" s="4"/>
      <c r="H76" s="4"/>
      <c r="I76" s="4"/>
      <c r="J76" s="4"/>
      <c r="K76" s="5"/>
      <c r="L76" s="5"/>
      <c r="M76" s="5"/>
      <c r="N76" s="5"/>
      <c r="O76" s="5"/>
      <c r="P76" s="5"/>
      <c r="Q76" s="5"/>
      <c r="R76" s="5"/>
      <c r="S76" s="5"/>
    </row>
    <row r="77" spans="1:19" x14ac:dyDescent="0.2">
      <c r="A77" s="4"/>
      <c r="B77" s="4"/>
      <c r="C77" s="4"/>
      <c r="D77" s="4"/>
      <c r="E77" s="4"/>
      <c r="F77" s="4"/>
      <c r="G77" s="4"/>
      <c r="H77" s="4"/>
      <c r="I77" s="4"/>
      <c r="J77" s="4"/>
      <c r="K77" s="5"/>
      <c r="L77" s="5"/>
      <c r="M77" s="5"/>
      <c r="N77" s="5"/>
      <c r="O77" s="5"/>
      <c r="P77" s="5"/>
      <c r="Q77" s="5"/>
      <c r="R77" s="5"/>
      <c r="S77" s="5"/>
    </row>
    <row r="78" spans="1:19" x14ac:dyDescent="0.2">
      <c r="A78" s="4"/>
      <c r="B78" s="4"/>
      <c r="C78" s="4"/>
      <c r="D78" s="4"/>
      <c r="E78" s="4"/>
      <c r="F78" s="4"/>
      <c r="G78" s="4"/>
      <c r="H78" s="4"/>
      <c r="I78" s="4"/>
      <c r="J78" s="4"/>
      <c r="K78" s="5"/>
      <c r="L78" s="5"/>
      <c r="M78" s="5"/>
      <c r="N78" s="5"/>
      <c r="O78" s="5"/>
      <c r="P78" s="5"/>
      <c r="Q78" s="5"/>
      <c r="R78" s="5"/>
      <c r="S78" s="5"/>
    </row>
    <row r="79" spans="1:19" x14ac:dyDescent="0.2">
      <c r="A79" s="4"/>
      <c r="B79" s="4"/>
      <c r="C79" s="4"/>
      <c r="D79" s="4"/>
      <c r="E79" s="4"/>
      <c r="F79" s="4"/>
      <c r="G79" s="4"/>
      <c r="H79" s="4"/>
      <c r="I79" s="4"/>
      <c r="J79" s="4"/>
      <c r="K79" s="5"/>
      <c r="L79" s="5"/>
      <c r="M79" s="5"/>
      <c r="N79" s="5"/>
      <c r="O79" s="5"/>
      <c r="P79" s="5"/>
      <c r="Q79" s="5"/>
      <c r="R79" s="5"/>
      <c r="S79" s="5"/>
    </row>
    <row r="80" spans="1:19" x14ac:dyDescent="0.2">
      <c r="A80" s="4"/>
      <c r="B80" s="4"/>
      <c r="C80" s="4"/>
      <c r="D80" s="4"/>
      <c r="E80" s="4"/>
      <c r="F80" s="4"/>
      <c r="G80" s="4"/>
      <c r="H80" s="4"/>
      <c r="I80" s="4"/>
      <c r="J80" s="4"/>
      <c r="K80" s="5"/>
      <c r="L80" s="5"/>
      <c r="M80" s="5"/>
      <c r="N80" s="5"/>
      <c r="O80" s="5"/>
      <c r="P80" s="5"/>
      <c r="Q80" s="5"/>
      <c r="R80" s="5"/>
      <c r="S80" s="5"/>
    </row>
    <row r="81" spans="1:19" x14ac:dyDescent="0.2">
      <c r="A81" s="4"/>
      <c r="B81" s="4"/>
      <c r="C81" s="4"/>
      <c r="D81" s="4"/>
      <c r="E81" s="4"/>
      <c r="F81" s="4"/>
      <c r="G81" s="4"/>
      <c r="H81" s="4"/>
      <c r="I81" s="4"/>
      <c r="J81" s="4"/>
      <c r="K81" s="5"/>
      <c r="L81" s="5"/>
      <c r="M81" s="5"/>
      <c r="N81" s="5"/>
      <c r="O81" s="5"/>
      <c r="P81" s="5"/>
      <c r="Q81" s="5"/>
      <c r="R81" s="5"/>
      <c r="S81" s="5"/>
    </row>
    <row r="82" spans="1:19" x14ac:dyDescent="0.2">
      <c r="A82" s="4"/>
      <c r="B82" s="4"/>
      <c r="C82" s="4"/>
      <c r="D82" s="4"/>
      <c r="E82" s="4"/>
      <c r="F82" s="4"/>
      <c r="G82" s="4"/>
      <c r="H82" s="4"/>
      <c r="I82" s="4"/>
      <c r="J82" s="4"/>
      <c r="K82" s="5"/>
      <c r="L82" s="5"/>
      <c r="M82" s="5"/>
      <c r="N82" s="5"/>
      <c r="O82" s="5"/>
      <c r="P82" s="5"/>
      <c r="Q82" s="5"/>
      <c r="R82" s="5"/>
      <c r="S82" s="5"/>
    </row>
    <row r="83" spans="1:19" x14ac:dyDescent="0.2">
      <c r="A83" s="4"/>
      <c r="B83" s="4"/>
      <c r="C83" s="4"/>
      <c r="D83" s="4"/>
      <c r="E83" s="4"/>
      <c r="F83" s="4"/>
      <c r="G83" s="4"/>
      <c r="H83" s="4"/>
      <c r="I83" s="4"/>
      <c r="J83" s="4"/>
      <c r="K83" s="5"/>
      <c r="L83" s="5"/>
      <c r="M83" s="5"/>
      <c r="N83" s="5"/>
      <c r="O83" s="5"/>
      <c r="P83" s="5"/>
      <c r="Q83" s="5"/>
      <c r="R83" s="5"/>
      <c r="S83" s="5"/>
    </row>
    <row r="84" spans="1:19" x14ac:dyDescent="0.2">
      <c r="A84" s="4"/>
      <c r="B84" s="4"/>
      <c r="C84" s="4"/>
      <c r="D84" s="4"/>
      <c r="E84" s="4"/>
      <c r="F84" s="4"/>
      <c r="G84" s="4"/>
      <c r="H84" s="4"/>
      <c r="I84" s="4"/>
      <c r="J84" s="4"/>
      <c r="K84" s="5"/>
      <c r="L84" s="5"/>
      <c r="M84" s="5"/>
      <c r="N84" s="5"/>
      <c r="O84" s="5"/>
      <c r="P84" s="5"/>
      <c r="Q84" s="5"/>
      <c r="R84" s="5"/>
      <c r="S84" s="5"/>
    </row>
    <row r="85" spans="1:19" x14ac:dyDescent="0.2">
      <c r="A85" s="4"/>
      <c r="B85" s="4"/>
      <c r="C85" s="4"/>
      <c r="D85" s="4"/>
      <c r="E85" s="4"/>
      <c r="F85" s="4"/>
      <c r="G85" s="4"/>
      <c r="H85" s="4"/>
      <c r="I85" s="4"/>
      <c r="J85" s="4"/>
      <c r="K85" s="5"/>
      <c r="L85" s="5"/>
      <c r="M85" s="5"/>
      <c r="N85" s="5"/>
      <c r="O85" s="5"/>
      <c r="P85" s="5"/>
      <c r="Q85" s="5"/>
      <c r="R85" s="5"/>
      <c r="S85" s="5"/>
    </row>
    <row r="86" spans="1:19" x14ac:dyDescent="0.2">
      <c r="A86" s="4"/>
      <c r="B86" s="4"/>
      <c r="C86" s="4"/>
      <c r="D86" s="4"/>
      <c r="E86" s="4"/>
      <c r="F86" s="4"/>
      <c r="G86" s="4"/>
      <c r="H86" s="4"/>
      <c r="I86" s="4"/>
      <c r="J86" s="4"/>
      <c r="K86" s="5"/>
      <c r="L86" s="5"/>
      <c r="M86" s="5"/>
      <c r="N86" s="5"/>
      <c r="O86" s="5"/>
      <c r="P86" s="5"/>
      <c r="Q86" s="5"/>
      <c r="R86" s="5"/>
      <c r="S86" s="5"/>
    </row>
    <row r="87" spans="1:19" x14ac:dyDescent="0.2">
      <c r="A87" s="4"/>
      <c r="B87" s="4"/>
      <c r="C87" s="4"/>
      <c r="D87" s="4"/>
      <c r="E87" s="4"/>
      <c r="F87" s="4"/>
      <c r="G87" s="4"/>
      <c r="H87" s="4"/>
      <c r="I87" s="4"/>
      <c r="J87" s="4"/>
      <c r="K87" s="5"/>
      <c r="L87" s="5"/>
      <c r="M87" s="5"/>
      <c r="N87" s="5"/>
      <c r="O87" s="5"/>
      <c r="P87" s="5"/>
      <c r="Q87" s="5"/>
      <c r="R87" s="5"/>
      <c r="S87" s="5"/>
    </row>
    <row r="88" spans="1:19" x14ac:dyDescent="0.2">
      <c r="A88" s="4"/>
      <c r="B88" s="4"/>
      <c r="C88" s="4"/>
      <c r="D88" s="4"/>
      <c r="E88" s="4"/>
      <c r="F88" s="4"/>
      <c r="G88" s="4"/>
      <c r="H88" s="4"/>
      <c r="I88" s="4"/>
      <c r="J88" s="4"/>
      <c r="K88" s="5"/>
      <c r="L88" s="5"/>
      <c r="M88" s="5"/>
      <c r="N88" s="5"/>
      <c r="O88" s="5"/>
      <c r="P88" s="5"/>
      <c r="Q88" s="5"/>
      <c r="R88" s="5"/>
      <c r="S88" s="5"/>
    </row>
    <row r="89" spans="1:19" x14ac:dyDescent="0.2">
      <c r="A89" s="4"/>
      <c r="B89" s="4"/>
      <c r="C89" s="4"/>
      <c r="D89" s="4"/>
      <c r="E89" s="4"/>
      <c r="F89" s="4"/>
      <c r="G89" s="4"/>
      <c r="H89" s="4"/>
      <c r="I89" s="4"/>
      <c r="J89" s="4"/>
      <c r="K89" s="5"/>
      <c r="L89" s="5"/>
      <c r="M89" s="5"/>
      <c r="N89" s="5"/>
      <c r="O89" s="5"/>
      <c r="P89" s="5"/>
      <c r="Q89" s="5"/>
      <c r="R89" s="5"/>
      <c r="S89" s="5"/>
    </row>
    <row r="90" spans="1:19" x14ac:dyDescent="0.2">
      <c r="A90" s="4"/>
      <c r="B90" s="4"/>
      <c r="C90" s="4"/>
      <c r="D90" s="4"/>
      <c r="E90" s="4"/>
      <c r="F90" s="4"/>
      <c r="G90" s="4"/>
      <c r="H90" s="4"/>
      <c r="I90" s="4"/>
      <c r="J90" s="4"/>
      <c r="K90" s="5"/>
      <c r="L90" s="5"/>
      <c r="M90" s="5"/>
      <c r="N90" s="5"/>
      <c r="O90" s="5"/>
      <c r="P90" s="5"/>
      <c r="Q90" s="5"/>
      <c r="R90" s="5"/>
      <c r="S90" s="5"/>
    </row>
    <row r="91" spans="1:19" x14ac:dyDescent="0.2">
      <c r="A91" s="4"/>
      <c r="B91" s="4"/>
      <c r="C91" s="4"/>
      <c r="D91" s="4"/>
      <c r="E91" s="4"/>
      <c r="F91" s="4"/>
      <c r="G91" s="4"/>
      <c r="H91" s="4"/>
      <c r="I91" s="4"/>
      <c r="J91" s="4"/>
      <c r="K91" s="5"/>
      <c r="L91" s="5"/>
      <c r="M91" s="5"/>
      <c r="N91" s="5"/>
      <c r="O91" s="5"/>
      <c r="P91" s="5"/>
      <c r="Q91" s="5"/>
      <c r="R91" s="5"/>
      <c r="S91" s="5"/>
    </row>
    <row r="92" spans="1:19" x14ac:dyDescent="0.2">
      <c r="A92" s="4"/>
      <c r="B92" s="4"/>
      <c r="C92" s="4"/>
      <c r="D92" s="4"/>
      <c r="E92" s="4"/>
      <c r="F92" s="4"/>
      <c r="G92" s="4"/>
      <c r="H92" s="4"/>
      <c r="I92" s="4"/>
      <c r="J92" s="4"/>
      <c r="K92" s="5"/>
      <c r="L92" s="5"/>
      <c r="M92" s="5"/>
      <c r="N92" s="5"/>
      <c r="O92" s="5"/>
      <c r="P92" s="5"/>
      <c r="Q92" s="5"/>
      <c r="R92" s="5"/>
      <c r="S92" s="5"/>
    </row>
    <row r="93" spans="1:19" x14ac:dyDescent="0.2">
      <c r="A93" s="4"/>
      <c r="B93" s="4"/>
      <c r="C93" s="4"/>
      <c r="D93" s="4"/>
      <c r="E93" s="4"/>
      <c r="F93" s="4"/>
      <c r="G93" s="4"/>
      <c r="H93" s="4"/>
      <c r="I93" s="4"/>
      <c r="J93" s="4"/>
      <c r="K93" s="5"/>
      <c r="L93" s="5"/>
      <c r="M93" s="5"/>
      <c r="N93" s="5"/>
      <c r="O93" s="5"/>
      <c r="P93" s="5"/>
      <c r="Q93" s="5"/>
      <c r="R93" s="5"/>
      <c r="S93" s="5"/>
    </row>
    <row r="94" spans="1:19" x14ac:dyDescent="0.2">
      <c r="A94" s="4"/>
      <c r="B94" s="4"/>
      <c r="C94" s="4"/>
      <c r="D94" s="4"/>
      <c r="E94" s="4"/>
      <c r="F94" s="4"/>
      <c r="G94" s="4"/>
      <c r="H94" s="4"/>
      <c r="I94" s="4"/>
      <c r="J94" s="4"/>
      <c r="K94" s="5"/>
      <c r="L94" s="5"/>
      <c r="M94" s="5"/>
      <c r="N94" s="5"/>
      <c r="O94" s="5"/>
      <c r="P94" s="5"/>
      <c r="Q94" s="5"/>
      <c r="R94" s="5"/>
      <c r="S94" s="5"/>
    </row>
    <row r="95" spans="1:19" x14ac:dyDescent="0.2">
      <c r="A95" s="4"/>
      <c r="B95" s="4"/>
      <c r="C95" s="4"/>
      <c r="D95" s="4"/>
      <c r="E95" s="4"/>
      <c r="F95" s="4"/>
      <c r="G95" s="4"/>
      <c r="H95" s="4"/>
      <c r="I95" s="4"/>
      <c r="J95" s="4"/>
      <c r="K95" s="5"/>
      <c r="L95" s="5"/>
      <c r="M95" s="5"/>
      <c r="N95" s="5"/>
      <c r="O95" s="5"/>
      <c r="P95" s="5"/>
      <c r="Q95" s="5"/>
      <c r="R95" s="5"/>
      <c r="S95" s="5"/>
    </row>
    <row r="96" spans="1:19" x14ac:dyDescent="0.2">
      <c r="A96" s="4"/>
      <c r="B96" s="4"/>
      <c r="C96" s="4"/>
      <c r="D96" s="4"/>
      <c r="E96" s="4"/>
      <c r="F96" s="4"/>
      <c r="G96" s="4"/>
      <c r="H96" s="4"/>
      <c r="I96" s="4"/>
      <c r="J96" s="4"/>
      <c r="K96" s="5"/>
      <c r="L96" s="5"/>
      <c r="M96" s="5"/>
      <c r="N96" s="5"/>
      <c r="O96" s="5"/>
      <c r="P96" s="5"/>
      <c r="Q96" s="5"/>
      <c r="R96" s="5"/>
      <c r="S96" s="5"/>
    </row>
    <row r="97" spans="1:19" x14ac:dyDescent="0.2">
      <c r="A97" s="4"/>
      <c r="B97" s="4"/>
      <c r="C97" s="4"/>
      <c r="D97" s="4"/>
      <c r="E97" s="4"/>
      <c r="F97" s="4"/>
      <c r="G97" s="4"/>
      <c r="H97" s="4"/>
      <c r="I97" s="4"/>
      <c r="J97" s="4"/>
      <c r="K97" s="5"/>
      <c r="L97" s="5"/>
      <c r="M97" s="5"/>
      <c r="N97" s="5"/>
      <c r="O97" s="5"/>
      <c r="P97" s="5"/>
      <c r="Q97" s="5"/>
      <c r="R97" s="5"/>
      <c r="S97" s="5"/>
    </row>
    <row r="98" spans="1:19" x14ac:dyDescent="0.2">
      <c r="C98" s="4"/>
      <c r="D98" s="4"/>
      <c r="E98" s="4"/>
      <c r="F98" s="4"/>
      <c r="G98" s="4"/>
      <c r="H98" s="4"/>
      <c r="I98" s="4"/>
      <c r="J98" s="4"/>
      <c r="K98" s="5"/>
      <c r="L98" s="5"/>
      <c r="M98" s="5"/>
      <c r="N98" s="5"/>
      <c r="O98" s="5"/>
      <c r="P98" s="5"/>
      <c r="Q98" s="5"/>
      <c r="R98" s="5"/>
      <c r="S98" s="5"/>
    </row>
    <row r="99" spans="1:19" x14ac:dyDescent="0.2">
      <c r="C99" s="4"/>
      <c r="D99" s="4"/>
      <c r="E99" s="4"/>
      <c r="F99" s="4"/>
      <c r="G99" s="4"/>
      <c r="H99" s="4"/>
      <c r="I99" s="4"/>
      <c r="J99" s="4"/>
      <c r="K99" s="5"/>
      <c r="L99" s="5"/>
      <c r="M99" s="5"/>
      <c r="N99" s="5"/>
      <c r="O99" s="5"/>
      <c r="P99" s="5"/>
      <c r="Q99" s="5"/>
      <c r="R99" s="5"/>
      <c r="S99" s="5"/>
    </row>
    <row r="100" spans="1:19" x14ac:dyDescent="0.2">
      <c r="C100" s="4"/>
      <c r="D100" s="4"/>
      <c r="E100" s="4"/>
      <c r="F100" s="4"/>
      <c r="G100" s="4"/>
      <c r="H100" s="4"/>
      <c r="I100" s="4"/>
      <c r="J100" s="4"/>
      <c r="K100" s="5"/>
      <c r="L100" s="5"/>
      <c r="M100" s="5"/>
      <c r="N100" s="5"/>
      <c r="O100" s="5"/>
      <c r="P100" s="5"/>
      <c r="Q100" s="5"/>
      <c r="R100" s="5"/>
      <c r="S100" s="5"/>
    </row>
    <row r="101" spans="1:19" x14ac:dyDescent="0.2">
      <c r="C101" s="4"/>
      <c r="D101" s="4"/>
      <c r="E101" s="4"/>
      <c r="F101" s="4"/>
      <c r="G101" s="4"/>
      <c r="H101" s="4"/>
      <c r="I101" s="4"/>
      <c r="J101" s="4"/>
      <c r="K101" s="5"/>
      <c r="L101" s="5"/>
      <c r="M101" s="5"/>
      <c r="N101" s="5"/>
      <c r="O101" s="5"/>
      <c r="P101" s="5"/>
      <c r="Q101" s="5"/>
      <c r="R101" s="5"/>
      <c r="S101" s="5"/>
    </row>
    <row r="102" spans="1:19" x14ac:dyDescent="0.2">
      <c r="C102" s="4"/>
      <c r="D102" s="4"/>
      <c r="E102" s="4"/>
      <c r="F102" s="4"/>
      <c r="G102" s="4"/>
      <c r="H102" s="4"/>
      <c r="I102" s="4"/>
      <c r="J102" s="4"/>
      <c r="K102" s="5"/>
      <c r="L102" s="5"/>
      <c r="M102" s="5"/>
      <c r="N102" s="5"/>
      <c r="O102" s="5"/>
      <c r="P102" s="5"/>
      <c r="Q102" s="5"/>
      <c r="R102" s="5"/>
      <c r="S102" s="5"/>
    </row>
    <row r="103" spans="1:19" x14ac:dyDescent="0.2">
      <c r="C103" s="4"/>
      <c r="D103" s="4"/>
      <c r="E103" s="4"/>
      <c r="F103" s="4"/>
      <c r="G103" s="4"/>
      <c r="H103" s="4"/>
      <c r="I103" s="4"/>
      <c r="J103" s="4"/>
      <c r="K103" s="5"/>
      <c r="L103" s="5"/>
      <c r="M103" s="5"/>
      <c r="N103" s="5"/>
      <c r="O103" s="5"/>
      <c r="P103" s="5"/>
      <c r="Q103" s="5"/>
      <c r="R103" s="5"/>
      <c r="S103" s="5"/>
    </row>
  </sheetData>
  <mergeCells count="55">
    <mergeCell ref="E14:G14"/>
    <mergeCell ref="E21:G21"/>
    <mergeCell ref="E22:G22"/>
    <mergeCell ref="E23:G23"/>
    <mergeCell ref="E15:G15"/>
    <mergeCell ref="E16:G16"/>
    <mergeCell ref="E17:G17"/>
    <mergeCell ref="E18:G18"/>
    <mergeCell ref="E52:G52"/>
    <mergeCell ref="E53:G53"/>
    <mergeCell ref="E48:G48"/>
    <mergeCell ref="D36:E36"/>
    <mergeCell ref="D37:E37"/>
    <mergeCell ref="D38:E38"/>
    <mergeCell ref="D39:E39"/>
    <mergeCell ref="D40:E40"/>
    <mergeCell ref="D41:E41"/>
    <mergeCell ref="D42:E42"/>
    <mergeCell ref="D43:E43"/>
    <mergeCell ref="D44:E44"/>
    <mergeCell ref="D45:E45"/>
    <mergeCell ref="F36:G36"/>
    <mergeCell ref="E49:G49"/>
    <mergeCell ref="E50:G50"/>
    <mergeCell ref="Q22:Q26"/>
    <mergeCell ref="G33:H33"/>
    <mergeCell ref="F37:G37"/>
    <mergeCell ref="F38:G38"/>
    <mergeCell ref="F39:G39"/>
    <mergeCell ref="E30:F30"/>
    <mergeCell ref="E31:F31"/>
    <mergeCell ref="E32:F32"/>
    <mergeCell ref="E24:G24"/>
    <mergeCell ref="E25:G25"/>
    <mergeCell ref="E51:G51"/>
    <mergeCell ref="E28:F28"/>
    <mergeCell ref="E29:F29"/>
    <mergeCell ref="E33:F33"/>
    <mergeCell ref="G28:H28"/>
    <mergeCell ref="G29:H29"/>
    <mergeCell ref="G30:H30"/>
    <mergeCell ref="G31:H31"/>
    <mergeCell ref="G32:H32"/>
    <mergeCell ref="F42:G42"/>
    <mergeCell ref="F43:G43"/>
    <mergeCell ref="F44:G44"/>
    <mergeCell ref="F45:G45"/>
    <mergeCell ref="F40:G40"/>
    <mergeCell ref="F41:G41"/>
    <mergeCell ref="AB30:AI30"/>
    <mergeCell ref="AC32:AF32"/>
    <mergeCell ref="AG32:AI32"/>
    <mergeCell ref="R20:Y20"/>
    <mergeCell ref="AC35:AI35"/>
    <mergeCell ref="T29:W29"/>
  </mergeCells>
  <hyperlinks>
    <hyperlink ref="J29" r:id="rId1" location="bib0039" xr:uid="{07F59513-D317-474D-AF06-5A220606BC67}"/>
    <hyperlink ref="J30" r:id="rId2" xr:uid="{95AD54BE-59B9-1F4D-A9C9-F4E480585C28}"/>
  </hyperlinks>
  <pageMargins left="0.7" right="0.7" top="0.75" bottom="0.75" header="0.3" footer="0.3"/>
  <pageSetup orientation="portrait" horizontalDpi="0" verticalDpi="0"/>
  <ignoredErrors>
    <ignoredError sqref="D17" twoDigitTextYear="1"/>
  </ignoredError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91C83-47FF-1B4A-B7A4-A1ADD5391A61}">
  <sheetPr>
    <tabColor theme="2" tint="-9.9978637043366805E-2"/>
  </sheetPr>
  <dimension ref="A1:U344"/>
  <sheetViews>
    <sheetView topLeftCell="A7" zoomScale="150" zoomScaleNormal="150" workbookViewId="0">
      <selection activeCell="D174" sqref="D174"/>
    </sheetView>
  </sheetViews>
  <sheetFormatPr baseColWidth="10" defaultRowHeight="16" x14ac:dyDescent="0.2"/>
  <cols>
    <col min="3" max="3" width="28.1640625" style="3" customWidth="1"/>
    <col min="4" max="4" width="115.1640625" customWidth="1"/>
    <col min="6" max="6" width="13" bestFit="1" customWidth="1"/>
    <col min="7" max="7" width="18.5" customWidth="1"/>
  </cols>
  <sheetData>
    <row r="1" spans="2:21" s="6" customFormat="1" x14ac:dyDescent="0.2">
      <c r="C1" s="7"/>
      <c r="M1" s="7"/>
      <c r="N1" s="7"/>
      <c r="O1" s="7"/>
      <c r="P1" s="7"/>
      <c r="Q1" s="7"/>
      <c r="R1" s="7"/>
      <c r="S1" s="7"/>
      <c r="T1" s="7"/>
      <c r="U1" s="7"/>
    </row>
    <row r="2" spans="2:21" s="6" customFormat="1" ht="47" x14ac:dyDescent="0.55000000000000004">
      <c r="B2" s="32"/>
      <c r="C2" s="7"/>
      <c r="M2" s="7"/>
      <c r="N2" s="7"/>
      <c r="O2" s="7"/>
      <c r="P2" s="7"/>
      <c r="Q2" s="7"/>
      <c r="R2" s="7"/>
      <c r="S2" s="7"/>
      <c r="T2" s="7"/>
      <c r="U2" s="7"/>
    </row>
    <row r="3" spans="2:21" s="6" customFormat="1" x14ac:dyDescent="0.2">
      <c r="C3" s="7"/>
      <c r="M3" s="7"/>
      <c r="N3" s="7"/>
      <c r="O3" s="7"/>
      <c r="P3" s="7"/>
      <c r="Q3" s="7"/>
      <c r="R3" s="7"/>
      <c r="S3" s="7"/>
      <c r="T3" s="7"/>
      <c r="U3" s="7"/>
    </row>
    <row r="4" spans="2:21" s="4" customFormat="1" x14ac:dyDescent="0.2">
      <c r="C4" s="5"/>
      <c r="G4" s="4" t="s">
        <v>1573</v>
      </c>
      <c r="H4" s="211">
        <f>H5-H6</f>
        <v>99</v>
      </c>
      <c r="M4" s="5"/>
      <c r="N4" s="5"/>
      <c r="O4" s="5"/>
      <c r="P4" s="5"/>
      <c r="Q4" s="5"/>
      <c r="R4" s="5"/>
      <c r="S4" s="5"/>
      <c r="T4" s="5"/>
      <c r="U4" s="5"/>
    </row>
    <row r="5" spans="2:21" s="4" customFormat="1" x14ac:dyDescent="0.2">
      <c r="B5" s="394" t="s">
        <v>842</v>
      </c>
      <c r="C5" s="394"/>
      <c r="D5" s="394"/>
      <c r="G5" s="4" t="s">
        <v>1199</v>
      </c>
      <c r="H5" s="209">
        <v>102</v>
      </c>
    </row>
    <row r="6" spans="2:21" s="4" customFormat="1" ht="17" x14ac:dyDescent="0.2">
      <c r="B6" s="58" t="s">
        <v>834</v>
      </c>
      <c r="C6" s="61" t="s">
        <v>833</v>
      </c>
      <c r="D6" s="59" t="s">
        <v>832</v>
      </c>
      <c r="G6" s="4" t="s">
        <v>1572</v>
      </c>
      <c r="H6" s="210">
        <v>3</v>
      </c>
    </row>
    <row r="7" spans="2:21" s="4" customFormat="1" ht="68" x14ac:dyDescent="0.2">
      <c r="B7" s="54" t="s">
        <v>840</v>
      </c>
      <c r="C7" s="62" t="s">
        <v>359</v>
      </c>
      <c r="D7" s="55" t="s">
        <v>829</v>
      </c>
    </row>
    <row r="8" spans="2:21" s="4" customFormat="1" ht="51" x14ac:dyDescent="0.2">
      <c r="B8" s="54" t="s">
        <v>840</v>
      </c>
      <c r="C8" s="62" t="s">
        <v>828</v>
      </c>
      <c r="D8" s="55" t="s">
        <v>830</v>
      </c>
    </row>
    <row r="9" spans="2:21" s="4" customFormat="1" ht="68" x14ac:dyDescent="0.2">
      <c r="B9" s="54" t="s">
        <v>840</v>
      </c>
      <c r="C9" s="62" t="s">
        <v>836</v>
      </c>
      <c r="D9" s="55" t="s">
        <v>831</v>
      </c>
    </row>
    <row r="10" spans="2:21" s="4" customFormat="1" ht="34" x14ac:dyDescent="0.2">
      <c r="B10" s="54" t="s">
        <v>840</v>
      </c>
      <c r="C10" s="62" t="s">
        <v>835</v>
      </c>
      <c r="D10" s="55" t="s">
        <v>839</v>
      </c>
    </row>
    <row r="11" spans="2:21" s="4" customFormat="1" ht="34" x14ac:dyDescent="0.2">
      <c r="B11" s="56" t="s">
        <v>840</v>
      </c>
      <c r="C11" s="63" t="s">
        <v>838</v>
      </c>
      <c r="D11" s="57" t="s">
        <v>837</v>
      </c>
    </row>
    <row r="12" spans="2:21" s="4" customFormat="1" x14ac:dyDescent="0.2">
      <c r="B12" s="26" t="s">
        <v>841</v>
      </c>
      <c r="C12" s="39"/>
      <c r="D12" s="39"/>
    </row>
    <row r="13" spans="2:21" s="4" customFormat="1" x14ac:dyDescent="0.2">
      <c r="C13" s="5"/>
    </row>
    <row r="14" spans="2:21" s="4" customFormat="1" x14ac:dyDescent="0.2">
      <c r="C14" s="5"/>
    </row>
    <row r="15" spans="2:21" s="4" customFormat="1" x14ac:dyDescent="0.2">
      <c r="B15" s="395" t="s">
        <v>1714</v>
      </c>
      <c r="C15" s="395"/>
      <c r="D15" s="395"/>
      <c r="E15" s="395"/>
      <c r="F15" s="395"/>
      <c r="G15" s="395"/>
    </row>
    <row r="16" spans="2:21" s="4" customFormat="1" ht="17" x14ac:dyDescent="0.2">
      <c r="B16" s="16" t="s">
        <v>535</v>
      </c>
      <c r="C16" s="15" t="s">
        <v>477</v>
      </c>
      <c r="D16" s="15" t="s">
        <v>807</v>
      </c>
      <c r="E16" s="16" t="s">
        <v>32</v>
      </c>
      <c r="F16" s="16" t="s">
        <v>472</v>
      </c>
      <c r="G16" s="16" t="s">
        <v>1304</v>
      </c>
    </row>
    <row r="17" spans="1:7" s="4" customFormat="1" ht="17" hidden="1" x14ac:dyDescent="0.2">
      <c r="B17" s="17" t="s">
        <v>2657</v>
      </c>
      <c r="C17" s="15" t="s">
        <v>710</v>
      </c>
      <c r="D17" s="15" t="s">
        <v>814</v>
      </c>
      <c r="E17" s="16" t="s">
        <v>478</v>
      </c>
      <c r="F17" s="16" t="s">
        <v>541</v>
      </c>
      <c r="G17" s="16"/>
    </row>
    <row r="18" spans="1:7" s="4" customFormat="1" ht="34" hidden="1" x14ac:dyDescent="0.2">
      <c r="B18" s="17" t="s">
        <v>2658</v>
      </c>
      <c r="C18" s="53" t="s">
        <v>1200</v>
      </c>
      <c r="D18" s="53"/>
      <c r="E18" s="60" t="s">
        <v>478</v>
      </c>
      <c r="F18" s="60" t="s">
        <v>541</v>
      </c>
      <c r="G18" s="16"/>
    </row>
    <row r="19" spans="1:7" s="4" customFormat="1" ht="34" hidden="1" x14ac:dyDescent="0.2">
      <c r="B19" s="17" t="s">
        <v>2659</v>
      </c>
      <c r="C19" s="15" t="s">
        <v>632</v>
      </c>
      <c r="D19" s="15" t="s">
        <v>819</v>
      </c>
      <c r="E19" s="16" t="s">
        <v>478</v>
      </c>
      <c r="F19" s="16" t="s">
        <v>541</v>
      </c>
      <c r="G19" s="16"/>
    </row>
    <row r="20" spans="1:7" s="4" customFormat="1" ht="34" hidden="1" x14ac:dyDescent="0.2">
      <c r="B20" s="17" t="s">
        <v>2660</v>
      </c>
      <c r="C20" s="15" t="s">
        <v>636</v>
      </c>
      <c r="D20" s="15" t="s">
        <v>818</v>
      </c>
      <c r="E20" s="16" t="s">
        <v>478</v>
      </c>
      <c r="F20" s="16" t="s">
        <v>541</v>
      </c>
      <c r="G20" s="16"/>
    </row>
    <row r="21" spans="1:7" s="4" customFormat="1" ht="34" hidden="1" x14ac:dyDescent="0.2">
      <c r="B21" s="17" t="s">
        <v>2661</v>
      </c>
      <c r="C21" s="15" t="s">
        <v>646</v>
      </c>
      <c r="D21" s="15" t="s">
        <v>821</v>
      </c>
      <c r="E21" s="16" t="s">
        <v>478</v>
      </c>
      <c r="F21" s="16" t="s">
        <v>482</v>
      </c>
      <c r="G21" s="16"/>
    </row>
    <row r="22" spans="1:7" s="4" customFormat="1" ht="34" hidden="1" x14ac:dyDescent="0.2">
      <c r="B22" s="17" t="s">
        <v>2662</v>
      </c>
      <c r="C22" s="15" t="s">
        <v>644</v>
      </c>
      <c r="D22" s="15" t="s">
        <v>822</v>
      </c>
      <c r="E22" s="16" t="s">
        <v>479</v>
      </c>
      <c r="F22" s="16" t="s">
        <v>482</v>
      </c>
      <c r="G22" s="16"/>
    </row>
    <row r="23" spans="1:7" s="4" customFormat="1" ht="17" hidden="1" x14ac:dyDescent="0.2">
      <c r="B23" s="17" t="s">
        <v>2663</v>
      </c>
      <c r="C23" s="15" t="s">
        <v>2248</v>
      </c>
      <c r="D23" s="15"/>
      <c r="E23" s="16" t="s">
        <v>478</v>
      </c>
      <c r="F23" s="16" t="s">
        <v>482</v>
      </c>
      <c r="G23" s="16"/>
    </row>
    <row r="24" spans="1:7" s="4" customFormat="1" ht="34" hidden="1" x14ac:dyDescent="0.2">
      <c r="B24" s="17" t="s">
        <v>2664</v>
      </c>
      <c r="C24" s="15" t="s">
        <v>640</v>
      </c>
      <c r="D24" s="15" t="s">
        <v>823</v>
      </c>
      <c r="E24" s="16" t="s">
        <v>479</v>
      </c>
      <c r="F24" s="16" t="s">
        <v>541</v>
      </c>
      <c r="G24" s="16"/>
    </row>
    <row r="25" spans="1:7" s="4" customFormat="1" ht="17" hidden="1" x14ac:dyDescent="0.2">
      <c r="B25" s="17" t="s">
        <v>2665</v>
      </c>
      <c r="C25" s="15" t="s">
        <v>1164</v>
      </c>
      <c r="D25" s="15"/>
      <c r="E25" s="16" t="s">
        <v>478</v>
      </c>
      <c r="F25" s="16" t="s">
        <v>482</v>
      </c>
      <c r="G25" s="16"/>
    </row>
    <row r="26" spans="1:7" s="4" customFormat="1" ht="17" hidden="1" x14ac:dyDescent="0.2">
      <c r="A26" s="4" t="s">
        <v>1060</v>
      </c>
      <c r="B26" s="17" t="s">
        <v>2666</v>
      </c>
      <c r="C26" s="15" t="s">
        <v>1165</v>
      </c>
      <c r="D26" s="15"/>
      <c r="E26" s="16" t="s">
        <v>478</v>
      </c>
      <c r="F26" s="16" t="s">
        <v>560</v>
      </c>
      <c r="G26" s="16"/>
    </row>
    <row r="27" spans="1:7" s="4" customFormat="1" ht="34" hidden="1" x14ac:dyDescent="0.2">
      <c r="A27" s="4" t="s">
        <v>1059</v>
      </c>
      <c r="B27" s="17" t="s">
        <v>2667</v>
      </c>
      <c r="C27" s="15" t="s">
        <v>547</v>
      </c>
      <c r="D27" s="53" t="s">
        <v>843</v>
      </c>
      <c r="E27" s="16" t="s">
        <v>479</v>
      </c>
      <c r="F27" s="16" t="s">
        <v>541</v>
      </c>
      <c r="G27" s="16"/>
    </row>
    <row r="28" spans="1:7" s="4" customFormat="1" ht="34" hidden="1" x14ac:dyDescent="0.2">
      <c r="B28" s="17" t="s">
        <v>2668</v>
      </c>
      <c r="C28" s="15" t="s">
        <v>546</v>
      </c>
      <c r="D28" s="15" t="s">
        <v>824</v>
      </c>
      <c r="E28" s="16" t="s">
        <v>479</v>
      </c>
      <c r="F28" s="16" t="s">
        <v>541</v>
      </c>
      <c r="G28" s="16"/>
    </row>
    <row r="29" spans="1:7" s="4" customFormat="1" ht="51" hidden="1" x14ac:dyDescent="0.2">
      <c r="B29" s="17" t="s">
        <v>2669</v>
      </c>
      <c r="C29" s="15" t="s">
        <v>601</v>
      </c>
      <c r="D29" s="15" t="s">
        <v>825</v>
      </c>
      <c r="E29" s="16" t="s">
        <v>478</v>
      </c>
      <c r="F29" s="16" t="s">
        <v>475</v>
      </c>
      <c r="G29" s="16"/>
    </row>
    <row r="30" spans="1:7" s="4" customFormat="1" ht="17" hidden="1" x14ac:dyDescent="0.2">
      <c r="B30" s="17" t="s">
        <v>2670</v>
      </c>
      <c r="C30" s="15" t="s">
        <v>593</v>
      </c>
      <c r="D30" s="15" t="s">
        <v>826</v>
      </c>
      <c r="E30" s="16" t="s">
        <v>478</v>
      </c>
      <c r="F30" s="16" t="s">
        <v>475</v>
      </c>
      <c r="G30" s="16"/>
    </row>
    <row r="31" spans="1:7" s="4" customFormat="1" ht="17" hidden="1" x14ac:dyDescent="0.2">
      <c r="B31" s="17" t="s">
        <v>2671</v>
      </c>
      <c r="C31" s="15" t="s">
        <v>844</v>
      </c>
      <c r="D31" s="15" t="s">
        <v>845</v>
      </c>
      <c r="E31" s="16" t="s">
        <v>478</v>
      </c>
      <c r="F31" s="16" t="s">
        <v>541</v>
      </c>
      <c r="G31" s="16"/>
    </row>
    <row r="32" spans="1:7" s="4" customFormat="1" ht="17" hidden="1" x14ac:dyDescent="0.2">
      <c r="B32" s="17" t="s">
        <v>2672</v>
      </c>
      <c r="C32" s="15" t="s">
        <v>671</v>
      </c>
      <c r="D32" s="53" t="s">
        <v>846</v>
      </c>
      <c r="E32" s="16" t="s">
        <v>478</v>
      </c>
      <c r="F32" s="16" t="s">
        <v>482</v>
      </c>
      <c r="G32" s="16"/>
    </row>
    <row r="33" spans="2:7" s="4" customFormat="1" ht="34" hidden="1" x14ac:dyDescent="0.2">
      <c r="B33" s="17" t="s">
        <v>2673</v>
      </c>
      <c r="C33" s="15" t="s">
        <v>691</v>
      </c>
      <c r="D33" s="53" t="s">
        <v>847</v>
      </c>
      <c r="E33" s="16" t="s">
        <v>478</v>
      </c>
      <c r="F33" s="16" t="s">
        <v>482</v>
      </c>
      <c r="G33" s="16"/>
    </row>
    <row r="34" spans="2:7" s="4" customFormat="1" ht="34" hidden="1" x14ac:dyDescent="0.2">
      <c r="B34" s="17" t="s">
        <v>2674</v>
      </c>
      <c r="C34" s="15" t="s">
        <v>594</v>
      </c>
      <c r="D34" s="15" t="s">
        <v>850</v>
      </c>
      <c r="E34" s="16" t="s">
        <v>478</v>
      </c>
      <c r="F34" s="16" t="s">
        <v>494</v>
      </c>
      <c r="G34" s="16"/>
    </row>
    <row r="35" spans="2:7" s="4" customFormat="1" ht="34" hidden="1" x14ac:dyDescent="0.2">
      <c r="B35" s="17" t="s">
        <v>2675</v>
      </c>
      <c r="C35" s="15" t="s">
        <v>595</v>
      </c>
      <c r="D35" s="15" t="s">
        <v>851</v>
      </c>
      <c r="E35" s="16" t="s">
        <v>478</v>
      </c>
      <c r="F35" s="16" t="s">
        <v>475</v>
      </c>
      <c r="G35" s="16"/>
    </row>
    <row r="36" spans="2:7" s="4" customFormat="1" ht="34" hidden="1" x14ac:dyDescent="0.2">
      <c r="B36" s="17" t="s">
        <v>2676</v>
      </c>
      <c r="C36" s="15" t="s">
        <v>495</v>
      </c>
      <c r="D36" s="15" t="s">
        <v>855</v>
      </c>
      <c r="E36" s="16" t="s">
        <v>478</v>
      </c>
      <c r="F36" s="16" t="s">
        <v>702</v>
      </c>
      <c r="G36" s="16"/>
    </row>
    <row r="37" spans="2:7" s="4" customFormat="1" ht="34" hidden="1" x14ac:dyDescent="0.2">
      <c r="B37" s="17" t="s">
        <v>2677</v>
      </c>
      <c r="C37" s="15" t="s">
        <v>533</v>
      </c>
      <c r="D37" s="15" t="s">
        <v>856</v>
      </c>
      <c r="E37" s="16" t="s">
        <v>478</v>
      </c>
      <c r="F37" s="16" t="s">
        <v>475</v>
      </c>
      <c r="G37" s="16"/>
    </row>
    <row r="38" spans="2:7" s="4" customFormat="1" ht="17" hidden="1" x14ac:dyDescent="0.2">
      <c r="B38" s="17" t="s">
        <v>2678</v>
      </c>
      <c r="C38" s="15" t="s">
        <v>625</v>
      </c>
      <c r="D38" s="15" t="s">
        <v>857</v>
      </c>
      <c r="E38" s="16" t="s">
        <v>479</v>
      </c>
      <c r="F38" s="16" t="s">
        <v>482</v>
      </c>
      <c r="G38" s="16"/>
    </row>
    <row r="39" spans="2:7" s="4" customFormat="1" ht="34" hidden="1" x14ac:dyDescent="0.2">
      <c r="B39" s="17" t="s">
        <v>2679</v>
      </c>
      <c r="C39" s="15" t="s">
        <v>693</v>
      </c>
      <c r="D39" s="15" t="s">
        <v>854</v>
      </c>
      <c r="E39" s="16" t="s">
        <v>478</v>
      </c>
      <c r="F39" s="16" t="s">
        <v>482</v>
      </c>
      <c r="G39" s="16"/>
    </row>
    <row r="40" spans="2:7" s="4" customFormat="1" ht="34" hidden="1" x14ac:dyDescent="0.2">
      <c r="B40" s="17" t="s">
        <v>2680</v>
      </c>
      <c r="C40" s="15" t="s">
        <v>633</v>
      </c>
      <c r="D40" s="15" t="s">
        <v>859</v>
      </c>
      <c r="E40" s="16" t="s">
        <v>478</v>
      </c>
      <c r="F40" s="16" t="s">
        <v>475</v>
      </c>
      <c r="G40" s="16"/>
    </row>
    <row r="41" spans="2:7" s="4" customFormat="1" ht="34" hidden="1" x14ac:dyDescent="0.2">
      <c r="B41" s="17" t="s">
        <v>2681</v>
      </c>
      <c r="C41" s="15" t="s">
        <v>448</v>
      </c>
      <c r="D41" s="15" t="s">
        <v>889</v>
      </c>
      <c r="E41" s="16" t="s">
        <v>478</v>
      </c>
      <c r="F41" s="16" t="s">
        <v>446</v>
      </c>
      <c r="G41" s="16"/>
    </row>
    <row r="42" spans="2:7" s="4" customFormat="1" ht="34" hidden="1" x14ac:dyDescent="0.2">
      <c r="B42" s="17" t="s">
        <v>2682</v>
      </c>
      <c r="C42" s="15" t="s">
        <v>630</v>
      </c>
      <c r="D42" s="15" t="s">
        <v>853</v>
      </c>
      <c r="E42" s="16" t="s">
        <v>478</v>
      </c>
      <c r="F42" s="16" t="s">
        <v>541</v>
      </c>
      <c r="G42" s="16"/>
    </row>
    <row r="43" spans="2:7" s="4" customFormat="1" ht="34" hidden="1" x14ac:dyDescent="0.2">
      <c r="B43" s="17" t="s">
        <v>2683</v>
      </c>
      <c r="C43" s="15" t="s">
        <v>483</v>
      </c>
      <c r="D43" s="15" t="s">
        <v>852</v>
      </c>
      <c r="E43" s="16" t="s">
        <v>478</v>
      </c>
      <c r="F43" s="16" t="s">
        <v>482</v>
      </c>
      <c r="G43" s="16"/>
    </row>
    <row r="44" spans="2:7" s="4" customFormat="1" ht="51" hidden="1" x14ac:dyDescent="0.2">
      <c r="B44" s="17" t="s">
        <v>2684</v>
      </c>
      <c r="C44" s="15" t="s">
        <v>590</v>
      </c>
      <c r="D44" s="15" t="s">
        <v>1303</v>
      </c>
      <c r="E44" s="16" t="s">
        <v>478</v>
      </c>
      <c r="F44" s="16" t="s">
        <v>494</v>
      </c>
      <c r="G44" s="16" t="s">
        <v>1300</v>
      </c>
    </row>
    <row r="45" spans="2:7" s="4" customFormat="1" ht="17" hidden="1" x14ac:dyDescent="0.2">
      <c r="B45" s="17" t="s">
        <v>2685</v>
      </c>
      <c r="C45" s="15" t="s">
        <v>491</v>
      </c>
      <c r="D45" s="15" t="s">
        <v>820</v>
      </c>
      <c r="E45" s="16" t="s">
        <v>478</v>
      </c>
      <c r="F45" s="16" t="s">
        <v>494</v>
      </c>
      <c r="G45" s="16"/>
    </row>
    <row r="46" spans="2:7" s="4" customFormat="1" ht="17" x14ac:dyDescent="0.2">
      <c r="B46" s="17" t="s">
        <v>2686</v>
      </c>
      <c r="C46" s="15" t="s">
        <v>716</v>
      </c>
      <c r="D46" s="39"/>
      <c r="E46" s="16" t="s">
        <v>479</v>
      </c>
      <c r="F46" s="26" t="s">
        <v>541</v>
      </c>
      <c r="G46" s="16"/>
    </row>
    <row r="47" spans="2:7" s="4" customFormat="1" ht="34" hidden="1" x14ac:dyDescent="0.2">
      <c r="B47" s="17" t="s">
        <v>2687</v>
      </c>
      <c r="C47" s="15" t="s">
        <v>675</v>
      </c>
      <c r="D47" s="15" t="s">
        <v>890</v>
      </c>
      <c r="E47" s="16" t="s">
        <v>478</v>
      </c>
      <c r="F47" s="16" t="s">
        <v>446</v>
      </c>
      <c r="G47" s="16"/>
    </row>
    <row r="48" spans="2:7" s="4" customFormat="1" ht="34" hidden="1" x14ac:dyDescent="0.2">
      <c r="B48" s="17" t="s">
        <v>2688</v>
      </c>
      <c r="C48" s="15" t="s">
        <v>582</v>
      </c>
      <c r="D48" s="15" t="s">
        <v>892</v>
      </c>
      <c r="E48" s="16" t="s">
        <v>479</v>
      </c>
      <c r="F48" s="16" t="s">
        <v>481</v>
      </c>
      <c r="G48" s="16"/>
    </row>
    <row r="49" spans="2:7" s="4" customFormat="1" ht="34" hidden="1" x14ac:dyDescent="0.2">
      <c r="B49" s="17" t="s">
        <v>2689</v>
      </c>
      <c r="C49" s="15" t="s">
        <v>648</v>
      </c>
      <c r="D49" s="15" t="s">
        <v>1324</v>
      </c>
      <c r="E49" s="16" t="s">
        <v>478</v>
      </c>
      <c r="F49" s="16" t="s">
        <v>446</v>
      </c>
      <c r="G49" s="16"/>
    </row>
    <row r="50" spans="2:7" s="4" customFormat="1" ht="51" hidden="1" x14ac:dyDescent="0.2">
      <c r="B50" s="17" t="s">
        <v>2690</v>
      </c>
      <c r="C50" s="15" t="s">
        <v>498</v>
      </c>
      <c r="D50" s="15" t="s">
        <v>893</v>
      </c>
      <c r="E50" s="16" t="s">
        <v>478</v>
      </c>
      <c r="F50" s="16" t="s">
        <v>481</v>
      </c>
      <c r="G50" s="16"/>
    </row>
    <row r="51" spans="2:7" s="4" customFormat="1" ht="34" hidden="1" x14ac:dyDescent="0.2">
      <c r="B51" s="17" t="s">
        <v>2691</v>
      </c>
      <c r="C51" s="15" t="s">
        <v>591</v>
      </c>
      <c r="D51" s="15" t="s">
        <v>898</v>
      </c>
      <c r="E51" s="16" t="s">
        <v>478</v>
      </c>
      <c r="F51" s="16" t="s">
        <v>494</v>
      </c>
      <c r="G51" s="16"/>
    </row>
    <row r="52" spans="2:7" s="4" customFormat="1" ht="34" hidden="1" x14ac:dyDescent="0.2">
      <c r="B52" s="17" t="s">
        <v>2692</v>
      </c>
      <c r="C52" s="15" t="s">
        <v>645</v>
      </c>
      <c r="D52" s="15" t="s">
        <v>899</v>
      </c>
      <c r="E52" s="16" t="s">
        <v>478</v>
      </c>
      <c r="F52" s="16" t="s">
        <v>560</v>
      </c>
      <c r="G52" s="16"/>
    </row>
    <row r="53" spans="2:7" s="4" customFormat="1" ht="34" hidden="1" x14ac:dyDescent="0.2">
      <c r="B53" s="17" t="s">
        <v>2693</v>
      </c>
      <c r="C53" s="15" t="s">
        <v>1315</v>
      </c>
      <c r="D53" s="15" t="s">
        <v>1326</v>
      </c>
      <c r="E53" s="16" t="s">
        <v>478</v>
      </c>
      <c r="F53" s="16" t="s">
        <v>475</v>
      </c>
      <c r="G53" s="16" t="s">
        <v>1300</v>
      </c>
    </row>
    <row r="54" spans="2:7" s="4" customFormat="1" ht="34" hidden="1" x14ac:dyDescent="0.2">
      <c r="B54" s="17" t="s">
        <v>2694</v>
      </c>
      <c r="C54" s="15" t="s">
        <v>525</v>
      </c>
      <c r="D54" s="15" t="s">
        <v>916</v>
      </c>
      <c r="E54" s="16" t="s">
        <v>478</v>
      </c>
      <c r="F54" s="16" t="s">
        <v>482</v>
      </c>
      <c r="G54" s="16"/>
    </row>
    <row r="55" spans="2:7" s="4" customFormat="1" ht="34" hidden="1" x14ac:dyDescent="0.2">
      <c r="B55" s="17" t="s">
        <v>2695</v>
      </c>
      <c r="C55" s="15" t="s">
        <v>485</v>
      </c>
      <c r="D55" s="15" t="s">
        <v>917</v>
      </c>
      <c r="E55" s="16" t="s">
        <v>478</v>
      </c>
      <c r="F55" s="16" t="s">
        <v>482</v>
      </c>
      <c r="G55" s="16"/>
    </row>
    <row r="56" spans="2:7" s="4" customFormat="1" ht="34" hidden="1" x14ac:dyDescent="0.2">
      <c r="B56" s="17" t="s">
        <v>2696</v>
      </c>
      <c r="C56" s="15" t="s">
        <v>626</v>
      </c>
      <c r="D56" s="15" t="s">
        <v>918</v>
      </c>
      <c r="E56" s="16" t="s">
        <v>478</v>
      </c>
      <c r="F56" s="16" t="s">
        <v>482</v>
      </c>
      <c r="G56" s="16"/>
    </row>
    <row r="57" spans="2:7" s="4" customFormat="1" ht="34" hidden="1" x14ac:dyDescent="0.2">
      <c r="B57" s="17" t="s">
        <v>2697</v>
      </c>
      <c r="C57" s="15" t="s">
        <v>685</v>
      </c>
      <c r="D57" s="15" t="s">
        <v>1319</v>
      </c>
      <c r="E57" s="16" t="s">
        <v>478</v>
      </c>
      <c r="F57" s="16" t="s">
        <v>475</v>
      </c>
      <c r="G57" s="16"/>
    </row>
    <row r="58" spans="2:7" s="4" customFormat="1" ht="17" hidden="1" x14ac:dyDescent="0.2">
      <c r="B58" s="17" t="s">
        <v>2698</v>
      </c>
      <c r="C58" s="15" t="s">
        <v>568</v>
      </c>
      <c r="D58" s="15" t="s">
        <v>919</v>
      </c>
      <c r="E58" s="16" t="s">
        <v>478</v>
      </c>
      <c r="F58" s="16" t="s">
        <v>541</v>
      </c>
      <c r="G58" s="16"/>
    </row>
    <row r="59" spans="2:7" s="4" customFormat="1" ht="17" hidden="1" x14ac:dyDescent="0.2">
      <c r="B59" s="17" t="s">
        <v>2699</v>
      </c>
      <c r="C59" s="15" t="s">
        <v>447</v>
      </c>
      <c r="D59" s="15" t="s">
        <v>864</v>
      </c>
      <c r="E59" s="16" t="s">
        <v>478</v>
      </c>
      <c r="F59" s="16" t="s">
        <v>446</v>
      </c>
      <c r="G59" s="16"/>
    </row>
    <row r="60" spans="2:7" s="4" customFormat="1" ht="34" hidden="1" x14ac:dyDescent="0.2">
      <c r="B60" s="17" t="s">
        <v>2700</v>
      </c>
      <c r="C60" s="15" t="s">
        <v>1311</v>
      </c>
      <c r="D60" s="53" t="s">
        <v>1318</v>
      </c>
      <c r="E60" s="16" t="s">
        <v>478</v>
      </c>
      <c r="F60" s="16" t="s">
        <v>702</v>
      </c>
      <c r="G60" s="16" t="s">
        <v>1300</v>
      </c>
    </row>
    <row r="61" spans="2:7" s="4" customFormat="1" ht="34" hidden="1" x14ac:dyDescent="0.2">
      <c r="B61" s="17" t="s">
        <v>2701</v>
      </c>
      <c r="C61" s="15" t="s">
        <v>637</v>
      </c>
      <c r="D61" s="15" t="s">
        <v>922</v>
      </c>
      <c r="E61" s="16" t="s">
        <v>478</v>
      </c>
      <c r="F61" s="16" t="s">
        <v>481</v>
      </c>
      <c r="G61" s="16"/>
    </row>
    <row r="62" spans="2:7" s="4" customFormat="1" ht="17" hidden="1" x14ac:dyDescent="0.2">
      <c r="B62" s="17" t="s">
        <v>2702</v>
      </c>
      <c r="C62" s="15" t="s">
        <v>627</v>
      </c>
      <c r="D62" s="15" t="s">
        <v>863</v>
      </c>
      <c r="E62" s="16" t="s">
        <v>479</v>
      </c>
      <c r="F62" s="16" t="s">
        <v>541</v>
      </c>
      <c r="G62" s="171"/>
    </row>
    <row r="63" spans="2:7" s="4" customFormat="1" ht="34" hidden="1" x14ac:dyDescent="0.2">
      <c r="B63" s="17" t="s">
        <v>2703</v>
      </c>
      <c r="C63" s="15" t="s">
        <v>669</v>
      </c>
      <c r="D63" s="15" t="s">
        <v>926</v>
      </c>
      <c r="E63" s="16" t="s">
        <v>479</v>
      </c>
      <c r="F63" s="16" t="s">
        <v>541</v>
      </c>
      <c r="G63" s="16"/>
    </row>
    <row r="64" spans="2:7" s="4" customFormat="1" ht="34" hidden="1" x14ac:dyDescent="0.2">
      <c r="B64" s="17" t="s">
        <v>2704</v>
      </c>
      <c r="C64" s="15" t="s">
        <v>484</v>
      </c>
      <c r="D64" s="15" t="s">
        <v>876</v>
      </c>
      <c r="E64" s="16" t="s">
        <v>478</v>
      </c>
      <c r="F64" s="16" t="s">
        <v>481</v>
      </c>
      <c r="G64" s="16"/>
    </row>
    <row r="65" spans="2:7" s="4" customFormat="1" ht="34" hidden="1" x14ac:dyDescent="0.2">
      <c r="B65" s="17" t="s">
        <v>2705</v>
      </c>
      <c r="C65" s="15" t="s">
        <v>1219</v>
      </c>
      <c r="D65" s="15" t="s">
        <v>1220</v>
      </c>
      <c r="E65" s="16" t="s">
        <v>479</v>
      </c>
      <c r="F65" s="16" t="s">
        <v>482</v>
      </c>
      <c r="G65" s="16"/>
    </row>
    <row r="66" spans="2:7" s="4" customFormat="1" ht="34" hidden="1" x14ac:dyDescent="0.2">
      <c r="B66" s="17" t="s">
        <v>2706</v>
      </c>
      <c r="C66" s="15" t="s">
        <v>724</v>
      </c>
      <c r="D66" s="15" t="s">
        <v>925</v>
      </c>
      <c r="E66" s="16" t="s">
        <v>478</v>
      </c>
      <c r="F66" s="16" t="s">
        <v>482</v>
      </c>
      <c r="G66" s="16"/>
    </row>
    <row r="67" spans="2:7" s="4" customFormat="1" ht="34" hidden="1" x14ac:dyDescent="0.2">
      <c r="B67" s="17" t="s">
        <v>2707</v>
      </c>
      <c r="C67" s="15" t="s">
        <v>649</v>
      </c>
      <c r="D67" s="15" t="s">
        <v>927</v>
      </c>
      <c r="E67" s="16" t="s">
        <v>478</v>
      </c>
      <c r="F67" s="16" t="s">
        <v>560</v>
      </c>
      <c r="G67" s="16"/>
    </row>
    <row r="68" spans="2:7" s="4" customFormat="1" ht="51" hidden="1" x14ac:dyDescent="0.2">
      <c r="B68" s="17" t="s">
        <v>2708</v>
      </c>
      <c r="C68" s="15" t="s">
        <v>682</v>
      </c>
      <c r="D68" s="15" t="s">
        <v>928</v>
      </c>
      <c r="E68" s="16" t="s">
        <v>478</v>
      </c>
      <c r="F68" s="16" t="s">
        <v>482</v>
      </c>
      <c r="G68" s="16"/>
    </row>
    <row r="69" spans="2:7" s="4" customFormat="1" ht="34" hidden="1" x14ac:dyDescent="0.2">
      <c r="B69" s="17" t="s">
        <v>2709</v>
      </c>
      <c r="C69" s="15" t="s">
        <v>723</v>
      </c>
      <c r="D69" s="15" t="s">
        <v>931</v>
      </c>
      <c r="E69" s="16" t="s">
        <v>478</v>
      </c>
      <c r="F69" s="16" t="s">
        <v>481</v>
      </c>
      <c r="G69" s="16"/>
    </row>
    <row r="70" spans="2:7" s="4" customFormat="1" ht="51" hidden="1" x14ac:dyDescent="0.2">
      <c r="B70" s="17" t="s">
        <v>2710</v>
      </c>
      <c r="C70" s="15" t="s">
        <v>600</v>
      </c>
      <c r="D70" s="15" t="s">
        <v>885</v>
      </c>
      <c r="E70" s="16" t="s">
        <v>478</v>
      </c>
      <c r="F70" s="16" t="s">
        <v>482</v>
      </c>
      <c r="G70" s="16"/>
    </row>
    <row r="71" spans="2:7" s="4" customFormat="1" ht="34" hidden="1" x14ac:dyDescent="0.2">
      <c r="B71" s="17" t="s">
        <v>2711</v>
      </c>
      <c r="C71" s="15" t="s">
        <v>673</v>
      </c>
      <c r="D71" s="15" t="s">
        <v>884</v>
      </c>
      <c r="E71" s="16" t="s">
        <v>478</v>
      </c>
      <c r="F71" s="16" t="s">
        <v>446</v>
      </c>
      <c r="G71" s="16"/>
    </row>
    <row r="72" spans="2:7" s="4" customFormat="1" ht="34" hidden="1" x14ac:dyDescent="0.2">
      <c r="B72" s="17" t="s">
        <v>2712</v>
      </c>
      <c r="C72" s="15" t="s">
        <v>563</v>
      </c>
      <c r="D72" s="15" t="s">
        <v>937</v>
      </c>
      <c r="E72" s="16" t="s">
        <v>478</v>
      </c>
      <c r="F72" s="16" t="s">
        <v>446</v>
      </c>
      <c r="G72" s="16"/>
    </row>
    <row r="73" spans="2:7" s="4" customFormat="1" ht="17" hidden="1" x14ac:dyDescent="0.2">
      <c r="B73" s="17" t="s">
        <v>2713</v>
      </c>
      <c r="C73" s="15" t="s">
        <v>684</v>
      </c>
      <c r="D73" s="15" t="s">
        <v>865</v>
      </c>
      <c r="E73" s="16" t="s">
        <v>478</v>
      </c>
      <c r="F73" s="16" t="s">
        <v>482</v>
      </c>
      <c r="G73" s="16"/>
    </row>
    <row r="74" spans="2:7" s="4" customFormat="1" ht="51" hidden="1" x14ac:dyDescent="0.2">
      <c r="B74" s="17" t="s">
        <v>2714</v>
      </c>
      <c r="C74" s="15" t="s">
        <v>496</v>
      </c>
      <c r="D74" s="15" t="s">
        <v>1323</v>
      </c>
      <c r="E74" s="16" t="s">
        <v>478</v>
      </c>
      <c r="F74" s="16" t="s">
        <v>481</v>
      </c>
      <c r="G74" s="16" t="s">
        <v>1300</v>
      </c>
    </row>
    <row r="75" spans="2:7" s="4" customFormat="1" ht="34" hidden="1" x14ac:dyDescent="0.2">
      <c r="B75" s="17" t="s">
        <v>2715</v>
      </c>
      <c r="C75" s="15" t="s">
        <v>587</v>
      </c>
      <c r="D75" s="15" t="s">
        <v>1191</v>
      </c>
      <c r="E75" s="16" t="s">
        <v>479</v>
      </c>
      <c r="F75" s="16" t="s">
        <v>481</v>
      </c>
      <c r="G75" s="16"/>
    </row>
    <row r="76" spans="2:7" s="4" customFormat="1" ht="51" hidden="1" x14ac:dyDescent="0.2">
      <c r="B76" s="17" t="s">
        <v>2716</v>
      </c>
      <c r="C76" s="15" t="s">
        <v>556</v>
      </c>
      <c r="D76" s="15" t="s">
        <v>938</v>
      </c>
      <c r="E76" s="16" t="s">
        <v>479</v>
      </c>
      <c r="F76" s="16" t="s">
        <v>481</v>
      </c>
      <c r="G76" s="16"/>
    </row>
    <row r="77" spans="2:7" s="4" customFormat="1" ht="17" hidden="1" x14ac:dyDescent="0.2">
      <c r="B77" s="17" t="s">
        <v>2717</v>
      </c>
      <c r="C77" s="15" t="s">
        <v>1612</v>
      </c>
      <c r="D77" s="39"/>
      <c r="E77" s="16" t="s">
        <v>478</v>
      </c>
      <c r="F77" s="26" t="s">
        <v>475</v>
      </c>
      <c r="G77" s="16"/>
    </row>
    <row r="78" spans="2:7" s="4" customFormat="1" ht="34" hidden="1" x14ac:dyDescent="0.2">
      <c r="B78" s="17" t="s">
        <v>2718</v>
      </c>
      <c r="C78" s="15" t="s">
        <v>555</v>
      </c>
      <c r="D78" s="15" t="s">
        <v>944</v>
      </c>
      <c r="E78" s="16" t="s">
        <v>479</v>
      </c>
      <c r="F78" s="16" t="s">
        <v>560</v>
      </c>
      <c r="G78" s="16"/>
    </row>
    <row r="79" spans="2:7" s="4" customFormat="1" ht="34" hidden="1" x14ac:dyDescent="0.2">
      <c r="B79" s="17" t="s">
        <v>2719</v>
      </c>
      <c r="C79" s="15" t="s">
        <v>1533</v>
      </c>
      <c r="D79" s="39"/>
      <c r="E79" s="16" t="s">
        <v>478</v>
      </c>
      <c r="F79" s="26" t="s">
        <v>475</v>
      </c>
      <c r="G79" s="16"/>
    </row>
    <row r="80" spans="2:7" s="4" customFormat="1" ht="51" hidden="1" x14ac:dyDescent="0.2">
      <c r="B80" s="17" t="s">
        <v>2720</v>
      </c>
      <c r="C80" s="15" t="s">
        <v>554</v>
      </c>
      <c r="D80" s="15" t="s">
        <v>948</v>
      </c>
      <c r="E80" s="16" t="s">
        <v>479</v>
      </c>
      <c r="F80" s="16" t="s">
        <v>482</v>
      </c>
      <c r="G80" s="16"/>
    </row>
    <row r="81" spans="2:7" s="4" customFormat="1" ht="34" hidden="1" x14ac:dyDescent="0.2">
      <c r="B81" s="17" t="s">
        <v>2721</v>
      </c>
      <c r="C81" s="15" t="s">
        <v>1316</v>
      </c>
      <c r="D81" s="15" t="s">
        <v>1317</v>
      </c>
      <c r="E81" s="16" t="s">
        <v>478</v>
      </c>
      <c r="F81" s="16" t="s">
        <v>481</v>
      </c>
      <c r="G81" s="16" t="s">
        <v>1300</v>
      </c>
    </row>
    <row r="82" spans="2:7" s="4" customFormat="1" ht="34" hidden="1" x14ac:dyDescent="0.2">
      <c r="B82" s="17" t="s">
        <v>2722</v>
      </c>
      <c r="C82" s="15" t="s">
        <v>532</v>
      </c>
      <c r="D82" s="15" t="s">
        <v>950</v>
      </c>
      <c r="E82" s="16" t="s">
        <v>478</v>
      </c>
      <c r="F82" s="16" t="s">
        <v>475</v>
      </c>
      <c r="G82" s="16"/>
    </row>
    <row r="83" spans="2:7" s="4" customFormat="1" ht="17" hidden="1" x14ac:dyDescent="0.2">
      <c r="B83" s="17" t="s">
        <v>2723</v>
      </c>
      <c r="C83" s="15" t="s">
        <v>1307</v>
      </c>
      <c r="D83" s="39" t="s">
        <v>1310</v>
      </c>
      <c r="E83" s="16" t="s">
        <v>478</v>
      </c>
      <c r="F83" s="16" t="s">
        <v>481</v>
      </c>
      <c r="G83" s="16" t="s">
        <v>1300</v>
      </c>
    </row>
    <row r="84" spans="2:7" s="4" customFormat="1" ht="34" hidden="1" x14ac:dyDescent="0.2">
      <c r="B84" s="17" t="s">
        <v>2724</v>
      </c>
      <c r="C84" s="15" t="s">
        <v>631</v>
      </c>
      <c r="D84" s="15" t="s">
        <v>868</v>
      </c>
      <c r="E84" s="16" t="s">
        <v>479</v>
      </c>
      <c r="F84" s="16" t="s">
        <v>481</v>
      </c>
      <c r="G84" s="16"/>
    </row>
    <row r="85" spans="2:7" s="4" customFormat="1" ht="34" hidden="1" x14ac:dyDescent="0.2">
      <c r="B85" s="17" t="s">
        <v>2725</v>
      </c>
      <c r="C85" s="15" t="s">
        <v>705</v>
      </c>
      <c r="D85" s="15" t="s">
        <v>871</v>
      </c>
      <c r="E85" s="16" t="s">
        <v>479</v>
      </c>
      <c r="F85" s="16" t="s">
        <v>481</v>
      </c>
      <c r="G85" s="16"/>
    </row>
    <row r="86" spans="2:7" s="4" customFormat="1" ht="34" hidden="1" x14ac:dyDescent="0.2">
      <c r="B86" s="17" t="s">
        <v>2726</v>
      </c>
      <c r="C86" s="15" t="s">
        <v>634</v>
      </c>
      <c r="D86" s="15" t="s">
        <v>872</v>
      </c>
      <c r="E86" s="16" t="s">
        <v>478</v>
      </c>
      <c r="F86" s="16" t="s">
        <v>560</v>
      </c>
      <c r="G86" s="16"/>
    </row>
    <row r="87" spans="2:7" s="4" customFormat="1" ht="34" hidden="1" x14ac:dyDescent="0.2">
      <c r="B87" s="17" t="s">
        <v>8</v>
      </c>
      <c r="C87" s="15" t="s">
        <v>638</v>
      </c>
      <c r="D87" s="15" t="s">
        <v>815</v>
      </c>
      <c r="E87" s="16" t="s">
        <v>479</v>
      </c>
      <c r="F87" s="16" t="s">
        <v>481</v>
      </c>
      <c r="G87" s="16"/>
    </row>
    <row r="88" spans="2:7" s="4" customFormat="1" ht="34" hidden="1" x14ac:dyDescent="0.2">
      <c r="B88" s="17" t="s">
        <v>34</v>
      </c>
      <c r="C88" s="15" t="s">
        <v>687</v>
      </c>
      <c r="D88" s="15" t="s">
        <v>816</v>
      </c>
      <c r="E88" s="16" t="s">
        <v>479</v>
      </c>
      <c r="F88" s="16" t="s">
        <v>560</v>
      </c>
      <c r="G88" s="16"/>
    </row>
    <row r="89" spans="2:7" s="4" customFormat="1" ht="17" hidden="1" x14ac:dyDescent="0.2">
      <c r="B89" s="17" t="s">
        <v>35</v>
      </c>
      <c r="C89" s="15" t="s">
        <v>719</v>
      </c>
      <c r="D89" s="15" t="s">
        <v>817</v>
      </c>
      <c r="E89" s="16" t="s">
        <v>479</v>
      </c>
      <c r="F89" s="16" t="s">
        <v>481</v>
      </c>
      <c r="G89" s="16"/>
    </row>
    <row r="90" spans="2:7" s="4" customFormat="1" ht="34" hidden="1" x14ac:dyDescent="0.2">
      <c r="B90" s="17" t="s">
        <v>499</v>
      </c>
      <c r="C90" s="15" t="s">
        <v>672</v>
      </c>
      <c r="D90" s="15" t="s">
        <v>827</v>
      </c>
      <c r="E90" s="16" t="s">
        <v>479</v>
      </c>
      <c r="F90" s="16" t="s">
        <v>462</v>
      </c>
      <c r="G90" s="16"/>
    </row>
    <row r="91" spans="2:7" s="4" customFormat="1" ht="34" hidden="1" x14ac:dyDescent="0.2">
      <c r="B91" s="17" t="s">
        <v>500</v>
      </c>
      <c r="C91" s="15" t="s">
        <v>1625</v>
      </c>
      <c r="D91" s="39"/>
      <c r="E91" s="16" t="s">
        <v>479</v>
      </c>
      <c r="F91" s="26" t="s">
        <v>1004</v>
      </c>
      <c r="G91" s="16"/>
    </row>
    <row r="92" spans="2:7" s="4" customFormat="1" ht="51" hidden="1" x14ac:dyDescent="0.2">
      <c r="B92" s="17" t="s">
        <v>501</v>
      </c>
      <c r="C92" s="15" t="s">
        <v>647</v>
      </c>
      <c r="D92" s="15" t="s">
        <v>1435</v>
      </c>
      <c r="E92" s="16" t="s">
        <v>479</v>
      </c>
      <c r="F92" s="16" t="s">
        <v>1004</v>
      </c>
      <c r="G92" s="16"/>
    </row>
    <row r="93" spans="2:7" s="4" customFormat="1" ht="34" hidden="1" x14ac:dyDescent="0.2">
      <c r="B93" s="17" t="s">
        <v>502</v>
      </c>
      <c r="C93" s="15" t="s">
        <v>711</v>
      </c>
      <c r="D93" s="15" t="s">
        <v>1274</v>
      </c>
      <c r="E93" s="16" t="s">
        <v>479</v>
      </c>
      <c r="F93" s="16" t="s">
        <v>473</v>
      </c>
      <c r="G93" s="16"/>
    </row>
    <row r="94" spans="2:7" s="4" customFormat="1" ht="34" hidden="1" x14ac:dyDescent="0.2">
      <c r="B94" s="17" t="s">
        <v>503</v>
      </c>
      <c r="C94" s="15" t="s">
        <v>622</v>
      </c>
      <c r="D94" s="15" t="s">
        <v>848</v>
      </c>
      <c r="E94" s="16" t="s">
        <v>479</v>
      </c>
      <c r="F94" s="16" t="s">
        <v>473</v>
      </c>
      <c r="G94" s="16"/>
    </row>
    <row r="95" spans="2:7" s="4" customFormat="1" ht="34" hidden="1" x14ac:dyDescent="0.2">
      <c r="B95" s="17" t="s">
        <v>504</v>
      </c>
      <c r="C95" s="15" t="s">
        <v>706</v>
      </c>
      <c r="D95" s="15" t="s">
        <v>882</v>
      </c>
      <c r="E95" s="16" t="s">
        <v>479</v>
      </c>
      <c r="F95" s="16" t="s">
        <v>1004</v>
      </c>
      <c r="G95" s="16"/>
    </row>
    <row r="96" spans="2:7" s="4" customFormat="1" ht="17" hidden="1" x14ac:dyDescent="0.2">
      <c r="B96" s="17" t="s">
        <v>505</v>
      </c>
      <c r="C96" s="15" t="s">
        <v>493</v>
      </c>
      <c r="D96" s="15" t="s">
        <v>881</v>
      </c>
      <c r="E96" s="16" t="s">
        <v>479</v>
      </c>
      <c r="F96" s="16" t="s">
        <v>494</v>
      </c>
      <c r="G96" s="16"/>
    </row>
    <row r="97" spans="2:7" s="4" customFormat="1" ht="34" hidden="1" x14ac:dyDescent="0.2">
      <c r="B97" s="17" t="s">
        <v>506</v>
      </c>
      <c r="C97" s="15" t="s">
        <v>670</v>
      </c>
      <c r="D97" s="15" t="s">
        <v>883</v>
      </c>
      <c r="E97" s="16" t="s">
        <v>479</v>
      </c>
      <c r="F97" s="16" t="s">
        <v>1004</v>
      </c>
      <c r="G97" s="16"/>
    </row>
    <row r="98" spans="2:7" s="4" customFormat="1" ht="34" x14ac:dyDescent="0.2">
      <c r="B98" s="17" t="s">
        <v>507</v>
      </c>
      <c r="C98" s="15" t="s">
        <v>1584</v>
      </c>
      <c r="D98" s="15" t="s">
        <v>849</v>
      </c>
      <c r="E98" s="16" t="s">
        <v>479</v>
      </c>
      <c r="F98" s="16" t="s">
        <v>1004</v>
      </c>
      <c r="G98" s="16"/>
    </row>
    <row r="99" spans="2:7" s="4" customFormat="1" ht="34" hidden="1" x14ac:dyDescent="0.2">
      <c r="B99" s="17" t="s">
        <v>508</v>
      </c>
      <c r="C99" s="15" t="s">
        <v>562</v>
      </c>
      <c r="D99" s="39" t="s">
        <v>1291</v>
      </c>
      <c r="E99" s="16" t="s">
        <v>479</v>
      </c>
      <c r="F99" s="16" t="s">
        <v>1004</v>
      </c>
      <c r="G99" s="16"/>
    </row>
    <row r="100" spans="2:7" s="4" customFormat="1" ht="34" hidden="1" x14ac:dyDescent="0.2">
      <c r="B100" s="17" t="s">
        <v>509</v>
      </c>
      <c r="C100" s="15" t="s">
        <v>623</v>
      </c>
      <c r="D100" s="15" t="s">
        <v>875</v>
      </c>
      <c r="E100" s="16" t="s">
        <v>479</v>
      </c>
      <c r="F100" s="16" t="s">
        <v>697</v>
      </c>
      <c r="G100" s="16"/>
    </row>
    <row r="101" spans="2:7" s="4" customFormat="1" ht="34" hidden="1" x14ac:dyDescent="0.2">
      <c r="B101" s="17" t="s">
        <v>510</v>
      </c>
      <c r="C101" s="15" t="s">
        <v>1314</v>
      </c>
      <c r="D101" s="15" t="s">
        <v>1322</v>
      </c>
      <c r="E101" s="16" t="s">
        <v>479</v>
      </c>
      <c r="F101" s="16" t="s">
        <v>481</v>
      </c>
      <c r="G101" s="16" t="s">
        <v>1300</v>
      </c>
    </row>
    <row r="102" spans="2:7" s="4" customFormat="1" ht="51" hidden="1" x14ac:dyDescent="0.2">
      <c r="B102" s="17" t="s">
        <v>511</v>
      </c>
      <c r="C102" s="15" t="s">
        <v>476</v>
      </c>
      <c r="D102" s="15" t="s">
        <v>860</v>
      </c>
      <c r="E102" s="16" t="s">
        <v>479</v>
      </c>
      <c r="F102" s="16" t="s">
        <v>473</v>
      </c>
      <c r="G102" s="16"/>
    </row>
    <row r="103" spans="2:7" s="4" customFormat="1" ht="34" hidden="1" x14ac:dyDescent="0.2">
      <c r="B103" s="17" t="s">
        <v>512</v>
      </c>
      <c r="C103" s="15" t="s">
        <v>709</v>
      </c>
      <c r="D103" s="15" t="s">
        <v>809</v>
      </c>
      <c r="E103" s="16" t="s">
        <v>479</v>
      </c>
      <c r="F103" s="16" t="s">
        <v>697</v>
      </c>
      <c r="G103" s="16"/>
    </row>
    <row r="104" spans="2:7" s="4" customFormat="1" ht="34" hidden="1" x14ac:dyDescent="0.2">
      <c r="B104" s="17" t="s">
        <v>513</v>
      </c>
      <c r="C104" s="15" t="s">
        <v>642</v>
      </c>
      <c r="D104" s="15" t="s">
        <v>858</v>
      </c>
      <c r="E104" s="16" t="s">
        <v>479</v>
      </c>
      <c r="F104" s="16" t="s">
        <v>462</v>
      </c>
      <c r="G104" s="16"/>
    </row>
    <row r="105" spans="2:7" s="4" customFormat="1" ht="34" hidden="1" x14ac:dyDescent="0.2">
      <c r="B105" s="17" t="s">
        <v>514</v>
      </c>
      <c r="C105" s="15" t="s">
        <v>1239</v>
      </c>
      <c r="D105" s="15" t="s">
        <v>812</v>
      </c>
      <c r="E105" s="16" t="s">
        <v>479</v>
      </c>
      <c r="F105" s="16" t="s">
        <v>462</v>
      </c>
      <c r="G105" s="16"/>
    </row>
    <row r="106" spans="2:7" s="4" customFormat="1" ht="34" hidden="1" x14ac:dyDescent="0.2">
      <c r="B106" s="17" t="s">
        <v>515</v>
      </c>
      <c r="C106" s="15" t="s">
        <v>464</v>
      </c>
      <c r="D106" s="15" t="s">
        <v>888</v>
      </c>
      <c r="E106" s="16" t="s">
        <v>479</v>
      </c>
      <c r="F106" s="16" t="s">
        <v>462</v>
      </c>
      <c r="G106" s="16"/>
    </row>
    <row r="107" spans="2:7" s="4" customFormat="1" ht="34" hidden="1" x14ac:dyDescent="0.2">
      <c r="B107" s="17" t="s">
        <v>516</v>
      </c>
      <c r="C107" s="15" t="s">
        <v>696</v>
      </c>
      <c r="D107" s="15" t="s">
        <v>811</v>
      </c>
      <c r="E107" s="16" t="s">
        <v>479</v>
      </c>
      <c r="F107" s="16" t="s">
        <v>697</v>
      </c>
      <c r="G107" s="16"/>
    </row>
    <row r="108" spans="2:7" s="4" customFormat="1" ht="34" hidden="1" x14ac:dyDescent="0.2">
      <c r="B108" s="17" t="s">
        <v>517</v>
      </c>
      <c r="C108" s="15" t="s">
        <v>681</v>
      </c>
      <c r="D108" s="15" t="s">
        <v>891</v>
      </c>
      <c r="E108" s="16" t="s">
        <v>479</v>
      </c>
      <c r="F108" s="16" t="s">
        <v>475</v>
      </c>
      <c r="G108" s="16"/>
    </row>
    <row r="109" spans="2:7" s="4" customFormat="1" ht="34" hidden="1" x14ac:dyDescent="0.2">
      <c r="B109" s="17" t="s">
        <v>518</v>
      </c>
      <c r="C109" s="15" t="s">
        <v>707</v>
      </c>
      <c r="D109" s="15" t="s">
        <v>886</v>
      </c>
      <c r="E109" s="16" t="s">
        <v>479</v>
      </c>
      <c r="F109" s="16" t="s">
        <v>473</v>
      </c>
      <c r="G109" s="16"/>
    </row>
    <row r="110" spans="2:7" s="4" customFormat="1" ht="34" hidden="1" x14ac:dyDescent="0.2">
      <c r="B110" s="17" t="s">
        <v>519</v>
      </c>
      <c r="C110" s="15" t="s">
        <v>690</v>
      </c>
      <c r="D110" s="15" t="s">
        <v>887</v>
      </c>
      <c r="E110" s="16" t="s">
        <v>479</v>
      </c>
      <c r="F110" s="16" t="s">
        <v>473</v>
      </c>
      <c r="G110" s="16"/>
    </row>
    <row r="111" spans="2:7" s="4" customFormat="1" ht="17" hidden="1" x14ac:dyDescent="0.2">
      <c r="B111" s="17" t="s">
        <v>520</v>
      </c>
      <c r="C111" s="15" t="s">
        <v>1531</v>
      </c>
      <c r="D111" s="39"/>
      <c r="E111" s="16" t="s">
        <v>479</v>
      </c>
      <c r="F111" s="16" t="s">
        <v>475</v>
      </c>
      <c r="G111" s="16"/>
    </row>
    <row r="112" spans="2:7" s="4" customFormat="1" ht="34" hidden="1" x14ac:dyDescent="0.2">
      <c r="B112" s="17" t="s">
        <v>521</v>
      </c>
      <c r="C112" s="15" t="s">
        <v>597</v>
      </c>
      <c r="D112" s="15" t="s">
        <v>894</v>
      </c>
      <c r="E112" s="16" t="s">
        <v>479</v>
      </c>
      <c r="F112" s="16" t="s">
        <v>475</v>
      </c>
      <c r="G112" s="16"/>
    </row>
    <row r="113" spans="2:7" s="4" customFormat="1" ht="34" hidden="1" x14ac:dyDescent="0.2">
      <c r="B113" s="17" t="s">
        <v>534</v>
      </c>
      <c r="C113" s="15" t="s">
        <v>1312</v>
      </c>
      <c r="D113" s="53" t="s">
        <v>1325</v>
      </c>
      <c r="E113" s="16" t="s">
        <v>479</v>
      </c>
      <c r="F113" s="16" t="s">
        <v>481</v>
      </c>
      <c r="G113" s="16" t="s">
        <v>1300</v>
      </c>
    </row>
    <row r="114" spans="2:7" s="4" customFormat="1" ht="51" hidden="1" x14ac:dyDescent="0.2">
      <c r="B114" s="17" t="s">
        <v>538</v>
      </c>
      <c r="C114" s="15" t="s">
        <v>674</v>
      </c>
      <c r="D114" s="15" t="s">
        <v>895</v>
      </c>
      <c r="E114" s="16" t="s">
        <v>479</v>
      </c>
      <c r="F114" s="16" t="s">
        <v>697</v>
      </c>
      <c r="G114" s="16"/>
    </row>
    <row r="115" spans="2:7" s="4" customFormat="1" ht="51" hidden="1" x14ac:dyDescent="0.2">
      <c r="B115" s="17" t="s">
        <v>542</v>
      </c>
      <c r="C115" s="15" t="s">
        <v>598</v>
      </c>
      <c r="D115" s="15" t="s">
        <v>896</v>
      </c>
      <c r="E115" s="16" t="s">
        <v>479</v>
      </c>
      <c r="F115" s="16" t="s">
        <v>475</v>
      </c>
      <c r="G115" s="16"/>
    </row>
    <row r="116" spans="2:7" s="4" customFormat="1" ht="34" hidden="1" x14ac:dyDescent="0.2">
      <c r="B116" s="17" t="s">
        <v>543</v>
      </c>
      <c r="C116" s="15" t="s">
        <v>540</v>
      </c>
      <c r="D116" s="15" t="s">
        <v>900</v>
      </c>
      <c r="E116" s="16" t="s">
        <v>479</v>
      </c>
      <c r="F116" s="16" t="s">
        <v>473</v>
      </c>
      <c r="G116" s="16"/>
    </row>
    <row r="117" spans="2:7" s="4" customFormat="1" ht="34" hidden="1" x14ac:dyDescent="0.2">
      <c r="B117" s="17" t="s">
        <v>544</v>
      </c>
      <c r="C117" s="15" t="s">
        <v>537</v>
      </c>
      <c r="D117" s="15" t="s">
        <v>901</v>
      </c>
      <c r="E117" s="16" t="s">
        <v>479</v>
      </c>
      <c r="F117" s="16" t="s">
        <v>475</v>
      </c>
      <c r="G117" s="16"/>
    </row>
    <row r="118" spans="2:7" s="4" customFormat="1" ht="17" hidden="1" x14ac:dyDescent="0.2">
      <c r="B118" s="17" t="s">
        <v>548</v>
      </c>
      <c r="C118" s="15" t="s">
        <v>1611</v>
      </c>
      <c r="D118" s="39"/>
      <c r="E118" s="16" t="s">
        <v>479</v>
      </c>
      <c r="F118" s="26" t="s">
        <v>475</v>
      </c>
      <c r="G118" s="16"/>
    </row>
    <row r="119" spans="2:7" s="4" customFormat="1" ht="34" hidden="1" x14ac:dyDescent="0.2">
      <c r="B119" s="17" t="s">
        <v>549</v>
      </c>
      <c r="C119" s="15" t="s">
        <v>602</v>
      </c>
      <c r="D119" s="15" t="s">
        <v>902</v>
      </c>
      <c r="E119" s="16" t="s">
        <v>479</v>
      </c>
      <c r="F119" s="16" t="s">
        <v>482</v>
      </c>
      <c r="G119" s="16"/>
    </row>
    <row r="120" spans="2:7" s="4" customFormat="1" ht="34" hidden="1" x14ac:dyDescent="0.2">
      <c r="B120" s="17" t="s">
        <v>550</v>
      </c>
      <c r="C120" s="15" t="s">
        <v>628</v>
      </c>
      <c r="D120" s="15" t="s">
        <v>905</v>
      </c>
      <c r="E120" s="16" t="s">
        <v>479</v>
      </c>
      <c r="F120" s="16" t="s">
        <v>560</v>
      </c>
      <c r="G120" s="16"/>
    </row>
    <row r="121" spans="2:7" s="4" customFormat="1" ht="34" hidden="1" x14ac:dyDescent="0.2">
      <c r="B121" s="17" t="s">
        <v>551</v>
      </c>
      <c r="C121" s="15" t="s">
        <v>629</v>
      </c>
      <c r="D121" s="15" t="s">
        <v>904</v>
      </c>
      <c r="E121" s="16" t="s">
        <v>479</v>
      </c>
      <c r="F121" s="16" t="s">
        <v>473</v>
      </c>
      <c r="G121" s="16"/>
    </row>
    <row r="122" spans="2:7" s="4" customFormat="1" ht="34" hidden="1" x14ac:dyDescent="0.2">
      <c r="B122" s="17" t="s">
        <v>557</v>
      </c>
      <c r="C122" s="15" t="s">
        <v>667</v>
      </c>
      <c r="D122" s="15" t="s">
        <v>903</v>
      </c>
      <c r="E122" s="16" t="s">
        <v>479</v>
      </c>
      <c r="F122" s="16" t="s">
        <v>697</v>
      </c>
      <c r="G122" s="16"/>
    </row>
    <row r="123" spans="2:7" s="4" customFormat="1" ht="17" hidden="1" x14ac:dyDescent="0.2">
      <c r="B123" s="17" t="s">
        <v>558</v>
      </c>
      <c r="C123" s="15" t="s">
        <v>1313</v>
      </c>
      <c r="D123" s="15" t="s">
        <v>1321</v>
      </c>
      <c r="E123" s="16" t="s">
        <v>479</v>
      </c>
      <c r="F123" s="16" t="s">
        <v>475</v>
      </c>
      <c r="G123" s="16" t="s">
        <v>1300</v>
      </c>
    </row>
    <row r="124" spans="2:7" s="4" customFormat="1" ht="51" hidden="1" x14ac:dyDescent="0.2">
      <c r="B124" s="17" t="s">
        <v>559</v>
      </c>
      <c r="C124" s="15" t="s">
        <v>577</v>
      </c>
      <c r="D124" s="15" t="s">
        <v>906</v>
      </c>
      <c r="E124" s="16" t="s">
        <v>479</v>
      </c>
      <c r="F124" s="16" t="s">
        <v>462</v>
      </c>
      <c r="G124" s="16"/>
    </row>
    <row r="125" spans="2:7" s="4" customFormat="1" ht="34" hidden="1" x14ac:dyDescent="0.2">
      <c r="B125" s="17" t="s">
        <v>561</v>
      </c>
      <c r="C125" s="15" t="s">
        <v>728</v>
      </c>
      <c r="D125" s="15" t="s">
        <v>907</v>
      </c>
      <c r="E125" s="16" t="s">
        <v>479</v>
      </c>
      <c r="F125" s="16" t="s">
        <v>1004</v>
      </c>
      <c r="G125" s="16"/>
    </row>
    <row r="126" spans="2:7" s="4" customFormat="1" ht="34" hidden="1" x14ac:dyDescent="0.2">
      <c r="B126" s="17" t="s">
        <v>565</v>
      </c>
      <c r="C126" s="15" t="s">
        <v>725</v>
      </c>
      <c r="D126" s="15" t="s">
        <v>908</v>
      </c>
      <c r="E126" s="16" t="s">
        <v>479</v>
      </c>
      <c r="F126" s="16" t="s">
        <v>475</v>
      </c>
      <c r="G126" s="16"/>
    </row>
    <row r="127" spans="2:7" s="4" customFormat="1" ht="34" hidden="1" x14ac:dyDescent="0.2">
      <c r="B127" s="17" t="s">
        <v>566</v>
      </c>
      <c r="C127" s="15" t="s">
        <v>492</v>
      </c>
      <c r="D127" s="15" t="s">
        <v>1305</v>
      </c>
      <c r="E127" s="16" t="s">
        <v>479</v>
      </c>
      <c r="F127" s="16" t="s">
        <v>475</v>
      </c>
      <c r="G127" s="16" t="s">
        <v>1300</v>
      </c>
    </row>
    <row r="128" spans="2:7" s="4" customFormat="1" ht="34" hidden="1" x14ac:dyDescent="0.2">
      <c r="B128" s="17" t="s">
        <v>570</v>
      </c>
      <c r="C128" s="15" t="s">
        <v>708</v>
      </c>
      <c r="D128" s="15" t="s">
        <v>810</v>
      </c>
      <c r="E128" s="16" t="s">
        <v>479</v>
      </c>
      <c r="F128" s="16" t="s">
        <v>697</v>
      </c>
      <c r="G128" s="16"/>
    </row>
    <row r="129" spans="1:7" s="4" customFormat="1" ht="34" hidden="1" x14ac:dyDescent="0.2">
      <c r="B129" s="17" t="s">
        <v>571</v>
      </c>
      <c r="C129" s="15" t="s">
        <v>679</v>
      </c>
      <c r="D129" s="15" t="s">
        <v>909</v>
      </c>
      <c r="E129" s="16" t="s">
        <v>479</v>
      </c>
      <c r="F129" s="16" t="s">
        <v>1004</v>
      </c>
      <c r="G129" s="16"/>
    </row>
    <row r="130" spans="1:7" s="4" customFormat="1" ht="34" hidden="1" x14ac:dyDescent="0.2">
      <c r="B130" s="17" t="s">
        <v>574</v>
      </c>
      <c r="C130" s="15" t="s">
        <v>698</v>
      </c>
      <c r="D130" s="15" t="s">
        <v>910</v>
      </c>
      <c r="E130" s="16" t="s">
        <v>479</v>
      </c>
      <c r="F130" s="16" t="s">
        <v>697</v>
      </c>
      <c r="G130" s="16"/>
    </row>
    <row r="131" spans="1:7" s="4" customFormat="1" ht="34" hidden="1" x14ac:dyDescent="0.2">
      <c r="B131" s="17" t="s">
        <v>575</v>
      </c>
      <c r="C131" s="15" t="s">
        <v>704</v>
      </c>
      <c r="D131" s="15" t="s">
        <v>897</v>
      </c>
      <c r="E131" s="16" t="s">
        <v>479</v>
      </c>
      <c r="F131" s="16" t="s">
        <v>481</v>
      </c>
      <c r="G131" s="16"/>
    </row>
    <row r="132" spans="1:7" s="4" customFormat="1" ht="34" hidden="1" x14ac:dyDescent="0.2">
      <c r="B132" s="17" t="s">
        <v>576</v>
      </c>
      <c r="C132" s="15" t="s">
        <v>569</v>
      </c>
      <c r="D132" s="15" t="s">
        <v>1287</v>
      </c>
      <c r="E132" s="16" t="s">
        <v>479</v>
      </c>
      <c r="F132" s="16" t="s">
        <v>560</v>
      </c>
      <c r="G132" s="16"/>
    </row>
    <row r="133" spans="1:7" s="4" customFormat="1" ht="34" hidden="1" x14ac:dyDescent="0.2">
      <c r="B133" s="17" t="s">
        <v>578</v>
      </c>
      <c r="C133" s="15" t="s">
        <v>692</v>
      </c>
      <c r="D133" s="15" t="s">
        <v>911</v>
      </c>
      <c r="E133" s="16" t="s">
        <v>479</v>
      </c>
      <c r="F133" s="16" t="s">
        <v>702</v>
      </c>
      <c r="G133" s="16"/>
    </row>
    <row r="134" spans="1:7" s="4" customFormat="1" ht="34" hidden="1" x14ac:dyDescent="0.2">
      <c r="B134" s="17" t="s">
        <v>579</v>
      </c>
      <c r="C134" s="15" t="s">
        <v>624</v>
      </c>
      <c r="D134" s="15" t="s">
        <v>912</v>
      </c>
      <c r="E134" s="16" t="s">
        <v>479</v>
      </c>
      <c r="F134" s="16" t="s">
        <v>473</v>
      </c>
      <c r="G134" s="16"/>
    </row>
    <row r="135" spans="1:7" s="4" customFormat="1" ht="34" hidden="1" x14ac:dyDescent="0.2">
      <c r="B135" s="17" t="s">
        <v>580</v>
      </c>
      <c r="C135" s="15" t="s">
        <v>641</v>
      </c>
      <c r="D135" s="15" t="s">
        <v>913</v>
      </c>
      <c r="E135" s="16" t="s">
        <v>479</v>
      </c>
      <c r="F135" s="16" t="s">
        <v>702</v>
      </c>
      <c r="G135" s="16"/>
    </row>
    <row r="136" spans="1:7" s="4" customFormat="1" ht="34" hidden="1" x14ac:dyDescent="0.2">
      <c r="B136" s="17" t="s">
        <v>581</v>
      </c>
      <c r="C136" s="15" t="s">
        <v>688</v>
      </c>
      <c r="D136" s="15" t="s">
        <v>914</v>
      </c>
      <c r="E136" s="16" t="s">
        <v>479</v>
      </c>
      <c r="F136" s="16" t="s">
        <v>475</v>
      </c>
      <c r="G136" s="16"/>
    </row>
    <row r="137" spans="1:7" s="4" customFormat="1" ht="34" hidden="1" x14ac:dyDescent="0.2">
      <c r="B137" s="17" t="s">
        <v>603</v>
      </c>
      <c r="C137" s="15" t="s">
        <v>699</v>
      </c>
      <c r="D137" s="15" t="s">
        <v>915</v>
      </c>
      <c r="E137" s="16" t="s">
        <v>479</v>
      </c>
      <c r="F137" s="16" t="s">
        <v>1004</v>
      </c>
      <c r="G137" s="16"/>
    </row>
    <row r="138" spans="1:7" s="4" customFormat="1" ht="34" hidden="1" x14ac:dyDescent="0.2">
      <c r="B138" s="17" t="s">
        <v>604</v>
      </c>
      <c r="C138" s="15" t="s">
        <v>726</v>
      </c>
      <c r="D138" s="15" t="s">
        <v>921</v>
      </c>
      <c r="E138" s="16" t="s">
        <v>479</v>
      </c>
      <c r="F138" s="16" t="s">
        <v>482</v>
      </c>
      <c r="G138" s="16"/>
    </row>
    <row r="139" spans="1:7" s="4" customFormat="1" ht="51" hidden="1" x14ac:dyDescent="0.2">
      <c r="B139" s="17" t="s">
        <v>605</v>
      </c>
      <c r="C139" s="15" t="s">
        <v>680</v>
      </c>
      <c r="D139" s="15" t="s">
        <v>923</v>
      </c>
      <c r="E139" s="16" t="s">
        <v>479</v>
      </c>
      <c r="F139" s="16" t="s">
        <v>462</v>
      </c>
      <c r="G139" s="16"/>
    </row>
    <row r="140" spans="1:7" s="4" customFormat="1" ht="34" hidden="1" x14ac:dyDescent="0.2">
      <c r="B140" s="17" t="s">
        <v>606</v>
      </c>
      <c r="C140" s="15" t="s">
        <v>592</v>
      </c>
      <c r="D140" s="15" t="s">
        <v>924</v>
      </c>
      <c r="E140" s="16" t="s">
        <v>479</v>
      </c>
      <c r="F140" s="16" t="s">
        <v>462</v>
      </c>
      <c r="G140" s="16"/>
    </row>
    <row r="141" spans="1:7" s="4" customFormat="1" ht="34" hidden="1" x14ac:dyDescent="0.2">
      <c r="B141" s="17" t="s">
        <v>607</v>
      </c>
      <c r="C141" s="15" t="s">
        <v>490</v>
      </c>
      <c r="D141" s="15" t="s">
        <v>877</v>
      </c>
      <c r="E141" s="16" t="s">
        <v>479</v>
      </c>
      <c r="F141" s="16" t="s">
        <v>494</v>
      </c>
      <c r="G141" s="16"/>
    </row>
    <row r="142" spans="1:7" s="4" customFormat="1" ht="34" hidden="1" x14ac:dyDescent="0.2">
      <c r="B142" s="17" t="s">
        <v>608</v>
      </c>
      <c r="C142" s="15" t="s">
        <v>1320</v>
      </c>
      <c r="D142" s="15" t="s">
        <v>920</v>
      </c>
      <c r="E142" s="16" t="s">
        <v>479</v>
      </c>
      <c r="F142" s="16" t="s">
        <v>475</v>
      </c>
      <c r="G142" s="16"/>
    </row>
    <row r="143" spans="1:7" s="4" customFormat="1" ht="34" hidden="1" x14ac:dyDescent="0.2">
      <c r="B143" s="17" t="s">
        <v>609</v>
      </c>
      <c r="C143" s="15" t="s">
        <v>621</v>
      </c>
      <c r="D143" s="15" t="s">
        <v>1404</v>
      </c>
      <c r="E143" s="16" t="s">
        <v>479</v>
      </c>
      <c r="F143" s="16" t="s">
        <v>560</v>
      </c>
      <c r="G143" s="16"/>
    </row>
    <row r="144" spans="1:7" s="4" customFormat="1" ht="34" hidden="1" x14ac:dyDescent="0.2">
      <c r="A144" s="4" t="s">
        <v>1061</v>
      </c>
      <c r="B144" s="17" t="s">
        <v>610</v>
      </c>
      <c r="C144" s="15" t="s">
        <v>573</v>
      </c>
      <c r="D144" s="15" t="s">
        <v>929</v>
      </c>
      <c r="E144" s="16" t="s">
        <v>479</v>
      </c>
      <c r="F144" s="16" t="s">
        <v>482</v>
      </c>
      <c r="G144" s="16"/>
    </row>
    <row r="145" spans="1:7" s="4" customFormat="1" ht="34" hidden="1" x14ac:dyDescent="0.2">
      <c r="B145" s="17" t="s">
        <v>611</v>
      </c>
      <c r="C145" s="15" t="s">
        <v>572</v>
      </c>
      <c r="D145" s="15" t="s">
        <v>930</v>
      </c>
      <c r="E145" s="16" t="s">
        <v>479</v>
      </c>
      <c r="F145" s="16" t="s">
        <v>475</v>
      </c>
      <c r="G145" s="16"/>
    </row>
    <row r="146" spans="1:7" s="4" customFormat="1" ht="34" hidden="1" x14ac:dyDescent="0.2">
      <c r="A146" s="4" t="s">
        <v>1062</v>
      </c>
      <c r="B146" s="17" t="s">
        <v>612</v>
      </c>
      <c r="C146" s="15" t="s">
        <v>686</v>
      </c>
      <c r="D146" s="15" t="s">
        <v>934</v>
      </c>
      <c r="E146" s="16" t="s">
        <v>479</v>
      </c>
      <c r="F146" s="16" t="s">
        <v>560</v>
      </c>
      <c r="G146" s="16"/>
    </row>
    <row r="147" spans="1:7" s="4" customFormat="1" ht="34" hidden="1" x14ac:dyDescent="0.2">
      <c r="B147" s="17" t="s">
        <v>613</v>
      </c>
      <c r="C147" s="15" t="s">
        <v>718</v>
      </c>
      <c r="D147" s="15" t="s">
        <v>935</v>
      </c>
      <c r="E147" s="16" t="s">
        <v>478</v>
      </c>
      <c r="F147" s="16" t="s">
        <v>482</v>
      </c>
      <c r="G147" s="16"/>
    </row>
    <row r="148" spans="1:7" s="4" customFormat="1" ht="34" hidden="1" x14ac:dyDescent="0.2">
      <c r="A148" s="4" t="s">
        <v>1063</v>
      </c>
      <c r="B148" s="17" t="s">
        <v>614</v>
      </c>
      <c r="C148" s="15" t="s">
        <v>480</v>
      </c>
      <c r="D148" s="15" t="s">
        <v>936</v>
      </c>
      <c r="E148" s="16" t="s">
        <v>479</v>
      </c>
      <c r="F148" s="16" t="s">
        <v>446</v>
      </c>
      <c r="G148" s="16"/>
    </row>
    <row r="149" spans="1:7" s="4" customFormat="1" ht="34" hidden="1" x14ac:dyDescent="0.2">
      <c r="A149" s="4" t="s">
        <v>1064</v>
      </c>
      <c r="B149" s="17" t="s">
        <v>615</v>
      </c>
      <c r="C149" s="15" t="s">
        <v>677</v>
      </c>
      <c r="D149" s="15" t="s">
        <v>939</v>
      </c>
      <c r="E149" s="16" t="s">
        <v>479</v>
      </c>
      <c r="F149" s="16" t="s">
        <v>560</v>
      </c>
      <c r="G149" s="16"/>
    </row>
    <row r="150" spans="1:7" s="4" customFormat="1" ht="51" hidden="1" x14ac:dyDescent="0.2">
      <c r="A150" s="4" t="s">
        <v>1065</v>
      </c>
      <c r="B150" s="17" t="s">
        <v>616</v>
      </c>
      <c r="C150" s="15" t="s">
        <v>564</v>
      </c>
      <c r="D150" s="15" t="s">
        <v>940</v>
      </c>
      <c r="E150" s="16" t="s">
        <v>479</v>
      </c>
      <c r="F150" s="16" t="s">
        <v>473</v>
      </c>
      <c r="G150" s="16"/>
    </row>
    <row r="151" spans="1:7" s="4" customFormat="1" ht="34" hidden="1" x14ac:dyDescent="0.2">
      <c r="B151" s="17" t="s">
        <v>617</v>
      </c>
      <c r="C151" s="15" t="s">
        <v>567</v>
      </c>
      <c r="D151" s="15" t="s">
        <v>941</v>
      </c>
      <c r="E151" s="16" t="s">
        <v>479</v>
      </c>
      <c r="F151" s="16" t="s">
        <v>482</v>
      </c>
      <c r="G151" s="16"/>
    </row>
    <row r="152" spans="1:7" s="4" customFormat="1" ht="34" hidden="1" x14ac:dyDescent="0.2">
      <c r="B152" s="17" t="s">
        <v>618</v>
      </c>
      <c r="C152" s="15" t="s">
        <v>721</v>
      </c>
      <c r="D152" s="15" t="s">
        <v>942</v>
      </c>
      <c r="E152" s="16" t="s">
        <v>479</v>
      </c>
      <c r="F152" s="16" t="s">
        <v>702</v>
      </c>
      <c r="G152" s="16"/>
    </row>
    <row r="153" spans="1:7" s="4" customFormat="1" ht="34" hidden="1" x14ac:dyDescent="0.2">
      <c r="B153" s="17" t="s">
        <v>619</v>
      </c>
      <c r="C153" s="15" t="s">
        <v>643</v>
      </c>
      <c r="D153" s="15" t="s">
        <v>943</v>
      </c>
      <c r="E153" s="16" t="s">
        <v>479</v>
      </c>
      <c r="F153" s="16" t="s">
        <v>1004</v>
      </c>
      <c r="G153" s="16"/>
    </row>
    <row r="154" spans="1:7" s="4" customFormat="1" ht="34" hidden="1" x14ac:dyDescent="0.2">
      <c r="B154" s="17" t="s">
        <v>650</v>
      </c>
      <c r="C154" s="15" t="s">
        <v>689</v>
      </c>
      <c r="D154" s="15" t="s">
        <v>945</v>
      </c>
      <c r="E154" s="16" t="s">
        <v>479</v>
      </c>
      <c r="F154" s="16" t="s">
        <v>473</v>
      </c>
      <c r="G154" s="16"/>
    </row>
    <row r="155" spans="1:7" s="4" customFormat="1" ht="51" hidden="1" x14ac:dyDescent="0.2">
      <c r="B155" s="17" t="s">
        <v>651</v>
      </c>
      <c r="C155" s="15" t="s">
        <v>635</v>
      </c>
      <c r="D155" s="15" t="s">
        <v>946</v>
      </c>
      <c r="E155" s="16" t="s">
        <v>479</v>
      </c>
      <c r="F155" s="16" t="s">
        <v>481</v>
      </c>
      <c r="G155" s="16"/>
    </row>
    <row r="156" spans="1:7" s="4" customFormat="1" ht="51" hidden="1" x14ac:dyDescent="0.2">
      <c r="B156" s="17" t="s">
        <v>652</v>
      </c>
      <c r="C156" s="15" t="s">
        <v>553</v>
      </c>
      <c r="D156" s="15" t="s">
        <v>947</v>
      </c>
      <c r="E156" s="16" t="s">
        <v>479</v>
      </c>
      <c r="F156" s="16" t="s">
        <v>482</v>
      </c>
      <c r="G156" s="16"/>
    </row>
    <row r="157" spans="1:7" s="4" customFormat="1" ht="34" hidden="1" x14ac:dyDescent="0.2">
      <c r="B157" s="17" t="s">
        <v>653</v>
      </c>
      <c r="C157" s="15" t="s">
        <v>620</v>
      </c>
      <c r="D157" s="15" t="s">
        <v>949</v>
      </c>
      <c r="E157" s="16" t="s">
        <v>479</v>
      </c>
      <c r="F157" s="16" t="s">
        <v>481</v>
      </c>
      <c r="G157" s="16"/>
    </row>
    <row r="158" spans="1:7" s="4" customFormat="1" ht="51" hidden="1" x14ac:dyDescent="0.2">
      <c r="B158" s="17" t="s">
        <v>654</v>
      </c>
      <c r="C158" s="15" t="s">
        <v>536</v>
      </c>
      <c r="D158" s="15" t="s">
        <v>878</v>
      </c>
      <c r="E158" s="16" t="s">
        <v>479</v>
      </c>
      <c r="F158" s="16" t="s">
        <v>473</v>
      </c>
      <c r="G158" s="16"/>
    </row>
    <row r="159" spans="1:7" s="4" customFormat="1" ht="34" hidden="1" x14ac:dyDescent="0.2">
      <c r="B159" s="17" t="s">
        <v>655</v>
      </c>
      <c r="C159" s="15" t="s">
        <v>463</v>
      </c>
      <c r="D159" s="15" t="s">
        <v>813</v>
      </c>
      <c r="E159" s="16" t="s">
        <v>479</v>
      </c>
      <c r="F159" s="16" t="s">
        <v>462</v>
      </c>
      <c r="G159" s="16"/>
    </row>
    <row r="160" spans="1:7" s="4" customFormat="1" ht="17" hidden="1" x14ac:dyDescent="0.2">
      <c r="B160" s="17" t="s">
        <v>656</v>
      </c>
      <c r="C160" s="15" t="s">
        <v>701</v>
      </c>
      <c r="D160" s="15" t="s">
        <v>866</v>
      </c>
      <c r="E160" s="16" t="s">
        <v>479</v>
      </c>
      <c r="F160" s="16" t="s">
        <v>462</v>
      </c>
      <c r="G160" s="16"/>
    </row>
    <row r="161" spans="2:7" s="4" customFormat="1" ht="34" hidden="1" x14ac:dyDescent="0.2">
      <c r="B161" s="17" t="s">
        <v>657</v>
      </c>
      <c r="C161" s="15" t="s">
        <v>703</v>
      </c>
      <c r="D161" s="15" t="s">
        <v>879</v>
      </c>
      <c r="E161" s="16" t="s">
        <v>479</v>
      </c>
      <c r="F161" s="16" t="s">
        <v>481</v>
      </c>
      <c r="G161" s="16"/>
    </row>
    <row r="162" spans="2:7" s="4" customFormat="1" ht="34" hidden="1" x14ac:dyDescent="0.2">
      <c r="B162" s="17" t="s">
        <v>658</v>
      </c>
      <c r="C162" s="15" t="s">
        <v>596</v>
      </c>
      <c r="D162" s="15" t="s">
        <v>862</v>
      </c>
      <c r="E162" s="16" t="s">
        <v>479</v>
      </c>
      <c r="F162" s="16" t="s">
        <v>475</v>
      </c>
      <c r="G162" s="16"/>
    </row>
    <row r="163" spans="2:7" s="4" customFormat="1" ht="34" hidden="1" x14ac:dyDescent="0.2">
      <c r="B163" s="17" t="s">
        <v>659</v>
      </c>
      <c r="C163" s="15" t="s">
        <v>727</v>
      </c>
      <c r="D163" s="15" t="s">
        <v>861</v>
      </c>
      <c r="E163" s="16" t="s">
        <v>479</v>
      </c>
      <c r="F163" s="16" t="s">
        <v>481</v>
      </c>
      <c r="G163" s="16"/>
    </row>
    <row r="164" spans="2:7" s="4" customFormat="1" ht="51" hidden="1" x14ac:dyDescent="0.2">
      <c r="B164" s="17" t="s">
        <v>660</v>
      </c>
      <c r="C164" s="15" t="s">
        <v>694</v>
      </c>
      <c r="D164" s="15" t="s">
        <v>880</v>
      </c>
      <c r="E164" s="16" t="s">
        <v>479</v>
      </c>
      <c r="F164" s="16" t="s">
        <v>475</v>
      </c>
      <c r="G164" s="16"/>
    </row>
    <row r="165" spans="2:7" s="4" customFormat="1" ht="34" hidden="1" x14ac:dyDescent="0.2">
      <c r="B165" s="17" t="s">
        <v>661</v>
      </c>
      <c r="C165" s="15" t="s">
        <v>586</v>
      </c>
      <c r="D165" s="15" t="s">
        <v>1331</v>
      </c>
      <c r="E165" s="16" t="s">
        <v>479</v>
      </c>
      <c r="F165" s="16" t="s">
        <v>481</v>
      </c>
      <c r="G165" s="16"/>
    </row>
    <row r="166" spans="2:7" s="4" customFormat="1" ht="51" hidden="1" x14ac:dyDescent="0.2">
      <c r="B166" s="17" t="s">
        <v>662</v>
      </c>
      <c r="C166" s="15" t="s">
        <v>720</v>
      </c>
      <c r="D166" s="15" t="s">
        <v>874</v>
      </c>
      <c r="E166" s="16" t="s">
        <v>479</v>
      </c>
      <c r="F166" s="16" t="s">
        <v>481</v>
      </c>
      <c r="G166" s="16"/>
    </row>
    <row r="167" spans="2:7" s="4" customFormat="1" ht="51" hidden="1" x14ac:dyDescent="0.2">
      <c r="B167" s="17" t="s">
        <v>663</v>
      </c>
      <c r="C167" s="15" t="s">
        <v>474</v>
      </c>
      <c r="D167" s="15" t="s">
        <v>867</v>
      </c>
      <c r="E167" s="16" t="s">
        <v>479</v>
      </c>
      <c r="F167" s="16" t="s">
        <v>481</v>
      </c>
      <c r="G167" s="16"/>
    </row>
    <row r="168" spans="2:7" s="4" customFormat="1" ht="34" hidden="1" x14ac:dyDescent="0.2">
      <c r="B168" s="17" t="s">
        <v>664</v>
      </c>
      <c r="C168" s="15" t="s">
        <v>599</v>
      </c>
      <c r="D168" s="15" t="s">
        <v>869</v>
      </c>
      <c r="E168" s="16" t="s">
        <v>479</v>
      </c>
      <c r="F168" s="16" t="s">
        <v>475</v>
      </c>
      <c r="G168" s="16"/>
    </row>
    <row r="169" spans="2:7" s="4" customFormat="1" ht="34" hidden="1" x14ac:dyDescent="0.2">
      <c r="B169" s="17" t="s">
        <v>665</v>
      </c>
      <c r="C169" s="15" t="s">
        <v>539</v>
      </c>
      <c r="D169" s="15" t="s">
        <v>870</v>
      </c>
      <c r="E169" s="16" t="s">
        <v>479</v>
      </c>
      <c r="F169" s="16" t="s">
        <v>482</v>
      </c>
      <c r="G169" s="16"/>
    </row>
    <row r="170" spans="2:7" s="4" customFormat="1" ht="34" hidden="1" x14ac:dyDescent="0.2">
      <c r="B170" s="17" t="s">
        <v>666</v>
      </c>
      <c r="C170" s="15" t="s">
        <v>717</v>
      </c>
      <c r="D170" s="15" t="s">
        <v>873</v>
      </c>
      <c r="E170" s="16" t="s">
        <v>479</v>
      </c>
      <c r="F170" s="16" t="s">
        <v>482</v>
      </c>
      <c r="G170" s="16"/>
    </row>
    <row r="171" spans="2:7" s="4" customFormat="1" x14ac:dyDescent="0.2">
      <c r="C171" s="5"/>
    </row>
    <row r="172" spans="2:7" s="4" customFormat="1" x14ac:dyDescent="0.2">
      <c r="C172" s="5"/>
    </row>
    <row r="173" spans="2:7" s="4" customFormat="1" x14ac:dyDescent="0.2">
      <c r="C173" s="5"/>
    </row>
    <row r="174" spans="2:7" s="4" customFormat="1" x14ac:dyDescent="0.2">
      <c r="C174" s="5"/>
    </row>
    <row r="175" spans="2:7" s="4" customFormat="1" x14ac:dyDescent="0.2">
      <c r="C175" s="5"/>
    </row>
    <row r="176" spans="2:7" s="4" customFormat="1" x14ac:dyDescent="0.2">
      <c r="C176" s="5"/>
    </row>
    <row r="177" spans="3:3" s="4" customFormat="1" x14ac:dyDescent="0.2">
      <c r="C177" s="5"/>
    </row>
    <row r="178" spans="3:3" s="4" customFormat="1" x14ac:dyDescent="0.2">
      <c r="C178" s="5"/>
    </row>
    <row r="179" spans="3:3" s="4" customFormat="1" x14ac:dyDescent="0.2">
      <c r="C179" s="5"/>
    </row>
    <row r="180" spans="3:3" s="4" customFormat="1" x14ac:dyDescent="0.2">
      <c r="C180" s="5"/>
    </row>
    <row r="181" spans="3:3" s="4" customFormat="1" x14ac:dyDescent="0.2">
      <c r="C181" s="5"/>
    </row>
    <row r="182" spans="3:3" s="4" customFormat="1" x14ac:dyDescent="0.2">
      <c r="C182" s="5"/>
    </row>
    <row r="183" spans="3:3" s="4" customFormat="1" x14ac:dyDescent="0.2">
      <c r="C183" s="5"/>
    </row>
    <row r="184" spans="3:3" s="4" customFormat="1" x14ac:dyDescent="0.2">
      <c r="C184" s="5"/>
    </row>
    <row r="185" spans="3:3" s="4" customFormat="1" x14ac:dyDescent="0.2">
      <c r="C185" s="5"/>
    </row>
    <row r="186" spans="3:3" s="4" customFormat="1" x14ac:dyDescent="0.2">
      <c r="C186" s="5"/>
    </row>
    <row r="187" spans="3:3" s="4" customFormat="1" x14ac:dyDescent="0.2">
      <c r="C187" s="5"/>
    </row>
    <row r="188" spans="3:3" s="4" customFormat="1" x14ac:dyDescent="0.2">
      <c r="C188" s="5"/>
    </row>
    <row r="189" spans="3:3" s="4" customFormat="1" x14ac:dyDescent="0.2">
      <c r="C189" s="5"/>
    </row>
    <row r="190" spans="3:3" s="4" customFormat="1" x14ac:dyDescent="0.2">
      <c r="C190" s="5"/>
    </row>
    <row r="191" spans="3:3" s="4" customFormat="1" x14ac:dyDescent="0.2">
      <c r="C191" s="5"/>
    </row>
    <row r="192" spans="3:3" s="4" customFormat="1" x14ac:dyDescent="0.2">
      <c r="C192" s="5"/>
    </row>
    <row r="193" spans="3:3" s="4" customFormat="1" x14ac:dyDescent="0.2">
      <c r="C193" s="5"/>
    </row>
    <row r="194" spans="3:3" s="4" customFormat="1" x14ac:dyDescent="0.2">
      <c r="C194" s="5"/>
    </row>
    <row r="195" spans="3:3" s="4" customFormat="1" x14ac:dyDescent="0.2">
      <c r="C195" s="5"/>
    </row>
    <row r="196" spans="3:3" s="4" customFormat="1" x14ac:dyDescent="0.2">
      <c r="C196" s="5"/>
    </row>
    <row r="197" spans="3:3" s="4" customFormat="1" x14ac:dyDescent="0.2">
      <c r="C197" s="5"/>
    </row>
    <row r="198" spans="3:3" s="4" customFormat="1" x14ac:dyDescent="0.2">
      <c r="C198" s="5"/>
    </row>
    <row r="199" spans="3:3" s="4" customFormat="1" x14ac:dyDescent="0.2">
      <c r="C199" s="5"/>
    </row>
    <row r="200" spans="3:3" s="4" customFormat="1" x14ac:dyDescent="0.2">
      <c r="C200" s="5"/>
    </row>
    <row r="201" spans="3:3" s="4" customFormat="1" x14ac:dyDescent="0.2">
      <c r="C201" s="5"/>
    </row>
    <row r="202" spans="3:3" s="4" customFormat="1" x14ac:dyDescent="0.2">
      <c r="C202" s="5"/>
    </row>
    <row r="203" spans="3:3" s="4" customFormat="1" x14ac:dyDescent="0.2">
      <c r="C203" s="5"/>
    </row>
    <row r="204" spans="3:3" s="4" customFormat="1" x14ac:dyDescent="0.2">
      <c r="C204" s="5"/>
    </row>
    <row r="205" spans="3:3" s="4" customFormat="1" x14ac:dyDescent="0.2">
      <c r="C205" s="5"/>
    </row>
    <row r="206" spans="3:3" s="4" customFormat="1" x14ac:dyDescent="0.2">
      <c r="C206" s="5"/>
    </row>
    <row r="207" spans="3:3" s="4" customFormat="1" x14ac:dyDescent="0.2">
      <c r="C207" s="5"/>
    </row>
    <row r="208" spans="3:3" s="4" customFormat="1" x14ac:dyDescent="0.2">
      <c r="C208" s="5"/>
    </row>
    <row r="209" spans="3:3" s="4" customFormat="1" x14ac:dyDescent="0.2">
      <c r="C209" s="5"/>
    </row>
    <row r="210" spans="3:3" s="4" customFormat="1" x14ac:dyDescent="0.2">
      <c r="C210" s="5"/>
    </row>
    <row r="211" spans="3:3" s="4" customFormat="1" x14ac:dyDescent="0.2">
      <c r="C211" s="5"/>
    </row>
    <row r="212" spans="3:3" s="4" customFormat="1" x14ac:dyDescent="0.2">
      <c r="C212" s="5"/>
    </row>
    <row r="213" spans="3:3" s="4" customFormat="1" x14ac:dyDescent="0.2">
      <c r="C213" s="5"/>
    </row>
    <row r="214" spans="3:3" s="4" customFormat="1" x14ac:dyDescent="0.2">
      <c r="C214" s="5"/>
    </row>
    <row r="215" spans="3:3" s="4" customFormat="1" x14ac:dyDescent="0.2">
      <c r="C215" s="5"/>
    </row>
    <row r="216" spans="3:3" s="4" customFormat="1" x14ac:dyDescent="0.2">
      <c r="C216" s="5"/>
    </row>
    <row r="217" spans="3:3" s="4" customFormat="1" x14ac:dyDescent="0.2">
      <c r="C217" s="5"/>
    </row>
    <row r="218" spans="3:3" s="4" customFormat="1" x14ac:dyDescent="0.2">
      <c r="C218" s="5"/>
    </row>
    <row r="219" spans="3:3" s="4" customFormat="1" x14ac:dyDescent="0.2">
      <c r="C219" s="5"/>
    </row>
    <row r="220" spans="3:3" s="4" customFormat="1" x14ac:dyDescent="0.2">
      <c r="C220" s="5"/>
    </row>
    <row r="221" spans="3:3" s="4" customFormat="1" x14ac:dyDescent="0.2">
      <c r="C221" s="5"/>
    </row>
    <row r="222" spans="3:3" s="4" customFormat="1" x14ac:dyDescent="0.2">
      <c r="C222" s="5"/>
    </row>
    <row r="223" spans="3:3" s="4" customFormat="1" x14ac:dyDescent="0.2">
      <c r="C223" s="5"/>
    </row>
    <row r="224" spans="3:3" s="4" customFormat="1" x14ac:dyDescent="0.2">
      <c r="C224" s="5"/>
    </row>
    <row r="225" spans="3:3" s="4" customFormat="1" x14ac:dyDescent="0.2">
      <c r="C225" s="5"/>
    </row>
    <row r="226" spans="3:3" s="4" customFormat="1" x14ac:dyDescent="0.2">
      <c r="C226" s="5"/>
    </row>
    <row r="227" spans="3:3" s="4" customFormat="1" x14ac:dyDescent="0.2">
      <c r="C227" s="5"/>
    </row>
    <row r="228" spans="3:3" s="4" customFormat="1" x14ac:dyDescent="0.2">
      <c r="C228" s="5"/>
    </row>
    <row r="229" spans="3:3" s="4" customFormat="1" x14ac:dyDescent="0.2">
      <c r="C229" s="5"/>
    </row>
    <row r="230" spans="3:3" s="4" customFormat="1" x14ac:dyDescent="0.2">
      <c r="C230" s="5"/>
    </row>
    <row r="231" spans="3:3" s="4" customFormat="1" x14ac:dyDescent="0.2">
      <c r="C231" s="5"/>
    </row>
    <row r="232" spans="3:3" s="4" customFormat="1" x14ac:dyDescent="0.2">
      <c r="C232" s="5"/>
    </row>
    <row r="233" spans="3:3" s="4" customFormat="1" x14ac:dyDescent="0.2">
      <c r="C233" s="5"/>
    </row>
    <row r="234" spans="3:3" s="4" customFormat="1" x14ac:dyDescent="0.2">
      <c r="C234" s="5"/>
    </row>
    <row r="235" spans="3:3" s="4" customFormat="1" x14ac:dyDescent="0.2">
      <c r="C235" s="5"/>
    </row>
    <row r="236" spans="3:3" s="4" customFormat="1" x14ac:dyDescent="0.2">
      <c r="C236" s="5"/>
    </row>
    <row r="237" spans="3:3" s="4" customFormat="1" x14ac:dyDescent="0.2">
      <c r="C237" s="5"/>
    </row>
    <row r="238" spans="3:3" s="4" customFormat="1" x14ac:dyDescent="0.2">
      <c r="C238" s="5"/>
    </row>
    <row r="239" spans="3:3" s="4" customFormat="1" x14ac:dyDescent="0.2">
      <c r="C239" s="5"/>
    </row>
    <row r="240" spans="3:3" s="4" customFormat="1" x14ac:dyDescent="0.2">
      <c r="C240" s="5"/>
    </row>
    <row r="241" spans="3:3" s="4" customFormat="1" x14ac:dyDescent="0.2">
      <c r="C241" s="5"/>
    </row>
    <row r="242" spans="3:3" s="4" customFormat="1" x14ac:dyDescent="0.2">
      <c r="C242" s="5"/>
    </row>
    <row r="243" spans="3:3" s="4" customFormat="1" x14ac:dyDescent="0.2">
      <c r="C243" s="5"/>
    </row>
    <row r="244" spans="3:3" s="4" customFormat="1" x14ac:dyDescent="0.2">
      <c r="C244" s="5"/>
    </row>
    <row r="245" spans="3:3" s="4" customFormat="1" x14ac:dyDescent="0.2">
      <c r="C245" s="5"/>
    </row>
    <row r="246" spans="3:3" s="4" customFormat="1" x14ac:dyDescent="0.2">
      <c r="C246" s="5"/>
    </row>
    <row r="247" spans="3:3" s="4" customFormat="1" x14ac:dyDescent="0.2">
      <c r="C247" s="5"/>
    </row>
    <row r="248" spans="3:3" s="4" customFormat="1" x14ac:dyDescent="0.2">
      <c r="C248" s="5"/>
    </row>
    <row r="249" spans="3:3" s="4" customFormat="1" x14ac:dyDescent="0.2">
      <c r="C249" s="5"/>
    </row>
    <row r="250" spans="3:3" s="4" customFormat="1" x14ac:dyDescent="0.2">
      <c r="C250" s="5"/>
    </row>
    <row r="251" spans="3:3" s="4" customFormat="1" x14ac:dyDescent="0.2">
      <c r="C251" s="5"/>
    </row>
    <row r="252" spans="3:3" s="4" customFormat="1" x14ac:dyDescent="0.2">
      <c r="C252" s="5"/>
    </row>
    <row r="253" spans="3:3" s="4" customFormat="1" x14ac:dyDescent="0.2">
      <c r="C253" s="5"/>
    </row>
    <row r="254" spans="3:3" s="4" customFormat="1" x14ac:dyDescent="0.2">
      <c r="C254" s="5"/>
    </row>
    <row r="255" spans="3:3" s="4" customFormat="1" x14ac:dyDescent="0.2">
      <c r="C255" s="5"/>
    </row>
    <row r="256" spans="3:3" s="4" customFormat="1" x14ac:dyDescent="0.2">
      <c r="C256" s="5"/>
    </row>
    <row r="257" spans="3:3" s="4" customFormat="1" x14ac:dyDescent="0.2">
      <c r="C257" s="5"/>
    </row>
    <row r="258" spans="3:3" s="4" customFormat="1" x14ac:dyDescent="0.2">
      <c r="C258" s="5"/>
    </row>
    <row r="259" spans="3:3" s="4" customFormat="1" x14ac:dyDescent="0.2">
      <c r="C259" s="5"/>
    </row>
    <row r="260" spans="3:3" s="4" customFormat="1" x14ac:dyDescent="0.2">
      <c r="C260" s="5"/>
    </row>
    <row r="261" spans="3:3" s="4" customFormat="1" x14ac:dyDescent="0.2">
      <c r="C261" s="5"/>
    </row>
    <row r="262" spans="3:3" s="4" customFormat="1" x14ac:dyDescent="0.2">
      <c r="C262" s="5"/>
    </row>
    <row r="263" spans="3:3" s="4" customFormat="1" x14ac:dyDescent="0.2">
      <c r="C263" s="5"/>
    </row>
    <row r="264" spans="3:3" s="4" customFormat="1" x14ac:dyDescent="0.2">
      <c r="C264" s="5"/>
    </row>
    <row r="265" spans="3:3" s="4" customFormat="1" x14ac:dyDescent="0.2">
      <c r="C265" s="5"/>
    </row>
    <row r="266" spans="3:3" s="4" customFormat="1" x14ac:dyDescent="0.2">
      <c r="C266" s="5"/>
    </row>
    <row r="267" spans="3:3" s="4" customFormat="1" x14ac:dyDescent="0.2">
      <c r="C267" s="5"/>
    </row>
    <row r="268" spans="3:3" s="4" customFormat="1" x14ac:dyDescent="0.2">
      <c r="C268" s="5"/>
    </row>
    <row r="269" spans="3:3" s="4" customFormat="1" x14ac:dyDescent="0.2">
      <c r="C269" s="5"/>
    </row>
    <row r="270" spans="3:3" s="4" customFormat="1" x14ac:dyDescent="0.2">
      <c r="C270" s="5"/>
    </row>
    <row r="271" spans="3:3" s="4" customFormat="1" x14ac:dyDescent="0.2">
      <c r="C271" s="5"/>
    </row>
    <row r="272" spans="3:3" s="4" customFormat="1" x14ac:dyDescent="0.2">
      <c r="C272" s="5"/>
    </row>
    <row r="273" spans="3:3" s="4" customFormat="1" x14ac:dyDescent="0.2">
      <c r="C273" s="5"/>
    </row>
    <row r="274" spans="3:3" s="4" customFormat="1" x14ac:dyDescent="0.2">
      <c r="C274" s="5"/>
    </row>
    <row r="275" spans="3:3" s="4" customFormat="1" x14ac:dyDescent="0.2">
      <c r="C275" s="5"/>
    </row>
    <row r="276" spans="3:3" s="4" customFormat="1" x14ac:dyDescent="0.2">
      <c r="C276" s="5"/>
    </row>
    <row r="277" spans="3:3" s="4" customFormat="1" x14ac:dyDescent="0.2">
      <c r="C277" s="5"/>
    </row>
    <row r="278" spans="3:3" s="4" customFormat="1" x14ac:dyDescent="0.2">
      <c r="C278" s="5"/>
    </row>
    <row r="279" spans="3:3" s="4" customFormat="1" x14ac:dyDescent="0.2">
      <c r="C279" s="5"/>
    </row>
    <row r="280" spans="3:3" s="4" customFormat="1" x14ac:dyDescent="0.2">
      <c r="C280" s="5"/>
    </row>
    <row r="281" spans="3:3" s="4" customFormat="1" x14ac:dyDescent="0.2">
      <c r="C281" s="5"/>
    </row>
    <row r="282" spans="3:3" s="4" customFormat="1" x14ac:dyDescent="0.2">
      <c r="C282" s="5"/>
    </row>
    <row r="283" spans="3:3" s="4" customFormat="1" x14ac:dyDescent="0.2">
      <c r="C283" s="5"/>
    </row>
    <row r="284" spans="3:3" s="4" customFormat="1" x14ac:dyDescent="0.2">
      <c r="C284" s="5"/>
    </row>
    <row r="285" spans="3:3" s="4" customFormat="1" x14ac:dyDescent="0.2">
      <c r="C285" s="5"/>
    </row>
    <row r="286" spans="3:3" s="4" customFormat="1" x14ac:dyDescent="0.2">
      <c r="C286" s="5"/>
    </row>
    <row r="287" spans="3:3" s="4" customFormat="1" x14ac:dyDescent="0.2">
      <c r="C287" s="5"/>
    </row>
    <row r="288" spans="3:3" s="4" customFormat="1" x14ac:dyDescent="0.2">
      <c r="C288" s="5"/>
    </row>
    <row r="289" spans="3:3" s="4" customFormat="1" x14ac:dyDescent="0.2">
      <c r="C289" s="5"/>
    </row>
    <row r="290" spans="3:3" s="4" customFormat="1" x14ac:dyDescent="0.2">
      <c r="C290" s="5"/>
    </row>
    <row r="291" spans="3:3" s="4" customFormat="1" x14ac:dyDescent="0.2">
      <c r="C291" s="5"/>
    </row>
    <row r="292" spans="3:3" s="4" customFormat="1" x14ac:dyDescent="0.2">
      <c r="C292" s="5"/>
    </row>
    <row r="293" spans="3:3" s="4" customFormat="1" x14ac:dyDescent="0.2">
      <c r="C293" s="5"/>
    </row>
    <row r="294" spans="3:3" s="4" customFormat="1" x14ac:dyDescent="0.2">
      <c r="C294" s="5"/>
    </row>
    <row r="295" spans="3:3" s="4" customFormat="1" x14ac:dyDescent="0.2">
      <c r="C295" s="5"/>
    </row>
    <row r="296" spans="3:3" s="4" customFormat="1" x14ac:dyDescent="0.2">
      <c r="C296" s="5"/>
    </row>
    <row r="297" spans="3:3" s="4" customFormat="1" x14ac:dyDescent="0.2">
      <c r="C297" s="5"/>
    </row>
    <row r="298" spans="3:3" s="4" customFormat="1" x14ac:dyDescent="0.2">
      <c r="C298" s="5"/>
    </row>
    <row r="299" spans="3:3" s="4" customFormat="1" x14ac:dyDescent="0.2">
      <c r="C299" s="5"/>
    </row>
    <row r="300" spans="3:3" s="4" customFormat="1" x14ac:dyDescent="0.2">
      <c r="C300" s="5"/>
    </row>
    <row r="301" spans="3:3" s="4" customFormat="1" x14ac:dyDescent="0.2">
      <c r="C301" s="5"/>
    </row>
    <row r="302" spans="3:3" s="4" customFormat="1" x14ac:dyDescent="0.2">
      <c r="C302" s="5"/>
    </row>
    <row r="303" spans="3:3" s="4" customFormat="1" x14ac:dyDescent="0.2">
      <c r="C303" s="5"/>
    </row>
    <row r="304" spans="3:3" s="4" customFormat="1" x14ac:dyDescent="0.2">
      <c r="C304" s="5"/>
    </row>
    <row r="305" spans="3:3" s="4" customFormat="1" x14ac:dyDescent="0.2">
      <c r="C305" s="5"/>
    </row>
    <row r="306" spans="3:3" s="4" customFormat="1" x14ac:dyDescent="0.2">
      <c r="C306" s="5"/>
    </row>
    <row r="307" spans="3:3" s="4" customFormat="1" x14ac:dyDescent="0.2">
      <c r="C307" s="5"/>
    </row>
    <row r="308" spans="3:3" s="4" customFormat="1" x14ac:dyDescent="0.2">
      <c r="C308" s="5"/>
    </row>
    <row r="309" spans="3:3" s="4" customFormat="1" x14ac:dyDescent="0.2">
      <c r="C309" s="5"/>
    </row>
    <row r="310" spans="3:3" s="4" customFormat="1" x14ac:dyDescent="0.2">
      <c r="C310" s="5"/>
    </row>
    <row r="311" spans="3:3" s="4" customFormat="1" x14ac:dyDescent="0.2">
      <c r="C311" s="5"/>
    </row>
    <row r="312" spans="3:3" s="4" customFormat="1" x14ac:dyDescent="0.2">
      <c r="C312" s="5"/>
    </row>
    <row r="313" spans="3:3" s="4" customFormat="1" x14ac:dyDescent="0.2">
      <c r="C313" s="5"/>
    </row>
    <row r="314" spans="3:3" s="4" customFormat="1" x14ac:dyDescent="0.2">
      <c r="C314" s="5"/>
    </row>
    <row r="315" spans="3:3" s="4" customFormat="1" x14ac:dyDescent="0.2">
      <c r="C315" s="5"/>
    </row>
    <row r="316" spans="3:3" s="4" customFormat="1" x14ac:dyDescent="0.2">
      <c r="C316" s="5"/>
    </row>
    <row r="317" spans="3:3" s="4" customFormat="1" x14ac:dyDescent="0.2">
      <c r="C317" s="5"/>
    </row>
    <row r="318" spans="3:3" s="4" customFormat="1" x14ac:dyDescent="0.2">
      <c r="C318" s="5"/>
    </row>
    <row r="319" spans="3:3" s="4" customFormat="1" x14ac:dyDescent="0.2">
      <c r="C319" s="5"/>
    </row>
    <row r="320" spans="3:3" s="4" customFormat="1" x14ac:dyDescent="0.2">
      <c r="C320" s="5"/>
    </row>
    <row r="321" spans="3:3" s="4" customFormat="1" x14ac:dyDescent="0.2">
      <c r="C321" s="5"/>
    </row>
    <row r="322" spans="3:3" s="4" customFormat="1" x14ac:dyDescent="0.2">
      <c r="C322" s="5"/>
    </row>
    <row r="323" spans="3:3" s="4" customFormat="1" x14ac:dyDescent="0.2">
      <c r="C323" s="5"/>
    </row>
    <row r="324" spans="3:3" s="4" customFormat="1" x14ac:dyDescent="0.2">
      <c r="C324" s="5"/>
    </row>
    <row r="325" spans="3:3" s="4" customFormat="1" x14ac:dyDescent="0.2">
      <c r="C325" s="5"/>
    </row>
    <row r="326" spans="3:3" s="4" customFormat="1" x14ac:dyDescent="0.2">
      <c r="C326" s="5"/>
    </row>
    <row r="327" spans="3:3" s="4" customFormat="1" x14ac:dyDescent="0.2">
      <c r="C327" s="5"/>
    </row>
    <row r="328" spans="3:3" s="4" customFormat="1" x14ac:dyDescent="0.2">
      <c r="C328" s="5"/>
    </row>
    <row r="329" spans="3:3" s="4" customFormat="1" x14ac:dyDescent="0.2">
      <c r="C329" s="5"/>
    </row>
    <row r="330" spans="3:3" s="4" customFormat="1" x14ac:dyDescent="0.2">
      <c r="C330" s="5"/>
    </row>
    <row r="331" spans="3:3" s="4" customFormat="1" x14ac:dyDescent="0.2">
      <c r="C331" s="5"/>
    </row>
    <row r="332" spans="3:3" s="4" customFormat="1" x14ac:dyDescent="0.2">
      <c r="C332" s="5"/>
    </row>
    <row r="333" spans="3:3" s="4" customFormat="1" x14ac:dyDescent="0.2">
      <c r="C333" s="5"/>
    </row>
    <row r="334" spans="3:3" s="4" customFormat="1" x14ac:dyDescent="0.2">
      <c r="C334" s="5"/>
    </row>
    <row r="335" spans="3:3" s="4" customFormat="1" x14ac:dyDescent="0.2">
      <c r="C335" s="5"/>
    </row>
    <row r="336" spans="3:3" s="4" customFormat="1" x14ac:dyDescent="0.2">
      <c r="C336" s="5"/>
    </row>
    <row r="337" spans="3:3" s="4" customFormat="1" x14ac:dyDescent="0.2">
      <c r="C337" s="5"/>
    </row>
    <row r="338" spans="3:3" s="4" customFormat="1" x14ac:dyDescent="0.2">
      <c r="C338" s="5"/>
    </row>
    <row r="339" spans="3:3" s="4" customFormat="1" x14ac:dyDescent="0.2">
      <c r="C339" s="5"/>
    </row>
    <row r="340" spans="3:3" s="4" customFormat="1" x14ac:dyDescent="0.2">
      <c r="C340" s="5"/>
    </row>
    <row r="341" spans="3:3" s="4" customFormat="1" x14ac:dyDescent="0.2">
      <c r="C341" s="5"/>
    </row>
    <row r="342" spans="3:3" s="4" customFormat="1" x14ac:dyDescent="0.2">
      <c r="C342" s="5"/>
    </row>
    <row r="343" spans="3:3" s="4" customFormat="1" x14ac:dyDescent="0.2">
      <c r="C343" s="5"/>
    </row>
    <row r="344" spans="3:3" s="4" customFormat="1" x14ac:dyDescent="0.2">
      <c r="C344" s="5"/>
    </row>
  </sheetData>
  <mergeCells count="2">
    <mergeCell ref="B5:D5"/>
    <mergeCell ref="B15:G15"/>
  </mergeCells>
  <phoneticPr fontId="9" type="noConversion"/>
  <dataValidations count="1">
    <dataValidation type="list" allowBlank="1" showInputMessage="1" showErrorMessage="1" sqref="E17:E170" xr:uid="{BE05F8A7-5CB0-F94B-BEF5-541552883A47}">
      <formula1>"Hazard,Risk"</formula1>
    </dataValidation>
  </dataValidations>
  <pageMargins left="0.7" right="0.7" top="0.75" bottom="0.75" header="0.3" footer="0.3"/>
  <pageSetup orientation="portrait" horizontalDpi="0" verticalDpi="0"/>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14AC5-D3BF-6343-974A-8BF1ACFE3EA7}">
  <sheetPr>
    <tabColor theme="2" tint="-9.9978637043366805E-2"/>
  </sheetPr>
  <dimension ref="A3:L18"/>
  <sheetViews>
    <sheetView workbookViewId="0">
      <selection activeCell="F21" sqref="F21"/>
    </sheetView>
  </sheetViews>
  <sheetFormatPr baseColWidth="10" defaultRowHeight="16" x14ac:dyDescent="0.2"/>
  <cols>
    <col min="1" max="1" width="15.1640625" bestFit="1" customWidth="1"/>
    <col min="2" max="2" width="18.83203125" bestFit="1" customWidth="1"/>
    <col min="3" max="3" width="25.6640625" bestFit="1" customWidth="1"/>
    <col min="4" max="4" width="24.6640625" bestFit="1" customWidth="1"/>
    <col min="5" max="5" width="7" bestFit="1" customWidth="1"/>
    <col min="6" max="6" width="12.1640625" bestFit="1" customWidth="1"/>
  </cols>
  <sheetData>
    <row r="3" spans="1:12" x14ac:dyDescent="0.2">
      <c r="A3" s="18" t="s">
        <v>712</v>
      </c>
      <c r="B3" t="s">
        <v>715</v>
      </c>
      <c r="C3" t="s">
        <v>933</v>
      </c>
    </row>
    <row r="4" spans="1:12" x14ac:dyDescent="0.2">
      <c r="A4" s="19" t="s">
        <v>697</v>
      </c>
      <c r="B4" s="20">
        <v>18.238095238095237</v>
      </c>
      <c r="C4">
        <v>7</v>
      </c>
    </row>
    <row r="5" spans="1:12" x14ac:dyDescent="0.2">
      <c r="A5" s="19" t="s">
        <v>462</v>
      </c>
      <c r="B5" s="20">
        <v>19.266763848396501</v>
      </c>
      <c r="C5">
        <v>7</v>
      </c>
    </row>
    <row r="6" spans="1:12" x14ac:dyDescent="0.2">
      <c r="A6" s="19" t="s">
        <v>482</v>
      </c>
      <c r="B6" s="20">
        <v>20.467857142857142</v>
      </c>
      <c r="C6">
        <v>21</v>
      </c>
    </row>
    <row r="7" spans="1:12" x14ac:dyDescent="0.2">
      <c r="A7" s="19" t="s">
        <v>494</v>
      </c>
      <c r="B7" s="20">
        <v>19.516814814814818</v>
      </c>
      <c r="C7">
        <v>15</v>
      </c>
    </row>
    <row r="8" spans="1:12" x14ac:dyDescent="0.2">
      <c r="A8" s="19" t="s">
        <v>552</v>
      </c>
      <c r="B8" s="20">
        <v>21.75</v>
      </c>
      <c r="C8">
        <v>4</v>
      </c>
    </row>
    <row r="9" spans="1:12" x14ac:dyDescent="0.2">
      <c r="A9" s="19" t="s">
        <v>700</v>
      </c>
      <c r="B9" s="20">
        <v>15</v>
      </c>
      <c r="C9">
        <v>3</v>
      </c>
    </row>
    <row r="10" spans="1:12" x14ac:dyDescent="0.2">
      <c r="A10" s="19" t="s">
        <v>481</v>
      </c>
      <c r="B10" s="20">
        <v>14.137741046831957</v>
      </c>
      <c r="C10">
        <v>3</v>
      </c>
      <c r="K10">
        <v>26</v>
      </c>
      <c r="L10">
        <v>35</v>
      </c>
    </row>
    <row r="11" spans="1:12" x14ac:dyDescent="0.2">
      <c r="A11" s="19" t="s">
        <v>475</v>
      </c>
      <c r="B11" s="20">
        <v>19.339905980217402</v>
      </c>
      <c r="C11">
        <v>22</v>
      </c>
      <c r="K11">
        <v>96</v>
      </c>
    </row>
    <row r="12" spans="1:12" x14ac:dyDescent="0.2">
      <c r="A12" s="19" t="s">
        <v>473</v>
      </c>
      <c r="B12" s="20">
        <v>15.615079365079366</v>
      </c>
      <c r="C12">
        <v>14</v>
      </c>
      <c r="K12">
        <f>K10/K11</f>
        <v>0.27083333333333331</v>
      </c>
      <c r="L12">
        <f>L10/K11</f>
        <v>0.36458333333333331</v>
      </c>
    </row>
    <row r="13" spans="1:12" x14ac:dyDescent="0.2">
      <c r="A13" s="19" t="s">
        <v>541</v>
      </c>
      <c r="B13" s="20">
        <v>23.662896120973045</v>
      </c>
      <c r="C13">
        <v>18</v>
      </c>
    </row>
    <row r="14" spans="1:12" x14ac:dyDescent="0.2">
      <c r="A14" s="19" t="s">
        <v>446</v>
      </c>
      <c r="B14" s="20">
        <v>21.676875000000003</v>
      </c>
      <c r="C14">
        <v>8</v>
      </c>
    </row>
    <row r="15" spans="1:12" x14ac:dyDescent="0.2">
      <c r="A15" s="19" t="s">
        <v>560</v>
      </c>
      <c r="B15" s="20">
        <v>17.703962703962702</v>
      </c>
      <c r="C15">
        <v>11</v>
      </c>
    </row>
    <row r="16" spans="1:12" x14ac:dyDescent="0.2">
      <c r="A16" s="19" t="s">
        <v>702</v>
      </c>
      <c r="B16" s="20">
        <v>21.5</v>
      </c>
      <c r="C16">
        <v>6</v>
      </c>
      <c r="K16">
        <v>20</v>
      </c>
      <c r="L16">
        <v>15</v>
      </c>
    </row>
    <row r="17" spans="1:12" x14ac:dyDescent="0.2">
      <c r="A17" s="19" t="s">
        <v>713</v>
      </c>
      <c r="B17" s="20"/>
      <c r="K17">
        <v>55</v>
      </c>
    </row>
    <row r="18" spans="1:12" x14ac:dyDescent="0.2">
      <c r="A18" s="19" t="s">
        <v>714</v>
      </c>
      <c r="B18">
        <v>19.616577133562291</v>
      </c>
      <c r="C18">
        <v>139</v>
      </c>
      <c r="K18">
        <f>K16/K17</f>
        <v>0.36363636363636365</v>
      </c>
      <c r="L18">
        <f>L16/K17</f>
        <v>0.27272727272727271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74181-AFD3-DF4A-AB02-4BCAEAC4A444}">
  <sheetPr>
    <tabColor theme="2" tint="-9.9978637043366805E-2"/>
  </sheetPr>
  <dimension ref="B2:AE99"/>
  <sheetViews>
    <sheetView topLeftCell="A26" workbookViewId="0">
      <selection activeCell="F55" sqref="F55"/>
    </sheetView>
  </sheetViews>
  <sheetFormatPr baseColWidth="10" defaultRowHeight="16" x14ac:dyDescent="0.2"/>
  <cols>
    <col min="2" max="2" width="5.33203125" customWidth="1"/>
    <col min="3" max="3" width="12.33203125" customWidth="1"/>
    <col min="4" max="4" width="26.5" customWidth="1"/>
    <col min="5" max="6" width="23" bestFit="1" customWidth="1"/>
    <col min="7" max="8" width="19" customWidth="1"/>
    <col min="9" max="9" width="36.6640625" customWidth="1"/>
    <col min="10" max="12" width="21.5" hidden="1" customWidth="1"/>
    <col min="13" max="17" width="18.83203125" hidden="1" customWidth="1"/>
    <col min="18" max="18" width="11.6640625" hidden="1" customWidth="1"/>
    <col min="19" max="19" width="11" hidden="1" customWidth="1"/>
    <col min="22" max="22" width="17" customWidth="1"/>
    <col min="23" max="23" width="16.5" bestFit="1" customWidth="1"/>
    <col min="25" max="25" width="5.6640625" customWidth="1"/>
    <col min="26" max="26" width="43" customWidth="1"/>
    <col min="27" max="27" width="9.6640625" bestFit="1" customWidth="1"/>
    <col min="28" max="28" width="10.5" bestFit="1" customWidth="1"/>
    <col min="29" max="29" width="12.1640625" bestFit="1" customWidth="1"/>
    <col min="30" max="30" width="12.5" customWidth="1"/>
    <col min="31" max="31" width="25.6640625" customWidth="1"/>
  </cols>
  <sheetData>
    <row r="2" spans="3:31" x14ac:dyDescent="0.2">
      <c r="Z2" s="216" t="s">
        <v>1710</v>
      </c>
    </row>
    <row r="3" spans="3:31" x14ac:dyDescent="0.2">
      <c r="Y3" s="212"/>
      <c r="AA3" s="212"/>
      <c r="AB3" s="212"/>
      <c r="AC3" s="212"/>
      <c r="AD3" s="212"/>
      <c r="AE3" s="212"/>
    </row>
    <row r="4" spans="3:31" ht="34" x14ac:dyDescent="0.2">
      <c r="Y4" s="213" t="s">
        <v>1704</v>
      </c>
      <c r="Z4" s="213" t="s">
        <v>1703</v>
      </c>
      <c r="AA4" s="213" t="s">
        <v>1705</v>
      </c>
      <c r="AB4" s="213" t="s">
        <v>1706</v>
      </c>
      <c r="AC4" s="213" t="s">
        <v>1709</v>
      </c>
      <c r="AD4" s="213" t="s">
        <v>1707</v>
      </c>
      <c r="AE4" s="213" t="s">
        <v>1708</v>
      </c>
    </row>
    <row r="5" spans="3:31" x14ac:dyDescent="0.2">
      <c r="Y5" s="215"/>
      <c r="Z5" s="215"/>
      <c r="AA5" s="214"/>
      <c r="AB5" s="214"/>
      <c r="AC5" s="214"/>
      <c r="AD5" s="214"/>
      <c r="AE5" s="214"/>
    </row>
    <row r="6" spans="3:31" x14ac:dyDescent="0.2">
      <c r="Y6" s="215"/>
      <c r="Z6" s="215"/>
      <c r="AA6" s="214"/>
      <c r="AB6" s="214"/>
      <c r="AC6" s="214"/>
      <c r="AD6" s="214"/>
      <c r="AE6" s="214"/>
    </row>
    <row r="7" spans="3:31" x14ac:dyDescent="0.2">
      <c r="C7" s="285" t="s">
        <v>2651</v>
      </c>
      <c r="D7" s="286" t="s">
        <v>2650</v>
      </c>
      <c r="E7" s="286" t="s">
        <v>1705</v>
      </c>
      <c r="F7" s="286" t="s">
        <v>2647</v>
      </c>
      <c r="G7" s="286" t="s">
        <v>1707</v>
      </c>
      <c r="H7" s="286" t="s">
        <v>2182</v>
      </c>
      <c r="I7" s="286" t="s">
        <v>1461</v>
      </c>
      <c r="J7" s="286" t="s">
        <v>2190</v>
      </c>
      <c r="K7" s="286" t="s">
        <v>2191</v>
      </c>
      <c r="L7" s="286" t="s">
        <v>2654</v>
      </c>
      <c r="M7" s="286" t="s">
        <v>2157</v>
      </c>
      <c r="N7" s="286" t="s">
        <v>2648</v>
      </c>
      <c r="O7" s="286" t="s">
        <v>2649</v>
      </c>
      <c r="P7" s="286" t="s">
        <v>2655</v>
      </c>
      <c r="Q7" s="286" t="s">
        <v>2656</v>
      </c>
      <c r="R7" s="286" t="s">
        <v>2653</v>
      </c>
      <c r="S7" s="287" t="s">
        <v>2652</v>
      </c>
      <c r="Y7" s="215"/>
      <c r="Z7" s="215"/>
      <c r="AA7" s="214"/>
      <c r="AB7" s="214"/>
      <c r="AC7" s="214"/>
      <c r="AD7" s="214"/>
      <c r="AE7" s="214"/>
    </row>
    <row r="8" spans="3:31" x14ac:dyDescent="0.2">
      <c r="C8" s="279" t="s">
        <v>2172</v>
      </c>
      <c r="D8" s="280" t="s">
        <v>494</v>
      </c>
      <c r="E8" s="281" t="str">
        <f t="shared" ref="E8:E19" si="0">IF(AND(F8&gt;=0, 9.999&gt;=F8), "UNDETECTABLE", IF(AND(F8&gt;9.001, 24.999&gt;=F8), "MODERATE", IF(AND(F8&gt;=25, 35.9999&gt;=F8), "HIGH", IF(AND(F8&gt;36, 50&gt;=F8), "VERY HIGH", "Check Formula"))))</f>
        <v>MODERATE</v>
      </c>
      <c r="F8" s="291">
        <f>(Table7[[#This Row],[consequence]]/Table7[[#This Row],[Data Observations]])*(Table7[[#This Row],[probability]]/Table7[[#This Row],[Data Observations]])</f>
        <v>21.755102040816325</v>
      </c>
      <c r="G8" s="315" t="str">
        <f xml:space="preserve"> IF(AND(Table7[[#This Row],[Data Quality Score]]&gt;0, 0.2&gt;=Table7[[#This Row],[Data Quality Score]]), "VERY LOW", IF(AND(Table7[[#This Row],[Data Quality Score]]&gt;0.201, 0.4 &gt;=Table7[[#This Row],[Data Quality Score]]), "LOW", IF(AND(Table7[[#This Row],[Data Quality Score]]&gt;0.401, 0.6&gt;=Table7[[#This Row],[Data Quality Score]]), "MODERATE", IF(AND(Table7[[#This Row],[Data Quality Score]]&gt;0.6000001, 0.8&gt;=Table7[[#This Row],[Data Quality Score]]), "HIGH", IF(AND(Table7[[#This Row],[Data Quality Score]]&gt;0.800001, 1&gt;=Table7[[#This Row],[Data Quality Score]]), "VERY HIGH", "Check Formula")))))</f>
        <v>MODERATE</v>
      </c>
      <c r="H8" s="297">
        <f>(Table7[[#This Row],[LoA_Score]]+Table7[[#This Row],[ES_Score]])/100</f>
        <v>0.48234424068568843</v>
      </c>
      <c r="I8" s="295" t="str">
        <f>Table7[[#This Row],[LoA]]&amp;", "&amp;Table7[[#This Row],[ES]]</f>
        <v>Medium agreement, Medium evidence</v>
      </c>
      <c r="J8" s="315" t="str">
        <f xml:space="preserve"> IF(AND(Table7[[#This Row],[LoA_Score]]&gt;=0, 16.66&gt;=Table7[[#This Row],[LoA_Score]]), "Low agreement", IF(AND(Table7[[#This Row],[LoA_Score]]&gt;=16.67, 33.33 &gt;=Table7[[#This Row],[LoA_Score]]), "Medium agreement", IF(AND(Table7[[#This Row],[LoA_Score]]&gt;=33.34, 50&gt;=Table7[[#This Row],[LoA_Score]]), "High agreement", "Check Formula")))</f>
        <v>Medium agreement</v>
      </c>
      <c r="K8" s="315" t="str">
        <f xml:space="preserve"> IF(AND(Table7[[#This Row],[ES_Score]]&gt;=0, 16.66&gt;=Table7[[#This Row],[ES_Score]]), "Limited evidence", IF(AND(Table7[[#This Row],[ES_Score]]&gt;=16.67, 33.33 &gt;=Table7[[#This Row],[ES_Score]]), "Medium evidence", IF(AND(Table7[[#This Row],[ES_Score]]&gt;=33.34, 50&gt;=Table7[[#This Row],[ES_Score]]), "Robust evidence", "Check Formula")))</f>
        <v>Medium evidence</v>
      </c>
      <c r="L8" s="280">
        <f>COUNTIFS(Table4[HazardRisk_Category],Table7[[#This Row],[Sector]])</f>
        <v>6</v>
      </c>
      <c r="M8" s="289">
        <f>SUMIFS(Table4[data_observations], Table4[HazardRisk_Category],Table7[[#This Row],[Sector]])</f>
        <v>14</v>
      </c>
      <c r="N8" s="289">
        <f>SUMIFS(Table4[consequence_summed], Table4[HazardRisk_Category],Table7[[#This Row],[Sector]])</f>
        <v>104</v>
      </c>
      <c r="O8" s="289">
        <f>SUMIFS(Table4[probability_summed], Table4[HazardRisk_Category],Table7[[#This Row],[Sector]])</f>
        <v>41</v>
      </c>
      <c r="P8" s="289">
        <f>Table7[[#This Row],[summed LoA]]/Table7[[#This Row],[count]]</f>
        <v>24.055555555555554</v>
      </c>
      <c r="Q8" s="289">
        <f>Table7[[#This Row],[summed ES]]/Table7[[#This Row],[count]]</f>
        <v>24.178868513013285</v>
      </c>
      <c r="R8" s="289">
        <f>SUMIFS(Table4[ES_SCORE], Table4[HazardRisk_Category],Table7[[#This Row],[Sector]])</f>
        <v>145.07321107807971</v>
      </c>
      <c r="S8" s="289">
        <f>SUMIFS(Table4[LoA_SCORE], Table4[HazardRisk_Category],Table7[[#This Row],[Sector]])</f>
        <v>144.33333333333331</v>
      </c>
      <c r="Y8" s="215"/>
      <c r="Z8" s="215"/>
      <c r="AA8" s="214"/>
      <c r="AB8" s="214"/>
      <c r="AC8" s="214"/>
      <c r="AD8" s="214"/>
      <c r="AE8" s="214"/>
    </row>
    <row r="9" spans="3:31" x14ac:dyDescent="0.2">
      <c r="C9" s="279" t="s">
        <v>2164</v>
      </c>
      <c r="D9" s="280" t="s">
        <v>1004</v>
      </c>
      <c r="E9" s="281" t="str">
        <f t="shared" si="0"/>
        <v>HIGH</v>
      </c>
      <c r="F9" s="291">
        <f>(Table7[[#This Row],[consequence]]/Table7[[#This Row],[Data Observations]])*(Table7[[#This Row],[probability]]/Table7[[#This Row],[Data Observations]])</f>
        <v>32.060606060606062</v>
      </c>
      <c r="G9" s="316" t="str">
        <f xml:space="preserve"> IF(AND(Table7[[#This Row],[Data Quality Score]]&gt;0, 0.2&gt;=Table7[[#This Row],[Data Quality Score]]), "VERY LOW", IF(AND(Table7[[#This Row],[Data Quality Score]]&gt;0.201, 0.4 &gt;=Table7[[#This Row],[Data Quality Score]]), "LOW", IF(AND(Table7[[#This Row],[Data Quality Score]]&gt;0.401, 0.6&gt;=Table7[[#This Row],[Data Quality Score]]), "MODERATE", IF(AND(Table7[[#This Row],[Data Quality Score]]&gt;0.6000001, 0.8&gt;=Table7[[#This Row],[Data Quality Score]]), "HIGH", IF(AND(Table7[[#This Row],[Data Quality Score]]&gt;0.800001, 1&gt;=Table7[[#This Row],[Data Quality Score]]), "VERY HIGH", "Check Formula")))))</f>
        <v>MODERATE</v>
      </c>
      <c r="H9" s="297">
        <f>(Table7[[#This Row],[LoA_Score]]+Table7[[#This Row],[ES_Score]])/100</f>
        <v>0.50146240310162082</v>
      </c>
      <c r="I9" s="295" t="str">
        <f>Table7[[#This Row],[LoA]]&amp;", "&amp;Table7[[#This Row],[ES]]</f>
        <v>Medium agreement, Medium evidence</v>
      </c>
      <c r="J9" s="317" t="str">
        <f xml:space="preserve"> IF(AND(Table7[[#This Row],[LoA_Score]]&gt;=0, 16.66&gt;=Table7[[#This Row],[LoA_Score]]), "Low agreement", IF(AND(Table7[[#This Row],[LoA_Score]]&gt;=16.67, 33.33 &gt;=Table7[[#This Row],[LoA_Score]]), "Medium agreement", IF(AND(Table7[[#This Row],[LoA_Score]]&gt;=33.34, 50&gt;=Table7[[#This Row],[LoA_Score]]), "High agreement", "Check Formula")))</f>
        <v>Medium agreement</v>
      </c>
      <c r="K9" s="317" t="str">
        <f xml:space="preserve"> IF(AND(Table7[[#This Row],[ES_Score]]&gt;=0, 16.66&gt;=Table7[[#This Row],[ES_Score]]), "Limited evidence", IF(AND(Table7[[#This Row],[ES_Score]]&gt;=16.67, 33.33 &gt;=Table7[[#This Row],[ES_Score]]), "Medium evidence", IF(AND(Table7[[#This Row],[ES_Score]]&gt;=33.34, 50&gt;=Table7[[#This Row],[ES_Score]]), "Robust evidence", "Check Formula")))</f>
        <v>Medium evidence</v>
      </c>
      <c r="L9" s="280">
        <f>COUNTIFS(Table4[HazardRisk_Category],Table7[[#This Row],[Sector]])</f>
        <v>10</v>
      </c>
      <c r="M9" s="289">
        <f>SUMIFS(Table4[data_observations], Table4[HazardRisk_Category],Table7[[#This Row],[Sector]])</f>
        <v>33</v>
      </c>
      <c r="N9" s="289">
        <f>SUMIFS(Table4[consequence_summed], Table4[HazardRisk_Category],Table7[[#This Row],[Sector]])</f>
        <v>253</v>
      </c>
      <c r="O9" s="289">
        <f>SUMIFS(Table4[probability_summed], Table4[HazardRisk_Category],Table7[[#This Row],[Sector]])</f>
        <v>138</v>
      </c>
      <c r="P9" s="289">
        <f>Table7[[#This Row],[summed LoA]]/Table7[[#This Row],[count]]</f>
        <v>24.945238095238093</v>
      </c>
      <c r="Q9" s="289">
        <f>Table7[[#This Row],[summed ES]]/Table7[[#This Row],[count]]</f>
        <v>25.201002214923992</v>
      </c>
      <c r="R9" s="289">
        <f>SUMIFS(Table4[ES_SCORE], Table4[HazardRisk_Category],Table7[[#This Row],[Sector]])</f>
        <v>252.01002214923992</v>
      </c>
      <c r="S9" s="293">
        <f>SUMIFS(Table4[LoA_SCORE], Table4[HazardRisk_Category],Table7[[#This Row],[Sector]])</f>
        <v>249.45238095238093</v>
      </c>
      <c r="Y9" s="215"/>
      <c r="Z9" s="215"/>
      <c r="AA9" s="214"/>
      <c r="AB9" s="214"/>
      <c r="AC9" s="214"/>
      <c r="AD9" s="214"/>
      <c r="AE9" s="214"/>
    </row>
    <row r="10" spans="3:31" x14ac:dyDescent="0.2">
      <c r="C10" s="279" t="s">
        <v>2165</v>
      </c>
      <c r="D10" s="280" t="s">
        <v>560</v>
      </c>
      <c r="E10" s="281" t="str">
        <f t="shared" si="0"/>
        <v>HIGH</v>
      </c>
      <c r="F10" s="291">
        <f>(Table7[[#This Row],[consequence]]/Table7[[#This Row],[Data Observations]])*(Table7[[#This Row],[probability]]/Table7[[#This Row],[Data Observations]])</f>
        <v>26.115699537201849</v>
      </c>
      <c r="G10" s="295" t="str">
        <f xml:space="preserve"> IF(AND(Table7[[#This Row],[Data Quality Score]]&gt;0, 0.2&gt;=Table7[[#This Row],[Data Quality Score]]), "VERY LOW", IF(AND(Table7[[#This Row],[Data Quality Score]]&gt;0.201, 0.4 &gt;=Table7[[#This Row],[Data Quality Score]]), "LOW", IF(AND(Table7[[#This Row],[Data Quality Score]]&gt;0.401, 0.6&gt;=Table7[[#This Row],[Data Quality Score]]), "MODERATE", IF(AND(Table7[[#This Row],[Data Quality Score]]&gt;0.6000001, 0.8&gt;=Table7[[#This Row],[Data Quality Score]]), "HIGH", IF(AND(Table7[[#This Row],[Data Quality Score]]&gt;0.800001, 1&gt;=Table7[[#This Row],[Data Quality Score]]), "VERY HIGH", "Check Formula")))))</f>
        <v>MODERATE</v>
      </c>
      <c r="H10" s="297">
        <f>(Table7[[#This Row],[LoA_Score]]+Table7[[#This Row],[ES_Score]])/100</f>
        <v>0.54534001046061353</v>
      </c>
      <c r="I10" s="295" t="str">
        <f>Table7[[#This Row],[LoA]]&amp;", "&amp;Table7[[#This Row],[ES]]</f>
        <v>Medium agreement, Medium evidence</v>
      </c>
      <c r="J10" s="295" t="str">
        <f xml:space="preserve"> IF(AND(Table7[[#This Row],[LoA_Score]]&gt;=0, 16.66&gt;=Table7[[#This Row],[LoA_Score]]), "Low agreement", IF(AND(Table7[[#This Row],[LoA_Score]]&gt;=16.67, 33.33 &gt;=Table7[[#This Row],[LoA_Score]]), "Medium agreement", IF(AND(Table7[[#This Row],[LoA_Score]]&gt;=33.34, 50&gt;=Table7[[#This Row],[LoA_Score]]), "High agreement", "Check Formula")))</f>
        <v>Medium agreement</v>
      </c>
      <c r="K10" s="295" t="str">
        <f xml:space="preserve"> IF(AND(Table7[[#This Row],[ES_Score]]&gt;=0, 16.66&gt;=Table7[[#This Row],[ES_Score]]), "Limited evidence", IF(AND(Table7[[#This Row],[ES_Score]]&gt;=16.67, 33.33 &gt;=Table7[[#This Row],[ES_Score]]), "Medium evidence", IF(AND(Table7[[#This Row],[ES_Score]]&gt;=33.34, 50&gt;=Table7[[#This Row],[ES_Score]]), "Robust evidence", "Check Formula")))</f>
        <v>Medium evidence</v>
      </c>
      <c r="L10" s="280">
        <f>COUNTIFS(Table4[HazardRisk_Category],Table7[[#This Row],[Sector]])</f>
        <v>11</v>
      </c>
      <c r="M10" s="289">
        <f>SUMIFS(Table4[data_observations], Table4[HazardRisk_Category],Table7[[#This Row],[Sector]])</f>
        <v>53</v>
      </c>
      <c r="N10" s="289">
        <f>SUMIFS(Table4[consequence_summed], Table4[HazardRisk_Category],Table7[[#This Row],[Sector]])</f>
        <v>351</v>
      </c>
      <c r="O10" s="289">
        <f>SUMIFS(Table4[probability_summed], Table4[HazardRisk_Category],Table7[[#This Row],[Sector]])</f>
        <v>209</v>
      </c>
      <c r="P10" s="289">
        <f>Table7[[#This Row],[summed LoA]]/Table7[[#This Row],[count]]</f>
        <v>27.844352617079888</v>
      </c>
      <c r="Q10" s="289">
        <f>Table7[[#This Row],[summed ES]]/Table7[[#This Row],[count]]</f>
        <v>26.68964842898146</v>
      </c>
      <c r="R10" s="289">
        <f>SUMIFS(Table4[ES_SCORE], Table4[HazardRisk_Category],Table7[[#This Row],[Sector]])</f>
        <v>293.58613271879608</v>
      </c>
      <c r="S10" s="293">
        <f>SUMIFS(Table4[LoA_SCORE], Table4[HazardRisk_Category],Table7[[#This Row],[Sector]])</f>
        <v>306.28787878787875</v>
      </c>
      <c r="Y10" s="215"/>
      <c r="Z10" s="215"/>
      <c r="AA10" s="214"/>
      <c r="AB10" s="214"/>
      <c r="AC10" s="214"/>
      <c r="AD10" s="214"/>
      <c r="AE10" s="214"/>
    </row>
    <row r="11" spans="3:31" x14ac:dyDescent="0.2">
      <c r="C11" s="279" t="s">
        <v>2166</v>
      </c>
      <c r="D11" s="280" t="s">
        <v>475</v>
      </c>
      <c r="E11" s="281" t="str">
        <f t="shared" si="0"/>
        <v>MODERATE</v>
      </c>
      <c r="F11" s="291">
        <f>(Table7[[#This Row],[consequence]]/Table7[[#This Row],[Data Observations]])*(Table7[[#This Row],[probability]]/Table7[[#This Row],[Data Observations]])</f>
        <v>23.394296061566319</v>
      </c>
      <c r="G11" s="295" t="str">
        <f xml:space="preserve"> IF(AND(Table7[[#This Row],[Data Quality Score]]&gt;0, 0.2&gt;=Table7[[#This Row],[Data Quality Score]]), "VERY LOW", IF(AND(Table7[[#This Row],[Data Quality Score]]&gt;0.201, 0.4 &gt;=Table7[[#This Row],[Data Quality Score]]), "LOW", IF(AND(Table7[[#This Row],[Data Quality Score]]&gt;0.401, 0.6&gt;=Table7[[#This Row],[Data Quality Score]]), "MODERATE", IF(AND(Table7[[#This Row],[Data Quality Score]]&gt;0.6000001, 0.8&gt;=Table7[[#This Row],[Data Quality Score]]), "HIGH", IF(AND(Table7[[#This Row],[Data Quality Score]]&gt;0.800001, 1&gt;=Table7[[#This Row],[Data Quality Score]]), "VERY HIGH", "Check Formula")))))</f>
        <v>MODERATE</v>
      </c>
      <c r="H11" s="297">
        <f>(Table7[[#This Row],[LoA_Score]]+Table7[[#This Row],[ES_Score]])/100</f>
        <v>0.55128075996703441</v>
      </c>
      <c r="I11" s="295" t="str">
        <f>Table7[[#This Row],[LoA]]&amp;", "&amp;Table7[[#This Row],[ES]]</f>
        <v>Medium agreement, Medium evidence</v>
      </c>
      <c r="J11" s="295" t="str">
        <f xml:space="preserve"> IF(AND(Table7[[#This Row],[LoA_Score]]&gt;=0, 16.66&gt;=Table7[[#This Row],[LoA_Score]]), "Low agreement", IF(AND(Table7[[#This Row],[LoA_Score]]&gt;=16.67, 33.33 &gt;=Table7[[#This Row],[LoA_Score]]), "Medium agreement", IF(AND(Table7[[#This Row],[LoA_Score]]&gt;=33.34, 50&gt;=Table7[[#This Row],[LoA_Score]]), "High agreement", "Check Formula")))</f>
        <v>Medium agreement</v>
      </c>
      <c r="K11" s="295" t="str">
        <f xml:space="preserve"> IF(AND(Table7[[#This Row],[ES_Score]]&gt;=0, 16.66&gt;=Table7[[#This Row],[ES_Score]]), "Limited evidence", IF(AND(Table7[[#This Row],[ES_Score]]&gt;=16.67, 33.33 &gt;=Table7[[#This Row],[ES_Score]]), "Medium evidence", IF(AND(Table7[[#This Row],[ES_Score]]&gt;=33.34, 50&gt;=Table7[[#This Row],[ES_Score]]), "Robust evidence", "Check Formula")))</f>
        <v>Medium evidence</v>
      </c>
      <c r="L11" s="280">
        <f>COUNTIFS(Table4[HazardRisk_Category],Table7[[#This Row],[Sector]])</f>
        <v>25</v>
      </c>
      <c r="M11" s="289">
        <f>SUMIFS(Table4[data_observations], Table4[HazardRisk_Category],Table7[[#This Row],[Sector]])</f>
        <v>94</v>
      </c>
      <c r="N11" s="289">
        <f>SUMIFS(Table4[consequence_summed], Table4[HazardRisk_Category],Table7[[#This Row],[Sector]])</f>
        <v>638</v>
      </c>
      <c r="O11" s="289">
        <f>SUMIFS(Table4[probability_summed], Table4[HazardRisk_Category],Table7[[#This Row],[Sector]])</f>
        <v>324</v>
      </c>
      <c r="P11" s="289">
        <f>Table7[[#This Row],[summed LoA]]/Table7[[#This Row],[count]]</f>
        <v>30.15775910364146</v>
      </c>
      <c r="Q11" s="289">
        <f>Table7[[#This Row],[summed ES]]/Table7[[#This Row],[count]]</f>
        <v>24.97031689306198</v>
      </c>
      <c r="R11" s="289">
        <f>SUMIFS(Table4[ES_SCORE], Table4[HazardRisk_Category],Table7[[#This Row],[Sector]])</f>
        <v>624.25792232654953</v>
      </c>
      <c r="S11" s="293">
        <f>SUMIFS(Table4[LoA_SCORE], Table4[HazardRisk_Category],Table7[[#This Row],[Sector]])</f>
        <v>753.94397759103651</v>
      </c>
      <c r="Y11" s="215"/>
      <c r="Z11" s="215"/>
      <c r="AA11" s="214"/>
      <c r="AB11" s="214"/>
      <c r="AC11" s="214"/>
      <c r="AD11" s="214"/>
      <c r="AE11" s="214"/>
    </row>
    <row r="12" spans="3:31" x14ac:dyDescent="0.2">
      <c r="C12" s="279" t="s">
        <v>2171</v>
      </c>
      <c r="D12" s="280" t="s">
        <v>702</v>
      </c>
      <c r="E12" s="281" t="str">
        <f t="shared" si="0"/>
        <v>MODERATE</v>
      </c>
      <c r="F12" s="291">
        <f>(Table7[[#This Row],[consequence]]/Table7[[#This Row],[Data Observations]])*(Table7[[#This Row],[probability]]/Table7[[#This Row],[Data Observations]])</f>
        <v>21.232514177693762</v>
      </c>
      <c r="G12" s="295" t="str">
        <f xml:space="preserve"> IF(AND(Table7[[#This Row],[Data Quality Score]]&gt;0, 0.2&gt;=Table7[[#This Row],[Data Quality Score]]), "VERY LOW", IF(AND(Table7[[#This Row],[Data Quality Score]]&gt;0.201, 0.4 &gt;=Table7[[#This Row],[Data Quality Score]]), "LOW", IF(AND(Table7[[#This Row],[Data Quality Score]]&gt;0.401, 0.6&gt;=Table7[[#This Row],[Data Quality Score]]), "MODERATE", IF(AND(Table7[[#This Row],[Data Quality Score]]&gt;0.6000001, 0.8&gt;=Table7[[#This Row],[Data Quality Score]]), "HIGH", IF(AND(Table7[[#This Row],[Data Quality Score]]&gt;0.800001, 1&gt;=Table7[[#This Row],[Data Quality Score]]), "VERY HIGH", "Check Formula")))))</f>
        <v>MODERATE</v>
      </c>
      <c r="H12" s="297">
        <f>(Table7[[#This Row],[LoA_Score]]+Table7[[#This Row],[ES_Score]])/100</f>
        <v>0.5678531921709008</v>
      </c>
      <c r="I12" s="295" t="str">
        <f>Table7[[#This Row],[LoA]]&amp;", "&amp;Table7[[#This Row],[ES]]</f>
        <v>Medium agreement, Medium evidence</v>
      </c>
      <c r="J12" s="295" t="str">
        <f xml:space="preserve"> IF(AND(Table7[[#This Row],[LoA_Score]]&gt;=0, 16.66&gt;=Table7[[#This Row],[LoA_Score]]), "Low agreement", IF(AND(Table7[[#This Row],[LoA_Score]]&gt;=16.67, 33.33 &gt;=Table7[[#This Row],[LoA_Score]]), "Medium agreement", IF(AND(Table7[[#This Row],[LoA_Score]]&gt;=33.34, 50&gt;=Table7[[#This Row],[LoA_Score]]), "High agreement", "Check Formula")))</f>
        <v>Medium agreement</v>
      </c>
      <c r="K12" s="295" t="str">
        <f xml:space="preserve"> IF(AND(Table7[[#This Row],[ES_Score]]&gt;=0, 16.66&gt;=Table7[[#This Row],[ES_Score]]), "Limited evidence", IF(AND(Table7[[#This Row],[ES_Score]]&gt;=16.67, 33.33 &gt;=Table7[[#This Row],[ES_Score]]), "Medium evidence", IF(AND(Table7[[#This Row],[ES_Score]]&gt;=33.34, 50&gt;=Table7[[#This Row],[ES_Score]]), "Robust evidence", "Check Formula")))</f>
        <v>Medium evidence</v>
      </c>
      <c r="L12" s="280">
        <f>COUNTIFS(Table4[HazardRisk_Category],Table7[[#This Row],[Sector]])</f>
        <v>5</v>
      </c>
      <c r="M12" s="289">
        <f>SUMIFS(Table4[data_observations], Table4[HazardRisk_Category],Table7[[#This Row],[Sector]])</f>
        <v>23</v>
      </c>
      <c r="N12" s="289">
        <f>SUMIFS(Table4[consequence_summed], Table4[HazardRisk_Category],Table7[[#This Row],[Sector]])</f>
        <v>144</v>
      </c>
      <c r="O12" s="289">
        <f>SUMIFS(Table4[probability_summed], Table4[HazardRisk_Category],Table7[[#This Row],[Sector]])</f>
        <v>78</v>
      </c>
      <c r="P12" s="289">
        <f>Table7[[#This Row],[summed LoA]]/Table7[[#This Row],[count]]</f>
        <v>29.533333333333331</v>
      </c>
      <c r="Q12" s="289">
        <f>Table7[[#This Row],[summed ES]]/Table7[[#This Row],[count]]</f>
        <v>27.251985883756742</v>
      </c>
      <c r="R12" s="289">
        <f>SUMIFS(Table4[ES_SCORE], Table4[HazardRisk_Category],Table7[[#This Row],[Sector]])</f>
        <v>136.25992941878371</v>
      </c>
      <c r="S12" s="293">
        <f>SUMIFS(Table4[LoA_SCORE], Table4[HazardRisk_Category],Table7[[#This Row],[Sector]])</f>
        <v>147.66666666666666</v>
      </c>
      <c r="Y12" s="215"/>
      <c r="Z12" s="215"/>
      <c r="AA12" s="214"/>
      <c r="AB12" s="214"/>
      <c r="AC12" s="214"/>
      <c r="AD12" s="214"/>
      <c r="AE12" s="214"/>
    </row>
    <row r="13" spans="3:31" x14ac:dyDescent="0.2">
      <c r="C13" s="279" t="s">
        <v>2168</v>
      </c>
      <c r="D13" s="280" t="s">
        <v>541</v>
      </c>
      <c r="E13" s="281" t="str">
        <f t="shared" si="0"/>
        <v>HIGH</v>
      </c>
      <c r="F13" s="291">
        <f>(Table7[[#This Row],[consequence]]/Table7[[#This Row],[Data Observations]])*(Table7[[#This Row],[probability]]/Table7[[#This Row],[Data Observations]])</f>
        <v>29.382716049382715</v>
      </c>
      <c r="G13" s="295" t="str">
        <f xml:space="preserve"> IF(AND(Table7[[#This Row],[Data Quality Score]]&gt;0, 0.2&gt;=Table7[[#This Row],[Data Quality Score]]), "VERY LOW", IF(AND(Table7[[#This Row],[Data Quality Score]]&gt;0.201, 0.4 &gt;=Table7[[#This Row],[Data Quality Score]]), "LOW", IF(AND(Table7[[#This Row],[Data Quality Score]]&gt;0.401, 0.6&gt;=Table7[[#This Row],[Data Quality Score]]), "MODERATE", IF(AND(Table7[[#This Row],[Data Quality Score]]&gt;0.6000001, 0.8&gt;=Table7[[#This Row],[Data Quality Score]]), "HIGH", IF(AND(Table7[[#This Row],[Data Quality Score]]&gt;0.800001, 1&gt;=Table7[[#This Row],[Data Quality Score]]), "VERY HIGH", "Check Formula")))))</f>
        <v>MODERATE</v>
      </c>
      <c r="H13" s="297">
        <f>(Table7[[#This Row],[LoA_Score]]+Table7[[#This Row],[ES_Score]])/100</f>
        <v>0.5701658792960469</v>
      </c>
      <c r="I13" s="295" t="str">
        <f>Table7[[#This Row],[LoA]]&amp;", "&amp;Table7[[#This Row],[ES]]</f>
        <v>Medium agreement, Medium evidence</v>
      </c>
      <c r="J13" s="295" t="str">
        <f xml:space="preserve"> IF(AND(Table7[[#This Row],[LoA_Score]]&gt;=0, 16.66&gt;=Table7[[#This Row],[LoA_Score]]), "Low agreement", IF(AND(Table7[[#This Row],[LoA_Score]]&gt;=16.67, 33.33 &gt;=Table7[[#This Row],[LoA_Score]]), "Medium agreement", IF(AND(Table7[[#This Row],[LoA_Score]]&gt;=33.34, 50&gt;=Table7[[#This Row],[LoA_Score]]), "High agreement", "Check Formula")))</f>
        <v>Medium agreement</v>
      </c>
      <c r="K13" s="295" t="str">
        <f xml:space="preserve"> IF(AND(Table7[[#This Row],[ES_Score]]&gt;=0, 16.66&gt;=Table7[[#This Row],[ES_Score]]), "Limited evidence", IF(AND(Table7[[#This Row],[ES_Score]]&gt;=16.67, 33.33 &gt;=Table7[[#This Row],[ES_Score]]), "Medium evidence", IF(AND(Table7[[#This Row],[ES_Score]]&gt;=33.34, 50&gt;=Table7[[#This Row],[ES_Score]]), "Robust evidence", "Check Formula")))</f>
        <v>Medium evidence</v>
      </c>
      <c r="L13" s="280">
        <f>COUNTIFS(Table4[HazardRisk_Category],Table7[[#This Row],[Sector]])</f>
        <v>13</v>
      </c>
      <c r="M13" s="289">
        <f>SUMIFS(Table4[data_observations], Table4[HazardRisk_Category],Table7[[#This Row],[Sector]])</f>
        <v>72</v>
      </c>
      <c r="N13" s="289">
        <f>SUMIFS(Table4[consequence_summed], Table4[HazardRisk_Category],Table7[[#This Row],[Sector]])</f>
        <v>560</v>
      </c>
      <c r="O13" s="289">
        <f>SUMIFS(Table4[probability_summed], Table4[HazardRisk_Category],Table7[[#This Row],[Sector]])</f>
        <v>272</v>
      </c>
      <c r="P13" s="289">
        <f>Table7[[#This Row],[summed LoA]]/Table7[[#This Row],[count]]</f>
        <v>30.636537670474322</v>
      </c>
      <c r="Q13" s="289">
        <f>Table7[[#This Row],[summed ES]]/Table7[[#This Row],[count]]</f>
        <v>26.380050259130368</v>
      </c>
      <c r="R13" s="289">
        <f>SUMIFS(Table4[ES_SCORE], Table4[HazardRisk_Category],Table7[[#This Row],[Sector]])</f>
        <v>342.94065336869477</v>
      </c>
      <c r="S13" s="293">
        <f>SUMIFS(Table4[LoA_SCORE], Table4[HazardRisk_Category],Table7[[#This Row],[Sector]])</f>
        <v>398.2749897161662</v>
      </c>
      <c r="Y13" s="215"/>
      <c r="Z13" s="215"/>
      <c r="AA13" s="214"/>
      <c r="AB13" s="214"/>
      <c r="AC13" s="214"/>
      <c r="AD13" s="214"/>
      <c r="AE13" s="214"/>
    </row>
    <row r="14" spans="3:31" x14ac:dyDescent="0.2">
      <c r="C14" s="279" t="s">
        <v>2170</v>
      </c>
      <c r="D14" s="280" t="s">
        <v>697</v>
      </c>
      <c r="E14" s="281" t="str">
        <f t="shared" si="0"/>
        <v>MODERATE</v>
      </c>
      <c r="F14" s="291">
        <f>(Table7[[#This Row],[consequence]]/Table7[[#This Row],[Data Observations]])*(Table7[[#This Row],[probability]]/Table7[[#This Row],[Data Observations]])</f>
        <v>22.947658402203853</v>
      </c>
      <c r="G14" s="295" t="str">
        <f xml:space="preserve"> IF(AND(Table7[[#This Row],[Data Quality Score]]&gt;0, 0.2&gt;=Table7[[#This Row],[Data Quality Score]]), "VERY LOW", IF(AND(Table7[[#This Row],[Data Quality Score]]&gt;0.201, 0.4 &gt;=Table7[[#This Row],[Data Quality Score]]), "LOW", IF(AND(Table7[[#This Row],[Data Quality Score]]&gt;0.401, 0.6&gt;=Table7[[#This Row],[Data Quality Score]]), "MODERATE", IF(AND(Table7[[#This Row],[Data Quality Score]]&gt;0.6000001, 0.8&gt;=Table7[[#This Row],[Data Quality Score]]), "HIGH", IF(AND(Table7[[#This Row],[Data Quality Score]]&gt;0.800001, 1&gt;=Table7[[#This Row],[Data Quality Score]]), "VERY HIGH", "Check Formula")))))</f>
        <v>MODERATE</v>
      </c>
      <c r="H14" s="297">
        <f>(Table7[[#This Row],[LoA_Score]]+Table7[[#This Row],[ES_Score]])/100</f>
        <v>0.58214925158989306</v>
      </c>
      <c r="I14" s="295" t="str">
        <f>Table7[[#This Row],[LoA]]&amp;", "&amp;Table7[[#This Row],[ES]]</f>
        <v>Medium agreement, Medium evidence</v>
      </c>
      <c r="J14" s="295" t="str">
        <f xml:space="preserve"> IF(AND(Table7[[#This Row],[LoA_Score]]&gt;=0, 16.66&gt;=Table7[[#This Row],[LoA_Score]]), "Low agreement", IF(AND(Table7[[#This Row],[LoA_Score]]&gt;=16.67, 33.33 &gt;=Table7[[#This Row],[LoA_Score]]), "Medium agreement", IF(AND(Table7[[#This Row],[LoA_Score]]&gt;=33.34, 50&gt;=Table7[[#This Row],[LoA_Score]]), "High agreement", "Check Formula")))</f>
        <v>Medium agreement</v>
      </c>
      <c r="K14" s="295" t="str">
        <f xml:space="preserve"> IF(AND(Table7[[#This Row],[ES_Score]]&gt;=0, 16.66&gt;=Table7[[#This Row],[ES_Score]]), "Limited evidence", IF(AND(Table7[[#This Row],[ES_Score]]&gt;=16.67, 33.33 &gt;=Table7[[#This Row],[ES_Score]]), "Medium evidence", IF(AND(Table7[[#This Row],[ES_Score]]&gt;=33.34, 50&gt;=Table7[[#This Row],[ES_Score]]), "Robust evidence", "Check Formula")))</f>
        <v>Medium evidence</v>
      </c>
      <c r="L14" s="280">
        <f>COUNTIFS(Table4[HazardRisk_Category],Table7[[#This Row],[Sector]])</f>
        <v>7</v>
      </c>
      <c r="M14" s="289">
        <f>SUMIFS(Table4[data_observations], Table4[HazardRisk_Category],Table7[[#This Row],[Sector]])</f>
        <v>33</v>
      </c>
      <c r="N14" s="289">
        <f>SUMIFS(Table4[consequence_summed], Table4[HazardRisk_Category],Table7[[#This Row],[Sector]])</f>
        <v>170</v>
      </c>
      <c r="O14" s="289">
        <f>SUMIFS(Table4[probability_summed], Table4[HazardRisk_Category],Table7[[#This Row],[Sector]])</f>
        <v>147</v>
      </c>
      <c r="P14" s="289">
        <f>Table7[[#This Row],[summed LoA]]/Table7[[#This Row],[count]]</f>
        <v>29.696428571428573</v>
      </c>
      <c r="Q14" s="289">
        <f>Table7[[#This Row],[summed ES]]/Table7[[#This Row],[count]]</f>
        <v>28.518496587560726</v>
      </c>
      <c r="R14" s="289">
        <f>SUMIFS(Table4[ES_SCORE], Table4[HazardRisk_Category],Table7[[#This Row],[Sector]])</f>
        <v>199.62947611292509</v>
      </c>
      <c r="S14" s="293">
        <f>SUMIFS(Table4[LoA_SCORE], Table4[HazardRisk_Category],Table7[[#This Row],[Sector]])</f>
        <v>207.875</v>
      </c>
      <c r="Y14" s="215"/>
      <c r="Z14" s="215"/>
      <c r="AA14" s="214"/>
      <c r="AB14" s="214"/>
      <c r="AC14" s="214"/>
      <c r="AD14" s="214"/>
      <c r="AE14" s="214"/>
    </row>
    <row r="15" spans="3:31" x14ac:dyDescent="0.2">
      <c r="C15" s="279" t="s">
        <v>2163</v>
      </c>
      <c r="D15" s="280" t="s">
        <v>462</v>
      </c>
      <c r="E15" s="281" t="str">
        <f t="shared" si="0"/>
        <v>MODERATE</v>
      </c>
      <c r="F15" s="291">
        <f>(Table7[[#This Row],[consequence]]/Table7[[#This Row],[Data Observations]])*(Table7[[#This Row],[probability]]/Table7[[#This Row],[Data Observations]])</f>
        <v>24.623039480800429</v>
      </c>
      <c r="G15" s="295" t="str">
        <f xml:space="preserve"> IF(AND(Table7[[#This Row],[Data Quality Score]]&gt;0, 0.2&gt;=Table7[[#This Row],[Data Quality Score]]), "VERY LOW", IF(AND(Table7[[#This Row],[Data Quality Score]]&gt;0.201, 0.4 &gt;=Table7[[#This Row],[Data Quality Score]]), "LOW", IF(AND(Table7[[#This Row],[Data Quality Score]]&gt;0.401, 0.6&gt;=Table7[[#This Row],[Data Quality Score]]), "MODERATE", IF(AND(Table7[[#This Row],[Data Quality Score]]&gt;0.6000001, 0.8&gt;=Table7[[#This Row],[Data Quality Score]]), "HIGH", IF(AND(Table7[[#This Row],[Data Quality Score]]&gt;0.800001, 1&gt;=Table7[[#This Row],[Data Quality Score]]), "VERY HIGH", "Check Formula")))))</f>
        <v>MODERATE</v>
      </c>
      <c r="H15" s="297">
        <f>(Table7[[#This Row],[LoA_Score]]+Table7[[#This Row],[ES_Score]])/100</f>
        <v>0.59959865340550089</v>
      </c>
      <c r="I15" s="295" t="str">
        <f>Table7[[#This Row],[LoA]]&amp;", "&amp;Table7[[#This Row],[ES]]</f>
        <v>High agreement, Medium evidence</v>
      </c>
      <c r="J15" s="295" t="str">
        <f xml:space="preserve"> IF(AND(Table7[[#This Row],[LoA_Score]]&gt;=0, 16.66&gt;=Table7[[#This Row],[LoA_Score]]), "Low agreement", IF(AND(Table7[[#This Row],[LoA_Score]]&gt;=16.67, 33.33 &gt;=Table7[[#This Row],[LoA_Score]]), "Medium agreement", IF(AND(Table7[[#This Row],[LoA_Score]]&gt;=33.34, 50&gt;=Table7[[#This Row],[LoA_Score]]), "High agreement", "Check Formula")))</f>
        <v>High agreement</v>
      </c>
      <c r="K15" s="295" t="str">
        <f xml:space="preserve"> IF(AND(Table7[[#This Row],[ES_Score]]&gt;=0, 16.66&gt;=Table7[[#This Row],[ES_Score]]), "Limited evidence", IF(AND(Table7[[#This Row],[ES_Score]]&gt;=16.67, 33.33 &gt;=Table7[[#This Row],[ES_Score]]), "Medium evidence", IF(AND(Table7[[#This Row],[ES_Score]]&gt;=33.34, 50&gt;=Table7[[#This Row],[ES_Score]]), "Robust evidence", "Check Formula")))</f>
        <v>Medium evidence</v>
      </c>
      <c r="L15" s="280">
        <f>COUNTIFS(Table4[HazardRisk_Category],Table7[[#This Row],[Sector]])</f>
        <v>9</v>
      </c>
      <c r="M15" s="289">
        <f>SUMIFS(Table4[data_observations], Table4[HazardRisk_Category],Table7[[#This Row],[Sector]])</f>
        <v>43</v>
      </c>
      <c r="N15" s="289">
        <f>SUMIFS(Table4[consequence_summed], Table4[HazardRisk_Category],Table7[[#This Row],[Sector]])</f>
        <v>271</v>
      </c>
      <c r="O15" s="289">
        <f>SUMIFS(Table4[probability_summed], Table4[HazardRisk_Category],Table7[[#This Row],[Sector]])</f>
        <v>168</v>
      </c>
      <c r="P15" s="289">
        <f>Table7[[#This Row],[summed LoA]]/Table7[[#This Row],[count]]</f>
        <v>34.638447971781297</v>
      </c>
      <c r="Q15" s="289">
        <f>Table7[[#This Row],[summed ES]]/Table7[[#This Row],[count]]</f>
        <v>25.321417368768792</v>
      </c>
      <c r="R15" s="289">
        <f>SUMIFS(Table4[ES_SCORE], Table4[HazardRisk_Category],Table7[[#This Row],[Sector]])</f>
        <v>227.89275631891911</v>
      </c>
      <c r="S15" s="293">
        <f>SUMIFS(Table4[LoA_SCORE], Table4[HazardRisk_Category],Table7[[#This Row],[Sector]])</f>
        <v>311.74603174603169</v>
      </c>
      <c r="Y15" s="215"/>
      <c r="Z15" s="215"/>
      <c r="AA15" s="214"/>
      <c r="AB15" s="214"/>
      <c r="AC15" s="214"/>
      <c r="AD15" s="214"/>
      <c r="AE15" s="214"/>
    </row>
    <row r="16" spans="3:31" x14ac:dyDescent="0.2">
      <c r="C16" s="279" t="s">
        <v>2167</v>
      </c>
      <c r="D16" s="280" t="s">
        <v>481</v>
      </c>
      <c r="E16" s="281" t="str">
        <f t="shared" si="0"/>
        <v>MODERATE</v>
      </c>
      <c r="F16" s="291">
        <f>(Table7[[#This Row],[consequence]]/Table7[[#This Row],[Data Observations]])*(Table7[[#This Row],[probability]]/Table7[[#This Row],[Data Observations]])</f>
        <v>22.142857142857142</v>
      </c>
      <c r="G16" s="295" t="str">
        <f xml:space="preserve"> IF(AND(Table7[[#This Row],[Data Quality Score]]&gt;0, 0.2&gt;=Table7[[#This Row],[Data Quality Score]]), "VERY LOW", IF(AND(Table7[[#This Row],[Data Quality Score]]&gt;0.201, 0.4 &gt;=Table7[[#This Row],[Data Quality Score]]), "LOW", IF(AND(Table7[[#This Row],[Data Quality Score]]&gt;0.401, 0.6&gt;=Table7[[#This Row],[Data Quality Score]]), "MODERATE", IF(AND(Table7[[#This Row],[Data Quality Score]]&gt;0.6000001, 0.8&gt;=Table7[[#This Row],[Data Quality Score]]), "HIGH", IF(AND(Table7[[#This Row],[Data Quality Score]]&gt;0.800001, 1&gt;=Table7[[#This Row],[Data Quality Score]]), "VERY HIGH", "Check Formula")))))</f>
        <v>HIGH</v>
      </c>
      <c r="H16" s="297">
        <f>(Table7[[#This Row],[LoA_Score]]+Table7[[#This Row],[ES_Score]])/100</f>
        <v>0.60406777816048807</v>
      </c>
      <c r="I16" s="295" t="str">
        <f>Table7[[#This Row],[LoA]]&amp;", "&amp;Table7[[#This Row],[ES]]</f>
        <v>High agreement, Medium evidence</v>
      </c>
      <c r="J16" s="295" t="str">
        <f xml:space="preserve"> IF(AND(Table7[[#This Row],[LoA_Score]]&gt;=0, 16.66&gt;=Table7[[#This Row],[LoA_Score]]), "Low agreement", IF(AND(Table7[[#This Row],[LoA_Score]]&gt;=16.67, 33.33 &gt;=Table7[[#This Row],[LoA_Score]]), "Medium agreement", IF(AND(Table7[[#This Row],[LoA_Score]]&gt;=33.34, 50&gt;=Table7[[#This Row],[LoA_Score]]), "High agreement", "Check Formula")))</f>
        <v>High agreement</v>
      </c>
      <c r="K16" s="295" t="str">
        <f xml:space="preserve"> IF(AND(Table7[[#This Row],[ES_Score]]&gt;=0, 16.66&gt;=Table7[[#This Row],[ES_Score]]), "Limited evidence", IF(AND(Table7[[#This Row],[ES_Score]]&gt;=16.67, 33.33 &gt;=Table7[[#This Row],[ES_Score]]), "Medium evidence", IF(AND(Table7[[#This Row],[ES_Score]]&gt;=33.34, 50&gt;=Table7[[#This Row],[ES_Score]]), "Robust evidence", "Check Formula")))</f>
        <v>Medium evidence</v>
      </c>
      <c r="L16" s="280">
        <f>COUNTIFS(Table4[HazardRisk_Category],Table7[[#This Row],[Sector]])</f>
        <v>24</v>
      </c>
      <c r="M16" s="289">
        <f>SUMIFS(Table4[data_observations], Table4[HazardRisk_Category],Table7[[#This Row],[Sector]])</f>
        <v>161</v>
      </c>
      <c r="N16" s="289">
        <f>SUMIFS(Table4[consequence_summed], Table4[HazardRisk_Category],Table7[[#This Row],[Sector]])</f>
        <v>1085</v>
      </c>
      <c r="O16" s="289">
        <f>SUMIFS(Table4[probability_summed], Table4[HazardRisk_Category],Table7[[#This Row],[Sector]])</f>
        <v>529</v>
      </c>
      <c r="P16" s="289">
        <f>Table7[[#This Row],[summed LoA]]/Table7[[#This Row],[count]]</f>
        <v>33.704408846872077</v>
      </c>
      <c r="Q16" s="289">
        <f>Table7[[#This Row],[summed ES]]/Table7[[#This Row],[count]]</f>
        <v>26.702368969176721</v>
      </c>
      <c r="R16" s="289">
        <f>SUMIFS(Table4[ES_SCORE], Table4[HazardRisk_Category],Table7[[#This Row],[Sector]])</f>
        <v>640.85685526024133</v>
      </c>
      <c r="S16" s="293">
        <f>SUMIFS(Table4[LoA_SCORE], Table4[HazardRisk_Category],Table7[[#This Row],[Sector]])</f>
        <v>808.9058123249298</v>
      </c>
      <c r="W16" s="208"/>
      <c r="Y16" s="215"/>
      <c r="Z16" s="215"/>
      <c r="AA16" s="214"/>
      <c r="AB16" s="214"/>
      <c r="AC16" s="214"/>
      <c r="AD16" s="214"/>
      <c r="AE16" s="214"/>
    </row>
    <row r="17" spans="3:31" x14ac:dyDescent="0.2">
      <c r="C17" s="279" t="s">
        <v>2162</v>
      </c>
      <c r="D17" s="280" t="s">
        <v>482</v>
      </c>
      <c r="E17" s="281" t="str">
        <f t="shared" si="0"/>
        <v>HIGH</v>
      </c>
      <c r="F17" s="291">
        <f>(Table7[[#This Row],[consequence]]/Table7[[#This Row],[Data Observations]])*(Table7[[#This Row],[probability]]/Table7[[#This Row],[Data Observations]])</f>
        <v>26.37434320133282</v>
      </c>
      <c r="G17" s="295" t="str">
        <f xml:space="preserve"> IF(AND(Table7[[#This Row],[Data Quality Score]]&gt;0, 0.2&gt;=Table7[[#This Row],[Data Quality Score]]), "VERY LOW", IF(AND(Table7[[#This Row],[Data Quality Score]]&gt;0.201, 0.4 &gt;=Table7[[#This Row],[Data Quality Score]]), "LOW", IF(AND(Table7[[#This Row],[Data Quality Score]]&gt;0.401, 0.6&gt;=Table7[[#This Row],[Data Quality Score]]), "MODERATE", IF(AND(Table7[[#This Row],[Data Quality Score]]&gt;0.6000001, 0.8&gt;=Table7[[#This Row],[Data Quality Score]]), "HIGH", IF(AND(Table7[[#This Row],[Data Quality Score]]&gt;0.800001, 1&gt;=Table7[[#This Row],[Data Quality Score]]), "VERY HIGH", "Check Formula")))))</f>
        <v>HIGH</v>
      </c>
      <c r="H17" s="297">
        <f>(Table7[[#This Row],[LoA_Score]]+Table7[[#This Row],[ES_Score]])/100</f>
        <v>0.60745160179974478</v>
      </c>
      <c r="I17" s="295" t="str">
        <f>Table7[[#This Row],[LoA]]&amp;", "&amp;Table7[[#This Row],[ES]]</f>
        <v>High agreement, Medium evidence</v>
      </c>
      <c r="J17" s="295" t="str">
        <f xml:space="preserve"> IF(AND(Table7[[#This Row],[LoA_Score]]&gt;=0, 16.66&gt;=Table7[[#This Row],[LoA_Score]]), "Low agreement", IF(AND(Table7[[#This Row],[LoA_Score]]&gt;=16.67, 33.33 &gt;=Table7[[#This Row],[LoA_Score]]), "Medium agreement", IF(AND(Table7[[#This Row],[LoA_Score]]&gt;=33.34, 50&gt;=Table7[[#This Row],[LoA_Score]]), "High agreement", "Check Formula")))</f>
        <v>High agreement</v>
      </c>
      <c r="K17" s="295" t="str">
        <f xml:space="preserve"> IF(AND(Table7[[#This Row],[ES_Score]]&gt;=0, 16.66&gt;=Table7[[#This Row],[ES_Score]]), "Limited evidence", IF(AND(Table7[[#This Row],[ES_Score]]&gt;=16.67, 33.33 &gt;=Table7[[#This Row],[ES_Score]]), "Medium evidence", IF(AND(Table7[[#This Row],[ES_Score]]&gt;=33.34, 50&gt;=Table7[[#This Row],[ES_Score]]), "Robust evidence", "Check Formula")))</f>
        <v>Medium evidence</v>
      </c>
      <c r="L17" s="280">
        <f>COUNTIFS(Table4[HazardRisk_Category],Table7[[#This Row],[Sector]])</f>
        <v>26</v>
      </c>
      <c r="M17" s="289">
        <f>SUMIFS(Table4[data_observations], Table4[HazardRisk_Category],Table7[[#This Row],[Sector]])</f>
        <v>153</v>
      </c>
      <c r="N17" s="289">
        <f>SUMIFS(Table4[consequence_summed], Table4[HazardRisk_Category],Table7[[#This Row],[Sector]])</f>
        <v>1059</v>
      </c>
      <c r="O17" s="289">
        <f>SUMIFS(Table4[probability_summed], Table4[HazardRisk_Category],Table7[[#This Row],[Sector]])</f>
        <v>583</v>
      </c>
      <c r="P17" s="289">
        <f>Table7[[#This Row],[summed LoA]]/Table7[[#This Row],[count]]</f>
        <v>33.928910958322717</v>
      </c>
      <c r="Q17" s="289">
        <f>Table7[[#This Row],[summed ES]]/Table7[[#This Row],[count]]</f>
        <v>26.816249221651756</v>
      </c>
      <c r="R17" s="289">
        <f>SUMIFS(Table4[ES_SCORE], Table4[HazardRisk_Category],Table7[[#This Row],[Sector]])</f>
        <v>697.22247976294568</v>
      </c>
      <c r="S17" s="293">
        <f>SUMIFS(Table4[LoA_SCORE], Table4[HazardRisk_Category],Table7[[#This Row],[Sector]])</f>
        <v>882.15168491639065</v>
      </c>
      <c r="Y17" s="215"/>
      <c r="Z17" s="215"/>
      <c r="AA17" s="214"/>
      <c r="AB17" s="214"/>
      <c r="AC17" s="214"/>
      <c r="AD17" s="214"/>
      <c r="AE17" s="214"/>
    </row>
    <row r="18" spans="3:31" x14ac:dyDescent="0.2">
      <c r="C18" s="279" t="s">
        <v>2169</v>
      </c>
      <c r="D18" s="280" t="s">
        <v>473</v>
      </c>
      <c r="E18" s="281" t="str">
        <f t="shared" si="0"/>
        <v>MODERATE</v>
      </c>
      <c r="F18" s="291">
        <f>(Table7[[#This Row],[consequence]]/Table7[[#This Row],[Data Observations]])*(Table7[[#This Row],[probability]]/Table7[[#This Row],[Data Observations]])</f>
        <v>21.37890625</v>
      </c>
      <c r="G18" s="295" t="str">
        <f xml:space="preserve"> IF(AND(Table7[[#This Row],[Data Quality Score]]&gt;0, 0.2&gt;=Table7[[#This Row],[Data Quality Score]]), "VERY LOW", IF(AND(Table7[[#This Row],[Data Quality Score]]&gt;0.201, 0.4 &gt;=Table7[[#This Row],[Data Quality Score]]), "LOW", IF(AND(Table7[[#This Row],[Data Quality Score]]&gt;0.401, 0.6&gt;=Table7[[#This Row],[Data Quality Score]]), "MODERATE", IF(AND(Table7[[#This Row],[Data Quality Score]]&gt;0.6000001, 0.8&gt;=Table7[[#This Row],[Data Quality Score]]), "HIGH", IF(AND(Table7[[#This Row],[Data Quality Score]]&gt;0.800001, 1&gt;=Table7[[#This Row],[Data Quality Score]]), "VERY HIGH", "Check Formula")))))</f>
        <v>HIGH</v>
      </c>
      <c r="H18" s="297">
        <f>(Table7[[#This Row],[LoA_Score]]+Table7[[#This Row],[ES_Score]])/100</f>
        <v>0.62481302639798952</v>
      </c>
      <c r="I18" s="295" t="str">
        <f>Table7[[#This Row],[LoA]]&amp;", "&amp;Table7[[#This Row],[ES]]</f>
        <v>High agreement, Medium evidence</v>
      </c>
      <c r="J18" s="295" t="str">
        <f xml:space="preserve"> IF(AND(Table7[[#This Row],[LoA_Score]]&gt;=0, 16.66&gt;=Table7[[#This Row],[LoA_Score]]), "Low agreement", IF(AND(Table7[[#This Row],[LoA_Score]]&gt;=16.67, 33.33 &gt;=Table7[[#This Row],[LoA_Score]]), "Medium agreement", IF(AND(Table7[[#This Row],[LoA_Score]]&gt;=33.34, 50&gt;=Table7[[#This Row],[LoA_Score]]), "High agreement", "Check Formula")))</f>
        <v>High agreement</v>
      </c>
      <c r="K18" s="295" t="str">
        <f xml:space="preserve"> IF(AND(Table7[[#This Row],[ES_Score]]&gt;=0, 16.66&gt;=Table7[[#This Row],[ES_Score]]), "Limited evidence", IF(AND(Table7[[#This Row],[ES_Score]]&gt;=16.67, 33.33 &gt;=Table7[[#This Row],[ES_Score]]), "Medium evidence", IF(AND(Table7[[#This Row],[ES_Score]]&gt;=33.34, 50&gt;=Table7[[#This Row],[ES_Score]]), "Robust evidence", "Check Formula")))</f>
        <v>Medium evidence</v>
      </c>
      <c r="L18" s="280">
        <f>COUNTIFS(Table4[HazardRisk_Category],Table7[[#This Row],[Sector]])</f>
        <v>11</v>
      </c>
      <c r="M18" s="289">
        <f>SUMIFS(Table4[data_observations], Table4[HazardRisk_Category],Table7[[#This Row],[Sector]])</f>
        <v>80</v>
      </c>
      <c r="N18" s="289">
        <f>SUMIFS(Table4[consequence_summed], Table4[HazardRisk_Category],Table7[[#This Row],[Sector]])</f>
        <v>421</v>
      </c>
      <c r="O18" s="289">
        <f>SUMIFS(Table4[probability_summed], Table4[HazardRisk_Category],Table7[[#This Row],[Sector]])</f>
        <v>325</v>
      </c>
      <c r="P18" s="289">
        <f>Table7[[#This Row],[summed LoA]]/Table7[[#This Row],[count]]</f>
        <v>36.035631035631035</v>
      </c>
      <c r="Q18" s="289">
        <f>Table7[[#This Row],[summed ES]]/Table7[[#This Row],[count]]</f>
        <v>26.445671604167924</v>
      </c>
      <c r="R18" s="289">
        <f>SUMIFS(Table4[ES_SCORE], Table4[HazardRisk_Category],Table7[[#This Row],[Sector]])</f>
        <v>290.90238764584717</v>
      </c>
      <c r="S18" s="293">
        <f>SUMIFS(Table4[LoA_SCORE], Table4[HazardRisk_Category],Table7[[#This Row],[Sector]])</f>
        <v>396.39194139194137</v>
      </c>
      <c r="Y18" s="215"/>
      <c r="Z18" s="215"/>
      <c r="AA18" s="214"/>
      <c r="AB18" s="214"/>
      <c r="AC18" s="214"/>
      <c r="AD18" s="214"/>
      <c r="AE18" s="214"/>
    </row>
    <row r="19" spans="3:31" x14ac:dyDescent="0.2">
      <c r="C19" s="282" t="s">
        <v>2173</v>
      </c>
      <c r="D19" s="283" t="s">
        <v>446</v>
      </c>
      <c r="E19" s="284" t="str">
        <f t="shared" si="0"/>
        <v>HIGH</v>
      </c>
      <c r="F19" s="292">
        <f>(Table7[[#This Row],[consequence]]/Table7[[#This Row],[Data Observations]])*(Table7[[#This Row],[probability]]/Table7[[#This Row],[Data Observations]])</f>
        <v>29.376344086021504</v>
      </c>
      <c r="G19" s="296" t="str">
        <f xml:space="preserve"> IF(AND(Table7[[#This Row],[Data Quality Score]]&gt;0, 0.2&gt;=Table7[[#This Row],[Data Quality Score]]), "VERY LOW", IF(AND(Table7[[#This Row],[Data Quality Score]]&gt;0.201, 0.4 &gt;=Table7[[#This Row],[Data Quality Score]]), "LOW", IF(AND(Table7[[#This Row],[Data Quality Score]]&gt;0.401, 0.6&gt;=Table7[[#This Row],[Data Quality Score]]), "MODERATE", IF(AND(Table7[[#This Row],[Data Quality Score]]&gt;0.6000001, 0.8&gt;=Table7[[#This Row],[Data Quality Score]]), "HIGH", IF(AND(Table7[[#This Row],[Data Quality Score]]&gt;0.800001, 1&gt;=Table7[[#This Row],[Data Quality Score]]), "VERY HIGH", "Check Formula")))))</f>
        <v>HIGH</v>
      </c>
      <c r="H19" s="298">
        <f>(Table7[[#This Row],[LoA_Score]]+Table7[[#This Row],[ES_Score]])/100</f>
        <v>0.64859289685513832</v>
      </c>
      <c r="I19" s="296" t="str">
        <f>Table7[[#This Row],[LoA]]&amp;", "&amp;Table7[[#This Row],[ES]]</f>
        <v>High agreement, Medium evidence</v>
      </c>
      <c r="J19" s="296" t="str">
        <f xml:space="preserve"> IF(AND(Table7[[#This Row],[LoA_Score]]&gt;=0, 16.66&gt;=Table7[[#This Row],[LoA_Score]]), "Low agreement", IF(AND(Table7[[#This Row],[LoA_Score]]&gt;=16.67, 33.33 &gt;=Table7[[#This Row],[LoA_Score]]), "Medium agreement", IF(AND(Table7[[#This Row],[LoA_Score]]&gt;=33.34, 50&gt;=Table7[[#This Row],[LoA_Score]]), "High agreement", "Check Formula")))</f>
        <v>High agreement</v>
      </c>
      <c r="K19" s="296" t="str">
        <f xml:space="preserve"> IF(AND(Table7[[#This Row],[ES_Score]]&gt;=0, 16.66&gt;=Table7[[#This Row],[ES_Score]]), "Limited evidence", IF(AND(Table7[[#This Row],[ES_Score]]&gt;=16.67, 33.33 &gt;=Table7[[#This Row],[ES_Score]]), "Medium evidence", IF(AND(Table7[[#This Row],[ES_Score]]&gt;=33.34, 50&gt;=Table7[[#This Row],[ES_Score]]), "Robust evidence", "Check Formula")))</f>
        <v>Medium evidence</v>
      </c>
      <c r="L19" s="283">
        <f>COUNTIFS(Table4[HazardRisk_Category],Table7[[#This Row],[Sector]])</f>
        <v>7</v>
      </c>
      <c r="M19" s="290">
        <f>SUMIFS(Table4[data_observations], Table4[HazardRisk_Category],Table7[[#This Row],[Sector]])</f>
        <v>93</v>
      </c>
      <c r="N19" s="289">
        <f>SUMIFS(Table4[consequence_summed], Table4[HazardRisk_Category],Table7[[#This Row],[Sector]])</f>
        <v>683</v>
      </c>
      <c r="O19" s="290">
        <f>SUMIFS(Table4[probability_summed], Table4[HazardRisk_Category],Table7[[#This Row],[Sector]])</f>
        <v>372</v>
      </c>
      <c r="P19" s="290">
        <f>Table7[[#This Row],[summed LoA]]/Table7[[#This Row],[count]]</f>
        <v>35.281702424559569</v>
      </c>
      <c r="Q19" s="290">
        <f>Table7[[#This Row],[summed ES]]/Table7[[#This Row],[count]]</f>
        <v>29.577587260954257</v>
      </c>
      <c r="R19" s="290">
        <f>SUMIFS(Table4[ES_SCORE], Table4[HazardRisk_Category],Table7[[#This Row],[Sector]])</f>
        <v>207.04311082667979</v>
      </c>
      <c r="S19" s="294">
        <f>SUMIFS(Table4[LoA_SCORE], Table4[HazardRisk_Category],Table7[[#This Row],[Sector]])</f>
        <v>246.97191697191698</v>
      </c>
      <c r="Y19" s="215"/>
      <c r="Z19" s="215"/>
      <c r="AA19" s="214"/>
      <c r="AB19" s="214"/>
      <c r="AC19" s="214"/>
      <c r="AD19" s="214"/>
      <c r="AE19" s="214"/>
    </row>
    <row r="20" spans="3:31" x14ac:dyDescent="0.2">
      <c r="J20" s="288"/>
      <c r="K20" s="288"/>
      <c r="L20" s="288"/>
      <c r="M20" s="288"/>
      <c r="N20" s="288"/>
      <c r="O20" s="288"/>
      <c r="P20" s="288"/>
      <c r="Q20" s="288"/>
      <c r="R20" s="288"/>
      <c r="S20" s="288"/>
      <c r="Y20" s="215"/>
      <c r="Z20" s="215"/>
      <c r="AA20" s="214"/>
      <c r="AB20" s="214"/>
      <c r="AC20" s="214"/>
      <c r="AD20" s="214"/>
      <c r="AE20" s="214"/>
    </row>
    <row r="21" spans="3:31" x14ac:dyDescent="0.2">
      <c r="Y21" s="215"/>
      <c r="Z21" s="215"/>
      <c r="AA21" s="214"/>
      <c r="AB21" s="214"/>
      <c r="AC21" s="214"/>
      <c r="AD21" s="214"/>
      <c r="AE21" s="214"/>
    </row>
    <row r="22" spans="3:31" x14ac:dyDescent="0.2">
      <c r="Y22" s="215"/>
      <c r="Z22" s="215"/>
      <c r="AA22" s="214"/>
      <c r="AB22" s="214"/>
      <c r="AC22" s="214"/>
      <c r="AD22" s="214"/>
      <c r="AE22" s="214"/>
    </row>
    <row r="23" spans="3:31" x14ac:dyDescent="0.2">
      <c r="Y23" s="215"/>
      <c r="Z23" s="215"/>
      <c r="AA23" s="214"/>
      <c r="AB23" s="214"/>
      <c r="AC23" s="214"/>
      <c r="AD23" s="214"/>
      <c r="AE23" s="214"/>
    </row>
    <row r="24" spans="3:31" x14ac:dyDescent="0.2">
      <c r="Y24" s="212"/>
      <c r="Z24" s="212"/>
      <c r="AA24" s="212"/>
      <c r="AB24" s="212"/>
      <c r="AC24" s="212"/>
      <c r="AD24" s="212"/>
      <c r="AE24" s="212"/>
    </row>
    <row r="25" spans="3:31" x14ac:dyDescent="0.2">
      <c r="E25" s="302"/>
      <c r="F25" s="302"/>
      <c r="G25" s="302"/>
      <c r="H25" s="302"/>
      <c r="I25" s="302"/>
      <c r="J25" s="302"/>
      <c r="K25" s="302"/>
      <c r="L25" s="302"/>
      <c r="M25" s="302"/>
      <c r="N25" s="302"/>
      <c r="O25" s="302"/>
      <c r="P25" s="302"/>
      <c r="Q25" s="302"/>
      <c r="R25" s="302"/>
      <c r="S25" s="302"/>
      <c r="T25" s="302"/>
    </row>
    <row r="26" spans="3:31" x14ac:dyDescent="0.2">
      <c r="C26" s="310"/>
      <c r="D26" s="302"/>
      <c r="E26" s="302"/>
      <c r="F26" s="302"/>
      <c r="G26" s="302"/>
      <c r="H26" s="303"/>
      <c r="I26" s="302"/>
      <c r="J26" s="302"/>
      <c r="K26" s="302"/>
      <c r="L26" s="302"/>
      <c r="M26" s="302"/>
      <c r="N26" s="302"/>
      <c r="O26" s="302"/>
      <c r="P26" s="302"/>
      <c r="Q26" s="302"/>
      <c r="R26" s="302"/>
      <c r="S26" s="302"/>
      <c r="T26" s="303"/>
    </row>
    <row r="27" spans="3:31" x14ac:dyDescent="0.2">
      <c r="C27" s="310"/>
      <c r="D27" s="302"/>
      <c r="E27" s="302"/>
      <c r="F27" s="302"/>
      <c r="G27" s="302"/>
      <c r="H27" s="303"/>
      <c r="I27" s="302"/>
      <c r="J27" s="302"/>
      <c r="K27" s="302"/>
      <c r="L27" s="302"/>
      <c r="M27" s="302"/>
      <c r="N27" s="302"/>
      <c r="O27" s="302"/>
      <c r="P27" s="302"/>
      <c r="Q27" s="302"/>
      <c r="R27" s="302"/>
      <c r="S27" s="302"/>
      <c r="T27" s="303"/>
      <c r="Z27" s="216" t="s">
        <v>1711</v>
      </c>
    </row>
    <row r="28" spans="3:31" x14ac:dyDescent="0.2">
      <c r="D28" s="302"/>
      <c r="E28" s="302"/>
      <c r="F28" s="302"/>
      <c r="G28" s="302"/>
      <c r="H28" s="303"/>
      <c r="I28" s="302"/>
      <c r="J28" s="302"/>
      <c r="K28" s="302"/>
      <c r="L28" s="302"/>
      <c r="M28" s="302"/>
      <c r="N28" s="302"/>
      <c r="O28" s="302"/>
      <c r="P28" s="302"/>
      <c r="Q28" s="302"/>
      <c r="R28" s="302"/>
      <c r="S28" s="302"/>
      <c r="T28" s="303"/>
      <c r="Y28" s="212"/>
      <c r="AA28" s="212"/>
      <c r="AB28" s="212"/>
      <c r="AC28" s="212"/>
      <c r="AD28" s="212"/>
      <c r="AE28" s="212"/>
    </row>
    <row r="29" spans="3:31" ht="34" x14ac:dyDescent="0.2">
      <c r="Y29" s="213" t="s">
        <v>1704</v>
      </c>
      <c r="Z29" s="213" t="s">
        <v>1703</v>
      </c>
      <c r="AA29" s="213" t="s">
        <v>1705</v>
      </c>
      <c r="AB29" s="213" t="s">
        <v>1706</v>
      </c>
      <c r="AC29" s="213" t="s">
        <v>1709</v>
      </c>
      <c r="AD29" s="213" t="s">
        <v>1707</v>
      </c>
      <c r="AE29" s="213" t="s">
        <v>1708</v>
      </c>
    </row>
    <row r="30" spans="3:31" x14ac:dyDescent="0.2">
      <c r="Y30" s="215"/>
      <c r="Z30" s="215"/>
      <c r="AA30" s="214"/>
      <c r="AB30" s="214"/>
      <c r="AC30" s="214"/>
      <c r="AD30" s="214"/>
      <c r="AE30" s="214"/>
    </row>
    <row r="31" spans="3:31" x14ac:dyDescent="0.2">
      <c r="Y31" s="215"/>
      <c r="Z31" s="215"/>
      <c r="AA31" s="214"/>
      <c r="AB31" s="214"/>
      <c r="AC31" s="214"/>
      <c r="AD31" s="214"/>
      <c r="AE31" s="214"/>
    </row>
    <row r="32" spans="3:31" x14ac:dyDescent="0.2">
      <c r="D32" s="304" t="s">
        <v>2727</v>
      </c>
      <c r="E32" s="304" t="s">
        <v>2732</v>
      </c>
      <c r="F32" s="304" t="s">
        <v>2733</v>
      </c>
      <c r="G32" s="305" t="s">
        <v>2734</v>
      </c>
      <c r="Y32" s="215"/>
      <c r="Z32" s="215"/>
      <c r="AA32" s="214"/>
      <c r="AB32" s="214"/>
      <c r="AC32" s="214"/>
      <c r="AD32" s="214"/>
      <c r="AE32" s="214"/>
    </row>
    <row r="33" spans="2:31" x14ac:dyDescent="0.2">
      <c r="D33" s="302" t="s">
        <v>2728</v>
      </c>
      <c r="E33" s="327">
        <v>5379</v>
      </c>
      <c r="F33" s="307"/>
      <c r="G33" s="308">
        <f>F33+E33</f>
        <v>5379</v>
      </c>
      <c r="Y33" s="215"/>
      <c r="Z33" s="215"/>
      <c r="AA33" s="214"/>
      <c r="AB33" s="214"/>
      <c r="AC33" s="214"/>
      <c r="AD33" s="214"/>
      <c r="AE33" s="214"/>
    </row>
    <row r="34" spans="2:31" x14ac:dyDescent="0.2">
      <c r="D34" s="302" t="s">
        <v>2729</v>
      </c>
      <c r="E34" s="327">
        <v>5900</v>
      </c>
      <c r="F34" s="307"/>
      <c r="G34" s="308">
        <f t="shared" ref="G34:G36" si="1">F34+E34</f>
        <v>5900</v>
      </c>
      <c r="Y34" s="215"/>
      <c r="Z34" s="215"/>
      <c r="AA34" s="214"/>
      <c r="AB34" s="214"/>
      <c r="AC34" s="214"/>
      <c r="AD34" s="214"/>
      <c r="AE34" s="214"/>
    </row>
    <row r="35" spans="2:31" x14ac:dyDescent="0.2">
      <c r="B35">
        <v>550</v>
      </c>
      <c r="C35">
        <v>803</v>
      </c>
      <c r="D35" s="302" t="s">
        <v>2730</v>
      </c>
      <c r="E35" s="313">
        <v>8752</v>
      </c>
      <c r="F35" s="307"/>
      <c r="G35" s="308">
        <f t="shared" si="1"/>
        <v>8752</v>
      </c>
      <c r="Y35" s="215"/>
      <c r="Z35" s="215"/>
      <c r="AA35" s="214"/>
      <c r="AB35" s="214"/>
      <c r="AC35" s="214"/>
      <c r="AD35" s="214"/>
      <c r="AE35" s="214"/>
    </row>
    <row r="36" spans="2:31" x14ac:dyDescent="0.2">
      <c r="D36" s="302" t="s">
        <v>2731</v>
      </c>
      <c r="E36" s="313">
        <v>5631</v>
      </c>
      <c r="F36" s="307"/>
      <c r="G36" s="308">
        <f t="shared" si="1"/>
        <v>5631</v>
      </c>
      <c r="Y36" s="215"/>
      <c r="Z36" s="215"/>
      <c r="AA36" s="214"/>
      <c r="AB36" s="214"/>
      <c r="AC36" s="214"/>
      <c r="AD36" s="214"/>
      <c r="AE36" s="214"/>
    </row>
    <row r="37" spans="2:31" x14ac:dyDescent="0.2">
      <c r="D37" s="306" t="s">
        <v>2735</v>
      </c>
      <c r="E37" s="308">
        <f>SUM(E33:E36)</f>
        <v>25662</v>
      </c>
      <c r="F37" s="308">
        <f>SUM(F33:F36)</f>
        <v>0</v>
      </c>
      <c r="G37" s="308">
        <f>SUM(G33:G36)</f>
        <v>25662</v>
      </c>
      <c r="H37" s="309">
        <f>G37/320</f>
        <v>80.193749999999994</v>
      </c>
      <c r="Y37" s="215"/>
      <c r="Z37" s="215"/>
      <c r="AA37" s="214"/>
      <c r="AB37" s="214"/>
      <c r="AC37" s="214"/>
      <c r="AD37" s="214"/>
      <c r="AE37" s="214"/>
    </row>
    <row r="38" spans="2:31" x14ac:dyDescent="0.2">
      <c r="I38" s="309"/>
      <c r="Y38" s="215"/>
      <c r="Z38" s="215"/>
      <c r="AA38" s="214"/>
      <c r="AB38" s="214"/>
      <c r="AC38" s="214"/>
      <c r="AD38" s="214"/>
      <c r="AE38" s="214"/>
    </row>
    <row r="39" spans="2:31" x14ac:dyDescent="0.2">
      <c r="Y39" s="215"/>
      <c r="Z39" s="215"/>
      <c r="AA39" s="214"/>
      <c r="AB39" s="214"/>
      <c r="AC39" s="214"/>
      <c r="AD39" s="214"/>
      <c r="AE39" s="214"/>
    </row>
    <row r="40" spans="2:31" x14ac:dyDescent="0.2">
      <c r="Y40" s="215"/>
      <c r="Z40" s="215"/>
      <c r="AA40" s="214"/>
      <c r="AB40" s="214"/>
      <c r="AC40" s="214"/>
      <c r="AD40" s="214"/>
      <c r="AE40" s="214"/>
    </row>
    <row r="41" spans="2:31" x14ac:dyDescent="0.2">
      <c r="Y41" s="215"/>
      <c r="Z41" s="215"/>
      <c r="AA41" s="214"/>
      <c r="AB41" s="214"/>
      <c r="AC41" s="214"/>
      <c r="AD41" s="214"/>
      <c r="AE41" s="214"/>
    </row>
    <row r="42" spans="2:31" x14ac:dyDescent="0.2">
      <c r="Y42" s="215"/>
      <c r="Z42" s="215"/>
      <c r="AA42" s="214"/>
      <c r="AB42" s="214"/>
      <c r="AC42" s="214"/>
      <c r="AD42" s="214"/>
      <c r="AE42" s="214"/>
    </row>
    <row r="43" spans="2:31" x14ac:dyDescent="0.2">
      <c r="D43" s="318"/>
      <c r="E43" s="322" t="s">
        <v>2751</v>
      </c>
      <c r="F43" s="321" t="s">
        <v>748</v>
      </c>
      <c r="G43" s="321" t="s">
        <v>749</v>
      </c>
      <c r="H43" s="321" t="s">
        <v>750</v>
      </c>
      <c r="I43" s="321" t="s">
        <v>751</v>
      </c>
      <c r="J43" s="302"/>
      <c r="K43" s="302"/>
      <c r="L43" s="302"/>
      <c r="M43" s="302"/>
      <c r="N43" s="302"/>
      <c r="O43" s="302"/>
      <c r="P43" s="302"/>
      <c r="Q43" s="302"/>
      <c r="R43" s="302"/>
      <c r="S43" s="302"/>
      <c r="T43" s="302" t="s">
        <v>2752</v>
      </c>
      <c r="U43" s="321" t="s">
        <v>748</v>
      </c>
      <c r="V43" s="321" t="s">
        <v>749</v>
      </c>
      <c r="W43" s="321" t="s">
        <v>750</v>
      </c>
      <c r="Y43" s="215"/>
      <c r="Z43" s="215"/>
      <c r="AA43" s="214"/>
      <c r="AB43" s="214"/>
      <c r="AC43" s="214"/>
      <c r="AD43" s="214"/>
      <c r="AE43" s="214"/>
    </row>
    <row r="44" spans="2:31" x14ac:dyDescent="0.2">
      <c r="C44">
        <f>3/24</f>
        <v>0.125</v>
      </c>
      <c r="D44" s="320" t="s">
        <v>2749</v>
      </c>
      <c r="E44" s="321">
        <f>SUM(F44:I44)</f>
        <v>55</v>
      </c>
      <c r="F44" s="321">
        <v>2</v>
      </c>
      <c r="G44" s="321">
        <v>24</v>
      </c>
      <c r="H44" s="321">
        <v>25</v>
      </c>
      <c r="I44" s="321">
        <v>4</v>
      </c>
      <c r="J44" s="302"/>
      <c r="K44" s="302"/>
      <c r="L44" s="302"/>
      <c r="M44" s="302"/>
      <c r="N44" s="302"/>
      <c r="O44" s="302"/>
      <c r="P44" s="302"/>
      <c r="Q44" s="302"/>
      <c r="R44" s="302"/>
      <c r="S44" s="302"/>
      <c r="T44" s="321">
        <f>SUM(U44:W44)</f>
        <v>24</v>
      </c>
      <c r="U44" s="321">
        <v>2</v>
      </c>
      <c r="V44" s="321">
        <v>12</v>
      </c>
      <c r="W44" s="321">
        <v>10</v>
      </c>
      <c r="Y44" s="215"/>
      <c r="Z44" s="215"/>
      <c r="AA44" s="214"/>
      <c r="AB44" s="214"/>
      <c r="AC44" s="214"/>
      <c r="AD44" s="214"/>
      <c r="AE44" s="214"/>
    </row>
    <row r="45" spans="2:31" x14ac:dyDescent="0.2">
      <c r="D45" s="302"/>
      <c r="E45" s="324">
        <f>E44/SUM(E44,E46)</f>
        <v>0.35714285714285715</v>
      </c>
      <c r="F45" s="324">
        <f>F44/$E$44</f>
        <v>3.6363636363636362E-2</v>
      </c>
      <c r="G45" s="324">
        <f>G44/$E$44</f>
        <v>0.43636363636363634</v>
      </c>
      <c r="H45" s="324">
        <f>H44/$E$44</f>
        <v>0.45454545454545453</v>
      </c>
      <c r="I45" s="324">
        <f>I44/$E$44</f>
        <v>7.2727272727272724E-2</v>
      </c>
      <c r="J45" s="302"/>
      <c r="K45" s="302"/>
      <c r="L45" s="302"/>
      <c r="M45" s="302"/>
      <c r="N45" s="302"/>
      <c r="O45" s="302"/>
      <c r="P45" s="302"/>
      <c r="Q45" s="302"/>
      <c r="R45" s="302"/>
      <c r="S45" s="302"/>
      <c r="T45" s="321"/>
      <c r="U45" s="324">
        <f>U44/$T$44</f>
        <v>8.3333333333333329E-2</v>
      </c>
      <c r="V45" s="323">
        <f>V44/$T$44</f>
        <v>0.5</v>
      </c>
      <c r="W45" s="323">
        <f>W44/$T$44</f>
        <v>0.41666666666666669</v>
      </c>
      <c r="Y45" s="215"/>
      <c r="Z45" s="215"/>
      <c r="AA45" s="214"/>
      <c r="AB45" s="214"/>
      <c r="AC45" s="214"/>
      <c r="AD45" s="214"/>
      <c r="AE45" s="214"/>
    </row>
    <row r="46" spans="2:31" x14ac:dyDescent="0.2">
      <c r="D46" s="302" t="s">
        <v>2750</v>
      </c>
      <c r="E46" s="321">
        <f>SUM(F46:I46)</f>
        <v>99</v>
      </c>
      <c r="F46" s="321">
        <v>3</v>
      </c>
      <c r="G46" s="321">
        <v>37</v>
      </c>
      <c r="H46" s="321">
        <v>57</v>
      </c>
      <c r="I46" s="321">
        <v>2</v>
      </c>
      <c r="J46" s="302"/>
      <c r="K46" s="302"/>
      <c r="L46" s="302"/>
      <c r="M46" s="302"/>
      <c r="N46" s="302"/>
      <c r="O46" s="302"/>
      <c r="P46" s="302"/>
      <c r="Q46" s="302"/>
      <c r="R46" s="302"/>
      <c r="S46" s="302"/>
      <c r="T46" s="321">
        <f>SUM(U46:W46)</f>
        <v>47</v>
      </c>
      <c r="U46" s="321">
        <v>0</v>
      </c>
      <c r="V46" s="321">
        <v>20</v>
      </c>
      <c r="W46" s="321">
        <v>27</v>
      </c>
      <c r="Y46" s="215"/>
      <c r="Z46" s="215"/>
      <c r="AA46" s="214"/>
      <c r="AB46" s="214"/>
      <c r="AC46" s="214"/>
      <c r="AD46" s="214"/>
      <c r="AE46" s="214"/>
    </row>
    <row r="47" spans="2:31" x14ac:dyDescent="0.2">
      <c r="D47" s="302"/>
      <c r="E47" s="324">
        <f>E46/SUM(E46,E44)</f>
        <v>0.6428571428571429</v>
      </c>
      <c r="F47" s="324">
        <f>F46/$E$46</f>
        <v>3.0303030303030304E-2</v>
      </c>
      <c r="G47" s="324">
        <f t="shared" ref="G47:I47" si="2">G46/$E$46</f>
        <v>0.37373737373737376</v>
      </c>
      <c r="H47" s="324">
        <f t="shared" si="2"/>
        <v>0.5757575757575758</v>
      </c>
      <c r="I47" s="324">
        <f t="shared" si="2"/>
        <v>2.0202020202020204E-2</v>
      </c>
      <c r="J47" s="302"/>
      <c r="K47" s="302"/>
      <c r="L47" s="302"/>
      <c r="M47" s="302"/>
      <c r="N47" s="302"/>
      <c r="O47" s="302"/>
      <c r="P47" s="302"/>
      <c r="Q47" s="302"/>
      <c r="R47" s="302"/>
      <c r="S47" s="302"/>
      <c r="T47" s="302"/>
      <c r="U47" s="323">
        <f>U46/$T$46</f>
        <v>0</v>
      </c>
      <c r="V47" s="323">
        <f>V46/$T$46</f>
        <v>0.42553191489361702</v>
      </c>
      <c r="W47" s="323">
        <f>W46/$T$46</f>
        <v>0.57446808510638303</v>
      </c>
      <c r="Y47" s="215"/>
      <c r="Z47" s="215"/>
      <c r="AA47" s="214"/>
      <c r="AB47" s="214"/>
      <c r="AC47" s="214"/>
      <c r="AD47" s="214"/>
      <c r="AE47" s="214"/>
    </row>
    <row r="48" spans="2:31" x14ac:dyDescent="0.2">
      <c r="D48" s="306" t="s">
        <v>2751</v>
      </c>
      <c r="E48" s="325">
        <f>SUM(E46,E44)</f>
        <v>154</v>
      </c>
      <c r="F48" s="325">
        <f t="shared" ref="F48:W48" si="3">SUM(F46,F44)</f>
        <v>5</v>
      </c>
      <c r="G48" s="325">
        <f t="shared" si="3"/>
        <v>61</v>
      </c>
      <c r="H48" s="325">
        <f t="shared" si="3"/>
        <v>82</v>
      </c>
      <c r="I48" s="325">
        <f t="shared" si="3"/>
        <v>6</v>
      </c>
      <c r="J48" s="325">
        <f t="shared" si="3"/>
        <v>0</v>
      </c>
      <c r="K48" s="325">
        <f t="shared" si="3"/>
        <v>0</v>
      </c>
      <c r="L48" s="325">
        <f t="shared" si="3"/>
        <v>0</v>
      </c>
      <c r="M48" s="325">
        <f t="shared" si="3"/>
        <v>0</v>
      </c>
      <c r="N48" s="325">
        <f t="shared" si="3"/>
        <v>0</v>
      </c>
      <c r="O48" s="325">
        <f t="shared" si="3"/>
        <v>0</v>
      </c>
      <c r="P48" s="325">
        <f t="shared" si="3"/>
        <v>0</v>
      </c>
      <c r="Q48" s="325">
        <f t="shared" si="3"/>
        <v>0</v>
      </c>
      <c r="R48" s="325">
        <f t="shared" si="3"/>
        <v>0</v>
      </c>
      <c r="S48" s="325">
        <f t="shared" si="3"/>
        <v>0</v>
      </c>
      <c r="T48" s="325">
        <f t="shared" si="3"/>
        <v>71</v>
      </c>
      <c r="U48" s="325">
        <f t="shared" si="3"/>
        <v>2</v>
      </c>
      <c r="V48" s="325">
        <f t="shared" si="3"/>
        <v>32</v>
      </c>
      <c r="W48" s="325">
        <f t="shared" si="3"/>
        <v>37</v>
      </c>
      <c r="Y48" s="215"/>
      <c r="Z48" s="215"/>
      <c r="AA48" s="214"/>
      <c r="AB48" s="214"/>
      <c r="AC48" s="214"/>
      <c r="AD48" s="214"/>
      <c r="AE48" s="214"/>
    </row>
    <row r="49" spans="4:31" x14ac:dyDescent="0.2">
      <c r="D49" s="306"/>
      <c r="E49" s="306"/>
      <c r="F49" s="326">
        <f>F48/$E$48</f>
        <v>3.2467532467532464E-2</v>
      </c>
      <c r="G49" s="326">
        <f>G48/$E$48</f>
        <v>0.39610389610389612</v>
      </c>
      <c r="H49" s="326">
        <f>H48/$E$48</f>
        <v>0.53246753246753242</v>
      </c>
      <c r="I49" s="326">
        <f>I48/$E$48</f>
        <v>3.896103896103896E-2</v>
      </c>
      <c r="J49" s="325"/>
      <c r="K49" s="325"/>
      <c r="L49" s="325"/>
      <c r="M49" s="325"/>
      <c r="N49" s="325"/>
      <c r="O49" s="325"/>
      <c r="P49" s="325"/>
      <c r="Q49" s="325"/>
      <c r="R49" s="325"/>
      <c r="S49" s="325"/>
      <c r="T49" s="325"/>
      <c r="U49" s="325"/>
      <c r="V49" s="325"/>
      <c r="W49" s="325"/>
    </row>
    <row r="53" spans="4:31" x14ac:dyDescent="0.2">
      <c r="Z53" s="216" t="s">
        <v>1712</v>
      </c>
    </row>
    <row r="54" spans="4:31" x14ac:dyDescent="0.2">
      <c r="Y54" s="212"/>
      <c r="AA54" s="212"/>
      <c r="AB54" s="212"/>
      <c r="AC54" s="212"/>
      <c r="AD54" s="212"/>
      <c r="AE54" s="212"/>
    </row>
    <row r="55" spans="4:31" ht="34" x14ac:dyDescent="0.2">
      <c r="Y55" s="213" t="s">
        <v>1704</v>
      </c>
      <c r="Z55" s="213" t="s">
        <v>1703</v>
      </c>
      <c r="AA55" s="213" t="s">
        <v>1705</v>
      </c>
      <c r="AB55" s="213" t="s">
        <v>1706</v>
      </c>
      <c r="AC55" s="213" t="s">
        <v>1709</v>
      </c>
      <c r="AD55" s="213" t="s">
        <v>1707</v>
      </c>
      <c r="AE55" s="213" t="s">
        <v>1708</v>
      </c>
    </row>
    <row r="56" spans="4:31" x14ac:dyDescent="0.2">
      <c r="Y56" s="215"/>
      <c r="Z56" s="215"/>
      <c r="AA56" s="214"/>
      <c r="AB56" s="214"/>
      <c r="AC56" s="214"/>
      <c r="AD56" s="214"/>
      <c r="AE56" s="214"/>
    </row>
    <row r="57" spans="4:31" x14ac:dyDescent="0.2">
      <c r="Y57" s="215"/>
      <c r="Z57" s="215"/>
      <c r="AA57" s="214"/>
      <c r="AB57" s="214"/>
      <c r="AC57" s="214"/>
      <c r="AD57" s="214"/>
      <c r="AE57" s="214"/>
    </row>
    <row r="58" spans="4:31" x14ac:dyDescent="0.2">
      <c r="Y58" s="215"/>
      <c r="Z58" s="215"/>
      <c r="AA58" s="214"/>
      <c r="AB58" s="214"/>
      <c r="AC58" s="214"/>
      <c r="AD58" s="214"/>
      <c r="AE58" s="214"/>
    </row>
    <row r="59" spans="4:31" x14ac:dyDescent="0.2">
      <c r="Y59" s="215"/>
      <c r="Z59" s="215"/>
      <c r="AA59" s="214"/>
      <c r="AB59" s="214"/>
      <c r="AC59" s="214"/>
      <c r="AD59" s="214"/>
      <c r="AE59" s="214"/>
    </row>
    <row r="60" spans="4:31" x14ac:dyDescent="0.2">
      <c r="Y60" s="215"/>
      <c r="Z60" s="215"/>
      <c r="AA60" s="214"/>
      <c r="AB60" s="214"/>
      <c r="AC60" s="214"/>
      <c r="AD60" s="214"/>
      <c r="AE60" s="214"/>
    </row>
    <row r="61" spans="4:31" x14ac:dyDescent="0.2">
      <c r="Y61" s="215"/>
      <c r="Z61" s="215"/>
      <c r="AA61" s="214"/>
      <c r="AB61" s="214"/>
      <c r="AC61" s="214"/>
      <c r="AD61" s="214"/>
      <c r="AE61" s="214"/>
    </row>
    <row r="62" spans="4:31" x14ac:dyDescent="0.2">
      <c r="Y62" s="215"/>
      <c r="Z62" s="215"/>
      <c r="AA62" s="214"/>
      <c r="AB62" s="214"/>
      <c r="AC62" s="214"/>
      <c r="AD62" s="214"/>
      <c r="AE62" s="214"/>
    </row>
    <row r="63" spans="4:31" x14ac:dyDescent="0.2">
      <c r="Y63" s="215"/>
      <c r="Z63" s="215"/>
      <c r="AA63" s="214"/>
      <c r="AB63" s="214"/>
      <c r="AC63" s="214"/>
      <c r="AD63" s="214"/>
      <c r="AE63" s="214"/>
    </row>
    <row r="64" spans="4:31" x14ac:dyDescent="0.2">
      <c r="Y64" s="215"/>
      <c r="Z64" s="215"/>
      <c r="AA64" s="214"/>
      <c r="AB64" s="214"/>
      <c r="AC64" s="214"/>
      <c r="AD64" s="214"/>
      <c r="AE64" s="214"/>
    </row>
    <row r="65" spans="25:31" x14ac:dyDescent="0.2">
      <c r="Y65" s="215"/>
      <c r="Z65" s="215"/>
      <c r="AA65" s="214"/>
      <c r="AB65" s="214"/>
      <c r="AC65" s="214"/>
      <c r="AD65" s="214"/>
      <c r="AE65" s="214"/>
    </row>
    <row r="66" spans="25:31" x14ac:dyDescent="0.2">
      <c r="Y66" s="215"/>
      <c r="Z66" s="215"/>
      <c r="AA66" s="214"/>
      <c r="AB66" s="214"/>
      <c r="AC66" s="214"/>
      <c r="AD66" s="214"/>
      <c r="AE66" s="214"/>
    </row>
    <row r="67" spans="25:31" x14ac:dyDescent="0.2">
      <c r="Y67" s="215"/>
      <c r="Z67" s="215"/>
      <c r="AA67" s="214"/>
      <c r="AB67" s="214"/>
      <c r="AC67" s="214"/>
      <c r="AD67" s="214"/>
      <c r="AE67" s="214"/>
    </row>
    <row r="68" spans="25:31" x14ac:dyDescent="0.2">
      <c r="Y68" s="215"/>
      <c r="Z68" s="215"/>
      <c r="AA68" s="214"/>
      <c r="AB68" s="214"/>
      <c r="AC68" s="214"/>
      <c r="AD68" s="214"/>
      <c r="AE68" s="214"/>
    </row>
    <row r="69" spans="25:31" x14ac:dyDescent="0.2">
      <c r="Y69" s="215"/>
      <c r="Z69" s="215"/>
      <c r="AA69" s="214"/>
      <c r="AB69" s="214"/>
      <c r="AC69" s="214"/>
      <c r="AD69" s="214"/>
      <c r="AE69" s="214"/>
    </row>
    <row r="70" spans="25:31" x14ac:dyDescent="0.2">
      <c r="Y70" s="215"/>
      <c r="Z70" s="215"/>
      <c r="AA70" s="214"/>
      <c r="AB70" s="214"/>
      <c r="AC70" s="214"/>
      <c r="AD70" s="214"/>
      <c r="AE70" s="214"/>
    </row>
    <row r="71" spans="25:31" x14ac:dyDescent="0.2">
      <c r="Y71" s="215"/>
      <c r="Z71" s="215"/>
      <c r="AA71" s="214"/>
      <c r="AB71" s="214"/>
      <c r="AC71" s="214"/>
      <c r="AD71" s="214"/>
      <c r="AE71" s="214"/>
    </row>
    <row r="72" spans="25:31" x14ac:dyDescent="0.2">
      <c r="Y72" s="215"/>
      <c r="Z72" s="215"/>
      <c r="AA72" s="214"/>
      <c r="AB72" s="214"/>
      <c r="AC72" s="214"/>
      <c r="AD72" s="214"/>
      <c r="AE72" s="214"/>
    </row>
    <row r="73" spans="25:31" x14ac:dyDescent="0.2">
      <c r="Y73" s="215"/>
      <c r="Z73" s="215"/>
      <c r="AA73" s="214"/>
      <c r="AB73" s="214"/>
      <c r="AC73" s="214"/>
      <c r="AD73" s="214"/>
      <c r="AE73" s="214"/>
    </row>
    <row r="74" spans="25:31" x14ac:dyDescent="0.2">
      <c r="Y74" s="215"/>
      <c r="Z74" s="215"/>
      <c r="AA74" s="214"/>
      <c r="AB74" s="214"/>
      <c r="AC74" s="214"/>
      <c r="AD74" s="214"/>
      <c r="AE74" s="214"/>
    </row>
    <row r="78" spans="25:31" x14ac:dyDescent="0.2">
      <c r="Z78" s="216" t="s">
        <v>1713</v>
      </c>
    </row>
    <row r="79" spans="25:31" x14ac:dyDescent="0.2">
      <c r="Y79" s="212"/>
      <c r="AA79" s="212"/>
      <c r="AB79" s="212"/>
      <c r="AC79" s="212"/>
      <c r="AD79" s="212"/>
      <c r="AE79" s="212"/>
    </row>
    <row r="80" spans="25:31" ht="34" x14ac:dyDescent="0.2">
      <c r="Y80" s="213" t="s">
        <v>1704</v>
      </c>
      <c r="Z80" s="213" t="s">
        <v>1703</v>
      </c>
      <c r="AA80" s="213" t="s">
        <v>1705</v>
      </c>
      <c r="AB80" s="213" t="s">
        <v>1706</v>
      </c>
      <c r="AC80" s="213" t="s">
        <v>1709</v>
      </c>
      <c r="AD80" s="213" t="s">
        <v>1707</v>
      </c>
      <c r="AE80" s="213" t="s">
        <v>1708</v>
      </c>
    </row>
    <row r="81" spans="25:31" x14ac:dyDescent="0.2">
      <c r="Y81" s="215"/>
      <c r="Z81" s="215"/>
      <c r="AA81" s="214"/>
      <c r="AB81" s="214"/>
      <c r="AC81" s="214"/>
      <c r="AD81" s="214"/>
      <c r="AE81" s="214"/>
    </row>
    <row r="82" spans="25:31" x14ac:dyDescent="0.2">
      <c r="Y82" s="215"/>
      <c r="Z82" s="215"/>
      <c r="AA82" s="214"/>
      <c r="AB82" s="214"/>
      <c r="AC82" s="214"/>
      <c r="AD82" s="214"/>
      <c r="AE82" s="214"/>
    </row>
    <row r="83" spans="25:31" x14ac:dyDescent="0.2">
      <c r="Y83" s="215"/>
      <c r="Z83" s="215"/>
      <c r="AA83" s="214"/>
      <c r="AB83" s="214"/>
      <c r="AC83" s="214"/>
      <c r="AD83" s="214"/>
      <c r="AE83" s="214"/>
    </row>
    <row r="84" spans="25:31" x14ac:dyDescent="0.2">
      <c r="Y84" s="215"/>
      <c r="Z84" s="215"/>
      <c r="AA84" s="214"/>
      <c r="AB84" s="214"/>
      <c r="AC84" s="214"/>
      <c r="AD84" s="214"/>
      <c r="AE84" s="214"/>
    </row>
    <row r="85" spans="25:31" x14ac:dyDescent="0.2">
      <c r="Y85" s="215"/>
      <c r="Z85" s="215"/>
      <c r="AA85" s="214"/>
      <c r="AB85" s="214"/>
      <c r="AC85" s="214"/>
      <c r="AD85" s="214"/>
      <c r="AE85" s="214"/>
    </row>
    <row r="86" spans="25:31" x14ac:dyDescent="0.2">
      <c r="Y86" s="215"/>
      <c r="Z86" s="215"/>
      <c r="AA86" s="214"/>
      <c r="AB86" s="214"/>
      <c r="AC86" s="214"/>
      <c r="AD86" s="214"/>
      <c r="AE86" s="214"/>
    </row>
    <row r="87" spans="25:31" x14ac:dyDescent="0.2">
      <c r="Y87" s="215"/>
      <c r="Z87" s="215"/>
      <c r="AA87" s="214"/>
      <c r="AB87" s="214"/>
      <c r="AC87" s="214"/>
      <c r="AD87" s="214"/>
      <c r="AE87" s="214"/>
    </row>
    <row r="88" spans="25:31" x14ac:dyDescent="0.2">
      <c r="Y88" s="215"/>
      <c r="Z88" s="215"/>
      <c r="AA88" s="214"/>
      <c r="AB88" s="214"/>
      <c r="AC88" s="214"/>
      <c r="AD88" s="214"/>
      <c r="AE88" s="214"/>
    </row>
    <row r="89" spans="25:31" x14ac:dyDescent="0.2">
      <c r="Y89" s="215"/>
      <c r="Z89" s="215"/>
      <c r="AA89" s="214"/>
      <c r="AB89" s="214"/>
      <c r="AC89" s="214"/>
      <c r="AD89" s="214"/>
      <c r="AE89" s="214"/>
    </row>
    <row r="90" spans="25:31" x14ac:dyDescent="0.2">
      <c r="Y90" s="215"/>
      <c r="Z90" s="215"/>
      <c r="AA90" s="214"/>
      <c r="AB90" s="214"/>
      <c r="AC90" s="214"/>
      <c r="AD90" s="214"/>
      <c r="AE90" s="214"/>
    </row>
    <row r="91" spans="25:31" x14ac:dyDescent="0.2">
      <c r="Y91" s="215"/>
      <c r="Z91" s="215"/>
      <c r="AA91" s="214"/>
      <c r="AB91" s="214"/>
      <c r="AC91" s="214"/>
      <c r="AD91" s="214"/>
      <c r="AE91" s="214"/>
    </row>
    <row r="92" spans="25:31" x14ac:dyDescent="0.2">
      <c r="Y92" s="215"/>
      <c r="Z92" s="215"/>
      <c r="AA92" s="214"/>
      <c r="AB92" s="214"/>
      <c r="AC92" s="214"/>
      <c r="AD92" s="214"/>
      <c r="AE92" s="214"/>
    </row>
    <row r="93" spans="25:31" x14ac:dyDescent="0.2">
      <c r="Y93" s="215"/>
      <c r="Z93" s="215"/>
      <c r="AA93" s="214"/>
      <c r="AB93" s="214"/>
      <c r="AC93" s="214"/>
      <c r="AD93" s="214"/>
      <c r="AE93" s="214"/>
    </row>
    <row r="94" spans="25:31" x14ac:dyDescent="0.2">
      <c r="Y94" s="215"/>
      <c r="Z94" s="215"/>
      <c r="AA94" s="214"/>
      <c r="AB94" s="214"/>
      <c r="AC94" s="214"/>
      <c r="AD94" s="214"/>
      <c r="AE94" s="214"/>
    </row>
    <row r="95" spans="25:31" x14ac:dyDescent="0.2">
      <c r="Y95" s="215"/>
      <c r="Z95" s="215"/>
      <c r="AA95" s="214"/>
      <c r="AB95" s="214"/>
      <c r="AC95" s="214"/>
      <c r="AD95" s="214"/>
      <c r="AE95" s="214"/>
    </row>
    <row r="96" spans="25:31" x14ac:dyDescent="0.2">
      <c r="Y96" s="215"/>
      <c r="Z96" s="215"/>
      <c r="AA96" s="214"/>
      <c r="AB96" s="214"/>
      <c r="AC96" s="214"/>
      <c r="AD96" s="214"/>
      <c r="AE96" s="214"/>
    </row>
    <row r="97" spans="25:31" x14ac:dyDescent="0.2">
      <c r="Y97" s="215"/>
      <c r="Z97" s="215"/>
      <c r="AA97" s="214"/>
      <c r="AB97" s="214"/>
      <c r="AC97" s="214"/>
      <c r="AD97" s="214"/>
      <c r="AE97" s="214"/>
    </row>
    <row r="98" spans="25:31" x14ac:dyDescent="0.2">
      <c r="Y98" s="215"/>
      <c r="Z98" s="215"/>
      <c r="AA98" s="214"/>
      <c r="AB98" s="214"/>
      <c r="AC98" s="214"/>
      <c r="AD98" s="214"/>
      <c r="AE98" s="214"/>
    </row>
    <row r="99" spans="25:31" x14ac:dyDescent="0.2">
      <c r="Y99" s="215"/>
      <c r="Z99" s="215"/>
      <c r="AA99" s="214"/>
      <c r="AB99" s="214"/>
      <c r="AC99" s="214"/>
      <c r="AD99" s="214"/>
      <c r="AE99" s="214"/>
    </row>
  </sheetData>
  <phoneticPr fontId="9" type="noConversion"/>
  <conditionalFormatting sqref="E8:E19">
    <cfRule type="containsText" dxfId="29" priority="1" operator="containsText" text="MODERATE">
      <formula>NOT(ISERROR(SEARCH("MODERATE",E8)))</formula>
    </cfRule>
    <cfRule type="containsText" dxfId="28" priority="2" operator="containsText" text="VERY HIGH">
      <formula>NOT(ISERROR(SEARCH("VERY HIGH",E8)))</formula>
    </cfRule>
    <cfRule type="containsText" dxfId="27" priority="3" operator="containsText" text="HIGH">
      <formula>NOT(ISERROR(SEARCH("HIGH",E8)))</formula>
    </cfRule>
    <cfRule type="cellIs" dxfId="26" priority="4" operator="between">
      <formula>10</formula>
      <formula>24.999</formula>
    </cfRule>
    <cfRule type="cellIs" dxfId="25" priority="5" operator="between">
      <formula>25</formula>
      <formula>35.999</formula>
    </cfRule>
    <cfRule type="cellIs" dxfId="24" priority="6" operator="between">
      <formula>36</formula>
      <formula>50</formula>
    </cfRule>
  </conditionalFormatting>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05B66-DA42-5D4B-AB75-DCF129222640}">
  <sheetPr>
    <tabColor theme="2" tint="-9.9978637043366805E-2"/>
  </sheetPr>
  <dimension ref="A1:S842"/>
  <sheetViews>
    <sheetView topLeftCell="E92" zoomScale="180" zoomScaleNormal="180" workbookViewId="0">
      <selection activeCell="L98" sqref="L98"/>
    </sheetView>
  </sheetViews>
  <sheetFormatPr baseColWidth="10" defaultRowHeight="16" x14ac:dyDescent="0.2"/>
  <cols>
    <col min="1" max="1" width="12.83203125" customWidth="1"/>
    <col min="2" max="2" width="12" customWidth="1"/>
    <col min="3" max="3" width="17.83203125" customWidth="1"/>
    <col min="4" max="5" width="19.5" customWidth="1"/>
    <col min="6" max="6" width="8.33203125" style="10" customWidth="1"/>
  </cols>
  <sheetData>
    <row r="1" spans="1:19" x14ac:dyDescent="0.2">
      <c r="A1" s="1" t="s">
        <v>32</v>
      </c>
      <c r="B1" s="1" t="s">
        <v>31</v>
      </c>
      <c r="C1" s="1" t="s">
        <v>1114</v>
      </c>
      <c r="D1" s="1" t="s">
        <v>1115</v>
      </c>
      <c r="E1" s="1" t="s">
        <v>2738</v>
      </c>
      <c r="F1" s="21" t="s">
        <v>23</v>
      </c>
    </row>
    <row r="2" spans="1:19" x14ac:dyDescent="0.2">
      <c r="A2" t="s">
        <v>479</v>
      </c>
      <c r="B2" t="s">
        <v>697</v>
      </c>
      <c r="C2" s="10">
        <v>5</v>
      </c>
      <c r="D2" s="10">
        <v>4</v>
      </c>
      <c r="E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 s="10">
        <v>20</v>
      </c>
    </row>
    <row r="3" spans="1:19" x14ac:dyDescent="0.2">
      <c r="A3" t="s">
        <v>479</v>
      </c>
      <c r="B3" t="s">
        <v>697</v>
      </c>
      <c r="C3" s="10">
        <v>3</v>
      </c>
      <c r="D3" s="10">
        <v>4</v>
      </c>
      <c r="E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 s="10">
        <v>12</v>
      </c>
    </row>
    <row r="4" spans="1:19" x14ac:dyDescent="0.2">
      <c r="A4" t="s">
        <v>479</v>
      </c>
      <c r="B4" t="s">
        <v>697</v>
      </c>
      <c r="C4" s="10">
        <v>5</v>
      </c>
      <c r="D4" s="10">
        <v>4</v>
      </c>
      <c r="E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 s="10">
        <v>20</v>
      </c>
      <c r="H4" s="4"/>
      <c r="I4" s="4"/>
      <c r="J4" s="4"/>
      <c r="K4" s="4"/>
      <c r="L4" s="4"/>
      <c r="M4" s="4"/>
      <c r="N4" s="4"/>
      <c r="O4" s="4"/>
      <c r="P4" s="4"/>
      <c r="Q4" s="4"/>
      <c r="R4" s="4"/>
      <c r="S4" s="4"/>
    </row>
    <row r="5" spans="1:19" x14ac:dyDescent="0.2">
      <c r="A5" t="s">
        <v>479</v>
      </c>
      <c r="B5" t="s">
        <v>697</v>
      </c>
      <c r="C5" s="10">
        <v>5</v>
      </c>
      <c r="D5" s="10">
        <v>7</v>
      </c>
      <c r="E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 s="10">
        <v>35</v>
      </c>
      <c r="H5" s="4"/>
      <c r="I5" s="4"/>
      <c r="J5" s="4"/>
      <c r="K5" s="4"/>
      <c r="L5" s="4"/>
      <c r="M5" s="4"/>
      <c r="N5" s="4"/>
      <c r="O5" s="4"/>
      <c r="P5" s="4"/>
      <c r="Q5" s="4"/>
      <c r="R5" s="4"/>
      <c r="S5" s="4"/>
    </row>
    <row r="6" spans="1:19" x14ac:dyDescent="0.2">
      <c r="A6" t="s">
        <v>479</v>
      </c>
      <c r="B6" t="s">
        <v>697</v>
      </c>
      <c r="C6" s="10">
        <v>4</v>
      </c>
      <c r="D6" s="10">
        <v>7</v>
      </c>
      <c r="E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 s="10">
        <v>28</v>
      </c>
      <c r="H6" s="4"/>
      <c r="I6" s="4"/>
      <c r="J6" s="4"/>
      <c r="K6" s="4"/>
      <c r="L6" s="4"/>
      <c r="M6" s="4"/>
      <c r="N6" s="4"/>
      <c r="O6" s="4"/>
      <c r="P6" s="4"/>
      <c r="Q6" s="4"/>
      <c r="R6" s="4"/>
      <c r="S6" s="4"/>
    </row>
    <row r="7" spans="1:19" x14ac:dyDescent="0.2">
      <c r="A7" t="s">
        <v>479</v>
      </c>
      <c r="B7" t="s">
        <v>697</v>
      </c>
      <c r="C7" s="10">
        <v>5</v>
      </c>
      <c r="D7" s="10">
        <v>7</v>
      </c>
      <c r="E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 s="10">
        <v>35</v>
      </c>
      <c r="H7" s="4"/>
      <c r="I7" s="4"/>
      <c r="J7" s="4"/>
      <c r="K7" s="4"/>
      <c r="L7" s="4"/>
      <c r="M7" s="4"/>
      <c r="N7" s="4"/>
      <c r="O7" s="4"/>
      <c r="P7" s="4"/>
      <c r="Q7" s="4"/>
      <c r="R7" s="4"/>
      <c r="S7" s="4"/>
    </row>
    <row r="8" spans="1:19" x14ac:dyDescent="0.2">
      <c r="A8" s="12" t="s">
        <v>479</v>
      </c>
      <c r="B8" s="12" t="s">
        <v>697</v>
      </c>
      <c r="C8" s="232">
        <v>4</v>
      </c>
      <c r="D8" s="232">
        <v>5</v>
      </c>
      <c r="E8" s="232"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 s="232">
        <v>15</v>
      </c>
      <c r="H8" s="4"/>
      <c r="I8" s="4"/>
      <c r="J8" s="4"/>
      <c r="K8" s="4"/>
      <c r="L8" s="4"/>
      <c r="M8" s="4"/>
      <c r="N8" s="4"/>
      <c r="O8" s="4"/>
      <c r="P8" s="4"/>
      <c r="Q8" s="4"/>
      <c r="R8" s="4"/>
      <c r="S8" s="4"/>
    </row>
    <row r="9" spans="1:19" x14ac:dyDescent="0.2">
      <c r="A9" t="s">
        <v>479</v>
      </c>
      <c r="B9" t="s">
        <v>697</v>
      </c>
      <c r="C9" s="10">
        <v>4</v>
      </c>
      <c r="D9" s="10">
        <v>7</v>
      </c>
      <c r="E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9" s="10">
        <v>28</v>
      </c>
      <c r="H9" s="4"/>
      <c r="I9" s="4"/>
      <c r="J9" s="4"/>
      <c r="K9" s="4"/>
      <c r="L9" s="4"/>
      <c r="M9" s="4"/>
      <c r="N9" s="4"/>
      <c r="O9" s="4"/>
      <c r="P9" s="4"/>
      <c r="Q9" s="4"/>
      <c r="R9" s="4"/>
      <c r="S9" s="4"/>
    </row>
    <row r="10" spans="1:19" x14ac:dyDescent="0.2">
      <c r="A10" t="s">
        <v>479</v>
      </c>
      <c r="B10" t="s">
        <v>697</v>
      </c>
      <c r="C10" s="10">
        <v>5</v>
      </c>
      <c r="D10" s="10">
        <v>4</v>
      </c>
      <c r="E1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0" s="10">
        <v>20</v>
      </c>
      <c r="H10" s="4"/>
      <c r="I10" s="4"/>
      <c r="J10" s="4"/>
      <c r="K10" s="4"/>
      <c r="L10" s="4"/>
      <c r="M10" s="4"/>
      <c r="N10" s="4"/>
      <c r="O10" s="4"/>
      <c r="P10" s="4"/>
      <c r="Q10" s="4"/>
      <c r="R10" s="4"/>
      <c r="S10" s="4"/>
    </row>
    <row r="11" spans="1:19" x14ac:dyDescent="0.2">
      <c r="A11" t="s">
        <v>479</v>
      </c>
      <c r="B11" t="s">
        <v>697</v>
      </c>
      <c r="C11" s="10">
        <v>5</v>
      </c>
      <c r="D11" s="10">
        <v>7</v>
      </c>
      <c r="E1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1" s="10">
        <v>20</v>
      </c>
      <c r="H11" s="4"/>
      <c r="I11" s="4"/>
      <c r="J11" s="4"/>
      <c r="K11" s="4"/>
      <c r="L11" s="4"/>
      <c r="M11" s="4"/>
      <c r="N11" s="4"/>
      <c r="O11" s="4"/>
      <c r="P11" s="4"/>
      <c r="Q11" s="4"/>
      <c r="R11" s="4"/>
      <c r="S11" s="4"/>
    </row>
    <row r="12" spans="1:19" x14ac:dyDescent="0.2">
      <c r="A12" t="s">
        <v>479</v>
      </c>
      <c r="B12" t="s">
        <v>697</v>
      </c>
      <c r="C12" s="10">
        <v>3</v>
      </c>
      <c r="D12" s="10">
        <v>10</v>
      </c>
      <c r="E1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2" s="10">
        <v>16</v>
      </c>
      <c r="H12" s="4"/>
      <c r="I12" s="4"/>
      <c r="J12" s="4"/>
      <c r="K12" s="4"/>
      <c r="L12" s="4"/>
      <c r="M12" s="4"/>
      <c r="N12" s="4"/>
      <c r="O12" s="4"/>
      <c r="P12" s="4"/>
      <c r="Q12" s="4"/>
      <c r="R12" s="4"/>
      <c r="S12" s="4"/>
    </row>
    <row r="13" spans="1:19" x14ac:dyDescent="0.2">
      <c r="A13" t="s">
        <v>479</v>
      </c>
      <c r="B13" t="s">
        <v>697</v>
      </c>
      <c r="C13" s="10">
        <v>1</v>
      </c>
      <c r="D13" s="10">
        <v>5</v>
      </c>
      <c r="E1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3" s="10">
        <v>35</v>
      </c>
      <c r="H13" s="4"/>
      <c r="I13" s="4"/>
      <c r="J13" s="4"/>
      <c r="K13" s="4"/>
      <c r="L13" s="4"/>
      <c r="M13" s="4"/>
      <c r="N13" s="4"/>
      <c r="O13" s="4"/>
      <c r="P13" s="4"/>
      <c r="Q13" s="4"/>
      <c r="R13" s="4"/>
      <c r="S13" s="4"/>
    </row>
    <row r="14" spans="1:19" x14ac:dyDescent="0.2">
      <c r="A14" t="s">
        <v>479</v>
      </c>
      <c r="B14" t="s">
        <v>697</v>
      </c>
      <c r="C14" s="10">
        <v>4</v>
      </c>
      <c r="D14" s="10">
        <v>7</v>
      </c>
      <c r="E1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4" s="10">
        <v>20</v>
      </c>
      <c r="H14" s="4"/>
      <c r="I14" s="4"/>
      <c r="J14" s="4"/>
      <c r="K14" s="4"/>
      <c r="L14" s="4"/>
      <c r="M14" s="4"/>
      <c r="N14" s="4"/>
      <c r="O14" s="4"/>
      <c r="P14" s="4"/>
      <c r="Q14" s="4"/>
      <c r="R14" s="4"/>
      <c r="S14" s="4"/>
    </row>
    <row r="15" spans="1:19" x14ac:dyDescent="0.2">
      <c r="A15" t="s">
        <v>479</v>
      </c>
      <c r="B15" t="s">
        <v>697</v>
      </c>
      <c r="C15" s="10">
        <v>4</v>
      </c>
      <c r="D15" s="10">
        <v>7</v>
      </c>
      <c r="E1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5" s="10">
        <v>16</v>
      </c>
      <c r="H15" s="4"/>
      <c r="I15" s="4"/>
      <c r="J15" s="4"/>
      <c r="K15" s="4"/>
      <c r="L15" s="4"/>
      <c r="M15" s="4"/>
      <c r="N15" s="4"/>
      <c r="O15" s="4"/>
      <c r="P15" s="4"/>
      <c r="Q15" s="4"/>
      <c r="R15" s="4"/>
      <c r="S15" s="4"/>
    </row>
    <row r="16" spans="1:19" x14ac:dyDescent="0.2">
      <c r="A16" t="s">
        <v>479</v>
      </c>
      <c r="B16" t="s">
        <v>697</v>
      </c>
      <c r="C16" s="10">
        <v>5</v>
      </c>
      <c r="D16" s="10">
        <v>7</v>
      </c>
      <c r="E1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6" s="10">
        <v>28</v>
      </c>
      <c r="H16" s="4"/>
      <c r="I16" s="4"/>
      <c r="J16" s="4"/>
      <c r="K16" s="4"/>
      <c r="L16" s="4"/>
      <c r="M16" s="4"/>
      <c r="N16" s="4"/>
      <c r="O16" s="4"/>
      <c r="P16" s="4"/>
      <c r="Q16" s="4"/>
      <c r="R16" s="4"/>
      <c r="S16" s="4"/>
    </row>
    <row r="17" spans="1:19" x14ac:dyDescent="0.2">
      <c r="A17" t="s">
        <v>479</v>
      </c>
      <c r="B17" t="s">
        <v>697</v>
      </c>
      <c r="C17" s="10">
        <v>3</v>
      </c>
      <c r="D17" s="10">
        <v>7</v>
      </c>
      <c r="E1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7" s="10">
        <v>16</v>
      </c>
      <c r="H17" s="4"/>
      <c r="I17" s="4"/>
      <c r="J17" s="4"/>
      <c r="K17" s="4"/>
      <c r="L17" s="4"/>
      <c r="M17" s="4"/>
      <c r="N17" s="4"/>
      <c r="O17" s="4"/>
      <c r="P17" s="4"/>
      <c r="Q17" s="4"/>
      <c r="R17" s="4"/>
      <c r="S17" s="4"/>
    </row>
    <row r="18" spans="1:19" x14ac:dyDescent="0.2">
      <c r="A18" t="s">
        <v>479</v>
      </c>
      <c r="B18" t="s">
        <v>697</v>
      </c>
      <c r="C18" s="10">
        <v>4</v>
      </c>
      <c r="D18" s="10">
        <v>7</v>
      </c>
      <c r="E1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8" s="10">
        <v>20</v>
      </c>
      <c r="H18" s="4"/>
      <c r="I18" s="4"/>
      <c r="J18" s="4"/>
      <c r="K18" s="4"/>
      <c r="L18" s="4"/>
      <c r="M18" s="4"/>
      <c r="N18" s="4"/>
      <c r="O18" s="4"/>
      <c r="P18" s="4"/>
      <c r="Q18" s="4"/>
      <c r="R18" s="4"/>
      <c r="S18" s="4"/>
    </row>
    <row r="19" spans="1:19" x14ac:dyDescent="0.2">
      <c r="A19" t="s">
        <v>479</v>
      </c>
      <c r="B19" t="s">
        <v>697</v>
      </c>
      <c r="C19" s="10">
        <v>4</v>
      </c>
      <c r="D19" s="10">
        <v>10</v>
      </c>
      <c r="E1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9" s="10">
        <v>20</v>
      </c>
      <c r="H19" s="4"/>
      <c r="I19" s="4"/>
      <c r="J19" s="4"/>
      <c r="K19" s="4"/>
      <c r="L19" s="4"/>
      <c r="M19" s="4"/>
      <c r="N19" s="4"/>
      <c r="O19" s="4"/>
      <c r="P19" s="4"/>
      <c r="Q19" s="4"/>
      <c r="R19" s="4"/>
      <c r="S19" s="4"/>
    </row>
    <row r="20" spans="1:19" x14ac:dyDescent="0.2">
      <c r="A20" t="s">
        <v>479</v>
      </c>
      <c r="B20" t="s">
        <v>697</v>
      </c>
      <c r="C20" s="10">
        <v>5</v>
      </c>
      <c r="D20" s="10">
        <v>7</v>
      </c>
      <c r="E2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0" s="10">
        <v>28</v>
      </c>
      <c r="H20" s="4"/>
      <c r="I20" s="4"/>
      <c r="J20" s="4"/>
      <c r="K20" s="4"/>
      <c r="L20" s="4"/>
      <c r="M20" s="4"/>
      <c r="N20" s="4"/>
      <c r="O20" s="4"/>
      <c r="P20" s="4"/>
      <c r="Q20" s="4"/>
      <c r="R20" s="4"/>
      <c r="S20" s="4"/>
    </row>
    <row r="21" spans="1:19" x14ac:dyDescent="0.2">
      <c r="A21" t="s">
        <v>479</v>
      </c>
      <c r="B21" t="s">
        <v>697</v>
      </c>
      <c r="C21" s="10">
        <v>4</v>
      </c>
      <c r="D21" s="10">
        <v>5</v>
      </c>
      <c r="E2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1" s="10">
        <v>12</v>
      </c>
      <c r="H21" s="4"/>
      <c r="I21" s="4"/>
      <c r="J21" s="4"/>
      <c r="K21" s="4"/>
      <c r="L21" s="4"/>
      <c r="M21" s="4"/>
      <c r="N21" s="4"/>
      <c r="O21" s="4"/>
      <c r="P21" s="4"/>
      <c r="Q21" s="4"/>
      <c r="R21" s="4"/>
      <c r="S21" s="4"/>
    </row>
    <row r="22" spans="1:19" x14ac:dyDescent="0.2">
      <c r="A22" t="s">
        <v>479</v>
      </c>
      <c r="B22" t="s">
        <v>697</v>
      </c>
      <c r="C22" s="10">
        <v>3</v>
      </c>
      <c r="D22" s="10">
        <v>5</v>
      </c>
      <c r="E2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2" s="10">
        <v>28</v>
      </c>
      <c r="H22" s="4"/>
      <c r="I22" s="4"/>
      <c r="J22" s="4"/>
      <c r="K22" s="4"/>
      <c r="L22" s="4"/>
      <c r="M22" s="4"/>
      <c r="N22" s="4"/>
      <c r="O22" s="4"/>
      <c r="P22" s="4"/>
      <c r="Q22" s="4"/>
      <c r="R22" s="4"/>
      <c r="S22" s="4"/>
    </row>
    <row r="23" spans="1:19" x14ac:dyDescent="0.2">
      <c r="A23" t="s">
        <v>479</v>
      </c>
      <c r="B23" t="s">
        <v>697</v>
      </c>
      <c r="C23" s="10">
        <v>3</v>
      </c>
      <c r="D23" s="10">
        <v>10</v>
      </c>
      <c r="E2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3" s="10">
        <v>20</v>
      </c>
      <c r="H23" s="4"/>
      <c r="I23" s="4"/>
      <c r="J23" s="4"/>
      <c r="K23" s="4"/>
      <c r="L23" s="4"/>
      <c r="M23" s="4"/>
      <c r="N23" s="4"/>
      <c r="O23" s="4"/>
      <c r="P23" s="4"/>
      <c r="Q23" s="4"/>
      <c r="R23" s="4"/>
      <c r="S23" s="4"/>
    </row>
    <row r="24" spans="1:19" x14ac:dyDescent="0.2">
      <c r="A24" t="s">
        <v>479</v>
      </c>
      <c r="B24" t="s">
        <v>697</v>
      </c>
      <c r="C24" s="10">
        <v>3</v>
      </c>
      <c r="D24" s="10">
        <v>7</v>
      </c>
      <c r="E2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4" s="10">
        <v>20</v>
      </c>
    </row>
    <row r="25" spans="1:19" x14ac:dyDescent="0.2">
      <c r="A25" t="s">
        <v>479</v>
      </c>
      <c r="B25" t="s">
        <v>697</v>
      </c>
      <c r="C25" s="10">
        <v>2</v>
      </c>
      <c r="D25" s="10">
        <v>10</v>
      </c>
      <c r="E2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5" s="10">
        <v>16</v>
      </c>
    </row>
    <row r="26" spans="1:19" x14ac:dyDescent="0.2">
      <c r="A26" t="s">
        <v>479</v>
      </c>
      <c r="B26" t="s">
        <v>697</v>
      </c>
      <c r="C26" s="10">
        <v>2</v>
      </c>
      <c r="D26" s="10">
        <v>7</v>
      </c>
      <c r="E2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6" s="10">
        <v>20</v>
      </c>
    </row>
    <row r="27" spans="1:19" x14ac:dyDescent="0.2">
      <c r="A27" t="s">
        <v>479</v>
      </c>
      <c r="B27" t="s">
        <v>697</v>
      </c>
      <c r="C27" s="10">
        <v>5</v>
      </c>
      <c r="D27" s="10">
        <v>7</v>
      </c>
      <c r="E2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7" s="10">
        <v>20</v>
      </c>
    </row>
    <row r="28" spans="1:19" x14ac:dyDescent="0.2">
      <c r="A28" t="s">
        <v>479</v>
      </c>
      <c r="B28" t="s">
        <v>697</v>
      </c>
      <c r="C28" s="10">
        <v>5</v>
      </c>
      <c r="D28" s="10">
        <v>4</v>
      </c>
      <c r="E2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8" s="10">
        <v>35</v>
      </c>
    </row>
    <row r="29" spans="1:19" x14ac:dyDescent="0.2">
      <c r="A29" t="s">
        <v>479</v>
      </c>
      <c r="B29" t="s">
        <v>697</v>
      </c>
      <c r="C29" s="10">
        <v>5</v>
      </c>
      <c r="D29" s="10">
        <v>7</v>
      </c>
      <c r="E2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9" s="10">
        <v>35</v>
      </c>
    </row>
    <row r="30" spans="1:19" x14ac:dyDescent="0.2">
      <c r="A30" t="s">
        <v>479</v>
      </c>
      <c r="B30" t="s">
        <v>697</v>
      </c>
      <c r="C30" s="10">
        <v>1</v>
      </c>
      <c r="D30" s="10">
        <v>10</v>
      </c>
      <c r="E3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0" s="10">
        <v>14</v>
      </c>
    </row>
    <row r="31" spans="1:19" x14ac:dyDescent="0.2">
      <c r="A31" t="s">
        <v>479</v>
      </c>
      <c r="B31" t="s">
        <v>697</v>
      </c>
      <c r="C31" s="10">
        <v>4</v>
      </c>
      <c r="D31" s="10">
        <v>7</v>
      </c>
      <c r="E3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1" s="10">
        <v>35</v>
      </c>
    </row>
    <row r="32" spans="1:19" x14ac:dyDescent="0.2">
      <c r="A32" t="s">
        <v>479</v>
      </c>
      <c r="B32" t="s">
        <v>697</v>
      </c>
      <c r="C32" s="10">
        <v>1</v>
      </c>
      <c r="D32" s="10">
        <v>7</v>
      </c>
      <c r="E3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2" s="10">
        <v>25</v>
      </c>
    </row>
    <row r="33" spans="1:6" x14ac:dyDescent="0.2">
      <c r="A33" t="s">
        <v>479</v>
      </c>
      <c r="B33" t="s">
        <v>697</v>
      </c>
      <c r="C33" s="10">
        <v>1</v>
      </c>
      <c r="D33" s="10">
        <v>10</v>
      </c>
      <c r="E3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3" s="10">
        <v>20</v>
      </c>
    </row>
    <row r="34" spans="1:6" x14ac:dyDescent="0.2">
      <c r="A34" t="s">
        <v>479</v>
      </c>
      <c r="B34" t="s">
        <v>697</v>
      </c>
      <c r="C34" s="10">
        <v>3</v>
      </c>
      <c r="D34" s="10">
        <v>7</v>
      </c>
      <c r="E3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4" s="10">
        <v>20</v>
      </c>
    </row>
    <row r="35" spans="1:6" x14ac:dyDescent="0.2">
      <c r="A35" t="s">
        <v>479</v>
      </c>
      <c r="B35" t="s">
        <v>1004</v>
      </c>
      <c r="C35" s="10">
        <v>4</v>
      </c>
      <c r="D35" s="10">
        <v>10</v>
      </c>
      <c r="E35"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35" s="10">
        <v>40</v>
      </c>
    </row>
    <row r="36" spans="1:6" x14ac:dyDescent="0.2">
      <c r="A36" t="s">
        <v>479</v>
      </c>
      <c r="B36" t="s">
        <v>1004</v>
      </c>
      <c r="C36" s="10">
        <v>4</v>
      </c>
      <c r="D36" s="10">
        <v>7</v>
      </c>
      <c r="E3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6" s="10">
        <v>28</v>
      </c>
    </row>
    <row r="37" spans="1:6" x14ac:dyDescent="0.2">
      <c r="A37" t="s">
        <v>479</v>
      </c>
      <c r="B37" t="s">
        <v>1004</v>
      </c>
      <c r="C37" s="10">
        <v>4</v>
      </c>
      <c r="D37" s="10">
        <v>7</v>
      </c>
      <c r="E3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7" s="10">
        <v>28</v>
      </c>
    </row>
    <row r="38" spans="1:6" x14ac:dyDescent="0.2">
      <c r="A38" t="s">
        <v>479</v>
      </c>
      <c r="B38" t="s">
        <v>1004</v>
      </c>
      <c r="C38" s="10">
        <v>5</v>
      </c>
      <c r="D38" s="10">
        <v>4</v>
      </c>
      <c r="E3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8" s="10">
        <v>20</v>
      </c>
    </row>
    <row r="39" spans="1:6" x14ac:dyDescent="0.2">
      <c r="A39" t="s">
        <v>479</v>
      </c>
      <c r="B39" t="s">
        <v>1004</v>
      </c>
      <c r="C39" s="10">
        <v>5</v>
      </c>
      <c r="D39" s="10">
        <v>7</v>
      </c>
      <c r="E3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9" s="10">
        <v>35</v>
      </c>
    </row>
    <row r="40" spans="1:6" x14ac:dyDescent="0.2">
      <c r="A40" t="s">
        <v>479</v>
      </c>
      <c r="B40" t="s">
        <v>1004</v>
      </c>
      <c r="C40" s="10">
        <v>4</v>
      </c>
      <c r="D40" s="10">
        <v>7</v>
      </c>
      <c r="E4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0" s="10">
        <v>28</v>
      </c>
    </row>
    <row r="41" spans="1:6" x14ac:dyDescent="0.2">
      <c r="A41" t="s">
        <v>479</v>
      </c>
      <c r="B41" t="s">
        <v>1004</v>
      </c>
      <c r="C41" s="10">
        <v>3</v>
      </c>
      <c r="D41" s="10">
        <v>10</v>
      </c>
      <c r="E41"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41" s="10">
        <v>40</v>
      </c>
    </row>
    <row r="42" spans="1:6" x14ac:dyDescent="0.2">
      <c r="A42" t="s">
        <v>479</v>
      </c>
      <c r="B42" t="s">
        <v>1004</v>
      </c>
      <c r="C42" s="10">
        <v>4</v>
      </c>
      <c r="D42" s="10">
        <v>10</v>
      </c>
      <c r="E4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2" s="10">
        <v>30</v>
      </c>
    </row>
    <row r="43" spans="1:6" x14ac:dyDescent="0.2">
      <c r="A43" t="s">
        <v>479</v>
      </c>
      <c r="B43" t="s">
        <v>1004</v>
      </c>
      <c r="C43" s="10">
        <v>4</v>
      </c>
      <c r="D43" s="10">
        <v>7</v>
      </c>
      <c r="E43"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43" s="10">
        <v>40</v>
      </c>
    </row>
    <row r="44" spans="1:6" x14ac:dyDescent="0.2">
      <c r="A44" t="s">
        <v>479</v>
      </c>
      <c r="B44" t="s">
        <v>1004</v>
      </c>
      <c r="C44" s="10">
        <v>4</v>
      </c>
      <c r="D44" s="10">
        <v>10</v>
      </c>
      <c r="E4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4" s="10">
        <v>20</v>
      </c>
    </row>
    <row r="45" spans="1:6" x14ac:dyDescent="0.2">
      <c r="A45" t="s">
        <v>479</v>
      </c>
      <c r="B45" t="s">
        <v>1004</v>
      </c>
      <c r="C45" s="10">
        <v>3</v>
      </c>
      <c r="D45" s="10">
        <v>10</v>
      </c>
      <c r="E45"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45" s="10">
        <v>40</v>
      </c>
    </row>
    <row r="46" spans="1:6" x14ac:dyDescent="0.2">
      <c r="A46" t="s">
        <v>479</v>
      </c>
      <c r="B46" t="s">
        <v>1004</v>
      </c>
      <c r="C46" s="10">
        <v>3</v>
      </c>
      <c r="D46" s="10">
        <v>10</v>
      </c>
      <c r="E4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6" s="10">
        <v>20</v>
      </c>
    </row>
    <row r="47" spans="1:6" x14ac:dyDescent="0.2">
      <c r="A47" t="s">
        <v>479</v>
      </c>
      <c r="B47" t="s">
        <v>1004</v>
      </c>
      <c r="C47" s="10"/>
      <c r="D47" s="10"/>
      <c r="E4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7" s="10">
        <v>28</v>
      </c>
    </row>
    <row r="48" spans="1:6" x14ac:dyDescent="0.2">
      <c r="A48" t="s">
        <v>479</v>
      </c>
      <c r="B48" t="s">
        <v>1004</v>
      </c>
      <c r="C48" s="10">
        <v>2</v>
      </c>
      <c r="D48" s="10">
        <v>7</v>
      </c>
      <c r="E4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8" s="10">
        <v>35</v>
      </c>
    </row>
    <row r="49" spans="1:6" x14ac:dyDescent="0.2">
      <c r="A49" t="s">
        <v>479</v>
      </c>
      <c r="B49" t="s">
        <v>1004</v>
      </c>
      <c r="C49" s="10">
        <v>5</v>
      </c>
      <c r="D49" s="10">
        <v>4</v>
      </c>
      <c r="E49"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49" s="10">
        <v>40</v>
      </c>
    </row>
    <row r="50" spans="1:6" x14ac:dyDescent="0.2">
      <c r="A50" t="s">
        <v>479</v>
      </c>
      <c r="B50" t="s">
        <v>1004</v>
      </c>
      <c r="C50" s="10">
        <v>4</v>
      </c>
      <c r="D50" s="10">
        <v>10</v>
      </c>
      <c r="E5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0" s="10">
        <v>21</v>
      </c>
    </row>
    <row r="51" spans="1:6" x14ac:dyDescent="0.2">
      <c r="A51" t="s">
        <v>479</v>
      </c>
      <c r="B51" t="s">
        <v>1004</v>
      </c>
      <c r="C51" s="10">
        <v>3</v>
      </c>
      <c r="D51" s="10">
        <v>7</v>
      </c>
      <c r="E5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1" s="10">
        <v>28</v>
      </c>
    </row>
    <row r="52" spans="1:6" x14ac:dyDescent="0.2">
      <c r="A52" t="s">
        <v>479</v>
      </c>
      <c r="B52" t="s">
        <v>1004</v>
      </c>
      <c r="C52" s="10">
        <v>5</v>
      </c>
      <c r="D52" s="10">
        <v>7</v>
      </c>
      <c r="E5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2" s="10">
        <v>28</v>
      </c>
    </row>
    <row r="53" spans="1:6" x14ac:dyDescent="0.2">
      <c r="A53" t="s">
        <v>479</v>
      </c>
      <c r="B53" t="s">
        <v>1004</v>
      </c>
      <c r="C53" s="10">
        <v>3</v>
      </c>
      <c r="D53" s="10">
        <v>7</v>
      </c>
      <c r="E53"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53" s="10">
        <v>40</v>
      </c>
    </row>
    <row r="54" spans="1:6" x14ac:dyDescent="0.2">
      <c r="A54" t="s">
        <v>479</v>
      </c>
      <c r="B54" t="s">
        <v>1004</v>
      </c>
      <c r="C54" s="10">
        <v>4</v>
      </c>
      <c r="D54" s="10">
        <v>10</v>
      </c>
      <c r="E5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4" s="10">
        <v>35</v>
      </c>
    </row>
    <row r="55" spans="1:6" x14ac:dyDescent="0.2">
      <c r="A55" t="s">
        <v>479</v>
      </c>
      <c r="B55" t="s">
        <v>1004</v>
      </c>
      <c r="C55" s="10">
        <v>3</v>
      </c>
      <c r="D55" s="10">
        <v>10</v>
      </c>
      <c r="E55"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55" s="10">
        <v>40</v>
      </c>
    </row>
    <row r="56" spans="1:6" x14ac:dyDescent="0.2">
      <c r="A56" t="s">
        <v>479</v>
      </c>
      <c r="B56" t="s">
        <v>1004</v>
      </c>
      <c r="C56" s="10">
        <v>4</v>
      </c>
      <c r="D56" s="10">
        <v>7</v>
      </c>
      <c r="E56"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56" s="10">
        <v>40</v>
      </c>
    </row>
    <row r="57" spans="1:6" x14ac:dyDescent="0.2">
      <c r="A57" t="s">
        <v>479</v>
      </c>
      <c r="B57" t="s">
        <v>1004</v>
      </c>
      <c r="C57" s="10">
        <v>3</v>
      </c>
      <c r="D57" s="10">
        <v>7</v>
      </c>
      <c r="E5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7" s="10">
        <v>21</v>
      </c>
    </row>
    <row r="58" spans="1:6" x14ac:dyDescent="0.2">
      <c r="A58" t="s">
        <v>479</v>
      </c>
      <c r="B58" t="s">
        <v>1004</v>
      </c>
      <c r="C58" s="10">
        <v>4</v>
      </c>
      <c r="D58" s="10">
        <v>7</v>
      </c>
      <c r="E58"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58" s="10">
        <v>50</v>
      </c>
    </row>
    <row r="59" spans="1:6" x14ac:dyDescent="0.2">
      <c r="A59" t="s">
        <v>479</v>
      </c>
      <c r="B59" t="s">
        <v>1004</v>
      </c>
      <c r="C59" s="10">
        <v>4</v>
      </c>
      <c r="D59" s="10">
        <v>4</v>
      </c>
      <c r="E5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9" s="10">
        <v>35</v>
      </c>
    </row>
    <row r="60" spans="1:6" x14ac:dyDescent="0.2">
      <c r="A60" t="s">
        <v>479</v>
      </c>
      <c r="B60" t="s">
        <v>1004</v>
      </c>
      <c r="C60" s="10">
        <v>4</v>
      </c>
      <c r="D60" s="10">
        <v>7</v>
      </c>
      <c r="E6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0" s="10">
        <v>35</v>
      </c>
    </row>
    <row r="61" spans="1:6" x14ac:dyDescent="0.2">
      <c r="A61" t="s">
        <v>479</v>
      </c>
      <c r="B61" t="s">
        <v>1004</v>
      </c>
      <c r="C61" s="10">
        <v>4</v>
      </c>
      <c r="D61" s="10">
        <v>7</v>
      </c>
      <c r="E6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1" s="10">
        <v>16</v>
      </c>
    </row>
    <row r="62" spans="1:6" x14ac:dyDescent="0.2">
      <c r="A62" t="s">
        <v>479</v>
      </c>
      <c r="B62" t="s">
        <v>1004</v>
      </c>
      <c r="C62" s="10">
        <v>4</v>
      </c>
      <c r="D62" s="10">
        <v>7</v>
      </c>
      <c r="E6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2" s="10">
        <v>35</v>
      </c>
    </row>
    <row r="63" spans="1:6" x14ac:dyDescent="0.2">
      <c r="A63" t="s">
        <v>479</v>
      </c>
      <c r="B63" t="s">
        <v>1004</v>
      </c>
      <c r="C63" s="10">
        <v>2</v>
      </c>
      <c r="D63" s="10">
        <v>4</v>
      </c>
      <c r="E6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3" s="10">
        <v>35</v>
      </c>
    </row>
    <row r="64" spans="1:6" x14ac:dyDescent="0.2">
      <c r="A64" t="s">
        <v>479</v>
      </c>
      <c r="B64" t="s">
        <v>1004</v>
      </c>
      <c r="C64" s="10">
        <v>3</v>
      </c>
      <c r="D64" s="10">
        <v>10</v>
      </c>
      <c r="E6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4" s="10">
        <v>14</v>
      </c>
    </row>
    <row r="65" spans="1:6" x14ac:dyDescent="0.2">
      <c r="A65" t="s">
        <v>479</v>
      </c>
      <c r="B65" t="s">
        <v>1004</v>
      </c>
      <c r="C65" s="10">
        <v>3</v>
      </c>
      <c r="D65" s="10">
        <v>4</v>
      </c>
      <c r="E6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5" s="10">
        <v>30</v>
      </c>
    </row>
    <row r="66" spans="1:6" x14ac:dyDescent="0.2">
      <c r="A66" t="s">
        <v>479</v>
      </c>
      <c r="B66" t="s">
        <v>1004</v>
      </c>
      <c r="C66" s="10">
        <v>4</v>
      </c>
      <c r="D66" s="10">
        <v>7</v>
      </c>
      <c r="E6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6" s="10">
        <v>35</v>
      </c>
    </row>
    <row r="67" spans="1:6" x14ac:dyDescent="0.2">
      <c r="A67" t="s">
        <v>479</v>
      </c>
      <c r="B67" t="s">
        <v>1004</v>
      </c>
      <c r="C67" s="10">
        <v>5</v>
      </c>
      <c r="D67" s="10">
        <v>7</v>
      </c>
      <c r="E6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7" s="10">
        <v>35</v>
      </c>
    </row>
    <row r="68" spans="1:6" x14ac:dyDescent="0.2">
      <c r="A68" t="s">
        <v>479</v>
      </c>
      <c r="B68" t="s">
        <v>462</v>
      </c>
      <c r="C68" s="10">
        <v>4</v>
      </c>
      <c r="D68" s="10">
        <v>4</v>
      </c>
      <c r="E6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8" s="10">
        <v>16</v>
      </c>
    </row>
    <row r="69" spans="1:6" x14ac:dyDescent="0.2">
      <c r="A69" t="s">
        <v>479</v>
      </c>
      <c r="B69" t="s">
        <v>462</v>
      </c>
      <c r="C69" s="10">
        <v>5</v>
      </c>
      <c r="D69" s="10">
        <v>4</v>
      </c>
      <c r="E6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9" s="10">
        <v>20</v>
      </c>
    </row>
    <row r="70" spans="1:6" x14ac:dyDescent="0.2">
      <c r="A70" t="s">
        <v>479</v>
      </c>
      <c r="B70" t="s">
        <v>462</v>
      </c>
      <c r="C70" s="10">
        <v>5</v>
      </c>
      <c r="D70" s="10">
        <v>4</v>
      </c>
      <c r="E7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0" s="10">
        <v>20</v>
      </c>
    </row>
    <row r="71" spans="1:6" x14ac:dyDescent="0.2">
      <c r="A71" t="s">
        <v>479</v>
      </c>
      <c r="B71" t="s">
        <v>462</v>
      </c>
      <c r="C71" s="10">
        <v>4</v>
      </c>
      <c r="D71" s="10">
        <v>4</v>
      </c>
      <c r="E7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1" s="10">
        <v>16</v>
      </c>
    </row>
    <row r="72" spans="1:6" x14ac:dyDescent="0.2">
      <c r="A72" t="s">
        <v>479</v>
      </c>
      <c r="B72" t="s">
        <v>462</v>
      </c>
      <c r="C72" s="10">
        <v>5</v>
      </c>
      <c r="D72" s="10">
        <v>7</v>
      </c>
      <c r="E7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2" s="10">
        <v>35</v>
      </c>
    </row>
    <row r="73" spans="1:6" x14ac:dyDescent="0.2">
      <c r="A73" t="s">
        <v>479</v>
      </c>
      <c r="B73" t="s">
        <v>462</v>
      </c>
      <c r="C73" s="10">
        <v>5</v>
      </c>
      <c r="D73" s="10">
        <v>4</v>
      </c>
      <c r="E7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3" s="10">
        <v>20</v>
      </c>
    </row>
    <row r="74" spans="1:6" x14ac:dyDescent="0.2">
      <c r="A74" t="s">
        <v>479</v>
      </c>
      <c r="B74" t="s">
        <v>462</v>
      </c>
      <c r="C74" s="10">
        <v>3</v>
      </c>
      <c r="D74" s="10">
        <v>7</v>
      </c>
      <c r="E7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4" s="10">
        <v>21</v>
      </c>
    </row>
    <row r="75" spans="1:6" x14ac:dyDescent="0.2">
      <c r="A75" t="s">
        <v>479</v>
      </c>
      <c r="B75" t="s">
        <v>462</v>
      </c>
      <c r="C75" s="10">
        <v>2</v>
      </c>
      <c r="D75" s="10">
        <v>10</v>
      </c>
      <c r="E7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5" s="10">
        <v>20</v>
      </c>
    </row>
    <row r="76" spans="1:6" x14ac:dyDescent="0.2">
      <c r="A76" t="s">
        <v>479</v>
      </c>
      <c r="B76" t="s">
        <v>462</v>
      </c>
      <c r="C76" s="10">
        <v>4</v>
      </c>
      <c r="D76" s="10">
        <v>10</v>
      </c>
      <c r="E76"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76" s="10">
        <v>40</v>
      </c>
    </row>
    <row r="77" spans="1:6" x14ac:dyDescent="0.2">
      <c r="A77" t="s">
        <v>479</v>
      </c>
      <c r="B77" t="s">
        <v>462</v>
      </c>
      <c r="C77" s="10">
        <v>3</v>
      </c>
      <c r="D77" s="10">
        <v>7</v>
      </c>
      <c r="E7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7" s="10">
        <v>21</v>
      </c>
    </row>
    <row r="78" spans="1:6" x14ac:dyDescent="0.2">
      <c r="A78" t="s">
        <v>479</v>
      </c>
      <c r="B78" t="s">
        <v>462</v>
      </c>
      <c r="C78" s="10">
        <v>3</v>
      </c>
      <c r="D78" s="10">
        <v>4</v>
      </c>
      <c r="E7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8" s="10">
        <v>12</v>
      </c>
    </row>
    <row r="79" spans="1:6" x14ac:dyDescent="0.2">
      <c r="A79" t="s">
        <v>479</v>
      </c>
      <c r="B79" t="s">
        <v>462</v>
      </c>
      <c r="C79" s="10">
        <v>4</v>
      </c>
      <c r="D79" s="10">
        <v>7</v>
      </c>
      <c r="E7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9" s="10">
        <v>28</v>
      </c>
    </row>
    <row r="80" spans="1:6" x14ac:dyDescent="0.2">
      <c r="A80" t="s">
        <v>479</v>
      </c>
      <c r="B80" t="s">
        <v>462</v>
      </c>
      <c r="C80" s="10">
        <v>4</v>
      </c>
      <c r="D80" s="10">
        <v>7</v>
      </c>
      <c r="E8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80" s="10">
        <v>28</v>
      </c>
    </row>
    <row r="81" spans="1:6" x14ac:dyDescent="0.2">
      <c r="A81" t="s">
        <v>479</v>
      </c>
      <c r="B81" t="s">
        <v>462</v>
      </c>
      <c r="C81" s="10">
        <v>5</v>
      </c>
      <c r="D81" s="10">
        <v>4</v>
      </c>
      <c r="E8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1" s="10">
        <v>20</v>
      </c>
    </row>
    <row r="82" spans="1:6" x14ac:dyDescent="0.2">
      <c r="A82" t="s">
        <v>479</v>
      </c>
      <c r="B82" t="s">
        <v>462</v>
      </c>
      <c r="C82" s="10">
        <v>3</v>
      </c>
      <c r="D82" s="10">
        <v>4</v>
      </c>
      <c r="E8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2" s="10">
        <v>12</v>
      </c>
    </row>
    <row r="83" spans="1:6" x14ac:dyDescent="0.2">
      <c r="A83" t="s">
        <v>479</v>
      </c>
      <c r="B83" t="s">
        <v>462</v>
      </c>
      <c r="C83" s="10">
        <v>3</v>
      </c>
      <c r="D83" s="10">
        <v>7</v>
      </c>
      <c r="E8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3" s="10">
        <v>12</v>
      </c>
    </row>
    <row r="84" spans="1:6" x14ac:dyDescent="0.2">
      <c r="A84" t="s">
        <v>479</v>
      </c>
      <c r="B84" t="s">
        <v>462</v>
      </c>
      <c r="C84" s="10">
        <v>5</v>
      </c>
      <c r="D84" s="10">
        <v>4</v>
      </c>
      <c r="E8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4" s="10">
        <v>21</v>
      </c>
    </row>
    <row r="85" spans="1:6" x14ac:dyDescent="0.2">
      <c r="A85" t="s">
        <v>479</v>
      </c>
      <c r="B85" t="s">
        <v>462</v>
      </c>
      <c r="C85" s="10">
        <v>5</v>
      </c>
      <c r="D85" s="10">
        <v>10</v>
      </c>
      <c r="E8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85" s="10">
        <v>28</v>
      </c>
    </row>
    <row r="86" spans="1:6" x14ac:dyDescent="0.2">
      <c r="A86" t="s">
        <v>479</v>
      </c>
      <c r="B86" t="s">
        <v>462</v>
      </c>
      <c r="C86" s="10">
        <v>2</v>
      </c>
      <c r="D86" s="10">
        <v>10</v>
      </c>
      <c r="E86"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86" s="10">
        <v>40</v>
      </c>
    </row>
    <row r="87" spans="1:6" x14ac:dyDescent="0.2">
      <c r="A87" t="s">
        <v>479</v>
      </c>
      <c r="B87" t="s">
        <v>462</v>
      </c>
      <c r="C87" s="10">
        <v>3</v>
      </c>
      <c r="D87" s="10">
        <v>7</v>
      </c>
      <c r="E8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7" s="10">
        <v>14</v>
      </c>
    </row>
    <row r="88" spans="1:6" x14ac:dyDescent="0.2">
      <c r="A88" t="s">
        <v>479</v>
      </c>
      <c r="B88" t="s">
        <v>462</v>
      </c>
      <c r="C88" s="10">
        <v>3</v>
      </c>
      <c r="D88" s="10">
        <v>7</v>
      </c>
      <c r="E8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8" s="10">
        <v>21</v>
      </c>
    </row>
    <row r="89" spans="1:6" x14ac:dyDescent="0.2">
      <c r="A89" t="s">
        <v>479</v>
      </c>
      <c r="B89" t="s">
        <v>462</v>
      </c>
      <c r="C89" s="10">
        <v>5</v>
      </c>
      <c r="D89" s="10">
        <v>4</v>
      </c>
      <c r="E8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9" s="10">
        <v>20</v>
      </c>
    </row>
    <row r="90" spans="1:6" x14ac:dyDescent="0.2">
      <c r="A90" t="s">
        <v>479</v>
      </c>
      <c r="B90" t="s">
        <v>462</v>
      </c>
      <c r="C90" s="10">
        <v>4</v>
      </c>
      <c r="D90" s="10">
        <v>7</v>
      </c>
      <c r="E9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90" s="10">
        <v>30</v>
      </c>
    </row>
    <row r="91" spans="1:6" x14ac:dyDescent="0.2">
      <c r="A91" t="s">
        <v>479</v>
      </c>
      <c r="B91" t="s">
        <v>462</v>
      </c>
      <c r="C91" s="10">
        <v>5</v>
      </c>
      <c r="D91" s="10">
        <v>4</v>
      </c>
      <c r="E9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91" s="10">
        <v>20</v>
      </c>
    </row>
    <row r="92" spans="1:6" x14ac:dyDescent="0.2">
      <c r="A92" t="s">
        <v>479</v>
      </c>
      <c r="B92" t="s">
        <v>462</v>
      </c>
      <c r="C92" s="10">
        <v>2</v>
      </c>
      <c r="D92" s="10">
        <v>7</v>
      </c>
      <c r="E9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92" s="10">
        <v>12</v>
      </c>
    </row>
    <row r="93" spans="1:6" x14ac:dyDescent="0.2">
      <c r="A93" t="s">
        <v>479</v>
      </c>
      <c r="B93" t="s">
        <v>462</v>
      </c>
      <c r="C93" s="10">
        <v>4</v>
      </c>
      <c r="D93" s="10">
        <v>4</v>
      </c>
      <c r="E9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93" s="10">
        <v>28</v>
      </c>
    </row>
    <row r="94" spans="1:6" x14ac:dyDescent="0.2">
      <c r="A94" t="s">
        <v>479</v>
      </c>
      <c r="B94" t="s">
        <v>462</v>
      </c>
      <c r="C94" s="10">
        <v>5</v>
      </c>
      <c r="D94" s="10">
        <v>7</v>
      </c>
      <c r="E9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94" s="10">
        <v>35</v>
      </c>
    </row>
    <row r="95" spans="1:6" x14ac:dyDescent="0.2">
      <c r="A95" t="s">
        <v>479</v>
      </c>
      <c r="B95" t="s">
        <v>462</v>
      </c>
      <c r="C95" s="10">
        <v>4</v>
      </c>
      <c r="D95" s="10">
        <v>7</v>
      </c>
      <c r="E9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95" s="10">
        <v>28</v>
      </c>
    </row>
    <row r="96" spans="1:6" x14ac:dyDescent="0.2">
      <c r="A96" t="s">
        <v>479</v>
      </c>
      <c r="B96" t="s">
        <v>462</v>
      </c>
      <c r="C96" s="10">
        <v>5</v>
      </c>
      <c r="D96" s="10">
        <v>4</v>
      </c>
      <c r="E9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96" s="10">
        <v>28</v>
      </c>
    </row>
    <row r="97" spans="1:6" x14ac:dyDescent="0.2">
      <c r="A97" t="s">
        <v>479</v>
      </c>
      <c r="B97" t="s">
        <v>462</v>
      </c>
      <c r="C97" s="10">
        <v>4</v>
      </c>
      <c r="D97" s="10">
        <v>10</v>
      </c>
      <c r="E9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97" s="10">
        <v>28</v>
      </c>
    </row>
    <row r="98" spans="1:6" x14ac:dyDescent="0.2">
      <c r="A98" t="s">
        <v>479</v>
      </c>
      <c r="B98" t="s">
        <v>462</v>
      </c>
      <c r="C98" s="10">
        <v>3</v>
      </c>
      <c r="D98" s="10">
        <v>4</v>
      </c>
      <c r="E9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98" s="10">
        <v>35</v>
      </c>
    </row>
    <row r="99" spans="1:6" x14ac:dyDescent="0.2">
      <c r="A99" t="s">
        <v>479</v>
      </c>
      <c r="B99" t="s">
        <v>462</v>
      </c>
      <c r="C99" s="10">
        <v>4</v>
      </c>
      <c r="D99" s="10">
        <v>10</v>
      </c>
      <c r="E9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99" s="10">
        <v>35</v>
      </c>
    </row>
    <row r="100" spans="1:6" x14ac:dyDescent="0.2">
      <c r="A100" t="s">
        <v>479</v>
      </c>
      <c r="B100" t="s">
        <v>462</v>
      </c>
      <c r="C100" s="10">
        <v>4</v>
      </c>
      <c r="D100" s="10">
        <v>7</v>
      </c>
      <c r="E10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00" s="10">
        <v>28</v>
      </c>
    </row>
    <row r="101" spans="1:6" x14ac:dyDescent="0.2">
      <c r="A101" t="s">
        <v>479</v>
      </c>
      <c r="B101" t="s">
        <v>462</v>
      </c>
      <c r="C101" s="10">
        <v>4</v>
      </c>
      <c r="D101" s="10">
        <v>7</v>
      </c>
      <c r="E10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01" s="10">
        <v>12</v>
      </c>
    </row>
    <row r="102" spans="1:6" x14ac:dyDescent="0.2">
      <c r="A102" t="s">
        <v>479</v>
      </c>
      <c r="B102" t="s">
        <v>462</v>
      </c>
      <c r="C102" s="10">
        <v>3</v>
      </c>
      <c r="D102" s="10">
        <v>7</v>
      </c>
      <c r="E10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02" s="10">
        <v>20</v>
      </c>
    </row>
    <row r="103" spans="1:6" x14ac:dyDescent="0.2">
      <c r="A103" t="s">
        <v>479</v>
      </c>
      <c r="B103" t="s">
        <v>462</v>
      </c>
      <c r="C103" s="10">
        <v>4</v>
      </c>
      <c r="D103" s="10">
        <v>7</v>
      </c>
      <c r="E10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03" s="10">
        <v>21</v>
      </c>
    </row>
    <row r="104" spans="1:6" x14ac:dyDescent="0.2">
      <c r="A104" t="s">
        <v>479</v>
      </c>
      <c r="B104" t="s">
        <v>462</v>
      </c>
      <c r="C104" s="10">
        <v>4</v>
      </c>
      <c r="D104" s="10">
        <v>4</v>
      </c>
      <c r="E10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04" s="10">
        <v>35</v>
      </c>
    </row>
    <row r="105" spans="1:6" x14ac:dyDescent="0.2">
      <c r="A105" t="s">
        <v>479</v>
      </c>
      <c r="B105" t="s">
        <v>462</v>
      </c>
      <c r="C105" s="10">
        <v>3</v>
      </c>
      <c r="D105" s="10">
        <v>10</v>
      </c>
      <c r="E10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05" s="10">
        <v>21</v>
      </c>
    </row>
    <row r="106" spans="1:6" x14ac:dyDescent="0.2">
      <c r="A106" t="s">
        <v>479</v>
      </c>
      <c r="B106" t="s">
        <v>462</v>
      </c>
      <c r="C106" s="10">
        <v>5</v>
      </c>
      <c r="D106" s="10">
        <v>7</v>
      </c>
      <c r="E10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06" s="10">
        <v>12</v>
      </c>
    </row>
    <row r="107" spans="1:6" x14ac:dyDescent="0.2">
      <c r="A107" t="s">
        <v>479</v>
      </c>
      <c r="B107" t="s">
        <v>462</v>
      </c>
      <c r="C107" s="10">
        <v>3</v>
      </c>
      <c r="D107" s="10">
        <v>4</v>
      </c>
      <c r="E10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07" s="10">
        <v>28</v>
      </c>
    </row>
    <row r="108" spans="1:6" x14ac:dyDescent="0.2">
      <c r="A108" t="s">
        <v>479</v>
      </c>
      <c r="B108" t="s">
        <v>462</v>
      </c>
      <c r="C108" s="10">
        <v>4</v>
      </c>
      <c r="D108" s="10">
        <v>7</v>
      </c>
      <c r="E10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08" s="10">
        <v>20</v>
      </c>
    </row>
    <row r="109" spans="1:6" x14ac:dyDescent="0.2">
      <c r="A109" t="s">
        <v>479</v>
      </c>
      <c r="B109" t="s">
        <v>462</v>
      </c>
      <c r="C109" s="10">
        <v>3</v>
      </c>
      <c r="D109" s="10">
        <v>4</v>
      </c>
      <c r="E10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09" s="10">
        <v>30</v>
      </c>
    </row>
    <row r="110" spans="1:6" x14ac:dyDescent="0.2">
      <c r="A110" t="s">
        <v>479</v>
      </c>
      <c r="B110" t="s">
        <v>462</v>
      </c>
      <c r="C110" s="10">
        <v>5</v>
      </c>
      <c r="D110" s="10">
        <v>4</v>
      </c>
      <c r="E110"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110" s="10">
        <v>50</v>
      </c>
    </row>
    <row r="111" spans="1:6" x14ac:dyDescent="0.2">
      <c r="A111" t="s">
        <v>478</v>
      </c>
      <c r="B111" t="s">
        <v>482</v>
      </c>
      <c r="C111" s="10">
        <v>5</v>
      </c>
      <c r="D111" s="10">
        <v>7</v>
      </c>
      <c r="E11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11" s="10">
        <v>35</v>
      </c>
    </row>
    <row r="112" spans="1:6" x14ac:dyDescent="0.2">
      <c r="A112" t="s">
        <v>478</v>
      </c>
      <c r="B112" t="s">
        <v>482</v>
      </c>
      <c r="C112" s="10">
        <v>3</v>
      </c>
      <c r="D112" s="10">
        <v>10</v>
      </c>
      <c r="E11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12" s="10">
        <v>30</v>
      </c>
    </row>
    <row r="113" spans="1:6" x14ac:dyDescent="0.2">
      <c r="A113" t="s">
        <v>478</v>
      </c>
      <c r="B113" t="s">
        <v>482</v>
      </c>
      <c r="C113" s="10">
        <v>3</v>
      </c>
      <c r="D113" s="10">
        <v>4</v>
      </c>
      <c r="E11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13" s="10">
        <v>12</v>
      </c>
    </row>
    <row r="114" spans="1:6" x14ac:dyDescent="0.2">
      <c r="A114" t="s">
        <v>478</v>
      </c>
      <c r="B114" t="s">
        <v>482</v>
      </c>
      <c r="C114" s="10">
        <v>5</v>
      </c>
      <c r="D114" s="10">
        <v>7</v>
      </c>
      <c r="E11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14" s="10">
        <v>35</v>
      </c>
    </row>
    <row r="115" spans="1:6" x14ac:dyDescent="0.2">
      <c r="A115" t="s">
        <v>479</v>
      </c>
      <c r="B115" t="s">
        <v>482</v>
      </c>
      <c r="C115" s="10">
        <v>5</v>
      </c>
      <c r="D115" s="10">
        <v>4</v>
      </c>
      <c r="E11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15" s="10">
        <v>20</v>
      </c>
    </row>
    <row r="116" spans="1:6" x14ac:dyDescent="0.2">
      <c r="A116" t="s">
        <v>479</v>
      </c>
      <c r="B116" t="s">
        <v>482</v>
      </c>
      <c r="C116" s="10">
        <v>4</v>
      </c>
      <c r="D116" s="10">
        <v>7</v>
      </c>
      <c r="E11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16" s="10">
        <v>28</v>
      </c>
    </row>
    <row r="117" spans="1:6" x14ac:dyDescent="0.2">
      <c r="A117" t="s">
        <v>478</v>
      </c>
      <c r="B117" t="s">
        <v>482</v>
      </c>
      <c r="C117" s="10">
        <v>4</v>
      </c>
      <c r="D117" s="10">
        <v>7</v>
      </c>
      <c r="E11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17" s="10">
        <v>28</v>
      </c>
    </row>
    <row r="118" spans="1:6" x14ac:dyDescent="0.2">
      <c r="A118" t="s">
        <v>478</v>
      </c>
      <c r="B118" t="s">
        <v>482</v>
      </c>
      <c r="C118" s="10">
        <v>3</v>
      </c>
      <c r="D118" s="10">
        <v>10</v>
      </c>
      <c r="E11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18" s="10">
        <v>30</v>
      </c>
    </row>
    <row r="119" spans="1:6" x14ac:dyDescent="0.2">
      <c r="A119" t="s">
        <v>479</v>
      </c>
      <c r="B119" t="s">
        <v>482</v>
      </c>
      <c r="C119" s="10">
        <v>3</v>
      </c>
      <c r="D119" s="10">
        <v>4</v>
      </c>
      <c r="E11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19" s="10">
        <v>12</v>
      </c>
    </row>
    <row r="120" spans="1:6" x14ac:dyDescent="0.2">
      <c r="A120" t="s">
        <v>478</v>
      </c>
      <c r="B120" t="s">
        <v>482</v>
      </c>
      <c r="C120" s="10">
        <v>4</v>
      </c>
      <c r="D120" s="10">
        <v>7</v>
      </c>
      <c r="E12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20" s="10">
        <v>28</v>
      </c>
    </row>
    <row r="121" spans="1:6" x14ac:dyDescent="0.2">
      <c r="A121" t="s">
        <v>478</v>
      </c>
      <c r="B121" t="s">
        <v>482</v>
      </c>
      <c r="C121" s="10">
        <v>4</v>
      </c>
      <c r="D121" s="10">
        <v>10</v>
      </c>
      <c r="E121"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121" s="10">
        <v>40</v>
      </c>
    </row>
    <row r="122" spans="1:6" x14ac:dyDescent="0.2">
      <c r="A122" t="s">
        <v>478</v>
      </c>
      <c r="B122" t="s">
        <v>482</v>
      </c>
      <c r="C122" s="10">
        <v>5</v>
      </c>
      <c r="D122" s="10">
        <v>7</v>
      </c>
      <c r="E12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22" s="10">
        <v>35</v>
      </c>
    </row>
    <row r="123" spans="1:6" x14ac:dyDescent="0.2">
      <c r="A123" t="s">
        <v>478</v>
      </c>
      <c r="B123" t="s">
        <v>482</v>
      </c>
      <c r="C123" s="10">
        <v>4</v>
      </c>
      <c r="D123" s="10">
        <v>10</v>
      </c>
      <c r="E123"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123" s="10">
        <v>40</v>
      </c>
    </row>
    <row r="124" spans="1:6" x14ac:dyDescent="0.2">
      <c r="A124" t="s">
        <v>479</v>
      </c>
      <c r="B124" t="s">
        <v>482</v>
      </c>
      <c r="C124" s="10">
        <v>4</v>
      </c>
      <c r="D124" s="10">
        <v>7</v>
      </c>
      <c r="E12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24" s="10">
        <v>28</v>
      </c>
    </row>
    <row r="125" spans="1:6" x14ac:dyDescent="0.2">
      <c r="A125" t="s">
        <v>478</v>
      </c>
      <c r="B125" t="s">
        <v>482</v>
      </c>
      <c r="C125" s="10">
        <v>5</v>
      </c>
      <c r="D125" s="10">
        <v>7</v>
      </c>
      <c r="E12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25" s="10">
        <v>35</v>
      </c>
    </row>
    <row r="126" spans="1:6" x14ac:dyDescent="0.2">
      <c r="A126" t="s">
        <v>478</v>
      </c>
      <c r="B126" t="s">
        <v>482</v>
      </c>
      <c r="C126" s="10">
        <v>4</v>
      </c>
      <c r="D126" s="10">
        <v>10</v>
      </c>
      <c r="E126"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126" s="10">
        <v>40</v>
      </c>
    </row>
    <row r="127" spans="1:6" x14ac:dyDescent="0.2">
      <c r="A127" t="s">
        <v>478</v>
      </c>
      <c r="B127" t="s">
        <v>482</v>
      </c>
      <c r="C127" s="10">
        <v>4</v>
      </c>
      <c r="D127" s="10">
        <v>10</v>
      </c>
      <c r="E127"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127" s="10">
        <v>40</v>
      </c>
    </row>
    <row r="128" spans="1:6" x14ac:dyDescent="0.2">
      <c r="A128" t="s">
        <v>478</v>
      </c>
      <c r="B128" t="s">
        <v>482</v>
      </c>
      <c r="C128" s="10">
        <v>4</v>
      </c>
      <c r="D128" s="10">
        <v>7</v>
      </c>
      <c r="E12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28" s="10">
        <v>28</v>
      </c>
    </row>
    <row r="129" spans="1:6" x14ac:dyDescent="0.2">
      <c r="A129" t="s">
        <v>479</v>
      </c>
      <c r="B129" t="s">
        <v>482</v>
      </c>
      <c r="C129" s="10">
        <v>5</v>
      </c>
      <c r="D129" s="10">
        <v>7</v>
      </c>
      <c r="E12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29" s="10">
        <v>35</v>
      </c>
    </row>
    <row r="130" spans="1:6" x14ac:dyDescent="0.2">
      <c r="A130" t="s">
        <v>478</v>
      </c>
      <c r="B130" t="s">
        <v>482</v>
      </c>
      <c r="C130" s="10">
        <v>3</v>
      </c>
      <c r="D130" s="10">
        <v>10</v>
      </c>
      <c r="E13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30" s="10">
        <v>30</v>
      </c>
    </row>
    <row r="131" spans="1:6" x14ac:dyDescent="0.2">
      <c r="A131" t="s">
        <v>478</v>
      </c>
      <c r="B131" t="s">
        <v>482</v>
      </c>
      <c r="C131" s="10">
        <v>5</v>
      </c>
      <c r="D131" s="10">
        <v>10</v>
      </c>
      <c r="E131"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131" s="10">
        <v>50</v>
      </c>
    </row>
    <row r="132" spans="1:6" x14ac:dyDescent="0.2">
      <c r="A132" t="s">
        <v>478</v>
      </c>
      <c r="B132" t="s">
        <v>482</v>
      </c>
      <c r="C132" s="10">
        <v>3</v>
      </c>
      <c r="D132" s="10">
        <v>5</v>
      </c>
      <c r="E13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32" s="10">
        <v>15</v>
      </c>
    </row>
    <row r="133" spans="1:6" x14ac:dyDescent="0.2">
      <c r="A133" t="s">
        <v>478</v>
      </c>
      <c r="B133" t="s">
        <v>482</v>
      </c>
      <c r="C133" s="10">
        <v>5</v>
      </c>
      <c r="D133" s="10">
        <v>10</v>
      </c>
      <c r="E133"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133" s="10">
        <v>50</v>
      </c>
    </row>
    <row r="134" spans="1:6" x14ac:dyDescent="0.2">
      <c r="A134" t="s">
        <v>479</v>
      </c>
      <c r="B134" t="s">
        <v>482</v>
      </c>
      <c r="C134" s="10">
        <v>3</v>
      </c>
      <c r="D134" s="10">
        <v>7</v>
      </c>
      <c r="E13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34" s="10">
        <v>21</v>
      </c>
    </row>
    <row r="135" spans="1:6" x14ac:dyDescent="0.2">
      <c r="A135" t="s">
        <v>479</v>
      </c>
      <c r="B135" t="s">
        <v>482</v>
      </c>
      <c r="C135" s="10">
        <v>5</v>
      </c>
      <c r="D135" s="10">
        <v>4</v>
      </c>
      <c r="E13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35" s="10">
        <v>20</v>
      </c>
    </row>
    <row r="136" spans="1:6" x14ac:dyDescent="0.2">
      <c r="A136" t="s">
        <v>478</v>
      </c>
      <c r="B136" t="s">
        <v>482</v>
      </c>
      <c r="C136" s="10">
        <v>4</v>
      </c>
      <c r="D136" s="10">
        <v>10</v>
      </c>
      <c r="E136"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136" s="10">
        <v>40</v>
      </c>
    </row>
    <row r="137" spans="1:6" x14ac:dyDescent="0.2">
      <c r="A137" t="s">
        <v>478</v>
      </c>
      <c r="B137" t="s">
        <v>482</v>
      </c>
      <c r="C137" s="10">
        <v>3</v>
      </c>
      <c r="D137" s="10">
        <v>10</v>
      </c>
      <c r="E13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37" s="10">
        <v>28</v>
      </c>
    </row>
    <row r="138" spans="1:6" x14ac:dyDescent="0.2">
      <c r="A138" t="s">
        <v>478</v>
      </c>
      <c r="B138" t="s">
        <v>482</v>
      </c>
      <c r="C138" s="10">
        <v>5</v>
      </c>
      <c r="D138" s="10">
        <v>4</v>
      </c>
      <c r="E13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38" s="10">
        <v>30</v>
      </c>
    </row>
    <row r="139" spans="1:6" x14ac:dyDescent="0.2">
      <c r="A139" t="s">
        <v>479</v>
      </c>
      <c r="B139" t="s">
        <v>482</v>
      </c>
      <c r="C139" s="10">
        <v>4</v>
      </c>
      <c r="D139" s="10">
        <v>7</v>
      </c>
      <c r="E13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39" s="10">
        <v>28</v>
      </c>
    </row>
    <row r="140" spans="1:6" x14ac:dyDescent="0.2">
      <c r="A140" t="s">
        <v>478</v>
      </c>
      <c r="B140" t="s">
        <v>482</v>
      </c>
      <c r="C140" s="10">
        <v>2</v>
      </c>
      <c r="D140" s="10">
        <v>1</v>
      </c>
      <c r="E140"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140" s="10">
        <v>40</v>
      </c>
    </row>
    <row r="141" spans="1:6" x14ac:dyDescent="0.2">
      <c r="A141" t="s">
        <v>478</v>
      </c>
      <c r="B141" t="s">
        <v>482</v>
      </c>
      <c r="C141" s="10">
        <v>4</v>
      </c>
      <c r="D141" s="10">
        <v>4</v>
      </c>
      <c r="E141"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141" s="10">
        <v>40</v>
      </c>
    </row>
    <row r="142" spans="1:6" x14ac:dyDescent="0.2">
      <c r="A142" t="s">
        <v>478</v>
      </c>
      <c r="B142" t="s">
        <v>482</v>
      </c>
      <c r="C142" s="10">
        <v>3</v>
      </c>
      <c r="D142" s="10">
        <v>10</v>
      </c>
      <c r="E14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42" s="10">
        <v>21</v>
      </c>
    </row>
    <row r="143" spans="1:6" x14ac:dyDescent="0.2">
      <c r="A143" t="s">
        <v>478</v>
      </c>
      <c r="B143" t="s">
        <v>482</v>
      </c>
      <c r="C143" s="10">
        <v>5</v>
      </c>
      <c r="D143" s="10">
        <v>7</v>
      </c>
      <c r="E14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43" s="10">
        <v>30</v>
      </c>
    </row>
    <row r="144" spans="1:6" x14ac:dyDescent="0.2">
      <c r="A144" t="s">
        <v>478</v>
      </c>
      <c r="B144" t="s">
        <v>482</v>
      </c>
      <c r="C144" s="10">
        <v>4</v>
      </c>
      <c r="D144" s="10">
        <v>7</v>
      </c>
      <c r="E14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44" s="10">
        <v>35</v>
      </c>
    </row>
    <row r="145" spans="1:6" x14ac:dyDescent="0.2">
      <c r="A145" t="s">
        <v>478</v>
      </c>
      <c r="B145" t="s">
        <v>482</v>
      </c>
      <c r="C145" s="10">
        <v>5</v>
      </c>
      <c r="D145" s="10">
        <v>4</v>
      </c>
      <c r="E14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45" s="10">
        <v>28</v>
      </c>
    </row>
    <row r="146" spans="1:6" x14ac:dyDescent="0.2">
      <c r="A146" t="s">
        <v>478</v>
      </c>
      <c r="B146" t="s">
        <v>482</v>
      </c>
      <c r="C146" s="10">
        <v>5</v>
      </c>
      <c r="D146" s="10">
        <v>4</v>
      </c>
      <c r="E14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46" s="10">
        <v>20</v>
      </c>
    </row>
    <row r="147" spans="1:6" x14ac:dyDescent="0.2">
      <c r="A147" t="s">
        <v>478</v>
      </c>
      <c r="B147" t="s">
        <v>482</v>
      </c>
      <c r="C147" s="10">
        <v>4</v>
      </c>
      <c r="D147" s="10">
        <v>7</v>
      </c>
      <c r="E14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47" s="10">
        <v>30</v>
      </c>
    </row>
    <row r="148" spans="1:6" x14ac:dyDescent="0.2">
      <c r="A148" t="s">
        <v>478</v>
      </c>
      <c r="B148" t="s">
        <v>482</v>
      </c>
      <c r="C148" s="10">
        <v>4</v>
      </c>
      <c r="D148" s="10">
        <v>10</v>
      </c>
      <c r="E14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48" s="10">
        <v>28</v>
      </c>
    </row>
    <row r="149" spans="1:6" x14ac:dyDescent="0.2">
      <c r="A149" t="s">
        <v>478</v>
      </c>
      <c r="B149" t="s">
        <v>482</v>
      </c>
      <c r="C149" s="10">
        <v>3</v>
      </c>
      <c r="D149" s="10">
        <v>7</v>
      </c>
      <c r="E14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49" s="10">
        <v>21</v>
      </c>
    </row>
    <row r="150" spans="1:6" x14ac:dyDescent="0.2">
      <c r="A150" t="s">
        <v>478</v>
      </c>
      <c r="B150" t="s">
        <v>482</v>
      </c>
      <c r="C150" s="10">
        <v>3</v>
      </c>
      <c r="D150" s="10">
        <v>10</v>
      </c>
      <c r="E15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50" s="10">
        <v>28</v>
      </c>
    </row>
    <row r="151" spans="1:6" x14ac:dyDescent="0.2">
      <c r="A151" t="s">
        <v>479</v>
      </c>
      <c r="B151" t="s">
        <v>482</v>
      </c>
      <c r="C151" s="10">
        <v>4</v>
      </c>
      <c r="D151" s="10">
        <v>7</v>
      </c>
      <c r="E15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51" s="10">
        <v>30</v>
      </c>
    </row>
    <row r="152" spans="1:6" x14ac:dyDescent="0.2">
      <c r="A152" t="s">
        <v>478</v>
      </c>
      <c r="B152" t="s">
        <v>482</v>
      </c>
      <c r="C152" s="10">
        <v>5</v>
      </c>
      <c r="D152" s="10">
        <v>10</v>
      </c>
      <c r="E152"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152" s="10">
        <v>50</v>
      </c>
    </row>
    <row r="153" spans="1:6" x14ac:dyDescent="0.2">
      <c r="A153" t="s">
        <v>478</v>
      </c>
      <c r="B153" t="s">
        <v>482</v>
      </c>
      <c r="C153" s="10">
        <v>5</v>
      </c>
      <c r="D153" s="10">
        <v>4</v>
      </c>
      <c r="E15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53" s="10">
        <v>28</v>
      </c>
    </row>
    <row r="154" spans="1:6" x14ac:dyDescent="0.2">
      <c r="A154" t="s">
        <v>478</v>
      </c>
      <c r="B154" t="s">
        <v>482</v>
      </c>
      <c r="C154" s="10">
        <v>5</v>
      </c>
      <c r="D154" s="10">
        <v>7</v>
      </c>
      <c r="E15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54" s="10">
        <v>35</v>
      </c>
    </row>
    <row r="155" spans="1:6" x14ac:dyDescent="0.2">
      <c r="A155" t="s">
        <v>478</v>
      </c>
      <c r="B155" t="s">
        <v>482</v>
      </c>
      <c r="C155" s="10">
        <v>4</v>
      </c>
      <c r="D155" s="10">
        <v>10</v>
      </c>
      <c r="E15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55" s="10">
        <v>28</v>
      </c>
    </row>
    <row r="156" spans="1:6" x14ac:dyDescent="0.2">
      <c r="A156" t="s">
        <v>478</v>
      </c>
      <c r="B156" t="s">
        <v>482</v>
      </c>
      <c r="C156" s="10">
        <v>4</v>
      </c>
      <c r="D156" s="10">
        <v>7</v>
      </c>
      <c r="E156"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156" s="10">
        <v>40</v>
      </c>
    </row>
    <row r="157" spans="1:6" x14ac:dyDescent="0.2">
      <c r="A157" t="s">
        <v>479</v>
      </c>
      <c r="B157" t="s">
        <v>482</v>
      </c>
      <c r="C157" s="10">
        <v>4</v>
      </c>
      <c r="D157" s="10">
        <v>10</v>
      </c>
      <c r="E15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57" s="10">
        <v>35</v>
      </c>
    </row>
    <row r="158" spans="1:6" x14ac:dyDescent="0.2">
      <c r="A158" t="s">
        <v>478</v>
      </c>
      <c r="B158" t="s">
        <v>482</v>
      </c>
      <c r="C158" s="10">
        <v>4</v>
      </c>
      <c r="D158" s="10">
        <v>10</v>
      </c>
      <c r="E15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58" s="10">
        <v>28</v>
      </c>
    </row>
    <row r="159" spans="1:6" x14ac:dyDescent="0.2">
      <c r="A159" t="s">
        <v>478</v>
      </c>
      <c r="B159" t="s">
        <v>482</v>
      </c>
      <c r="C159" s="10">
        <v>4</v>
      </c>
      <c r="D159" s="10">
        <v>7</v>
      </c>
      <c r="E15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59" s="10">
        <v>14</v>
      </c>
    </row>
    <row r="160" spans="1:6" x14ac:dyDescent="0.2">
      <c r="A160" t="s">
        <v>478</v>
      </c>
      <c r="B160" t="s">
        <v>482</v>
      </c>
      <c r="C160" s="10">
        <v>5</v>
      </c>
      <c r="D160" s="10">
        <v>7</v>
      </c>
      <c r="E16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60" s="10">
        <v>28</v>
      </c>
    </row>
    <row r="161" spans="1:6" x14ac:dyDescent="0.2">
      <c r="A161" t="s">
        <v>478</v>
      </c>
      <c r="B161" t="s">
        <v>482</v>
      </c>
      <c r="C161" s="10">
        <v>3</v>
      </c>
      <c r="D161" s="10">
        <v>5</v>
      </c>
      <c r="E16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61" s="10">
        <v>16</v>
      </c>
    </row>
    <row r="162" spans="1:6" x14ac:dyDescent="0.2">
      <c r="A162" t="s">
        <v>478</v>
      </c>
      <c r="B162" t="s">
        <v>482</v>
      </c>
      <c r="C162" s="10">
        <v>4</v>
      </c>
      <c r="D162" s="10">
        <v>10</v>
      </c>
      <c r="E16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62" s="10">
        <v>28</v>
      </c>
    </row>
    <row r="163" spans="1:6" x14ac:dyDescent="0.2">
      <c r="A163" t="s">
        <v>478</v>
      </c>
      <c r="B163" t="s">
        <v>482</v>
      </c>
      <c r="C163" s="10">
        <v>5</v>
      </c>
      <c r="D163" s="10">
        <v>7</v>
      </c>
      <c r="E16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63" s="10">
        <v>21</v>
      </c>
    </row>
    <row r="164" spans="1:6" x14ac:dyDescent="0.2">
      <c r="A164" t="s">
        <v>478</v>
      </c>
      <c r="B164" t="s">
        <v>482</v>
      </c>
      <c r="C164" s="10">
        <v>4</v>
      </c>
      <c r="D164" s="10">
        <v>7</v>
      </c>
      <c r="E16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64" s="10">
        <v>21</v>
      </c>
    </row>
    <row r="165" spans="1:6" x14ac:dyDescent="0.2">
      <c r="A165" t="s">
        <v>478</v>
      </c>
      <c r="B165" t="s">
        <v>482</v>
      </c>
      <c r="C165" s="10">
        <v>5</v>
      </c>
      <c r="D165" s="10">
        <v>7</v>
      </c>
      <c r="E16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65" s="10">
        <v>21</v>
      </c>
    </row>
    <row r="166" spans="1:6" x14ac:dyDescent="0.2">
      <c r="A166" t="s">
        <v>478</v>
      </c>
      <c r="B166" t="s">
        <v>482</v>
      </c>
      <c r="C166" s="10">
        <v>2</v>
      </c>
      <c r="D166" s="10">
        <v>10</v>
      </c>
      <c r="E16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66" s="10">
        <v>21</v>
      </c>
    </row>
    <row r="167" spans="1:6" x14ac:dyDescent="0.2">
      <c r="A167" t="s">
        <v>478</v>
      </c>
      <c r="B167" t="s">
        <v>482</v>
      </c>
      <c r="C167" s="10">
        <v>3</v>
      </c>
      <c r="D167" s="10">
        <v>7</v>
      </c>
      <c r="E16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67" s="10">
        <v>35</v>
      </c>
    </row>
    <row r="168" spans="1:6" x14ac:dyDescent="0.2">
      <c r="A168" t="s">
        <v>478</v>
      </c>
      <c r="B168" t="s">
        <v>482</v>
      </c>
      <c r="C168" s="10">
        <v>4</v>
      </c>
      <c r="D168" s="10">
        <v>10</v>
      </c>
      <c r="E16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68" s="10">
        <v>28</v>
      </c>
    </row>
    <row r="169" spans="1:6" x14ac:dyDescent="0.2">
      <c r="A169" t="s">
        <v>478</v>
      </c>
      <c r="B169" t="s">
        <v>482</v>
      </c>
      <c r="C169" s="10">
        <v>3</v>
      </c>
      <c r="D169" s="10">
        <v>4</v>
      </c>
      <c r="E16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69" s="10">
        <v>20</v>
      </c>
    </row>
    <row r="170" spans="1:6" x14ac:dyDescent="0.2">
      <c r="A170" t="s">
        <v>478</v>
      </c>
      <c r="B170" t="s">
        <v>482</v>
      </c>
      <c r="C170" s="10">
        <v>3</v>
      </c>
      <c r="D170" s="10">
        <v>7</v>
      </c>
      <c r="E17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70" s="10">
        <v>12</v>
      </c>
    </row>
    <row r="171" spans="1:6" x14ac:dyDescent="0.2">
      <c r="A171" t="s">
        <v>478</v>
      </c>
      <c r="B171" t="s">
        <v>482</v>
      </c>
      <c r="C171" s="10">
        <v>4</v>
      </c>
      <c r="D171" s="10">
        <v>7</v>
      </c>
      <c r="E17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71" s="10">
        <v>35</v>
      </c>
    </row>
    <row r="172" spans="1:6" x14ac:dyDescent="0.2">
      <c r="A172" t="s">
        <v>478</v>
      </c>
      <c r="B172" t="s">
        <v>482</v>
      </c>
      <c r="C172" s="10">
        <v>4</v>
      </c>
      <c r="D172" s="10">
        <v>7</v>
      </c>
      <c r="E17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72" s="10">
        <v>35</v>
      </c>
    </row>
    <row r="173" spans="1:6" x14ac:dyDescent="0.2">
      <c r="A173" t="s">
        <v>478</v>
      </c>
      <c r="B173" t="s">
        <v>482</v>
      </c>
      <c r="C173" s="10">
        <v>3</v>
      </c>
      <c r="D173" s="10">
        <v>7</v>
      </c>
      <c r="E17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73" s="10">
        <v>21</v>
      </c>
    </row>
    <row r="174" spans="1:6" x14ac:dyDescent="0.2">
      <c r="A174" t="s">
        <v>479</v>
      </c>
      <c r="B174" t="s">
        <v>482</v>
      </c>
      <c r="C174" s="10">
        <v>4</v>
      </c>
      <c r="D174" s="10">
        <v>7</v>
      </c>
      <c r="E17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74" s="10">
        <v>20</v>
      </c>
    </row>
    <row r="175" spans="1:6" x14ac:dyDescent="0.2">
      <c r="A175" t="s">
        <v>478</v>
      </c>
      <c r="B175" t="s">
        <v>482</v>
      </c>
      <c r="C175" s="10">
        <v>4</v>
      </c>
      <c r="D175" s="10">
        <v>7</v>
      </c>
      <c r="E17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75" s="10">
        <v>35</v>
      </c>
    </row>
    <row r="176" spans="1:6" x14ac:dyDescent="0.2">
      <c r="A176" t="s">
        <v>478</v>
      </c>
      <c r="B176" t="s">
        <v>482</v>
      </c>
      <c r="C176" s="10">
        <v>5</v>
      </c>
      <c r="D176" s="10">
        <v>7</v>
      </c>
      <c r="E17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76" s="10">
        <v>28</v>
      </c>
    </row>
    <row r="177" spans="1:6" x14ac:dyDescent="0.2">
      <c r="A177" t="s">
        <v>478</v>
      </c>
      <c r="B177" t="s">
        <v>482</v>
      </c>
      <c r="C177" s="10">
        <v>3</v>
      </c>
      <c r="D177" s="10">
        <v>10</v>
      </c>
      <c r="E17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77" s="10">
        <v>28</v>
      </c>
    </row>
    <row r="178" spans="1:6" x14ac:dyDescent="0.2">
      <c r="A178" t="s">
        <v>479</v>
      </c>
      <c r="B178" t="s">
        <v>482</v>
      </c>
      <c r="C178" s="10">
        <v>5</v>
      </c>
      <c r="D178" s="10">
        <v>4</v>
      </c>
      <c r="E17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78" s="10">
        <v>35</v>
      </c>
    </row>
    <row r="179" spans="1:6" x14ac:dyDescent="0.2">
      <c r="A179" t="s">
        <v>478</v>
      </c>
      <c r="B179" t="s">
        <v>482</v>
      </c>
      <c r="C179" s="10">
        <v>5</v>
      </c>
      <c r="D179" s="10">
        <v>7</v>
      </c>
      <c r="E17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79" s="10">
        <v>21</v>
      </c>
    </row>
    <row r="180" spans="1:6" x14ac:dyDescent="0.2">
      <c r="A180" t="s">
        <v>478</v>
      </c>
      <c r="B180" t="s">
        <v>482</v>
      </c>
      <c r="C180" s="10">
        <v>4</v>
      </c>
      <c r="D180" s="10">
        <v>4</v>
      </c>
      <c r="E18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80" s="10">
        <v>12</v>
      </c>
    </row>
    <row r="181" spans="1:6" x14ac:dyDescent="0.2">
      <c r="A181" t="s">
        <v>478</v>
      </c>
      <c r="B181" t="s">
        <v>482</v>
      </c>
      <c r="C181" s="10">
        <v>4</v>
      </c>
      <c r="D181" s="10">
        <v>7</v>
      </c>
      <c r="E18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81" s="10">
        <v>16</v>
      </c>
    </row>
    <row r="182" spans="1:6" x14ac:dyDescent="0.2">
      <c r="A182" t="s">
        <v>478</v>
      </c>
      <c r="B182" t="s">
        <v>482</v>
      </c>
      <c r="C182" s="10">
        <v>4</v>
      </c>
      <c r="D182" s="10">
        <v>7</v>
      </c>
      <c r="E18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82" s="10">
        <v>16</v>
      </c>
    </row>
    <row r="183" spans="1:6" x14ac:dyDescent="0.2">
      <c r="A183" t="s">
        <v>478</v>
      </c>
      <c r="B183" t="s">
        <v>482</v>
      </c>
      <c r="C183" s="10">
        <v>4</v>
      </c>
      <c r="D183" s="10">
        <v>10</v>
      </c>
      <c r="E18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83" s="10">
        <v>12</v>
      </c>
    </row>
    <row r="184" spans="1:6" x14ac:dyDescent="0.2">
      <c r="A184" t="s">
        <v>478</v>
      </c>
      <c r="B184" t="s">
        <v>482</v>
      </c>
      <c r="C184" s="10">
        <v>5</v>
      </c>
      <c r="D184" s="10">
        <v>7</v>
      </c>
      <c r="E184"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184" s="10">
        <v>40</v>
      </c>
    </row>
    <row r="185" spans="1:6" x14ac:dyDescent="0.2">
      <c r="A185" t="s">
        <v>479</v>
      </c>
      <c r="B185" t="s">
        <v>482</v>
      </c>
      <c r="C185" s="10">
        <v>3</v>
      </c>
      <c r="D185" s="10">
        <v>7</v>
      </c>
      <c r="E18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85" s="10">
        <v>21</v>
      </c>
    </row>
    <row r="186" spans="1:6" x14ac:dyDescent="0.2">
      <c r="A186" t="s">
        <v>478</v>
      </c>
      <c r="B186" t="s">
        <v>482</v>
      </c>
      <c r="C186" s="10">
        <v>3</v>
      </c>
      <c r="D186" s="10">
        <v>4</v>
      </c>
      <c r="E18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86" s="10">
        <v>21</v>
      </c>
    </row>
    <row r="187" spans="1:6" x14ac:dyDescent="0.2">
      <c r="A187" t="s">
        <v>479</v>
      </c>
      <c r="B187" t="s">
        <v>482</v>
      </c>
      <c r="C187" s="10">
        <v>5</v>
      </c>
      <c r="D187" s="10">
        <v>7</v>
      </c>
      <c r="E18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87" s="10">
        <v>35</v>
      </c>
    </row>
    <row r="188" spans="1:6" x14ac:dyDescent="0.2">
      <c r="A188" t="s">
        <v>478</v>
      </c>
      <c r="B188" t="s">
        <v>482</v>
      </c>
      <c r="C188" s="10">
        <v>4</v>
      </c>
      <c r="D188" s="10">
        <v>7</v>
      </c>
      <c r="E188"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188" s="10">
        <v>40</v>
      </c>
    </row>
    <row r="189" spans="1:6" x14ac:dyDescent="0.2">
      <c r="A189" t="s">
        <v>478</v>
      </c>
      <c r="B189" t="s">
        <v>482</v>
      </c>
      <c r="C189" s="10">
        <v>4</v>
      </c>
      <c r="D189" s="10">
        <v>7</v>
      </c>
      <c r="E18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89" s="10">
        <v>28</v>
      </c>
    </row>
    <row r="190" spans="1:6" x14ac:dyDescent="0.2">
      <c r="A190" t="s">
        <v>478</v>
      </c>
      <c r="B190" t="s">
        <v>482</v>
      </c>
      <c r="C190" s="10">
        <v>5</v>
      </c>
      <c r="D190" s="10">
        <v>4</v>
      </c>
      <c r="E19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90" s="10">
        <v>35</v>
      </c>
    </row>
    <row r="191" spans="1:6" x14ac:dyDescent="0.2">
      <c r="A191" t="s">
        <v>478</v>
      </c>
      <c r="B191" t="s">
        <v>482</v>
      </c>
      <c r="C191" s="10">
        <v>4</v>
      </c>
      <c r="D191" s="10">
        <v>7</v>
      </c>
      <c r="E19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91" s="10">
        <v>28</v>
      </c>
    </row>
    <row r="192" spans="1:6" x14ac:dyDescent="0.2">
      <c r="A192" t="s">
        <v>478</v>
      </c>
      <c r="B192" t="s">
        <v>482</v>
      </c>
      <c r="C192" s="10">
        <v>5</v>
      </c>
      <c r="D192" s="10">
        <v>4</v>
      </c>
      <c r="E19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92" s="10">
        <v>28</v>
      </c>
    </row>
    <row r="193" spans="1:6" x14ac:dyDescent="0.2">
      <c r="A193" t="s">
        <v>478</v>
      </c>
      <c r="B193" t="s">
        <v>482</v>
      </c>
      <c r="C193" s="10">
        <v>5</v>
      </c>
      <c r="D193" s="10">
        <v>4</v>
      </c>
      <c r="E19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93" s="10">
        <v>20</v>
      </c>
    </row>
    <row r="194" spans="1:6" x14ac:dyDescent="0.2">
      <c r="A194" t="s">
        <v>478</v>
      </c>
      <c r="B194" t="s">
        <v>482</v>
      </c>
      <c r="C194" s="10">
        <v>4</v>
      </c>
      <c r="D194" s="10">
        <v>10</v>
      </c>
      <c r="E19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94" s="10">
        <v>35</v>
      </c>
    </row>
    <row r="195" spans="1:6" x14ac:dyDescent="0.2">
      <c r="A195" t="s">
        <v>478</v>
      </c>
      <c r="B195" t="s">
        <v>482</v>
      </c>
      <c r="C195" s="10">
        <v>3</v>
      </c>
      <c r="D195" s="10">
        <v>4</v>
      </c>
      <c r="E19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95" s="10">
        <v>12</v>
      </c>
    </row>
    <row r="196" spans="1:6" x14ac:dyDescent="0.2">
      <c r="A196" t="s">
        <v>479</v>
      </c>
      <c r="B196" t="s">
        <v>482</v>
      </c>
      <c r="C196" s="10">
        <v>4</v>
      </c>
      <c r="D196" s="10">
        <v>7</v>
      </c>
      <c r="E19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96" s="10">
        <v>35</v>
      </c>
    </row>
    <row r="197" spans="1:6" x14ac:dyDescent="0.2">
      <c r="A197" t="s">
        <v>478</v>
      </c>
      <c r="B197" t="s">
        <v>482</v>
      </c>
      <c r="C197" s="10">
        <v>4</v>
      </c>
      <c r="D197" s="10">
        <v>7</v>
      </c>
      <c r="E19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97" s="10">
        <v>12</v>
      </c>
    </row>
    <row r="198" spans="1:6" x14ac:dyDescent="0.2">
      <c r="A198" t="s">
        <v>478</v>
      </c>
      <c r="B198" t="s">
        <v>482</v>
      </c>
      <c r="C198" s="10">
        <v>4</v>
      </c>
      <c r="D198" s="10">
        <v>7</v>
      </c>
      <c r="E19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198" s="10">
        <v>28</v>
      </c>
    </row>
    <row r="199" spans="1:6" x14ac:dyDescent="0.2">
      <c r="A199" t="s">
        <v>479</v>
      </c>
      <c r="B199" t="s">
        <v>482</v>
      </c>
      <c r="C199" s="10">
        <v>5</v>
      </c>
      <c r="D199" s="10">
        <v>4</v>
      </c>
      <c r="E19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199" s="10">
        <v>21</v>
      </c>
    </row>
    <row r="200" spans="1:6" x14ac:dyDescent="0.2">
      <c r="A200" t="s">
        <v>478</v>
      </c>
      <c r="B200" t="s">
        <v>482</v>
      </c>
      <c r="C200" s="10">
        <v>3</v>
      </c>
      <c r="D200" s="10">
        <v>10</v>
      </c>
      <c r="E20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00" s="10">
        <v>28</v>
      </c>
    </row>
    <row r="201" spans="1:6" x14ac:dyDescent="0.2">
      <c r="A201" t="s">
        <v>478</v>
      </c>
      <c r="B201" t="s">
        <v>482</v>
      </c>
      <c r="C201" s="10">
        <v>3</v>
      </c>
      <c r="D201" s="10">
        <v>10</v>
      </c>
      <c r="E20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01" s="10">
        <v>16</v>
      </c>
    </row>
    <row r="202" spans="1:6" x14ac:dyDescent="0.2">
      <c r="A202" t="s">
        <v>478</v>
      </c>
      <c r="B202" t="s">
        <v>482</v>
      </c>
      <c r="C202" s="10">
        <v>5</v>
      </c>
      <c r="D202" s="10">
        <v>7</v>
      </c>
      <c r="E20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02" s="10">
        <v>30</v>
      </c>
    </row>
    <row r="203" spans="1:6" x14ac:dyDescent="0.2">
      <c r="A203" t="s">
        <v>479</v>
      </c>
      <c r="B203" t="s">
        <v>482</v>
      </c>
      <c r="C203" s="10">
        <v>3</v>
      </c>
      <c r="D203" s="10">
        <v>4</v>
      </c>
      <c r="E20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03" s="10">
        <v>30</v>
      </c>
    </row>
    <row r="204" spans="1:6" x14ac:dyDescent="0.2">
      <c r="A204" t="s">
        <v>479</v>
      </c>
      <c r="B204" t="s">
        <v>482</v>
      </c>
      <c r="C204" s="10">
        <v>4</v>
      </c>
      <c r="D204" s="10">
        <v>7</v>
      </c>
      <c r="E204"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204" s="10">
        <v>40</v>
      </c>
    </row>
    <row r="205" spans="1:6" x14ac:dyDescent="0.2">
      <c r="A205" t="s">
        <v>479</v>
      </c>
      <c r="B205" t="s">
        <v>482</v>
      </c>
      <c r="C205" s="10">
        <v>3</v>
      </c>
      <c r="D205" s="10">
        <v>10</v>
      </c>
      <c r="E20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05" s="10">
        <v>16</v>
      </c>
    </row>
    <row r="206" spans="1:6" x14ac:dyDescent="0.2">
      <c r="A206" t="s">
        <v>478</v>
      </c>
      <c r="B206" t="s">
        <v>482</v>
      </c>
      <c r="C206" s="10">
        <v>3</v>
      </c>
      <c r="D206" s="10">
        <v>10</v>
      </c>
      <c r="E206"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206" s="10">
        <v>40</v>
      </c>
    </row>
    <row r="207" spans="1:6" x14ac:dyDescent="0.2">
      <c r="A207" t="s">
        <v>478</v>
      </c>
      <c r="B207" t="s">
        <v>482</v>
      </c>
      <c r="C207" s="10">
        <v>5</v>
      </c>
      <c r="D207" s="10">
        <v>7</v>
      </c>
      <c r="E20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07" s="10">
        <v>28</v>
      </c>
    </row>
    <row r="208" spans="1:6" x14ac:dyDescent="0.2">
      <c r="A208" t="s">
        <v>478</v>
      </c>
      <c r="B208" t="s">
        <v>482</v>
      </c>
      <c r="C208" s="10">
        <v>4</v>
      </c>
      <c r="D208" s="10">
        <v>10</v>
      </c>
      <c r="E20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08" s="10">
        <v>28</v>
      </c>
    </row>
    <row r="209" spans="1:6" x14ac:dyDescent="0.2">
      <c r="A209" t="s">
        <v>478</v>
      </c>
      <c r="B209" t="s">
        <v>482</v>
      </c>
      <c r="C209" s="10">
        <v>4</v>
      </c>
      <c r="D209" s="10">
        <v>7</v>
      </c>
      <c r="E20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09" s="10">
        <v>30</v>
      </c>
    </row>
    <row r="210" spans="1:6" x14ac:dyDescent="0.2">
      <c r="A210" t="s">
        <v>479</v>
      </c>
      <c r="B210" t="s">
        <v>482</v>
      </c>
      <c r="C210" s="10">
        <v>4</v>
      </c>
      <c r="D210" s="10">
        <v>4</v>
      </c>
      <c r="E21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10" s="10">
        <v>30</v>
      </c>
    </row>
    <row r="211" spans="1:6" x14ac:dyDescent="0.2">
      <c r="A211" t="s">
        <v>479</v>
      </c>
      <c r="B211" t="s">
        <v>482</v>
      </c>
      <c r="C211" s="10">
        <v>3</v>
      </c>
      <c r="D211" s="10">
        <v>7</v>
      </c>
      <c r="E21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11" s="10">
        <v>35</v>
      </c>
    </row>
    <row r="212" spans="1:6" x14ac:dyDescent="0.2">
      <c r="A212" t="s">
        <v>478</v>
      </c>
      <c r="B212" t="s">
        <v>482</v>
      </c>
      <c r="C212" s="10">
        <v>4</v>
      </c>
      <c r="D212" s="10">
        <v>7</v>
      </c>
      <c r="E21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12" s="10">
        <v>28</v>
      </c>
    </row>
    <row r="213" spans="1:6" x14ac:dyDescent="0.2">
      <c r="A213" t="s">
        <v>478</v>
      </c>
      <c r="B213" t="s">
        <v>482</v>
      </c>
      <c r="C213" s="10">
        <v>5</v>
      </c>
      <c r="D213" s="10">
        <v>7</v>
      </c>
      <c r="E21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13" s="10">
        <v>21</v>
      </c>
    </row>
    <row r="214" spans="1:6" x14ac:dyDescent="0.2">
      <c r="A214" t="s">
        <v>478</v>
      </c>
      <c r="B214" t="s">
        <v>482</v>
      </c>
      <c r="C214" s="10">
        <v>4</v>
      </c>
      <c r="D214" s="10">
        <v>7</v>
      </c>
      <c r="E21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14" s="10">
        <v>21</v>
      </c>
    </row>
    <row r="215" spans="1:6" x14ac:dyDescent="0.2">
      <c r="A215" t="s">
        <v>478</v>
      </c>
      <c r="B215" t="s">
        <v>482</v>
      </c>
      <c r="C215" s="10">
        <v>5</v>
      </c>
      <c r="D215" s="10">
        <v>10</v>
      </c>
      <c r="E21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15" s="10">
        <v>28</v>
      </c>
    </row>
    <row r="216" spans="1:6" x14ac:dyDescent="0.2">
      <c r="A216" t="s">
        <v>479</v>
      </c>
      <c r="B216" t="s">
        <v>482</v>
      </c>
      <c r="C216" s="10">
        <v>5</v>
      </c>
      <c r="D216" s="10">
        <v>4</v>
      </c>
      <c r="E21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16" s="10">
        <v>28</v>
      </c>
    </row>
    <row r="217" spans="1:6" x14ac:dyDescent="0.2">
      <c r="A217" t="s">
        <v>479</v>
      </c>
      <c r="B217" t="s">
        <v>482</v>
      </c>
      <c r="C217" s="10">
        <v>4</v>
      </c>
      <c r="D217" s="10">
        <v>7</v>
      </c>
      <c r="E21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17" s="10">
        <v>35</v>
      </c>
    </row>
    <row r="218" spans="1:6" x14ac:dyDescent="0.2">
      <c r="A218" t="s">
        <v>478</v>
      </c>
      <c r="B218" t="s">
        <v>482</v>
      </c>
      <c r="C218" s="10">
        <v>3</v>
      </c>
      <c r="D218" s="10">
        <v>10</v>
      </c>
      <c r="E21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18" s="10">
        <v>28</v>
      </c>
    </row>
    <row r="219" spans="1:6" x14ac:dyDescent="0.2">
      <c r="A219" t="s">
        <v>478</v>
      </c>
      <c r="B219" t="s">
        <v>482</v>
      </c>
      <c r="C219" s="10">
        <v>4</v>
      </c>
      <c r="D219" s="10">
        <v>7</v>
      </c>
      <c r="E21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19" s="10">
        <v>35</v>
      </c>
    </row>
    <row r="220" spans="1:6" x14ac:dyDescent="0.2">
      <c r="A220" t="s">
        <v>479</v>
      </c>
      <c r="B220" t="s">
        <v>482</v>
      </c>
      <c r="C220" s="10">
        <v>4</v>
      </c>
      <c r="D220" s="10">
        <v>7</v>
      </c>
      <c r="E22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20" s="10">
        <v>28</v>
      </c>
    </row>
    <row r="221" spans="1:6" x14ac:dyDescent="0.2">
      <c r="A221" t="s">
        <v>479</v>
      </c>
      <c r="B221" t="s">
        <v>482</v>
      </c>
      <c r="C221" s="10">
        <v>3</v>
      </c>
      <c r="D221" s="10">
        <v>7</v>
      </c>
      <c r="E22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21" s="10">
        <v>21</v>
      </c>
    </row>
    <row r="222" spans="1:6" x14ac:dyDescent="0.2">
      <c r="A222" t="s">
        <v>478</v>
      </c>
      <c r="B222" t="s">
        <v>482</v>
      </c>
      <c r="C222" s="10">
        <v>5</v>
      </c>
      <c r="D222" s="10">
        <v>4</v>
      </c>
      <c r="E22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22" s="10">
        <v>30</v>
      </c>
    </row>
    <row r="223" spans="1:6" x14ac:dyDescent="0.2">
      <c r="A223" t="s">
        <v>478</v>
      </c>
      <c r="B223" t="s">
        <v>482</v>
      </c>
      <c r="C223" s="10">
        <v>3</v>
      </c>
      <c r="D223" s="10">
        <v>7</v>
      </c>
      <c r="E223"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223" s="10">
        <v>0</v>
      </c>
    </row>
    <row r="224" spans="1:6" x14ac:dyDescent="0.2">
      <c r="A224" t="s">
        <v>479</v>
      </c>
      <c r="B224" t="s">
        <v>482</v>
      </c>
      <c r="C224" s="10">
        <v>3</v>
      </c>
      <c r="D224" s="10">
        <v>7</v>
      </c>
      <c r="E22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24" s="10">
        <v>28</v>
      </c>
    </row>
    <row r="225" spans="1:6" x14ac:dyDescent="0.2">
      <c r="A225" t="s">
        <v>478</v>
      </c>
      <c r="B225" t="s">
        <v>482</v>
      </c>
      <c r="C225" s="10">
        <v>3</v>
      </c>
      <c r="D225" s="10">
        <v>7</v>
      </c>
      <c r="E22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25" s="10">
        <v>21</v>
      </c>
    </row>
    <row r="226" spans="1:6" x14ac:dyDescent="0.2">
      <c r="A226" t="s">
        <v>478</v>
      </c>
      <c r="B226" t="s">
        <v>482</v>
      </c>
      <c r="C226" s="10">
        <v>5</v>
      </c>
      <c r="D226" s="10">
        <v>7</v>
      </c>
      <c r="E22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26" s="10">
        <v>30</v>
      </c>
    </row>
    <row r="227" spans="1:6" x14ac:dyDescent="0.2">
      <c r="A227" t="s">
        <v>478</v>
      </c>
      <c r="B227" t="s">
        <v>482</v>
      </c>
      <c r="C227" s="10">
        <v>4</v>
      </c>
      <c r="D227" s="10">
        <v>7</v>
      </c>
      <c r="E22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27" s="10">
        <v>28</v>
      </c>
    </row>
    <row r="228" spans="1:6" x14ac:dyDescent="0.2">
      <c r="A228" t="s">
        <v>478</v>
      </c>
      <c r="B228" t="s">
        <v>482</v>
      </c>
      <c r="C228" s="10">
        <v>4</v>
      </c>
      <c r="D228" s="10">
        <v>7</v>
      </c>
      <c r="E228"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228" s="10">
        <v>4</v>
      </c>
    </row>
    <row r="229" spans="1:6" x14ac:dyDescent="0.2">
      <c r="A229" t="s">
        <v>479</v>
      </c>
      <c r="B229" t="s">
        <v>482</v>
      </c>
      <c r="C229" s="10">
        <v>5</v>
      </c>
      <c r="D229" s="10">
        <v>7</v>
      </c>
      <c r="E22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29" s="10">
        <v>12</v>
      </c>
    </row>
    <row r="230" spans="1:6" x14ac:dyDescent="0.2">
      <c r="A230" t="s">
        <v>478</v>
      </c>
      <c r="B230" t="s">
        <v>482</v>
      </c>
      <c r="C230" s="10">
        <v>5</v>
      </c>
      <c r="D230" s="10">
        <v>7</v>
      </c>
      <c r="E23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30" s="10">
        <v>35</v>
      </c>
    </row>
    <row r="231" spans="1:6" x14ac:dyDescent="0.2">
      <c r="A231" t="s">
        <v>478</v>
      </c>
      <c r="B231" t="s">
        <v>482</v>
      </c>
      <c r="C231" s="10">
        <v>3</v>
      </c>
      <c r="D231" s="10">
        <v>7</v>
      </c>
      <c r="E23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31" s="10">
        <v>28</v>
      </c>
    </row>
    <row r="232" spans="1:6" x14ac:dyDescent="0.2">
      <c r="A232" t="s">
        <v>479</v>
      </c>
      <c r="B232" t="s">
        <v>482</v>
      </c>
      <c r="C232" s="10">
        <v>4</v>
      </c>
      <c r="D232" s="10">
        <v>4</v>
      </c>
      <c r="E23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32" s="10">
        <v>30</v>
      </c>
    </row>
    <row r="233" spans="1:6" x14ac:dyDescent="0.2">
      <c r="A233" t="s">
        <v>478</v>
      </c>
      <c r="B233" t="s">
        <v>482</v>
      </c>
      <c r="C233" s="10">
        <v>4</v>
      </c>
      <c r="D233" s="10">
        <v>7</v>
      </c>
      <c r="E23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33" s="10">
        <v>21</v>
      </c>
    </row>
    <row r="234" spans="1:6" x14ac:dyDescent="0.2">
      <c r="A234" t="s">
        <v>478</v>
      </c>
      <c r="B234" t="s">
        <v>482</v>
      </c>
      <c r="C234" s="10">
        <v>3</v>
      </c>
      <c r="D234" s="10">
        <v>7</v>
      </c>
      <c r="E23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34" s="10">
        <v>35</v>
      </c>
    </row>
    <row r="235" spans="1:6" x14ac:dyDescent="0.2">
      <c r="A235" t="s">
        <v>478</v>
      </c>
      <c r="B235" t="s">
        <v>482</v>
      </c>
      <c r="C235" s="10">
        <v>5</v>
      </c>
      <c r="D235" s="10">
        <v>7</v>
      </c>
      <c r="E23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35" s="10">
        <v>21</v>
      </c>
    </row>
    <row r="236" spans="1:6" x14ac:dyDescent="0.2">
      <c r="A236" t="s">
        <v>478</v>
      </c>
      <c r="B236" t="s">
        <v>482</v>
      </c>
      <c r="C236" s="10">
        <v>5</v>
      </c>
      <c r="D236" s="10">
        <v>7</v>
      </c>
      <c r="E23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36" s="10">
        <v>28</v>
      </c>
    </row>
    <row r="237" spans="1:6" x14ac:dyDescent="0.2">
      <c r="A237" t="s">
        <v>479</v>
      </c>
      <c r="B237" t="s">
        <v>482</v>
      </c>
      <c r="C237" s="10">
        <v>4</v>
      </c>
      <c r="D237" s="10">
        <v>4</v>
      </c>
      <c r="E23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37" s="10">
        <v>35</v>
      </c>
    </row>
    <row r="238" spans="1:6" x14ac:dyDescent="0.2">
      <c r="A238" t="s">
        <v>478</v>
      </c>
      <c r="B238" t="s">
        <v>482</v>
      </c>
      <c r="C238" s="10">
        <v>1</v>
      </c>
      <c r="D238" s="10">
        <v>5</v>
      </c>
      <c r="E23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38" s="10">
        <v>16</v>
      </c>
    </row>
    <row r="239" spans="1:6" x14ac:dyDescent="0.2">
      <c r="A239" t="s">
        <v>478</v>
      </c>
      <c r="B239" t="s">
        <v>482</v>
      </c>
      <c r="C239" s="10">
        <v>2</v>
      </c>
      <c r="D239" s="10">
        <v>10</v>
      </c>
      <c r="E23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39" s="10">
        <v>28</v>
      </c>
    </row>
    <row r="240" spans="1:6" x14ac:dyDescent="0.2">
      <c r="A240" t="s">
        <v>478</v>
      </c>
      <c r="B240" t="s">
        <v>482</v>
      </c>
      <c r="C240" s="10">
        <v>2</v>
      </c>
      <c r="D240" s="10">
        <v>10</v>
      </c>
      <c r="E24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40" s="10">
        <v>16</v>
      </c>
    </row>
    <row r="241" spans="1:6" x14ac:dyDescent="0.2">
      <c r="A241" t="s">
        <v>478</v>
      </c>
      <c r="B241" t="s">
        <v>482</v>
      </c>
      <c r="C241" s="10">
        <v>3</v>
      </c>
      <c r="D241" s="10">
        <v>7</v>
      </c>
      <c r="E24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41" s="10">
        <v>28</v>
      </c>
    </row>
    <row r="242" spans="1:6" x14ac:dyDescent="0.2">
      <c r="A242" t="s">
        <v>479</v>
      </c>
      <c r="B242" t="s">
        <v>482</v>
      </c>
      <c r="C242" s="10">
        <v>1</v>
      </c>
      <c r="D242" s="10">
        <v>10</v>
      </c>
      <c r="E24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42" s="10">
        <v>16</v>
      </c>
    </row>
    <row r="243" spans="1:6" x14ac:dyDescent="0.2">
      <c r="A243" t="s">
        <v>478</v>
      </c>
      <c r="B243" t="s">
        <v>482</v>
      </c>
      <c r="C243" s="10">
        <v>1</v>
      </c>
      <c r="D243" s="10">
        <v>10</v>
      </c>
      <c r="E24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43" s="10">
        <v>28</v>
      </c>
    </row>
    <row r="244" spans="1:6" x14ac:dyDescent="0.2">
      <c r="A244" t="s">
        <v>479</v>
      </c>
      <c r="B244" t="s">
        <v>482</v>
      </c>
      <c r="C244" s="10">
        <v>1</v>
      </c>
      <c r="D244" s="10">
        <v>10</v>
      </c>
      <c r="E244"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244" s="10">
        <v>5</v>
      </c>
    </row>
    <row r="245" spans="1:6" x14ac:dyDescent="0.2">
      <c r="A245" t="s">
        <v>478</v>
      </c>
      <c r="B245" t="s">
        <v>482</v>
      </c>
      <c r="C245" s="10">
        <v>1</v>
      </c>
      <c r="D245" s="10">
        <v>10</v>
      </c>
      <c r="E24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45" s="10">
        <v>21</v>
      </c>
    </row>
    <row r="246" spans="1:6" x14ac:dyDescent="0.2">
      <c r="A246" t="s">
        <v>479</v>
      </c>
      <c r="B246" t="s">
        <v>482</v>
      </c>
      <c r="C246" s="10">
        <v>2</v>
      </c>
      <c r="D246" s="10">
        <v>4</v>
      </c>
      <c r="E24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46" s="10">
        <v>20</v>
      </c>
    </row>
    <row r="247" spans="1:6" x14ac:dyDescent="0.2">
      <c r="A247" t="s">
        <v>478</v>
      </c>
      <c r="B247" t="s">
        <v>482</v>
      </c>
      <c r="C247" s="10">
        <v>2</v>
      </c>
      <c r="D247" s="10">
        <v>4</v>
      </c>
      <c r="E24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47" s="10">
        <v>20</v>
      </c>
    </row>
    <row r="248" spans="1:6" x14ac:dyDescent="0.2">
      <c r="A248" t="s">
        <v>478</v>
      </c>
      <c r="B248" t="s">
        <v>482</v>
      </c>
      <c r="C248" s="10">
        <v>1</v>
      </c>
      <c r="D248" s="10">
        <v>7</v>
      </c>
      <c r="E24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48" s="10">
        <v>35</v>
      </c>
    </row>
    <row r="249" spans="1:6" x14ac:dyDescent="0.2">
      <c r="A249" t="s">
        <v>479</v>
      </c>
      <c r="B249" t="s">
        <v>482</v>
      </c>
      <c r="C249" s="10">
        <v>5</v>
      </c>
      <c r="D249" s="10">
        <v>4</v>
      </c>
      <c r="E249"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249" s="10">
        <v>8</v>
      </c>
    </row>
    <row r="250" spans="1:6" x14ac:dyDescent="0.2">
      <c r="A250" t="s">
        <v>478</v>
      </c>
      <c r="B250" t="s">
        <v>482</v>
      </c>
      <c r="C250" s="10">
        <v>1</v>
      </c>
      <c r="D250" s="10">
        <v>4</v>
      </c>
      <c r="E25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50" s="10">
        <v>28</v>
      </c>
    </row>
    <row r="251" spans="1:6" x14ac:dyDescent="0.2">
      <c r="A251" t="s">
        <v>479</v>
      </c>
      <c r="B251" t="s">
        <v>482</v>
      </c>
      <c r="C251" s="10">
        <v>4</v>
      </c>
      <c r="D251" s="10">
        <v>7</v>
      </c>
      <c r="E25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51" s="10">
        <v>20</v>
      </c>
    </row>
    <row r="252" spans="1:6" x14ac:dyDescent="0.2">
      <c r="A252" t="s">
        <v>478</v>
      </c>
      <c r="B252" t="s">
        <v>482</v>
      </c>
      <c r="C252" s="10">
        <v>2</v>
      </c>
      <c r="D252" s="10">
        <v>7</v>
      </c>
      <c r="E252"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252" s="10">
        <v>4</v>
      </c>
    </row>
    <row r="253" spans="1:6" x14ac:dyDescent="0.2">
      <c r="A253" t="s">
        <v>479</v>
      </c>
      <c r="B253" t="s">
        <v>482</v>
      </c>
      <c r="C253" s="10">
        <v>3</v>
      </c>
      <c r="D253" s="10">
        <v>10</v>
      </c>
      <c r="E25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53" s="10">
        <v>35</v>
      </c>
    </row>
    <row r="254" spans="1:6" x14ac:dyDescent="0.2">
      <c r="A254" t="s">
        <v>478</v>
      </c>
      <c r="B254" t="s">
        <v>482</v>
      </c>
      <c r="C254" s="10">
        <v>2</v>
      </c>
      <c r="D254" s="10">
        <v>7</v>
      </c>
      <c r="E25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54" s="10">
        <v>12</v>
      </c>
    </row>
    <row r="255" spans="1:6" x14ac:dyDescent="0.2">
      <c r="A255" t="s">
        <v>478</v>
      </c>
      <c r="B255" t="s">
        <v>482</v>
      </c>
      <c r="C255" s="10">
        <v>5</v>
      </c>
      <c r="D255" s="10">
        <v>7</v>
      </c>
      <c r="E25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55" s="10">
        <v>14</v>
      </c>
    </row>
    <row r="256" spans="1:6" x14ac:dyDescent="0.2">
      <c r="A256" t="s">
        <v>478</v>
      </c>
      <c r="B256" t="s">
        <v>482</v>
      </c>
      <c r="C256" s="10">
        <v>5</v>
      </c>
      <c r="D256" s="10">
        <v>7</v>
      </c>
      <c r="E25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56" s="10">
        <v>20</v>
      </c>
    </row>
    <row r="257" spans="1:6" x14ac:dyDescent="0.2">
      <c r="A257" t="s">
        <v>478</v>
      </c>
      <c r="B257" t="s">
        <v>482</v>
      </c>
      <c r="C257" s="10">
        <v>2</v>
      </c>
      <c r="D257" s="10">
        <v>7</v>
      </c>
      <c r="E257"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257" s="10">
        <v>40</v>
      </c>
    </row>
    <row r="258" spans="1:6" x14ac:dyDescent="0.2">
      <c r="A258" t="s">
        <v>478</v>
      </c>
      <c r="B258" t="s">
        <v>482</v>
      </c>
      <c r="C258" s="10">
        <v>5</v>
      </c>
      <c r="D258" s="10">
        <v>4</v>
      </c>
      <c r="E25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58" s="10">
        <v>30</v>
      </c>
    </row>
    <row r="259" spans="1:6" x14ac:dyDescent="0.2">
      <c r="A259" t="s">
        <v>478</v>
      </c>
      <c r="B259" t="s">
        <v>482</v>
      </c>
      <c r="C259" s="10">
        <v>4</v>
      </c>
      <c r="D259" s="10">
        <v>7</v>
      </c>
      <c r="E25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59" s="10">
        <v>30</v>
      </c>
    </row>
    <row r="260" spans="1:6" x14ac:dyDescent="0.2">
      <c r="A260" t="s">
        <v>478</v>
      </c>
      <c r="B260" t="s">
        <v>482</v>
      </c>
      <c r="C260" s="10">
        <v>1</v>
      </c>
      <c r="D260" s="10">
        <v>10</v>
      </c>
      <c r="E26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60" s="10">
        <v>12</v>
      </c>
    </row>
    <row r="261" spans="1:6" x14ac:dyDescent="0.2">
      <c r="A261" t="s">
        <v>478</v>
      </c>
      <c r="B261" t="s">
        <v>482</v>
      </c>
      <c r="C261" s="10">
        <v>1</v>
      </c>
      <c r="D261" s="10">
        <v>10</v>
      </c>
      <c r="E26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61" s="10">
        <v>12</v>
      </c>
    </row>
    <row r="262" spans="1:6" x14ac:dyDescent="0.2">
      <c r="A262" t="s">
        <v>478</v>
      </c>
      <c r="B262" t="s">
        <v>494</v>
      </c>
      <c r="C262" s="10">
        <v>3</v>
      </c>
      <c r="D262" s="10">
        <v>7</v>
      </c>
      <c r="E26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62" s="10">
        <v>35</v>
      </c>
    </row>
    <row r="263" spans="1:6" x14ac:dyDescent="0.2">
      <c r="A263" t="s">
        <v>479</v>
      </c>
      <c r="B263" t="s">
        <v>494</v>
      </c>
      <c r="C263" s="10">
        <v>4</v>
      </c>
      <c r="D263" s="10">
        <v>7</v>
      </c>
      <c r="E26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63" s="10">
        <v>28</v>
      </c>
    </row>
    <row r="264" spans="1:6" x14ac:dyDescent="0.2">
      <c r="A264" t="s">
        <v>478</v>
      </c>
      <c r="B264" t="s">
        <v>494</v>
      </c>
      <c r="C264" s="10">
        <v>4</v>
      </c>
      <c r="D264" s="10">
        <v>7</v>
      </c>
      <c r="E26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64" s="10">
        <v>28</v>
      </c>
    </row>
    <row r="265" spans="1:6" x14ac:dyDescent="0.2">
      <c r="A265" t="s">
        <v>478</v>
      </c>
      <c r="B265" t="s">
        <v>494</v>
      </c>
      <c r="C265" s="10">
        <v>4</v>
      </c>
      <c r="D265" s="10">
        <v>7</v>
      </c>
      <c r="E26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65" s="10">
        <v>28</v>
      </c>
    </row>
    <row r="266" spans="1:6" x14ac:dyDescent="0.2">
      <c r="A266" t="s">
        <v>479</v>
      </c>
      <c r="B266" t="s">
        <v>494</v>
      </c>
      <c r="C266" s="10">
        <v>3</v>
      </c>
      <c r="D266" s="10">
        <v>7</v>
      </c>
      <c r="E26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66" s="10">
        <v>28</v>
      </c>
    </row>
    <row r="267" spans="1:6" x14ac:dyDescent="0.2">
      <c r="A267" t="s">
        <v>479</v>
      </c>
      <c r="B267" t="s">
        <v>494</v>
      </c>
      <c r="C267" s="10">
        <v>1</v>
      </c>
      <c r="D267" s="10">
        <v>10</v>
      </c>
      <c r="E26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67" s="10">
        <v>20</v>
      </c>
    </row>
    <row r="268" spans="1:6" x14ac:dyDescent="0.2">
      <c r="A268" t="s">
        <v>479</v>
      </c>
      <c r="B268" t="s">
        <v>494</v>
      </c>
      <c r="C268" s="10">
        <v>1</v>
      </c>
      <c r="D268" s="10">
        <v>10</v>
      </c>
      <c r="E26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68" s="10">
        <v>20</v>
      </c>
    </row>
    <row r="269" spans="1:6" x14ac:dyDescent="0.2">
      <c r="A269" t="s">
        <v>478</v>
      </c>
      <c r="B269" t="s">
        <v>494</v>
      </c>
      <c r="C269" s="10">
        <v>1</v>
      </c>
      <c r="D269" s="10">
        <v>10</v>
      </c>
      <c r="E26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69" s="10">
        <v>10</v>
      </c>
    </row>
    <row r="270" spans="1:6" x14ac:dyDescent="0.2">
      <c r="A270" t="s">
        <v>478</v>
      </c>
      <c r="B270" t="s">
        <v>494</v>
      </c>
      <c r="C270" s="10">
        <v>1</v>
      </c>
      <c r="D270" s="10">
        <v>10</v>
      </c>
      <c r="E27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70" s="10">
        <v>10</v>
      </c>
    </row>
    <row r="271" spans="1:6" x14ac:dyDescent="0.2">
      <c r="A271" t="s">
        <v>478</v>
      </c>
      <c r="B271" t="s">
        <v>494</v>
      </c>
      <c r="C271" s="10">
        <v>2</v>
      </c>
      <c r="D271" s="10">
        <v>10</v>
      </c>
      <c r="E27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71" s="10">
        <v>14</v>
      </c>
    </row>
    <row r="272" spans="1:6" x14ac:dyDescent="0.2">
      <c r="A272" t="s">
        <v>478</v>
      </c>
      <c r="B272" t="s">
        <v>494</v>
      </c>
      <c r="C272" s="10">
        <v>5</v>
      </c>
      <c r="D272" s="10">
        <v>4</v>
      </c>
      <c r="E27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72" s="10">
        <v>28</v>
      </c>
    </row>
    <row r="273" spans="1:6" x14ac:dyDescent="0.2">
      <c r="A273" t="s">
        <v>478</v>
      </c>
      <c r="B273" t="s">
        <v>494</v>
      </c>
      <c r="C273" s="10">
        <v>5</v>
      </c>
      <c r="D273" s="10">
        <v>7</v>
      </c>
      <c r="E27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73" s="10">
        <v>21</v>
      </c>
    </row>
    <row r="274" spans="1:6" x14ac:dyDescent="0.2">
      <c r="A274" t="s">
        <v>478</v>
      </c>
      <c r="B274" t="s">
        <v>494</v>
      </c>
      <c r="C274" s="10">
        <v>4</v>
      </c>
      <c r="D274" s="10">
        <v>7</v>
      </c>
      <c r="E27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74" s="10">
        <v>12</v>
      </c>
    </row>
    <row r="275" spans="1:6" x14ac:dyDescent="0.2">
      <c r="A275" t="s">
        <v>478</v>
      </c>
      <c r="B275" t="s">
        <v>481</v>
      </c>
      <c r="C275" s="10">
        <v>3</v>
      </c>
      <c r="D275" s="10">
        <v>7</v>
      </c>
      <c r="E27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75" s="10">
        <v>21</v>
      </c>
    </row>
    <row r="276" spans="1:6" x14ac:dyDescent="0.2">
      <c r="A276" t="s">
        <v>479</v>
      </c>
      <c r="B276" t="s">
        <v>481</v>
      </c>
      <c r="C276" s="10">
        <v>5</v>
      </c>
      <c r="D276" s="10">
        <v>7</v>
      </c>
      <c r="E27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76" s="10">
        <v>35</v>
      </c>
    </row>
    <row r="277" spans="1:6" x14ac:dyDescent="0.2">
      <c r="A277" t="s">
        <v>479</v>
      </c>
      <c r="B277" t="s">
        <v>481</v>
      </c>
      <c r="C277" s="10">
        <v>3</v>
      </c>
      <c r="D277" s="10">
        <v>7</v>
      </c>
      <c r="E27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77" s="10">
        <v>21</v>
      </c>
    </row>
    <row r="278" spans="1:6" x14ac:dyDescent="0.2">
      <c r="A278" t="s">
        <v>479</v>
      </c>
      <c r="B278" t="s">
        <v>481</v>
      </c>
      <c r="C278" s="10">
        <v>3</v>
      </c>
      <c r="D278" s="10">
        <v>7</v>
      </c>
      <c r="E27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78" s="10">
        <v>21</v>
      </c>
    </row>
    <row r="279" spans="1:6" x14ac:dyDescent="0.2">
      <c r="A279" t="s">
        <v>479</v>
      </c>
      <c r="B279" t="s">
        <v>481</v>
      </c>
      <c r="C279" s="10">
        <v>4</v>
      </c>
      <c r="D279" s="10">
        <v>1</v>
      </c>
      <c r="E279"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279" s="10">
        <v>4</v>
      </c>
    </row>
    <row r="280" spans="1:6" x14ac:dyDescent="0.2">
      <c r="A280" t="s">
        <v>479</v>
      </c>
      <c r="B280" t="s">
        <v>481</v>
      </c>
      <c r="C280" s="10">
        <v>4</v>
      </c>
      <c r="D280" s="10">
        <v>7</v>
      </c>
      <c r="E28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80" s="10">
        <v>28</v>
      </c>
    </row>
    <row r="281" spans="1:6" x14ac:dyDescent="0.2">
      <c r="A281" t="s">
        <v>479</v>
      </c>
      <c r="B281" t="s">
        <v>481</v>
      </c>
      <c r="C281" s="10">
        <v>4</v>
      </c>
      <c r="D281" s="10">
        <v>4</v>
      </c>
      <c r="E28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81" s="10">
        <v>16</v>
      </c>
    </row>
    <row r="282" spans="1:6" x14ac:dyDescent="0.2">
      <c r="A282" t="s">
        <v>479</v>
      </c>
      <c r="B282" t="s">
        <v>481</v>
      </c>
      <c r="C282" s="10">
        <v>3</v>
      </c>
      <c r="D282" s="10">
        <v>4</v>
      </c>
      <c r="E28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82" s="10">
        <v>12</v>
      </c>
    </row>
    <row r="283" spans="1:6" x14ac:dyDescent="0.2">
      <c r="A283" t="s">
        <v>479</v>
      </c>
      <c r="B283" t="s">
        <v>481</v>
      </c>
      <c r="C283" s="10">
        <v>3</v>
      </c>
      <c r="D283" s="10">
        <v>7</v>
      </c>
      <c r="E28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83" s="10">
        <v>21</v>
      </c>
    </row>
    <row r="284" spans="1:6" x14ac:dyDescent="0.2">
      <c r="A284" t="s">
        <v>479</v>
      </c>
      <c r="B284" t="s">
        <v>481</v>
      </c>
      <c r="C284" s="10">
        <v>5</v>
      </c>
      <c r="D284" s="10">
        <v>4</v>
      </c>
      <c r="E28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84" s="10">
        <v>20</v>
      </c>
    </row>
    <row r="285" spans="1:6" x14ac:dyDescent="0.2">
      <c r="A285" t="s">
        <v>479</v>
      </c>
      <c r="B285" t="s">
        <v>481</v>
      </c>
      <c r="C285" s="10">
        <v>4</v>
      </c>
      <c r="D285" s="10">
        <v>7</v>
      </c>
      <c r="E28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85" s="10">
        <v>28</v>
      </c>
    </row>
    <row r="286" spans="1:6" x14ac:dyDescent="0.2">
      <c r="A286" t="s">
        <v>478</v>
      </c>
      <c r="B286" t="s">
        <v>481</v>
      </c>
      <c r="C286" s="10">
        <v>4</v>
      </c>
      <c r="D286" s="10">
        <v>7</v>
      </c>
      <c r="E28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86" s="10">
        <v>28</v>
      </c>
    </row>
    <row r="287" spans="1:6" x14ac:dyDescent="0.2">
      <c r="A287" t="s">
        <v>479</v>
      </c>
      <c r="B287" t="s">
        <v>481</v>
      </c>
      <c r="C287" s="10">
        <v>3</v>
      </c>
      <c r="D287" s="10">
        <v>1</v>
      </c>
      <c r="E287"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287" s="10">
        <v>3</v>
      </c>
    </row>
    <row r="288" spans="1:6" x14ac:dyDescent="0.2">
      <c r="A288" t="s">
        <v>479</v>
      </c>
      <c r="B288" t="s">
        <v>481</v>
      </c>
      <c r="C288" s="10">
        <v>3</v>
      </c>
      <c r="D288" s="10">
        <v>10</v>
      </c>
      <c r="E28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88" s="10">
        <v>30</v>
      </c>
    </row>
    <row r="289" spans="1:6" x14ac:dyDescent="0.2">
      <c r="A289" t="s">
        <v>479</v>
      </c>
      <c r="B289" t="s">
        <v>481</v>
      </c>
      <c r="C289" s="10">
        <v>4</v>
      </c>
      <c r="D289" s="10">
        <v>7</v>
      </c>
      <c r="E28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89" s="10">
        <v>28</v>
      </c>
    </row>
    <row r="290" spans="1:6" x14ac:dyDescent="0.2">
      <c r="A290" t="s">
        <v>479</v>
      </c>
      <c r="B290" t="s">
        <v>481</v>
      </c>
      <c r="C290" s="10">
        <v>4</v>
      </c>
      <c r="D290" s="10">
        <v>7</v>
      </c>
      <c r="E29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90" s="10">
        <v>28</v>
      </c>
    </row>
    <row r="291" spans="1:6" x14ac:dyDescent="0.2">
      <c r="A291" t="s">
        <v>479</v>
      </c>
      <c r="B291" t="s">
        <v>481</v>
      </c>
      <c r="C291" s="10">
        <v>3</v>
      </c>
      <c r="D291" s="10">
        <v>7</v>
      </c>
      <c r="E29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91" s="10">
        <v>21</v>
      </c>
    </row>
    <row r="292" spans="1:6" x14ac:dyDescent="0.2">
      <c r="A292" t="s">
        <v>479</v>
      </c>
      <c r="B292" t="s">
        <v>481</v>
      </c>
      <c r="C292" s="10">
        <v>3</v>
      </c>
      <c r="D292" s="10">
        <v>7</v>
      </c>
      <c r="E29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92" s="10">
        <v>21</v>
      </c>
    </row>
    <row r="293" spans="1:6" x14ac:dyDescent="0.2">
      <c r="A293" t="s">
        <v>478</v>
      </c>
      <c r="B293" t="s">
        <v>481</v>
      </c>
      <c r="C293" s="10">
        <v>3</v>
      </c>
      <c r="D293" s="10">
        <v>7</v>
      </c>
      <c r="E29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93" s="10">
        <v>21</v>
      </c>
    </row>
    <row r="294" spans="1:6" x14ac:dyDescent="0.2">
      <c r="A294" t="s">
        <v>478</v>
      </c>
      <c r="B294" t="s">
        <v>481</v>
      </c>
      <c r="C294" s="10">
        <v>5</v>
      </c>
      <c r="D294" s="10">
        <v>7</v>
      </c>
      <c r="E29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94" s="10">
        <v>35</v>
      </c>
    </row>
    <row r="295" spans="1:6" x14ac:dyDescent="0.2">
      <c r="A295" t="s">
        <v>478</v>
      </c>
      <c r="B295" t="s">
        <v>481</v>
      </c>
      <c r="C295" s="10">
        <v>4</v>
      </c>
      <c r="D295" s="10">
        <v>7</v>
      </c>
      <c r="E29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95" s="10">
        <v>21</v>
      </c>
    </row>
    <row r="296" spans="1:6" x14ac:dyDescent="0.2">
      <c r="A296" t="s">
        <v>479</v>
      </c>
      <c r="B296" t="s">
        <v>481</v>
      </c>
      <c r="C296" s="10">
        <v>5</v>
      </c>
      <c r="D296" s="10">
        <v>10</v>
      </c>
      <c r="E29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296" s="10">
        <v>28</v>
      </c>
    </row>
    <row r="297" spans="1:6" x14ac:dyDescent="0.2">
      <c r="A297" t="s">
        <v>478</v>
      </c>
      <c r="B297" t="s">
        <v>481</v>
      </c>
      <c r="C297" s="10">
        <v>3</v>
      </c>
      <c r="D297" s="10">
        <v>4</v>
      </c>
      <c r="E29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97" s="10">
        <v>21</v>
      </c>
    </row>
    <row r="298" spans="1:6" x14ac:dyDescent="0.2">
      <c r="A298" t="s">
        <v>479</v>
      </c>
      <c r="B298" t="s">
        <v>481</v>
      </c>
      <c r="C298" s="10">
        <v>4</v>
      </c>
      <c r="D298" s="10">
        <v>7</v>
      </c>
      <c r="E29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98" s="10">
        <v>12</v>
      </c>
    </row>
    <row r="299" spans="1:6" x14ac:dyDescent="0.2">
      <c r="A299" t="s">
        <v>478</v>
      </c>
      <c r="B299" t="s">
        <v>481</v>
      </c>
      <c r="C299" s="10">
        <v>3</v>
      </c>
      <c r="D299" s="10">
        <v>7</v>
      </c>
      <c r="E29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299" s="10">
        <v>15</v>
      </c>
    </row>
    <row r="300" spans="1:6" x14ac:dyDescent="0.2">
      <c r="A300" t="s">
        <v>479</v>
      </c>
      <c r="B300" t="s">
        <v>481</v>
      </c>
      <c r="C300" s="10">
        <v>5</v>
      </c>
      <c r="D300" s="10">
        <v>7</v>
      </c>
      <c r="E30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00" s="10">
        <v>28</v>
      </c>
    </row>
    <row r="301" spans="1:6" x14ac:dyDescent="0.2">
      <c r="A301" t="s">
        <v>479</v>
      </c>
      <c r="B301" t="s">
        <v>481</v>
      </c>
      <c r="C301" s="10">
        <v>5</v>
      </c>
      <c r="D301" s="10">
        <v>7</v>
      </c>
      <c r="E30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01" s="10">
        <v>35</v>
      </c>
    </row>
    <row r="302" spans="1:6" x14ac:dyDescent="0.2">
      <c r="A302" t="s">
        <v>479</v>
      </c>
      <c r="B302" t="s">
        <v>481</v>
      </c>
      <c r="C302" s="10">
        <v>4</v>
      </c>
      <c r="D302" s="10">
        <v>7</v>
      </c>
      <c r="E30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02" s="10">
        <v>35</v>
      </c>
    </row>
    <row r="303" spans="1:6" x14ac:dyDescent="0.2">
      <c r="A303" t="s">
        <v>479</v>
      </c>
      <c r="B303" t="s">
        <v>481</v>
      </c>
      <c r="C303" s="10">
        <v>3</v>
      </c>
      <c r="D303" s="10">
        <v>4</v>
      </c>
      <c r="E30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03" s="10">
        <v>28</v>
      </c>
    </row>
    <row r="304" spans="1:6" x14ac:dyDescent="0.2">
      <c r="A304" t="s">
        <v>479</v>
      </c>
      <c r="B304" t="s">
        <v>481</v>
      </c>
      <c r="C304" s="10">
        <v>3</v>
      </c>
      <c r="D304" s="10">
        <v>4</v>
      </c>
      <c r="E30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04" s="10">
        <v>12</v>
      </c>
    </row>
    <row r="305" spans="1:6" x14ac:dyDescent="0.2">
      <c r="A305" t="s">
        <v>478</v>
      </c>
      <c r="B305" t="s">
        <v>481</v>
      </c>
      <c r="C305" s="10">
        <v>3</v>
      </c>
      <c r="D305" s="10">
        <v>4</v>
      </c>
      <c r="E30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05" s="10">
        <v>21</v>
      </c>
    </row>
    <row r="306" spans="1:6" x14ac:dyDescent="0.2">
      <c r="A306" t="s">
        <v>479</v>
      </c>
      <c r="B306" t="s">
        <v>481</v>
      </c>
      <c r="C306" s="10">
        <v>4</v>
      </c>
      <c r="D306" s="10">
        <v>7</v>
      </c>
      <c r="E30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06" s="10">
        <v>28</v>
      </c>
    </row>
    <row r="307" spans="1:6" x14ac:dyDescent="0.2">
      <c r="A307" t="s">
        <v>479</v>
      </c>
      <c r="B307" t="s">
        <v>481</v>
      </c>
      <c r="C307" s="10">
        <v>4</v>
      </c>
      <c r="D307" s="10">
        <v>10</v>
      </c>
      <c r="E30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07" s="10">
        <v>12</v>
      </c>
    </row>
    <row r="308" spans="1:6" x14ac:dyDescent="0.2">
      <c r="A308" t="s">
        <v>479</v>
      </c>
      <c r="B308" t="s">
        <v>481</v>
      </c>
      <c r="C308" s="10">
        <v>3</v>
      </c>
      <c r="D308" s="10">
        <v>7</v>
      </c>
      <c r="E30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08" s="10">
        <v>35</v>
      </c>
    </row>
    <row r="309" spans="1:6" x14ac:dyDescent="0.2">
      <c r="A309" t="s">
        <v>478</v>
      </c>
      <c r="B309" t="s">
        <v>481</v>
      </c>
      <c r="C309" s="10">
        <v>2</v>
      </c>
      <c r="D309" s="10">
        <v>4</v>
      </c>
      <c r="E30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09" s="10">
        <v>20</v>
      </c>
    </row>
    <row r="310" spans="1:6" x14ac:dyDescent="0.2">
      <c r="A310" t="s">
        <v>479</v>
      </c>
      <c r="B310" t="s">
        <v>481</v>
      </c>
      <c r="C310" s="10">
        <v>4</v>
      </c>
      <c r="D310" s="10">
        <v>4</v>
      </c>
      <c r="E31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10" s="10">
        <v>21</v>
      </c>
    </row>
    <row r="311" spans="1:6" x14ac:dyDescent="0.2">
      <c r="A311" t="s">
        <v>479</v>
      </c>
      <c r="B311" t="s">
        <v>481</v>
      </c>
      <c r="C311" s="10">
        <v>5</v>
      </c>
      <c r="D311" s="10">
        <v>10</v>
      </c>
      <c r="E31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11" s="10">
        <v>16</v>
      </c>
    </row>
    <row r="312" spans="1:6" x14ac:dyDescent="0.2">
      <c r="A312" s="12" t="s">
        <v>478</v>
      </c>
      <c r="B312" s="12" t="s">
        <v>481</v>
      </c>
      <c r="C312" s="232">
        <v>3</v>
      </c>
      <c r="D312" s="232">
        <v>5</v>
      </c>
      <c r="E31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12" s="232">
        <v>20</v>
      </c>
    </row>
    <row r="313" spans="1:6" x14ac:dyDescent="0.2">
      <c r="A313" s="12" t="s">
        <v>478</v>
      </c>
      <c r="B313" s="12" t="s">
        <v>481</v>
      </c>
      <c r="C313" s="232">
        <v>4</v>
      </c>
      <c r="D313" s="232">
        <v>7</v>
      </c>
      <c r="E31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13" s="232">
        <v>15</v>
      </c>
    </row>
    <row r="314" spans="1:6" x14ac:dyDescent="0.2">
      <c r="A314" s="12" t="s">
        <v>478</v>
      </c>
      <c r="B314" s="12" t="s">
        <v>481</v>
      </c>
      <c r="C314" s="232"/>
      <c r="D314" s="232"/>
      <c r="E31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14" s="232">
        <v>28</v>
      </c>
    </row>
    <row r="315" spans="1:6" x14ac:dyDescent="0.2">
      <c r="A315" s="12" t="s">
        <v>479</v>
      </c>
      <c r="B315" s="12" t="s">
        <v>481</v>
      </c>
      <c r="C315" s="232"/>
      <c r="D315" s="232"/>
      <c r="E315"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315" s="232">
        <v>0</v>
      </c>
    </row>
    <row r="316" spans="1:6" x14ac:dyDescent="0.2">
      <c r="A316" s="12" t="s">
        <v>478</v>
      </c>
      <c r="B316" s="12" t="s">
        <v>481</v>
      </c>
      <c r="C316" s="232">
        <v>4</v>
      </c>
      <c r="D316" s="232">
        <v>7</v>
      </c>
      <c r="E316"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316" s="232">
        <v>0</v>
      </c>
    </row>
    <row r="317" spans="1:6" x14ac:dyDescent="0.2">
      <c r="A317" s="12" t="s">
        <v>479</v>
      </c>
      <c r="B317" s="12" t="s">
        <v>481</v>
      </c>
      <c r="C317" s="232">
        <v>4</v>
      </c>
      <c r="D317" s="232">
        <v>7</v>
      </c>
      <c r="E31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17" s="232">
        <v>28</v>
      </c>
    </row>
    <row r="318" spans="1:6" x14ac:dyDescent="0.2">
      <c r="A318" t="s">
        <v>479</v>
      </c>
      <c r="B318" t="s">
        <v>481</v>
      </c>
      <c r="C318" s="10">
        <v>3</v>
      </c>
      <c r="D318" s="10">
        <v>7</v>
      </c>
      <c r="E31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18" s="10">
        <v>28</v>
      </c>
    </row>
    <row r="319" spans="1:6" x14ac:dyDescent="0.2">
      <c r="A319" t="s">
        <v>479</v>
      </c>
      <c r="B319" t="s">
        <v>481</v>
      </c>
      <c r="C319" s="10">
        <v>2</v>
      </c>
      <c r="D319" s="10">
        <v>10</v>
      </c>
      <c r="E31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19" s="10">
        <v>16</v>
      </c>
    </row>
    <row r="320" spans="1:6" x14ac:dyDescent="0.2">
      <c r="A320" t="s">
        <v>479</v>
      </c>
      <c r="B320" t="s">
        <v>481</v>
      </c>
      <c r="C320" s="10">
        <v>5</v>
      </c>
      <c r="D320" s="10">
        <v>7</v>
      </c>
      <c r="E32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20" s="10">
        <v>28</v>
      </c>
    </row>
    <row r="321" spans="1:6" x14ac:dyDescent="0.2">
      <c r="A321" t="s">
        <v>478</v>
      </c>
      <c r="B321" t="s">
        <v>481</v>
      </c>
      <c r="C321" s="10">
        <v>4</v>
      </c>
      <c r="D321" s="10">
        <v>7</v>
      </c>
      <c r="E32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21" s="10">
        <v>20</v>
      </c>
    </row>
    <row r="322" spans="1:6" x14ac:dyDescent="0.2">
      <c r="A322" t="s">
        <v>478</v>
      </c>
      <c r="B322" t="s">
        <v>481</v>
      </c>
      <c r="C322" s="10">
        <v>4</v>
      </c>
      <c r="D322" s="10">
        <v>4</v>
      </c>
      <c r="E32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22" s="10">
        <v>21</v>
      </c>
    </row>
    <row r="323" spans="1:6" x14ac:dyDescent="0.2">
      <c r="A323" t="s">
        <v>479</v>
      </c>
      <c r="B323" t="s">
        <v>481</v>
      </c>
      <c r="C323" s="10">
        <v>4</v>
      </c>
      <c r="D323" s="10">
        <v>10</v>
      </c>
      <c r="E32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23" s="10">
        <v>16</v>
      </c>
    </row>
    <row r="324" spans="1:6" x14ac:dyDescent="0.2">
      <c r="A324" t="s">
        <v>479</v>
      </c>
      <c r="B324" t="s">
        <v>481</v>
      </c>
      <c r="C324" s="10">
        <v>4</v>
      </c>
      <c r="D324" s="10">
        <v>10</v>
      </c>
      <c r="E32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24" s="10">
        <v>21</v>
      </c>
    </row>
    <row r="325" spans="1:6" x14ac:dyDescent="0.2">
      <c r="A325" t="s">
        <v>479</v>
      </c>
      <c r="B325" t="s">
        <v>481</v>
      </c>
      <c r="C325" s="10">
        <v>2</v>
      </c>
      <c r="D325" s="10">
        <v>7</v>
      </c>
      <c r="E32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25" s="10">
        <v>20</v>
      </c>
    </row>
    <row r="326" spans="1:6" x14ac:dyDescent="0.2">
      <c r="A326" t="s">
        <v>479</v>
      </c>
      <c r="B326" t="s">
        <v>481</v>
      </c>
      <c r="C326" s="10">
        <v>4</v>
      </c>
      <c r="D326" s="10">
        <v>4</v>
      </c>
      <c r="E32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26" s="10">
        <v>14</v>
      </c>
    </row>
    <row r="327" spans="1:6" x14ac:dyDescent="0.2">
      <c r="A327" t="s">
        <v>478</v>
      </c>
      <c r="B327" t="s">
        <v>481</v>
      </c>
      <c r="C327" s="10">
        <v>3</v>
      </c>
      <c r="D327" s="10">
        <v>4</v>
      </c>
      <c r="E32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27" s="10">
        <v>15</v>
      </c>
    </row>
    <row r="328" spans="1:6" x14ac:dyDescent="0.2">
      <c r="A328" t="s">
        <v>478</v>
      </c>
      <c r="B328" t="s">
        <v>481</v>
      </c>
      <c r="C328" s="10">
        <v>2</v>
      </c>
      <c r="D328" s="10">
        <v>7</v>
      </c>
      <c r="E32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28" s="10">
        <v>21</v>
      </c>
    </row>
    <row r="329" spans="1:6" x14ac:dyDescent="0.2">
      <c r="A329" t="s">
        <v>479</v>
      </c>
      <c r="B329" t="s">
        <v>481</v>
      </c>
      <c r="C329" s="10">
        <v>3</v>
      </c>
      <c r="D329" s="10">
        <v>7</v>
      </c>
      <c r="E32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29" s="10">
        <v>12</v>
      </c>
    </row>
    <row r="330" spans="1:6" x14ac:dyDescent="0.2">
      <c r="A330" t="s">
        <v>478</v>
      </c>
      <c r="B330" t="s">
        <v>481</v>
      </c>
      <c r="C330" s="10">
        <v>5</v>
      </c>
      <c r="D330" s="10">
        <v>4</v>
      </c>
      <c r="E33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30" s="10">
        <v>12</v>
      </c>
    </row>
    <row r="331" spans="1:6" x14ac:dyDescent="0.2">
      <c r="A331" t="s">
        <v>478</v>
      </c>
      <c r="B331" t="s">
        <v>481</v>
      </c>
      <c r="C331" s="10">
        <v>5</v>
      </c>
      <c r="D331" s="10">
        <v>7</v>
      </c>
      <c r="E33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31" s="10">
        <v>21</v>
      </c>
    </row>
    <row r="332" spans="1:6" x14ac:dyDescent="0.2">
      <c r="A332" t="s">
        <v>478</v>
      </c>
      <c r="B332" t="s">
        <v>481</v>
      </c>
      <c r="C332" s="10">
        <v>5</v>
      </c>
      <c r="D332" s="10">
        <v>7</v>
      </c>
      <c r="E33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32" s="10">
        <v>28</v>
      </c>
    </row>
    <row r="333" spans="1:6" x14ac:dyDescent="0.2">
      <c r="A333" t="s">
        <v>479</v>
      </c>
      <c r="B333" t="s">
        <v>481</v>
      </c>
      <c r="C333" s="10">
        <v>3</v>
      </c>
      <c r="D333" s="10">
        <v>7</v>
      </c>
      <c r="E33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33" s="10">
        <v>20</v>
      </c>
    </row>
    <row r="334" spans="1:6" x14ac:dyDescent="0.2">
      <c r="A334" t="s">
        <v>478</v>
      </c>
      <c r="B334" t="s">
        <v>481</v>
      </c>
      <c r="C334" s="10">
        <v>4</v>
      </c>
      <c r="D334" s="10">
        <v>7</v>
      </c>
      <c r="E33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34" s="10">
        <v>21</v>
      </c>
    </row>
    <row r="335" spans="1:6" x14ac:dyDescent="0.2">
      <c r="A335" t="s">
        <v>479</v>
      </c>
      <c r="B335" t="s">
        <v>481</v>
      </c>
      <c r="C335" s="10">
        <v>5</v>
      </c>
      <c r="D335" s="10">
        <v>4</v>
      </c>
      <c r="E33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35" s="10">
        <v>12</v>
      </c>
    </row>
    <row r="336" spans="1:6" x14ac:dyDescent="0.2">
      <c r="A336" t="s">
        <v>479</v>
      </c>
      <c r="B336" t="s">
        <v>481</v>
      </c>
      <c r="C336" s="10">
        <v>5</v>
      </c>
      <c r="D336" s="10">
        <v>7</v>
      </c>
      <c r="E33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36" s="10">
        <v>28</v>
      </c>
    </row>
    <row r="337" spans="1:6" x14ac:dyDescent="0.2">
      <c r="A337" t="s">
        <v>479</v>
      </c>
      <c r="B337" t="s">
        <v>481</v>
      </c>
      <c r="C337" s="10">
        <v>5</v>
      </c>
      <c r="D337" s="10">
        <v>7</v>
      </c>
      <c r="E33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37" s="10">
        <v>21</v>
      </c>
    </row>
    <row r="338" spans="1:6" x14ac:dyDescent="0.2">
      <c r="A338" t="s">
        <v>478</v>
      </c>
      <c r="B338" t="s">
        <v>481</v>
      </c>
      <c r="C338" s="10">
        <v>5</v>
      </c>
      <c r="D338" s="10">
        <v>7</v>
      </c>
      <c r="E33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38" s="10">
        <v>28</v>
      </c>
    </row>
    <row r="339" spans="1:6" x14ac:dyDescent="0.2">
      <c r="A339" t="s">
        <v>478</v>
      </c>
      <c r="B339" t="s">
        <v>481</v>
      </c>
      <c r="C339" s="10">
        <v>3</v>
      </c>
      <c r="D339" s="10">
        <v>4</v>
      </c>
      <c r="E33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39" s="10">
        <v>20</v>
      </c>
    </row>
    <row r="340" spans="1:6" x14ac:dyDescent="0.2">
      <c r="A340" t="s">
        <v>479</v>
      </c>
      <c r="B340" t="s">
        <v>481</v>
      </c>
      <c r="C340" s="10">
        <v>4</v>
      </c>
      <c r="D340" s="10">
        <v>7</v>
      </c>
      <c r="E34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40" s="10">
        <v>12</v>
      </c>
    </row>
    <row r="341" spans="1:6" x14ac:dyDescent="0.2">
      <c r="A341" t="s">
        <v>479</v>
      </c>
      <c r="B341" t="s">
        <v>481</v>
      </c>
      <c r="C341" s="10">
        <v>4</v>
      </c>
      <c r="D341" s="10">
        <v>4</v>
      </c>
      <c r="E34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41" s="10">
        <v>21</v>
      </c>
    </row>
    <row r="342" spans="1:6" x14ac:dyDescent="0.2">
      <c r="A342" t="s">
        <v>479</v>
      </c>
      <c r="B342" t="s">
        <v>481</v>
      </c>
      <c r="C342" s="10">
        <v>4</v>
      </c>
      <c r="D342" s="10">
        <v>7</v>
      </c>
      <c r="E34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42" s="10">
        <v>16</v>
      </c>
    </row>
    <row r="343" spans="1:6" x14ac:dyDescent="0.2">
      <c r="A343" t="s">
        <v>479</v>
      </c>
      <c r="B343" t="s">
        <v>481</v>
      </c>
      <c r="C343" s="10">
        <v>3</v>
      </c>
      <c r="D343" s="10">
        <v>7</v>
      </c>
      <c r="E34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43" s="10">
        <v>16</v>
      </c>
    </row>
    <row r="344" spans="1:6" x14ac:dyDescent="0.2">
      <c r="A344" t="s">
        <v>478</v>
      </c>
      <c r="B344" t="s">
        <v>481</v>
      </c>
      <c r="C344" s="10">
        <v>4</v>
      </c>
      <c r="D344" s="10">
        <v>7</v>
      </c>
      <c r="E34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44" s="10">
        <v>28</v>
      </c>
    </row>
    <row r="345" spans="1:6" x14ac:dyDescent="0.2">
      <c r="A345" t="s">
        <v>478</v>
      </c>
      <c r="B345" t="s">
        <v>481</v>
      </c>
      <c r="C345" s="10">
        <v>4</v>
      </c>
      <c r="D345" s="10">
        <v>4</v>
      </c>
      <c r="E34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45" s="10">
        <v>28</v>
      </c>
    </row>
    <row r="346" spans="1:6" x14ac:dyDescent="0.2">
      <c r="A346" t="s">
        <v>479</v>
      </c>
      <c r="B346" t="s">
        <v>481</v>
      </c>
      <c r="C346" s="10">
        <v>3</v>
      </c>
      <c r="D346" s="10">
        <v>7</v>
      </c>
      <c r="E34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46" s="10">
        <v>28</v>
      </c>
    </row>
    <row r="347" spans="1:6" x14ac:dyDescent="0.2">
      <c r="A347" t="s">
        <v>479</v>
      </c>
      <c r="B347" t="s">
        <v>481</v>
      </c>
      <c r="C347" s="10">
        <v>3</v>
      </c>
      <c r="D347" s="10">
        <v>7</v>
      </c>
      <c r="E34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47" s="10">
        <v>35</v>
      </c>
    </row>
    <row r="348" spans="1:6" x14ac:dyDescent="0.2">
      <c r="A348" t="s">
        <v>479</v>
      </c>
      <c r="B348" t="s">
        <v>481</v>
      </c>
      <c r="C348" s="10">
        <v>5</v>
      </c>
      <c r="D348" s="10">
        <v>7</v>
      </c>
      <c r="E34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48" s="10">
        <v>21</v>
      </c>
    </row>
    <row r="349" spans="1:6" x14ac:dyDescent="0.2">
      <c r="A349" t="s">
        <v>479</v>
      </c>
      <c r="B349" t="s">
        <v>481</v>
      </c>
      <c r="C349" s="10">
        <v>4</v>
      </c>
      <c r="D349" s="10">
        <v>7</v>
      </c>
      <c r="E34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49" s="10">
        <v>20</v>
      </c>
    </row>
    <row r="350" spans="1:6" x14ac:dyDescent="0.2">
      <c r="A350" t="s">
        <v>479</v>
      </c>
      <c r="B350" t="s">
        <v>481</v>
      </c>
      <c r="C350" s="10">
        <v>4</v>
      </c>
      <c r="D350" s="10">
        <v>7</v>
      </c>
      <c r="E35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50" s="10">
        <v>21</v>
      </c>
    </row>
    <row r="351" spans="1:6" x14ac:dyDescent="0.2">
      <c r="A351" t="s">
        <v>479</v>
      </c>
      <c r="B351" t="s">
        <v>481</v>
      </c>
      <c r="C351" s="10">
        <v>5</v>
      </c>
      <c r="D351" s="10">
        <v>7</v>
      </c>
      <c r="E35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51" s="10">
        <v>21</v>
      </c>
    </row>
    <row r="352" spans="1:6" x14ac:dyDescent="0.2">
      <c r="A352" t="s">
        <v>479</v>
      </c>
      <c r="B352" t="s">
        <v>481</v>
      </c>
      <c r="C352" s="10">
        <v>4</v>
      </c>
      <c r="D352" s="10">
        <v>7</v>
      </c>
      <c r="E352"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352" s="10">
        <v>50</v>
      </c>
    </row>
    <row r="353" spans="1:6" x14ac:dyDescent="0.2">
      <c r="A353" t="s">
        <v>478</v>
      </c>
      <c r="B353" t="s">
        <v>481</v>
      </c>
      <c r="C353" s="10">
        <v>3</v>
      </c>
      <c r="D353" s="10">
        <v>4</v>
      </c>
      <c r="E35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53" s="10">
        <v>28</v>
      </c>
    </row>
    <row r="354" spans="1:6" x14ac:dyDescent="0.2">
      <c r="A354" t="s">
        <v>478</v>
      </c>
      <c r="B354" t="s">
        <v>481</v>
      </c>
      <c r="C354" s="10">
        <v>4</v>
      </c>
      <c r="D354" s="10">
        <v>7</v>
      </c>
      <c r="E35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54" s="10">
        <v>20</v>
      </c>
    </row>
    <row r="355" spans="1:6" x14ac:dyDescent="0.2">
      <c r="A355" t="s">
        <v>479</v>
      </c>
      <c r="B355" t="s">
        <v>481</v>
      </c>
      <c r="C355" s="10">
        <v>4</v>
      </c>
      <c r="D355" s="10">
        <v>10</v>
      </c>
      <c r="E35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55" s="10">
        <v>16</v>
      </c>
    </row>
    <row r="356" spans="1:6" x14ac:dyDescent="0.2">
      <c r="A356" t="s">
        <v>478</v>
      </c>
      <c r="B356" t="s">
        <v>481</v>
      </c>
      <c r="C356" s="10">
        <v>4</v>
      </c>
      <c r="D356" s="10">
        <v>10</v>
      </c>
      <c r="E35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56" s="10">
        <v>35</v>
      </c>
    </row>
    <row r="357" spans="1:6" x14ac:dyDescent="0.2">
      <c r="A357" t="s">
        <v>479</v>
      </c>
      <c r="B357" t="s">
        <v>481</v>
      </c>
      <c r="C357" s="10">
        <v>5</v>
      </c>
      <c r="D357" s="10">
        <v>7</v>
      </c>
      <c r="E357"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357" s="10">
        <v>40</v>
      </c>
    </row>
    <row r="358" spans="1:6" x14ac:dyDescent="0.2">
      <c r="A358" t="s">
        <v>479</v>
      </c>
      <c r="B358" t="s">
        <v>481</v>
      </c>
      <c r="C358" s="10">
        <v>5</v>
      </c>
      <c r="D358" s="10">
        <v>7</v>
      </c>
      <c r="E358"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358" s="10">
        <v>40</v>
      </c>
    </row>
    <row r="359" spans="1:6" x14ac:dyDescent="0.2">
      <c r="A359" t="s">
        <v>478</v>
      </c>
      <c r="B359" t="s">
        <v>481</v>
      </c>
      <c r="C359" s="10">
        <v>4</v>
      </c>
      <c r="D359" s="10">
        <v>7</v>
      </c>
      <c r="E359"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359" s="10">
        <v>40</v>
      </c>
    </row>
    <row r="360" spans="1:6" x14ac:dyDescent="0.2">
      <c r="A360" t="s">
        <v>479</v>
      </c>
      <c r="B360" t="s">
        <v>481</v>
      </c>
      <c r="C360" s="10">
        <v>4</v>
      </c>
      <c r="D360" s="10">
        <v>7</v>
      </c>
      <c r="E360"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360" s="10">
        <v>40</v>
      </c>
    </row>
    <row r="361" spans="1:6" x14ac:dyDescent="0.2">
      <c r="A361" t="s">
        <v>479</v>
      </c>
      <c r="B361" t="s">
        <v>481</v>
      </c>
      <c r="C361" s="10">
        <v>5</v>
      </c>
      <c r="D361" s="10">
        <v>7</v>
      </c>
      <c r="E361"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361" s="10">
        <v>40</v>
      </c>
    </row>
    <row r="362" spans="1:6" x14ac:dyDescent="0.2">
      <c r="A362" t="s">
        <v>479</v>
      </c>
      <c r="B362" t="s">
        <v>481</v>
      </c>
      <c r="C362" s="10">
        <v>5</v>
      </c>
      <c r="D362" s="10">
        <v>4</v>
      </c>
      <c r="E362"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362" s="10">
        <v>50</v>
      </c>
    </row>
    <row r="363" spans="1:6" x14ac:dyDescent="0.2">
      <c r="A363" t="s">
        <v>479</v>
      </c>
      <c r="B363" t="s">
        <v>481</v>
      </c>
      <c r="C363" s="10">
        <v>3</v>
      </c>
      <c r="D363" s="10">
        <v>4</v>
      </c>
      <c r="E36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63" s="10">
        <v>14</v>
      </c>
    </row>
    <row r="364" spans="1:6" x14ac:dyDescent="0.2">
      <c r="A364" t="s">
        <v>478</v>
      </c>
      <c r="B364" t="s">
        <v>481</v>
      </c>
      <c r="C364" s="10">
        <v>2</v>
      </c>
      <c r="D364" s="10">
        <v>7</v>
      </c>
      <c r="E36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64" s="10">
        <v>20</v>
      </c>
    </row>
    <row r="365" spans="1:6" x14ac:dyDescent="0.2">
      <c r="A365" t="s">
        <v>478</v>
      </c>
      <c r="B365" t="s">
        <v>481</v>
      </c>
      <c r="C365" s="10">
        <v>4</v>
      </c>
      <c r="D365" s="10">
        <v>7</v>
      </c>
      <c r="E36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65" s="10">
        <v>14</v>
      </c>
    </row>
    <row r="366" spans="1:6" x14ac:dyDescent="0.2">
      <c r="A366" t="s">
        <v>479</v>
      </c>
      <c r="B366" t="s">
        <v>481</v>
      </c>
      <c r="C366" s="10">
        <v>1</v>
      </c>
      <c r="D366" s="10">
        <v>7</v>
      </c>
      <c r="E36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66" s="10">
        <v>14</v>
      </c>
    </row>
    <row r="367" spans="1:6" x14ac:dyDescent="0.2">
      <c r="A367" t="s">
        <v>479</v>
      </c>
      <c r="B367" t="s">
        <v>481</v>
      </c>
      <c r="C367" s="10">
        <v>3</v>
      </c>
      <c r="D367" s="10">
        <v>7</v>
      </c>
      <c r="E36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67" s="10">
        <v>28</v>
      </c>
    </row>
    <row r="368" spans="1:6" x14ac:dyDescent="0.2">
      <c r="A368" t="s">
        <v>478</v>
      </c>
      <c r="B368" t="s">
        <v>481</v>
      </c>
      <c r="C368" s="10">
        <v>5</v>
      </c>
      <c r="D368" s="10">
        <v>4</v>
      </c>
      <c r="E36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68" s="10">
        <v>14</v>
      </c>
    </row>
    <row r="369" spans="1:6" x14ac:dyDescent="0.2">
      <c r="A369" t="s">
        <v>479</v>
      </c>
      <c r="B369" t="s">
        <v>481</v>
      </c>
      <c r="C369" s="10">
        <v>4</v>
      </c>
      <c r="D369" s="10">
        <v>4</v>
      </c>
      <c r="E369"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369" s="10">
        <v>7</v>
      </c>
    </row>
    <row r="370" spans="1:6" x14ac:dyDescent="0.2">
      <c r="A370" t="s">
        <v>479</v>
      </c>
      <c r="B370" t="s">
        <v>481</v>
      </c>
      <c r="C370" s="10">
        <v>3</v>
      </c>
      <c r="D370" s="10">
        <v>7</v>
      </c>
      <c r="E37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70" s="10">
        <v>21</v>
      </c>
    </row>
    <row r="371" spans="1:6" x14ac:dyDescent="0.2">
      <c r="A371" t="s">
        <v>479</v>
      </c>
      <c r="B371" t="s">
        <v>481</v>
      </c>
      <c r="C371" s="10">
        <v>4</v>
      </c>
      <c r="D371" s="10">
        <v>4</v>
      </c>
      <c r="E37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71" s="10">
        <v>16</v>
      </c>
    </row>
    <row r="372" spans="1:6" x14ac:dyDescent="0.2">
      <c r="A372" t="s">
        <v>478</v>
      </c>
      <c r="B372" t="s">
        <v>481</v>
      </c>
      <c r="C372" s="10">
        <v>4</v>
      </c>
      <c r="D372" s="10">
        <v>7</v>
      </c>
      <c r="E37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72" s="10">
        <v>21</v>
      </c>
    </row>
    <row r="373" spans="1:6" x14ac:dyDescent="0.2">
      <c r="A373" t="s">
        <v>479</v>
      </c>
      <c r="B373" t="s">
        <v>481</v>
      </c>
      <c r="C373" s="10">
        <v>4</v>
      </c>
      <c r="D373" s="10">
        <v>10</v>
      </c>
      <c r="E37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73" s="10">
        <v>35</v>
      </c>
    </row>
    <row r="374" spans="1:6" x14ac:dyDescent="0.2">
      <c r="A374" t="s">
        <v>479</v>
      </c>
      <c r="B374" t="s">
        <v>481</v>
      </c>
      <c r="C374" s="10">
        <v>5</v>
      </c>
      <c r="D374" s="10">
        <v>7</v>
      </c>
      <c r="E374"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374" s="10">
        <v>40</v>
      </c>
    </row>
    <row r="375" spans="1:6" x14ac:dyDescent="0.2">
      <c r="A375" t="s">
        <v>478</v>
      </c>
      <c r="B375" t="s">
        <v>481</v>
      </c>
      <c r="C375" s="10">
        <v>4</v>
      </c>
      <c r="D375" s="10">
        <v>7</v>
      </c>
      <c r="E375"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375" s="10">
        <v>40</v>
      </c>
    </row>
    <row r="376" spans="1:6" x14ac:dyDescent="0.2">
      <c r="A376" t="s">
        <v>479</v>
      </c>
      <c r="B376" t="s">
        <v>481</v>
      </c>
      <c r="C376" s="10">
        <v>4</v>
      </c>
      <c r="D376" s="10">
        <v>7</v>
      </c>
      <c r="E37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76" s="10">
        <v>35</v>
      </c>
    </row>
    <row r="377" spans="1:6" x14ac:dyDescent="0.2">
      <c r="A377" t="s">
        <v>479</v>
      </c>
      <c r="B377" t="s">
        <v>481</v>
      </c>
      <c r="C377" s="10">
        <v>3</v>
      </c>
      <c r="D377" s="10">
        <v>5</v>
      </c>
      <c r="E37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77" s="10">
        <v>28</v>
      </c>
    </row>
    <row r="378" spans="1:6" x14ac:dyDescent="0.2">
      <c r="A378" t="s">
        <v>478</v>
      </c>
      <c r="B378" t="s">
        <v>481</v>
      </c>
      <c r="C378" s="10">
        <v>3</v>
      </c>
      <c r="D378" s="10">
        <v>7</v>
      </c>
      <c r="E37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78" s="10">
        <v>16</v>
      </c>
    </row>
    <row r="379" spans="1:6" x14ac:dyDescent="0.2">
      <c r="A379" t="s">
        <v>478</v>
      </c>
      <c r="B379" t="s">
        <v>481</v>
      </c>
      <c r="C379" s="10">
        <v>5</v>
      </c>
      <c r="D379" s="10">
        <v>4</v>
      </c>
      <c r="E37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79" s="10">
        <v>35</v>
      </c>
    </row>
    <row r="380" spans="1:6" x14ac:dyDescent="0.2">
      <c r="A380" t="s">
        <v>479</v>
      </c>
      <c r="B380" t="s">
        <v>481</v>
      </c>
      <c r="C380" s="10">
        <v>5</v>
      </c>
      <c r="D380" s="10">
        <v>4</v>
      </c>
      <c r="E38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80" s="10">
        <v>28</v>
      </c>
    </row>
    <row r="381" spans="1:6" x14ac:dyDescent="0.2">
      <c r="A381" t="s">
        <v>479</v>
      </c>
      <c r="B381" t="s">
        <v>481</v>
      </c>
      <c r="C381" s="10">
        <v>4</v>
      </c>
      <c r="D381" s="10">
        <v>7</v>
      </c>
      <c r="E38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81" s="10">
        <v>30</v>
      </c>
    </row>
    <row r="382" spans="1:6" x14ac:dyDescent="0.2">
      <c r="A382" t="s">
        <v>478</v>
      </c>
      <c r="B382" t="s">
        <v>481</v>
      </c>
      <c r="C382" s="10">
        <v>5</v>
      </c>
      <c r="D382" s="10">
        <v>7</v>
      </c>
      <c r="E38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82" s="10">
        <v>28</v>
      </c>
    </row>
    <row r="383" spans="1:6" x14ac:dyDescent="0.2">
      <c r="A383" t="s">
        <v>479</v>
      </c>
      <c r="B383" t="s">
        <v>481</v>
      </c>
      <c r="C383" s="10">
        <v>4</v>
      </c>
      <c r="D383" s="10">
        <v>7</v>
      </c>
      <c r="E38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83" s="10">
        <v>35</v>
      </c>
    </row>
    <row r="384" spans="1:6" x14ac:dyDescent="0.2">
      <c r="A384" t="s">
        <v>478</v>
      </c>
      <c r="B384" t="s">
        <v>481</v>
      </c>
      <c r="C384" s="10">
        <v>4</v>
      </c>
      <c r="D384" s="10">
        <v>7</v>
      </c>
      <c r="E38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84" s="10">
        <v>16</v>
      </c>
    </row>
    <row r="385" spans="1:6" x14ac:dyDescent="0.2">
      <c r="A385" t="s">
        <v>479</v>
      </c>
      <c r="B385" t="s">
        <v>481</v>
      </c>
      <c r="C385" s="10">
        <v>3</v>
      </c>
      <c r="D385" s="10">
        <v>4</v>
      </c>
      <c r="E38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85" s="10">
        <v>21</v>
      </c>
    </row>
    <row r="386" spans="1:6" x14ac:dyDescent="0.2">
      <c r="A386" t="s">
        <v>478</v>
      </c>
      <c r="B386" t="s">
        <v>481</v>
      </c>
      <c r="C386" s="10">
        <v>5</v>
      </c>
      <c r="D386" s="10">
        <v>4</v>
      </c>
      <c r="E38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86" s="10">
        <v>28</v>
      </c>
    </row>
    <row r="387" spans="1:6" x14ac:dyDescent="0.2">
      <c r="A387" t="s">
        <v>478</v>
      </c>
      <c r="B387" t="s">
        <v>481</v>
      </c>
      <c r="C387" s="10">
        <v>4</v>
      </c>
      <c r="D387" s="10">
        <v>7</v>
      </c>
      <c r="E38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87" s="10">
        <v>20</v>
      </c>
    </row>
    <row r="388" spans="1:6" x14ac:dyDescent="0.2">
      <c r="A388" t="s">
        <v>478</v>
      </c>
      <c r="B388" t="s">
        <v>481</v>
      </c>
      <c r="C388" s="10">
        <v>3</v>
      </c>
      <c r="D388" s="10">
        <v>7</v>
      </c>
      <c r="E38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88" s="10">
        <v>21</v>
      </c>
    </row>
    <row r="389" spans="1:6" x14ac:dyDescent="0.2">
      <c r="A389" t="s">
        <v>479</v>
      </c>
      <c r="B389" t="s">
        <v>481</v>
      </c>
      <c r="C389" s="10">
        <v>2</v>
      </c>
      <c r="D389" s="10">
        <v>7</v>
      </c>
      <c r="E38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89" s="10">
        <v>21</v>
      </c>
    </row>
    <row r="390" spans="1:6" x14ac:dyDescent="0.2">
      <c r="A390" t="s">
        <v>478</v>
      </c>
      <c r="B390" t="s">
        <v>481</v>
      </c>
      <c r="C390" s="10">
        <v>4</v>
      </c>
      <c r="D390" s="10">
        <v>7</v>
      </c>
      <c r="E39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90" s="10">
        <v>21</v>
      </c>
    </row>
    <row r="391" spans="1:6" x14ac:dyDescent="0.2">
      <c r="A391" t="s">
        <v>479</v>
      </c>
      <c r="B391" t="s">
        <v>481</v>
      </c>
      <c r="C391" s="10">
        <v>4</v>
      </c>
      <c r="D391" s="10">
        <v>1</v>
      </c>
      <c r="E39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91" s="10">
        <v>35</v>
      </c>
    </row>
    <row r="392" spans="1:6" x14ac:dyDescent="0.2">
      <c r="A392" t="s">
        <v>479</v>
      </c>
      <c r="B392" t="s">
        <v>481</v>
      </c>
      <c r="C392" s="10">
        <v>3</v>
      </c>
      <c r="D392" s="10">
        <v>7</v>
      </c>
      <c r="E39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92" s="10">
        <v>35</v>
      </c>
    </row>
    <row r="393" spans="1:6" x14ac:dyDescent="0.2">
      <c r="A393" t="s">
        <v>478</v>
      </c>
      <c r="B393" t="s">
        <v>481</v>
      </c>
      <c r="C393" s="10">
        <v>4</v>
      </c>
      <c r="D393" s="10">
        <v>7</v>
      </c>
      <c r="E39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393" s="10">
        <v>28</v>
      </c>
    </row>
    <row r="394" spans="1:6" x14ac:dyDescent="0.2">
      <c r="A394" t="s">
        <v>479</v>
      </c>
      <c r="B394" t="s">
        <v>481</v>
      </c>
      <c r="C394" s="10">
        <v>5</v>
      </c>
      <c r="D394" s="10">
        <v>7</v>
      </c>
      <c r="E39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94" s="10">
        <v>16</v>
      </c>
    </row>
    <row r="395" spans="1:6" x14ac:dyDescent="0.2">
      <c r="A395" t="s">
        <v>479</v>
      </c>
      <c r="B395" t="s">
        <v>481</v>
      </c>
      <c r="C395" s="10">
        <v>1</v>
      </c>
      <c r="D395" s="10">
        <v>10</v>
      </c>
      <c r="E39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95" s="10">
        <v>20</v>
      </c>
    </row>
    <row r="396" spans="1:6" x14ac:dyDescent="0.2">
      <c r="A396" t="s">
        <v>478</v>
      </c>
      <c r="B396" t="s">
        <v>481</v>
      </c>
      <c r="C396" s="10">
        <v>1</v>
      </c>
      <c r="D396" s="10">
        <v>10</v>
      </c>
      <c r="E39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96" s="10">
        <v>20</v>
      </c>
    </row>
    <row r="397" spans="1:6" x14ac:dyDescent="0.2">
      <c r="A397" t="s">
        <v>478</v>
      </c>
      <c r="B397" t="s">
        <v>481</v>
      </c>
      <c r="C397" s="10">
        <v>1</v>
      </c>
      <c r="D397" s="10">
        <v>10</v>
      </c>
      <c r="E39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97" s="10">
        <v>10</v>
      </c>
    </row>
    <row r="398" spans="1:6" x14ac:dyDescent="0.2">
      <c r="A398" t="s">
        <v>479</v>
      </c>
      <c r="B398" t="s">
        <v>481</v>
      </c>
      <c r="C398" s="10">
        <v>1</v>
      </c>
      <c r="D398" s="10">
        <v>10</v>
      </c>
      <c r="E39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98" s="10">
        <v>10</v>
      </c>
    </row>
    <row r="399" spans="1:6" x14ac:dyDescent="0.2">
      <c r="A399" t="s">
        <v>479</v>
      </c>
      <c r="B399" t="s">
        <v>481</v>
      </c>
      <c r="C399" s="10">
        <v>1</v>
      </c>
      <c r="D399" s="10">
        <v>10</v>
      </c>
      <c r="E39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399" s="10">
        <v>10</v>
      </c>
    </row>
    <row r="400" spans="1:6" x14ac:dyDescent="0.2">
      <c r="A400" t="s">
        <v>478</v>
      </c>
      <c r="B400" t="s">
        <v>481</v>
      </c>
      <c r="C400" s="10">
        <v>2</v>
      </c>
      <c r="D400" s="10">
        <v>5</v>
      </c>
      <c r="E40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00" s="10">
        <v>10</v>
      </c>
    </row>
    <row r="401" spans="1:6" x14ac:dyDescent="0.2">
      <c r="A401" t="s">
        <v>479</v>
      </c>
      <c r="B401" t="s">
        <v>481</v>
      </c>
      <c r="C401" s="10">
        <v>3</v>
      </c>
      <c r="D401" s="10">
        <v>7</v>
      </c>
      <c r="E40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01" s="10">
        <v>10</v>
      </c>
    </row>
    <row r="402" spans="1:6" x14ac:dyDescent="0.2">
      <c r="A402" t="s">
        <v>478</v>
      </c>
      <c r="B402" t="s">
        <v>481</v>
      </c>
      <c r="C402" s="10">
        <v>5</v>
      </c>
      <c r="D402" s="10">
        <v>10</v>
      </c>
      <c r="E40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02" s="10">
        <v>10</v>
      </c>
    </row>
    <row r="403" spans="1:6" x14ac:dyDescent="0.2">
      <c r="A403" t="s">
        <v>478</v>
      </c>
      <c r="B403" t="s">
        <v>481</v>
      </c>
      <c r="C403" s="10">
        <v>4</v>
      </c>
      <c r="D403" s="10">
        <v>4</v>
      </c>
      <c r="E40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03" s="10">
        <v>10</v>
      </c>
    </row>
    <row r="404" spans="1:6" x14ac:dyDescent="0.2">
      <c r="A404" t="s">
        <v>479</v>
      </c>
      <c r="B404" t="s">
        <v>481</v>
      </c>
      <c r="C404" s="10">
        <v>5</v>
      </c>
      <c r="D404" s="10">
        <v>7</v>
      </c>
      <c r="E40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04" s="10">
        <v>10</v>
      </c>
    </row>
    <row r="405" spans="1:6" x14ac:dyDescent="0.2">
      <c r="A405" t="s">
        <v>479</v>
      </c>
      <c r="B405" t="s">
        <v>481</v>
      </c>
      <c r="C405" s="10">
        <v>2</v>
      </c>
      <c r="D405" s="10">
        <v>7</v>
      </c>
      <c r="E40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05" s="10">
        <v>20</v>
      </c>
    </row>
    <row r="406" spans="1:6" x14ac:dyDescent="0.2">
      <c r="A406" t="s">
        <v>479</v>
      </c>
      <c r="B406" t="s">
        <v>481</v>
      </c>
      <c r="C406" s="10">
        <v>5</v>
      </c>
      <c r="D406" s="10">
        <v>7</v>
      </c>
      <c r="E40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06" s="10">
        <v>14</v>
      </c>
    </row>
    <row r="407" spans="1:6" x14ac:dyDescent="0.2">
      <c r="A407" t="s">
        <v>479</v>
      </c>
      <c r="B407" t="s">
        <v>481</v>
      </c>
      <c r="C407" s="10">
        <v>1</v>
      </c>
      <c r="D407" s="10">
        <v>7</v>
      </c>
      <c r="E407"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407" s="10">
        <v>8</v>
      </c>
    </row>
    <row r="408" spans="1:6" x14ac:dyDescent="0.2">
      <c r="A408" t="s">
        <v>479</v>
      </c>
      <c r="B408" t="s">
        <v>481</v>
      </c>
      <c r="C408" s="10">
        <v>3</v>
      </c>
      <c r="D408" s="10">
        <v>7</v>
      </c>
      <c r="E40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08" s="10">
        <v>25</v>
      </c>
    </row>
    <row r="409" spans="1:6" x14ac:dyDescent="0.2">
      <c r="A409" t="s">
        <v>478</v>
      </c>
      <c r="B409" t="s">
        <v>481</v>
      </c>
      <c r="C409" s="10">
        <v>5</v>
      </c>
      <c r="D409" s="10">
        <v>10</v>
      </c>
      <c r="E40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09" s="10">
        <v>14</v>
      </c>
    </row>
    <row r="410" spans="1:6" x14ac:dyDescent="0.2">
      <c r="A410" t="s">
        <v>478</v>
      </c>
      <c r="B410" t="s">
        <v>481</v>
      </c>
      <c r="C410" s="10">
        <v>4</v>
      </c>
      <c r="D410" s="10">
        <v>10</v>
      </c>
      <c r="E410"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410" s="10">
        <v>7</v>
      </c>
    </row>
    <row r="411" spans="1:6" x14ac:dyDescent="0.2">
      <c r="A411" t="s">
        <v>479</v>
      </c>
      <c r="B411" t="s">
        <v>481</v>
      </c>
      <c r="C411" s="10">
        <v>5</v>
      </c>
      <c r="D411" s="10">
        <v>7</v>
      </c>
      <c r="E41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11" s="10">
        <v>12</v>
      </c>
    </row>
    <row r="412" spans="1:6" x14ac:dyDescent="0.2">
      <c r="A412" t="s">
        <v>479</v>
      </c>
      <c r="B412" t="s">
        <v>481</v>
      </c>
      <c r="C412" s="10">
        <v>4</v>
      </c>
      <c r="D412" s="10">
        <v>4</v>
      </c>
      <c r="E412"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412" s="10">
        <v>7</v>
      </c>
    </row>
    <row r="413" spans="1:6" x14ac:dyDescent="0.2">
      <c r="A413" t="s">
        <v>479</v>
      </c>
      <c r="B413" t="s">
        <v>481</v>
      </c>
      <c r="C413" s="10">
        <v>4</v>
      </c>
      <c r="D413" s="10">
        <v>10</v>
      </c>
      <c r="E41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13" s="10">
        <v>21</v>
      </c>
    </row>
    <row r="414" spans="1:6" x14ac:dyDescent="0.2">
      <c r="A414" t="s">
        <v>479</v>
      </c>
      <c r="B414" t="s">
        <v>481</v>
      </c>
      <c r="C414" s="10">
        <v>4</v>
      </c>
      <c r="D414" s="10">
        <v>7</v>
      </c>
      <c r="E41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14" s="10">
        <v>16</v>
      </c>
    </row>
    <row r="415" spans="1:6" x14ac:dyDescent="0.2">
      <c r="A415" t="s">
        <v>479</v>
      </c>
      <c r="B415" t="s">
        <v>481</v>
      </c>
      <c r="C415" s="10">
        <v>3</v>
      </c>
      <c r="D415" s="10">
        <v>10</v>
      </c>
      <c r="E41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15" s="10">
        <v>35</v>
      </c>
    </row>
    <row r="416" spans="1:6" x14ac:dyDescent="0.2">
      <c r="A416" t="s">
        <v>478</v>
      </c>
      <c r="B416" t="s">
        <v>481</v>
      </c>
      <c r="C416" s="10">
        <v>1</v>
      </c>
      <c r="D416" s="10">
        <v>10</v>
      </c>
      <c r="E41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16" s="10">
        <v>28</v>
      </c>
    </row>
    <row r="417" spans="1:6" x14ac:dyDescent="0.2">
      <c r="A417" t="s">
        <v>479</v>
      </c>
      <c r="B417" t="s">
        <v>481</v>
      </c>
      <c r="C417" s="10">
        <v>2</v>
      </c>
      <c r="D417" s="10">
        <v>10</v>
      </c>
      <c r="E41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17" s="10">
        <v>28</v>
      </c>
    </row>
    <row r="418" spans="1:6" x14ac:dyDescent="0.2">
      <c r="A418" t="s">
        <v>479</v>
      </c>
      <c r="B418" t="s">
        <v>481</v>
      </c>
      <c r="C418" s="10">
        <v>2</v>
      </c>
      <c r="D418" s="10">
        <v>4</v>
      </c>
      <c r="E41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18" s="10">
        <v>30</v>
      </c>
    </row>
    <row r="419" spans="1:6" x14ac:dyDescent="0.2">
      <c r="A419" t="s">
        <v>479</v>
      </c>
      <c r="B419" t="s">
        <v>481</v>
      </c>
      <c r="C419" s="10">
        <v>5</v>
      </c>
      <c r="D419" s="10">
        <v>4</v>
      </c>
      <c r="E41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19" s="10">
        <v>10</v>
      </c>
    </row>
    <row r="420" spans="1:6" x14ac:dyDescent="0.2">
      <c r="A420" t="s">
        <v>478</v>
      </c>
      <c r="B420" t="s">
        <v>481</v>
      </c>
      <c r="C420" s="10">
        <v>5</v>
      </c>
      <c r="D420" s="10">
        <v>7</v>
      </c>
      <c r="E42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20" s="10">
        <v>20</v>
      </c>
    </row>
    <row r="421" spans="1:6" x14ac:dyDescent="0.2">
      <c r="A421" t="s">
        <v>479</v>
      </c>
      <c r="B421" t="s">
        <v>481</v>
      </c>
      <c r="C421" s="10">
        <v>5</v>
      </c>
      <c r="D421" s="10">
        <v>4</v>
      </c>
      <c r="E42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21" s="10">
        <v>20</v>
      </c>
    </row>
    <row r="422" spans="1:6" x14ac:dyDescent="0.2">
      <c r="A422" t="s">
        <v>479</v>
      </c>
      <c r="B422" t="s">
        <v>481</v>
      </c>
      <c r="C422" s="10">
        <v>3</v>
      </c>
      <c r="D422" s="10">
        <v>4</v>
      </c>
      <c r="E42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22" s="10">
        <v>20</v>
      </c>
    </row>
    <row r="423" spans="1:6" x14ac:dyDescent="0.2">
      <c r="A423" t="s">
        <v>478</v>
      </c>
      <c r="B423" t="s">
        <v>481</v>
      </c>
      <c r="C423" s="10">
        <v>3</v>
      </c>
      <c r="D423" s="10">
        <v>10</v>
      </c>
      <c r="E42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23" s="10">
        <v>20</v>
      </c>
    </row>
    <row r="424" spans="1:6" x14ac:dyDescent="0.2">
      <c r="A424" t="s">
        <v>478</v>
      </c>
      <c r="B424" t="s">
        <v>481</v>
      </c>
      <c r="C424" s="10">
        <v>5</v>
      </c>
      <c r="D424" s="10">
        <v>1</v>
      </c>
      <c r="E42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24" s="10">
        <v>14</v>
      </c>
    </row>
    <row r="425" spans="1:6" x14ac:dyDescent="0.2">
      <c r="A425" t="s">
        <v>479</v>
      </c>
      <c r="B425" t="s">
        <v>481</v>
      </c>
      <c r="C425" s="10">
        <v>3</v>
      </c>
      <c r="D425" s="10">
        <v>4</v>
      </c>
      <c r="E42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25" s="10">
        <v>30</v>
      </c>
    </row>
    <row r="426" spans="1:6" x14ac:dyDescent="0.2">
      <c r="A426" t="s">
        <v>478</v>
      </c>
      <c r="B426" t="s">
        <v>481</v>
      </c>
      <c r="C426" s="10">
        <v>4</v>
      </c>
      <c r="D426" s="10">
        <v>4</v>
      </c>
      <c r="E42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26" s="10">
        <v>21</v>
      </c>
    </row>
    <row r="427" spans="1:6" x14ac:dyDescent="0.2">
      <c r="A427" t="s">
        <v>479</v>
      </c>
      <c r="B427" t="s">
        <v>481</v>
      </c>
      <c r="C427" s="10">
        <v>3</v>
      </c>
      <c r="D427" s="10">
        <v>7</v>
      </c>
      <c r="E42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27" s="10">
        <v>14</v>
      </c>
    </row>
    <row r="428" spans="1:6" x14ac:dyDescent="0.2">
      <c r="A428" t="s">
        <v>478</v>
      </c>
      <c r="B428" t="s">
        <v>481</v>
      </c>
      <c r="C428" s="10">
        <v>3</v>
      </c>
      <c r="D428" s="10">
        <v>4</v>
      </c>
      <c r="E42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28" s="10">
        <v>10</v>
      </c>
    </row>
    <row r="429" spans="1:6" x14ac:dyDescent="0.2">
      <c r="A429" t="s">
        <v>478</v>
      </c>
      <c r="B429" t="s">
        <v>481</v>
      </c>
      <c r="C429" s="10">
        <v>2</v>
      </c>
      <c r="D429" s="10">
        <v>4</v>
      </c>
      <c r="E42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29" s="10">
        <v>10</v>
      </c>
    </row>
    <row r="430" spans="1:6" x14ac:dyDescent="0.2">
      <c r="A430" t="s">
        <v>478</v>
      </c>
      <c r="B430" t="s">
        <v>481</v>
      </c>
      <c r="C430" s="10">
        <v>1</v>
      </c>
      <c r="D430" s="10">
        <v>4</v>
      </c>
      <c r="E43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30" s="10">
        <v>10</v>
      </c>
    </row>
    <row r="431" spans="1:6" x14ac:dyDescent="0.2">
      <c r="A431" t="s">
        <v>478</v>
      </c>
      <c r="B431" t="s">
        <v>481</v>
      </c>
      <c r="C431" s="10">
        <v>4</v>
      </c>
      <c r="D431" s="10">
        <v>4</v>
      </c>
      <c r="E43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31" s="10">
        <v>16</v>
      </c>
    </row>
    <row r="432" spans="1:6" x14ac:dyDescent="0.2">
      <c r="A432" t="s">
        <v>478</v>
      </c>
      <c r="B432" t="s">
        <v>481</v>
      </c>
      <c r="C432" s="10">
        <v>3</v>
      </c>
      <c r="D432" s="10">
        <v>4</v>
      </c>
      <c r="E43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32" s="10">
        <v>21</v>
      </c>
    </row>
    <row r="433" spans="1:6" x14ac:dyDescent="0.2">
      <c r="A433" t="s">
        <v>478</v>
      </c>
      <c r="B433" t="s">
        <v>475</v>
      </c>
      <c r="C433" s="10">
        <v>3</v>
      </c>
      <c r="D433" s="10">
        <v>7</v>
      </c>
      <c r="E43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33" s="10">
        <v>21</v>
      </c>
    </row>
    <row r="434" spans="1:6" x14ac:dyDescent="0.2">
      <c r="A434" t="s">
        <v>479</v>
      </c>
      <c r="B434" t="s">
        <v>475</v>
      </c>
      <c r="C434" s="10">
        <v>5</v>
      </c>
      <c r="D434" s="10">
        <v>7</v>
      </c>
      <c r="E43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34" s="10">
        <v>35</v>
      </c>
    </row>
    <row r="435" spans="1:6" x14ac:dyDescent="0.2">
      <c r="A435" t="s">
        <v>478</v>
      </c>
      <c r="B435" t="s">
        <v>475</v>
      </c>
      <c r="C435" s="10">
        <v>4</v>
      </c>
      <c r="D435" s="10">
        <v>7</v>
      </c>
      <c r="E43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35" s="10">
        <v>28</v>
      </c>
    </row>
    <row r="436" spans="1:6" x14ac:dyDescent="0.2">
      <c r="A436" t="s">
        <v>479</v>
      </c>
      <c r="B436" t="s">
        <v>475</v>
      </c>
      <c r="C436" s="10">
        <v>5</v>
      </c>
      <c r="D436" s="10">
        <v>4</v>
      </c>
      <c r="E43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36" s="10">
        <v>20</v>
      </c>
    </row>
    <row r="437" spans="1:6" x14ac:dyDescent="0.2">
      <c r="A437" t="s">
        <v>478</v>
      </c>
      <c r="B437" t="s">
        <v>475</v>
      </c>
      <c r="C437" s="10">
        <v>5</v>
      </c>
      <c r="D437" s="10">
        <v>10</v>
      </c>
      <c r="E437"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437" s="10">
        <v>50</v>
      </c>
    </row>
    <row r="438" spans="1:6" x14ac:dyDescent="0.2">
      <c r="A438" t="s">
        <v>479</v>
      </c>
      <c r="B438" t="s">
        <v>475</v>
      </c>
      <c r="C438" s="10">
        <v>4</v>
      </c>
      <c r="D438" s="10">
        <v>4</v>
      </c>
      <c r="E43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38" s="10">
        <v>16</v>
      </c>
    </row>
    <row r="439" spans="1:6" x14ac:dyDescent="0.2">
      <c r="A439" t="s">
        <v>479</v>
      </c>
      <c r="B439" t="s">
        <v>475</v>
      </c>
      <c r="C439" s="10">
        <v>4</v>
      </c>
      <c r="D439" s="10">
        <v>7</v>
      </c>
      <c r="E43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39" s="10">
        <v>28</v>
      </c>
    </row>
    <row r="440" spans="1:6" x14ac:dyDescent="0.2">
      <c r="A440" t="s">
        <v>479</v>
      </c>
      <c r="B440" t="s">
        <v>475</v>
      </c>
      <c r="C440" s="10">
        <v>4</v>
      </c>
      <c r="D440" s="10">
        <v>7</v>
      </c>
      <c r="E44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40" s="10">
        <v>28</v>
      </c>
    </row>
    <row r="441" spans="1:6" x14ac:dyDescent="0.2">
      <c r="A441" t="s">
        <v>479</v>
      </c>
      <c r="B441" t="s">
        <v>475</v>
      </c>
      <c r="C441" s="10">
        <v>2</v>
      </c>
      <c r="D441" s="10">
        <v>7</v>
      </c>
      <c r="E44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41" s="10">
        <v>14</v>
      </c>
    </row>
    <row r="442" spans="1:6" x14ac:dyDescent="0.2">
      <c r="A442" t="s">
        <v>478</v>
      </c>
      <c r="B442" t="s">
        <v>475</v>
      </c>
      <c r="C442" s="10">
        <v>5</v>
      </c>
      <c r="D442" s="10">
        <v>4</v>
      </c>
      <c r="E44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42" s="10">
        <v>20</v>
      </c>
    </row>
    <row r="443" spans="1:6" x14ac:dyDescent="0.2">
      <c r="A443" t="s">
        <v>479</v>
      </c>
      <c r="B443" t="s">
        <v>475</v>
      </c>
      <c r="C443" s="10">
        <v>4</v>
      </c>
      <c r="D443" s="10">
        <v>7</v>
      </c>
      <c r="E44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43" s="10">
        <v>28</v>
      </c>
    </row>
    <row r="444" spans="1:6" x14ac:dyDescent="0.2">
      <c r="A444" t="s">
        <v>479</v>
      </c>
      <c r="B444" t="s">
        <v>475</v>
      </c>
      <c r="C444" s="10">
        <v>3</v>
      </c>
      <c r="D444" s="10">
        <v>4</v>
      </c>
      <c r="E44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44" s="10">
        <v>12</v>
      </c>
    </row>
    <row r="445" spans="1:6" x14ac:dyDescent="0.2">
      <c r="A445" t="s">
        <v>478</v>
      </c>
      <c r="B445" t="s">
        <v>475</v>
      </c>
      <c r="C445" s="10">
        <v>5</v>
      </c>
      <c r="D445" s="10">
        <v>7</v>
      </c>
      <c r="E44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45" s="10">
        <v>35</v>
      </c>
    </row>
    <row r="446" spans="1:6" x14ac:dyDescent="0.2">
      <c r="A446" t="s">
        <v>479</v>
      </c>
      <c r="B446" t="s">
        <v>475</v>
      </c>
      <c r="C446" s="10">
        <v>3</v>
      </c>
      <c r="D446" s="10">
        <v>7</v>
      </c>
      <c r="E44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46" s="10">
        <v>21</v>
      </c>
    </row>
    <row r="447" spans="1:6" x14ac:dyDescent="0.2">
      <c r="A447" t="s">
        <v>478</v>
      </c>
      <c r="B447" t="s">
        <v>475</v>
      </c>
      <c r="C447" s="10">
        <v>4</v>
      </c>
      <c r="D447" s="10">
        <v>4</v>
      </c>
      <c r="E44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47" s="10">
        <v>16</v>
      </c>
    </row>
    <row r="448" spans="1:6" x14ac:dyDescent="0.2">
      <c r="A448" t="s">
        <v>478</v>
      </c>
      <c r="B448" t="s">
        <v>475</v>
      </c>
      <c r="C448" s="10">
        <v>4</v>
      </c>
      <c r="D448" s="10">
        <v>4</v>
      </c>
      <c r="E44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48" s="10">
        <v>16</v>
      </c>
    </row>
    <row r="449" spans="1:6" x14ac:dyDescent="0.2">
      <c r="A449" t="s">
        <v>479</v>
      </c>
      <c r="B449" t="s">
        <v>475</v>
      </c>
      <c r="C449" s="10">
        <v>4</v>
      </c>
      <c r="D449" s="10">
        <v>4</v>
      </c>
      <c r="E44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49" s="10">
        <v>16</v>
      </c>
    </row>
    <row r="450" spans="1:6" x14ac:dyDescent="0.2">
      <c r="A450" t="s">
        <v>478</v>
      </c>
      <c r="B450" t="s">
        <v>475</v>
      </c>
      <c r="C450" s="10">
        <v>3</v>
      </c>
      <c r="D450" s="10">
        <v>5</v>
      </c>
      <c r="E45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50" s="10">
        <v>28</v>
      </c>
    </row>
    <row r="451" spans="1:6" x14ac:dyDescent="0.2">
      <c r="A451" t="s">
        <v>479</v>
      </c>
      <c r="B451" t="s">
        <v>475</v>
      </c>
      <c r="C451" s="10">
        <v>4</v>
      </c>
      <c r="D451" s="10">
        <v>10</v>
      </c>
      <c r="E45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51" s="10">
        <v>21</v>
      </c>
    </row>
    <row r="452" spans="1:6" x14ac:dyDescent="0.2">
      <c r="A452" t="s">
        <v>478</v>
      </c>
      <c r="B452" t="s">
        <v>475</v>
      </c>
      <c r="C452" s="10">
        <v>4</v>
      </c>
      <c r="D452" s="10">
        <v>7</v>
      </c>
      <c r="E452"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452" s="10">
        <v>40</v>
      </c>
    </row>
    <row r="453" spans="1:6" x14ac:dyDescent="0.2">
      <c r="A453" t="s">
        <v>478</v>
      </c>
      <c r="B453" t="s">
        <v>475</v>
      </c>
      <c r="C453" s="10">
        <v>3</v>
      </c>
      <c r="D453" s="10">
        <v>7</v>
      </c>
      <c r="E45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53" s="10">
        <v>28</v>
      </c>
    </row>
    <row r="454" spans="1:6" x14ac:dyDescent="0.2">
      <c r="A454" t="s">
        <v>478</v>
      </c>
      <c r="B454" t="s">
        <v>475</v>
      </c>
      <c r="C454" s="10">
        <v>4</v>
      </c>
      <c r="D454" s="10">
        <v>10</v>
      </c>
      <c r="E45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54" s="10">
        <v>30</v>
      </c>
    </row>
    <row r="455" spans="1:6" x14ac:dyDescent="0.2">
      <c r="A455" t="s">
        <v>479</v>
      </c>
      <c r="B455" t="s">
        <v>475</v>
      </c>
      <c r="C455" s="10">
        <v>3</v>
      </c>
      <c r="D455" s="10">
        <v>10</v>
      </c>
      <c r="E45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55" s="10">
        <v>35</v>
      </c>
    </row>
    <row r="456" spans="1:6" x14ac:dyDescent="0.2">
      <c r="A456" t="s">
        <v>479</v>
      </c>
      <c r="B456" t="s">
        <v>475</v>
      </c>
      <c r="C456" s="10">
        <v>4</v>
      </c>
      <c r="D456" s="10">
        <v>10</v>
      </c>
      <c r="E45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56" s="10">
        <v>21</v>
      </c>
    </row>
    <row r="457" spans="1:6" x14ac:dyDescent="0.2">
      <c r="A457" t="s">
        <v>479</v>
      </c>
      <c r="B457" t="s">
        <v>475</v>
      </c>
      <c r="C457" s="10">
        <v>5</v>
      </c>
      <c r="D457" s="10">
        <v>7</v>
      </c>
      <c r="E45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57" s="10">
        <v>28</v>
      </c>
    </row>
    <row r="458" spans="1:6" x14ac:dyDescent="0.2">
      <c r="A458" t="s">
        <v>479</v>
      </c>
      <c r="B458" t="s">
        <v>475</v>
      </c>
      <c r="C458" s="10">
        <v>3</v>
      </c>
      <c r="D458" s="10">
        <v>7</v>
      </c>
      <c r="E45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58" s="10">
        <v>35</v>
      </c>
    </row>
    <row r="459" spans="1:6" x14ac:dyDescent="0.2">
      <c r="A459" t="s">
        <v>478</v>
      </c>
      <c r="B459" t="s">
        <v>475</v>
      </c>
      <c r="C459" s="10">
        <v>3</v>
      </c>
      <c r="D459" s="10">
        <v>10</v>
      </c>
      <c r="E459"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459" s="10">
        <v>50</v>
      </c>
    </row>
    <row r="460" spans="1:6" x14ac:dyDescent="0.2">
      <c r="A460" t="s">
        <v>478</v>
      </c>
      <c r="B460" t="s">
        <v>475</v>
      </c>
      <c r="C460" s="10">
        <v>5</v>
      </c>
      <c r="D460" s="10">
        <v>7</v>
      </c>
      <c r="E460"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460" s="10">
        <v>50</v>
      </c>
    </row>
    <row r="461" spans="1:6" x14ac:dyDescent="0.2">
      <c r="A461" t="s">
        <v>478</v>
      </c>
      <c r="B461" t="s">
        <v>475</v>
      </c>
      <c r="C461" s="10">
        <v>2</v>
      </c>
      <c r="D461" s="10">
        <v>7</v>
      </c>
      <c r="E461"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461" s="10">
        <v>40</v>
      </c>
    </row>
    <row r="462" spans="1:6" x14ac:dyDescent="0.2">
      <c r="A462" t="s">
        <v>479</v>
      </c>
      <c r="B462" t="s">
        <v>475</v>
      </c>
      <c r="C462" s="10">
        <v>2</v>
      </c>
      <c r="D462" s="10">
        <v>7</v>
      </c>
      <c r="E46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62" s="10">
        <v>12</v>
      </c>
    </row>
    <row r="463" spans="1:6" x14ac:dyDescent="0.2">
      <c r="A463" t="s">
        <v>479</v>
      </c>
      <c r="B463" t="s">
        <v>475</v>
      </c>
      <c r="C463" s="10">
        <v>4</v>
      </c>
      <c r="D463" s="10">
        <v>7</v>
      </c>
      <c r="E46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63" s="10">
        <v>14</v>
      </c>
    </row>
    <row r="464" spans="1:6" x14ac:dyDescent="0.2">
      <c r="A464" t="s">
        <v>479</v>
      </c>
      <c r="B464" t="s">
        <v>475</v>
      </c>
      <c r="C464" s="10">
        <v>4</v>
      </c>
      <c r="D464" s="10">
        <v>7</v>
      </c>
      <c r="E46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64" s="10">
        <v>14</v>
      </c>
    </row>
    <row r="465" spans="1:6" x14ac:dyDescent="0.2">
      <c r="A465" t="s">
        <v>479</v>
      </c>
      <c r="B465" t="s">
        <v>475</v>
      </c>
      <c r="C465" s="10">
        <v>3</v>
      </c>
      <c r="D465" s="10">
        <v>4</v>
      </c>
      <c r="E46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65" s="10">
        <v>35</v>
      </c>
    </row>
    <row r="466" spans="1:6" x14ac:dyDescent="0.2">
      <c r="A466" t="s">
        <v>478</v>
      </c>
      <c r="B466" t="s">
        <v>475</v>
      </c>
      <c r="C466" s="10">
        <v>4</v>
      </c>
      <c r="D466" s="10">
        <v>4</v>
      </c>
      <c r="E466"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466" s="10">
        <v>40</v>
      </c>
    </row>
    <row r="467" spans="1:6" x14ac:dyDescent="0.2">
      <c r="A467" t="s">
        <v>479</v>
      </c>
      <c r="B467" t="s">
        <v>475</v>
      </c>
      <c r="C467" s="10">
        <v>3</v>
      </c>
      <c r="D467" s="10">
        <v>4</v>
      </c>
      <c r="E46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67" s="10">
        <v>35</v>
      </c>
    </row>
    <row r="468" spans="1:6" x14ac:dyDescent="0.2">
      <c r="A468" t="s">
        <v>479</v>
      </c>
      <c r="B468" t="s">
        <v>475</v>
      </c>
      <c r="C468" s="10">
        <v>3</v>
      </c>
      <c r="D468" s="10">
        <v>7</v>
      </c>
      <c r="E46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68" s="10">
        <v>16</v>
      </c>
    </row>
    <row r="469" spans="1:6" x14ac:dyDescent="0.2">
      <c r="A469" t="s">
        <v>478</v>
      </c>
      <c r="B469" t="s">
        <v>475</v>
      </c>
      <c r="C469" s="10">
        <v>3</v>
      </c>
      <c r="D469" s="10">
        <v>7</v>
      </c>
      <c r="E46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69" s="10">
        <v>12</v>
      </c>
    </row>
    <row r="470" spans="1:6" x14ac:dyDescent="0.2">
      <c r="A470" t="s">
        <v>478</v>
      </c>
      <c r="B470" t="s">
        <v>475</v>
      </c>
      <c r="C470" s="10">
        <v>4</v>
      </c>
      <c r="D470" s="10">
        <v>7</v>
      </c>
      <c r="E47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70" s="10">
        <v>35</v>
      </c>
    </row>
    <row r="471" spans="1:6" x14ac:dyDescent="0.2">
      <c r="A471" t="s">
        <v>479</v>
      </c>
      <c r="B471" t="s">
        <v>475</v>
      </c>
      <c r="C471" s="10">
        <v>3</v>
      </c>
      <c r="D471" s="10">
        <v>5</v>
      </c>
      <c r="E47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71" s="10">
        <v>28</v>
      </c>
    </row>
    <row r="472" spans="1:6" x14ac:dyDescent="0.2">
      <c r="A472" t="s">
        <v>479</v>
      </c>
      <c r="B472" t="s">
        <v>475</v>
      </c>
      <c r="C472" s="10">
        <v>4</v>
      </c>
      <c r="D472" s="10">
        <v>7</v>
      </c>
      <c r="E47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72" s="10">
        <v>21</v>
      </c>
    </row>
    <row r="473" spans="1:6" x14ac:dyDescent="0.2">
      <c r="A473" t="s">
        <v>479</v>
      </c>
      <c r="B473" t="s">
        <v>475</v>
      </c>
      <c r="C473" s="10">
        <v>4</v>
      </c>
      <c r="D473" s="10">
        <v>10</v>
      </c>
      <c r="E47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73" s="10">
        <v>20</v>
      </c>
    </row>
    <row r="474" spans="1:6" x14ac:dyDescent="0.2">
      <c r="A474" t="s">
        <v>478</v>
      </c>
      <c r="B474" t="s">
        <v>475</v>
      </c>
      <c r="C474" s="10">
        <v>4</v>
      </c>
      <c r="D474" s="10">
        <v>7</v>
      </c>
      <c r="E47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74" s="10">
        <v>16</v>
      </c>
    </row>
    <row r="475" spans="1:6" x14ac:dyDescent="0.2">
      <c r="A475" t="s">
        <v>479</v>
      </c>
      <c r="B475" t="s">
        <v>475</v>
      </c>
      <c r="C475" s="10">
        <v>5</v>
      </c>
      <c r="D475" s="10">
        <v>4</v>
      </c>
      <c r="E47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75" s="10">
        <v>28</v>
      </c>
    </row>
    <row r="476" spans="1:6" x14ac:dyDescent="0.2">
      <c r="A476" t="s">
        <v>479</v>
      </c>
      <c r="B476" t="s">
        <v>475</v>
      </c>
      <c r="C476" s="10">
        <v>4</v>
      </c>
      <c r="D476" s="10">
        <v>7</v>
      </c>
      <c r="E47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76" s="10">
        <v>20</v>
      </c>
    </row>
    <row r="477" spans="1:6" x14ac:dyDescent="0.2">
      <c r="A477" t="s">
        <v>479</v>
      </c>
      <c r="B477" t="s">
        <v>475</v>
      </c>
      <c r="C477" s="10">
        <v>4</v>
      </c>
      <c r="D477" s="10">
        <v>7</v>
      </c>
      <c r="E47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77" s="10">
        <v>16</v>
      </c>
    </row>
    <row r="478" spans="1:6" x14ac:dyDescent="0.2">
      <c r="A478" t="s">
        <v>479</v>
      </c>
      <c r="B478" t="s">
        <v>475</v>
      </c>
      <c r="C478" s="10">
        <v>5</v>
      </c>
      <c r="D478" s="10">
        <v>7</v>
      </c>
      <c r="E47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78" s="10">
        <v>12</v>
      </c>
    </row>
    <row r="479" spans="1:6" x14ac:dyDescent="0.2">
      <c r="A479" t="s">
        <v>478</v>
      </c>
      <c r="B479" t="s">
        <v>475</v>
      </c>
      <c r="C479" s="10">
        <v>3</v>
      </c>
      <c r="D479" s="10">
        <v>4</v>
      </c>
      <c r="E47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79" s="10">
        <v>28</v>
      </c>
    </row>
    <row r="480" spans="1:6" x14ac:dyDescent="0.2">
      <c r="A480" t="s">
        <v>479</v>
      </c>
      <c r="B480" t="s">
        <v>475</v>
      </c>
      <c r="C480" s="10">
        <v>4</v>
      </c>
      <c r="D480" s="10">
        <v>7</v>
      </c>
      <c r="E480"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480" s="10">
        <v>40</v>
      </c>
    </row>
    <row r="481" spans="1:6" x14ac:dyDescent="0.2">
      <c r="A481" t="s">
        <v>479</v>
      </c>
      <c r="B481" t="s">
        <v>475</v>
      </c>
      <c r="C481" s="10">
        <v>5</v>
      </c>
      <c r="D481" s="10">
        <v>10</v>
      </c>
      <c r="E48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81" s="10">
        <v>35</v>
      </c>
    </row>
    <row r="482" spans="1:6" x14ac:dyDescent="0.2">
      <c r="A482" t="s">
        <v>478</v>
      </c>
      <c r="B482" t="s">
        <v>475</v>
      </c>
      <c r="C482" s="10">
        <v>4</v>
      </c>
      <c r="D482" s="10">
        <v>4</v>
      </c>
      <c r="E48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82" s="10">
        <v>28</v>
      </c>
    </row>
    <row r="483" spans="1:6" x14ac:dyDescent="0.2">
      <c r="A483" t="s">
        <v>479</v>
      </c>
      <c r="B483" t="s">
        <v>475</v>
      </c>
      <c r="C483" s="10">
        <v>3</v>
      </c>
      <c r="D483" s="10">
        <v>7</v>
      </c>
      <c r="E483"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483" s="10">
        <v>40</v>
      </c>
    </row>
    <row r="484" spans="1:6" x14ac:dyDescent="0.2">
      <c r="A484" t="s">
        <v>478</v>
      </c>
      <c r="B484" t="s">
        <v>475</v>
      </c>
      <c r="C484" s="10">
        <v>3</v>
      </c>
      <c r="D484" s="10">
        <v>10</v>
      </c>
      <c r="E48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84" s="10">
        <v>21</v>
      </c>
    </row>
    <row r="485" spans="1:6" x14ac:dyDescent="0.2">
      <c r="A485" t="s">
        <v>478</v>
      </c>
      <c r="B485" t="s">
        <v>475</v>
      </c>
      <c r="C485" s="10">
        <v>5</v>
      </c>
      <c r="D485" s="10">
        <v>10</v>
      </c>
      <c r="E48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85" s="10">
        <v>12</v>
      </c>
    </row>
    <row r="486" spans="1:6" x14ac:dyDescent="0.2">
      <c r="A486" t="s">
        <v>479</v>
      </c>
      <c r="B486" t="s">
        <v>475</v>
      </c>
      <c r="C486" s="10">
        <v>5</v>
      </c>
      <c r="D486" s="10">
        <v>7</v>
      </c>
      <c r="E48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86" s="10">
        <v>21</v>
      </c>
    </row>
    <row r="487" spans="1:6" x14ac:dyDescent="0.2">
      <c r="A487" t="s">
        <v>479</v>
      </c>
      <c r="B487" t="s">
        <v>475</v>
      </c>
      <c r="C487" s="10">
        <v>4</v>
      </c>
      <c r="D487" s="10">
        <v>7</v>
      </c>
      <c r="E48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87" s="10">
        <v>14</v>
      </c>
    </row>
    <row r="488" spans="1:6" x14ac:dyDescent="0.2">
      <c r="A488" t="s">
        <v>479</v>
      </c>
      <c r="B488" t="s">
        <v>475</v>
      </c>
      <c r="C488" s="10">
        <v>5</v>
      </c>
      <c r="D488" s="10">
        <v>7</v>
      </c>
      <c r="E48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88" s="10">
        <v>15</v>
      </c>
    </row>
    <row r="489" spans="1:6" x14ac:dyDescent="0.2">
      <c r="A489" t="s">
        <v>478</v>
      </c>
      <c r="B489" t="s">
        <v>475</v>
      </c>
      <c r="C489" s="10">
        <v>4</v>
      </c>
      <c r="D489" s="10">
        <v>4</v>
      </c>
      <c r="E48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89" s="10">
        <v>12</v>
      </c>
    </row>
    <row r="490" spans="1:6" x14ac:dyDescent="0.2">
      <c r="A490" t="s">
        <v>479</v>
      </c>
      <c r="B490" t="s">
        <v>475</v>
      </c>
      <c r="C490" s="10">
        <v>4</v>
      </c>
      <c r="D490" s="10">
        <v>7</v>
      </c>
      <c r="E49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90" s="10">
        <v>28</v>
      </c>
    </row>
    <row r="491" spans="1:6" x14ac:dyDescent="0.2">
      <c r="A491" t="s">
        <v>479</v>
      </c>
      <c r="B491" t="s">
        <v>475</v>
      </c>
      <c r="C491" s="10">
        <v>3</v>
      </c>
      <c r="D491" s="10">
        <v>7</v>
      </c>
      <c r="E49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91" s="10">
        <v>28</v>
      </c>
    </row>
    <row r="492" spans="1:6" x14ac:dyDescent="0.2">
      <c r="A492" t="s">
        <v>479</v>
      </c>
      <c r="B492" t="s">
        <v>475</v>
      </c>
      <c r="C492" s="10">
        <v>4</v>
      </c>
      <c r="D492" s="10">
        <v>7</v>
      </c>
      <c r="E49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92" s="10">
        <v>28</v>
      </c>
    </row>
    <row r="493" spans="1:6" x14ac:dyDescent="0.2">
      <c r="A493" t="s">
        <v>479</v>
      </c>
      <c r="B493" t="s">
        <v>475</v>
      </c>
      <c r="C493" s="10">
        <v>4</v>
      </c>
      <c r="D493" s="10">
        <v>7</v>
      </c>
      <c r="E49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493" s="10">
        <v>16</v>
      </c>
    </row>
    <row r="494" spans="1:6" x14ac:dyDescent="0.2">
      <c r="A494" t="s">
        <v>479</v>
      </c>
      <c r="B494" t="s">
        <v>475</v>
      </c>
      <c r="C494" s="10">
        <v>5</v>
      </c>
      <c r="D494" s="10">
        <v>7</v>
      </c>
      <c r="E49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94" s="10">
        <v>35</v>
      </c>
    </row>
    <row r="495" spans="1:6" x14ac:dyDescent="0.2">
      <c r="A495" t="s">
        <v>479</v>
      </c>
      <c r="B495" t="s">
        <v>475</v>
      </c>
      <c r="C495" s="10">
        <v>3</v>
      </c>
      <c r="D495" s="10">
        <v>4</v>
      </c>
      <c r="E49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95" s="10">
        <v>28</v>
      </c>
    </row>
    <row r="496" spans="1:6" x14ac:dyDescent="0.2">
      <c r="A496" t="s">
        <v>479</v>
      </c>
      <c r="B496" t="s">
        <v>475</v>
      </c>
      <c r="C496" s="10">
        <v>3</v>
      </c>
      <c r="D496" s="10">
        <v>10</v>
      </c>
      <c r="E49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96" s="10">
        <v>30</v>
      </c>
    </row>
    <row r="497" spans="1:6" x14ac:dyDescent="0.2">
      <c r="A497" t="s">
        <v>479</v>
      </c>
      <c r="B497" t="s">
        <v>475</v>
      </c>
      <c r="C497" s="10">
        <v>2</v>
      </c>
      <c r="D497" s="10">
        <v>10</v>
      </c>
      <c r="E49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97" s="10">
        <v>35</v>
      </c>
    </row>
    <row r="498" spans="1:6" x14ac:dyDescent="0.2">
      <c r="A498" t="s">
        <v>479</v>
      </c>
      <c r="B498" t="s">
        <v>475</v>
      </c>
      <c r="C498" s="10">
        <v>3</v>
      </c>
      <c r="D498" s="10">
        <v>4</v>
      </c>
      <c r="E49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498" s="10">
        <v>28</v>
      </c>
    </row>
    <row r="499" spans="1:6" x14ac:dyDescent="0.2">
      <c r="A499" t="s">
        <v>479</v>
      </c>
      <c r="B499" t="s">
        <v>475</v>
      </c>
      <c r="C499" s="10">
        <v>4</v>
      </c>
      <c r="D499" s="10">
        <v>7</v>
      </c>
      <c r="E499"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499" s="10">
        <v>50</v>
      </c>
    </row>
    <row r="500" spans="1:6" x14ac:dyDescent="0.2">
      <c r="A500" t="s">
        <v>479</v>
      </c>
      <c r="B500" t="s">
        <v>475</v>
      </c>
      <c r="C500" s="10">
        <v>2</v>
      </c>
      <c r="D500" s="10">
        <v>7</v>
      </c>
      <c r="E50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00" s="10">
        <v>35</v>
      </c>
    </row>
    <row r="501" spans="1:6" x14ac:dyDescent="0.2">
      <c r="A501" t="s">
        <v>479</v>
      </c>
      <c r="B501" t="s">
        <v>475</v>
      </c>
      <c r="C501" s="10">
        <v>1</v>
      </c>
      <c r="D501" s="10">
        <v>10</v>
      </c>
      <c r="E50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01" s="10">
        <v>10</v>
      </c>
    </row>
    <row r="502" spans="1:6" x14ac:dyDescent="0.2">
      <c r="A502" t="s">
        <v>478</v>
      </c>
      <c r="B502" t="s">
        <v>475</v>
      </c>
      <c r="C502" s="10">
        <v>5</v>
      </c>
      <c r="D502" s="10">
        <v>10</v>
      </c>
      <c r="E50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02" s="10">
        <v>10</v>
      </c>
    </row>
    <row r="503" spans="1:6" x14ac:dyDescent="0.2">
      <c r="A503" t="s">
        <v>479</v>
      </c>
      <c r="B503" t="s">
        <v>475</v>
      </c>
      <c r="C503" s="10">
        <v>5</v>
      </c>
      <c r="D503" s="10">
        <v>10</v>
      </c>
      <c r="E50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03" s="10">
        <v>10</v>
      </c>
    </row>
    <row r="504" spans="1:6" x14ac:dyDescent="0.2">
      <c r="A504" t="s">
        <v>479</v>
      </c>
      <c r="B504" t="s">
        <v>475</v>
      </c>
      <c r="C504" s="10">
        <v>5</v>
      </c>
      <c r="D504" s="10">
        <v>4</v>
      </c>
      <c r="E50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04" s="10">
        <v>10</v>
      </c>
    </row>
    <row r="505" spans="1:6" x14ac:dyDescent="0.2">
      <c r="A505" t="s">
        <v>479</v>
      </c>
      <c r="B505" t="s">
        <v>475</v>
      </c>
      <c r="C505" s="10">
        <v>4</v>
      </c>
      <c r="D505" s="10">
        <v>4</v>
      </c>
      <c r="E50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05" s="10">
        <v>10</v>
      </c>
    </row>
    <row r="506" spans="1:6" x14ac:dyDescent="0.2">
      <c r="A506" t="s">
        <v>478</v>
      </c>
      <c r="B506" t="s">
        <v>475</v>
      </c>
      <c r="C506" s="10">
        <v>5</v>
      </c>
      <c r="D506" s="10">
        <v>4</v>
      </c>
      <c r="E50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06" s="10">
        <v>10</v>
      </c>
    </row>
    <row r="507" spans="1:6" x14ac:dyDescent="0.2">
      <c r="A507" t="s">
        <v>478</v>
      </c>
      <c r="B507" t="s">
        <v>475</v>
      </c>
      <c r="C507" s="10">
        <v>5</v>
      </c>
      <c r="D507" s="10">
        <v>4</v>
      </c>
      <c r="E50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07" s="10">
        <v>21</v>
      </c>
    </row>
    <row r="508" spans="1:6" x14ac:dyDescent="0.2">
      <c r="A508" t="s">
        <v>479</v>
      </c>
      <c r="B508" t="s">
        <v>475</v>
      </c>
      <c r="C508" s="10">
        <v>5</v>
      </c>
      <c r="D508" s="10">
        <v>7</v>
      </c>
      <c r="E50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08" s="10">
        <v>21</v>
      </c>
    </row>
    <row r="509" spans="1:6" x14ac:dyDescent="0.2">
      <c r="A509" t="s">
        <v>479</v>
      </c>
      <c r="B509" t="s">
        <v>475</v>
      </c>
      <c r="C509" s="10">
        <v>2</v>
      </c>
      <c r="D509" s="10">
        <v>4</v>
      </c>
      <c r="E509"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509" s="10">
        <v>8</v>
      </c>
    </row>
    <row r="510" spans="1:6" x14ac:dyDescent="0.2">
      <c r="A510" t="s">
        <v>478</v>
      </c>
      <c r="B510" t="s">
        <v>475</v>
      </c>
      <c r="C510" s="10">
        <v>1</v>
      </c>
      <c r="D510" s="10">
        <v>4</v>
      </c>
      <c r="E510"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510" s="10">
        <v>4</v>
      </c>
    </row>
    <row r="511" spans="1:6" x14ac:dyDescent="0.2">
      <c r="A511" t="s">
        <v>478</v>
      </c>
      <c r="B511" t="s">
        <v>475</v>
      </c>
      <c r="C511" s="10">
        <v>2</v>
      </c>
      <c r="D511" s="10">
        <v>7</v>
      </c>
      <c r="E511"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511" s="10">
        <v>4</v>
      </c>
    </row>
    <row r="512" spans="1:6" x14ac:dyDescent="0.2">
      <c r="A512" t="s">
        <v>478</v>
      </c>
      <c r="B512" t="s">
        <v>475</v>
      </c>
      <c r="C512" s="10">
        <v>3</v>
      </c>
      <c r="D512" s="10">
        <v>10</v>
      </c>
      <c r="E51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12" s="10">
        <v>16</v>
      </c>
    </row>
    <row r="513" spans="1:6" x14ac:dyDescent="0.2">
      <c r="A513" t="s">
        <v>479</v>
      </c>
      <c r="B513" t="s">
        <v>475</v>
      </c>
      <c r="C513" s="10">
        <v>5</v>
      </c>
      <c r="D513" s="10">
        <v>5</v>
      </c>
      <c r="E513"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513" s="10">
        <v>8</v>
      </c>
    </row>
    <row r="514" spans="1:6" x14ac:dyDescent="0.2">
      <c r="A514" t="s">
        <v>479</v>
      </c>
      <c r="B514" t="s">
        <v>475</v>
      </c>
      <c r="C514" s="10">
        <v>5</v>
      </c>
      <c r="D514" s="10">
        <v>5</v>
      </c>
      <c r="E514"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514" s="10">
        <v>8</v>
      </c>
    </row>
    <row r="515" spans="1:6" x14ac:dyDescent="0.2">
      <c r="A515" t="s">
        <v>479</v>
      </c>
      <c r="B515" t="s">
        <v>475</v>
      </c>
      <c r="C515" s="10">
        <v>5</v>
      </c>
      <c r="D515" s="10">
        <v>7</v>
      </c>
      <c r="E51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15" s="10">
        <v>12</v>
      </c>
    </row>
    <row r="516" spans="1:6" x14ac:dyDescent="0.2">
      <c r="A516" t="s">
        <v>479</v>
      </c>
      <c r="B516" t="s">
        <v>475</v>
      </c>
      <c r="C516" s="10">
        <v>3</v>
      </c>
      <c r="D516" s="10">
        <v>7</v>
      </c>
      <c r="E516"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516" s="10">
        <v>4</v>
      </c>
    </row>
    <row r="517" spans="1:6" x14ac:dyDescent="0.2">
      <c r="A517" t="s">
        <v>479</v>
      </c>
      <c r="B517" t="s">
        <v>475</v>
      </c>
      <c r="C517" s="10">
        <v>4</v>
      </c>
      <c r="D517" s="10">
        <v>4</v>
      </c>
      <c r="E517"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517" s="10">
        <v>40</v>
      </c>
    </row>
    <row r="518" spans="1:6" x14ac:dyDescent="0.2">
      <c r="A518" t="s">
        <v>478</v>
      </c>
      <c r="B518" t="s">
        <v>475</v>
      </c>
      <c r="C518" s="10">
        <v>3</v>
      </c>
      <c r="D518" s="10">
        <v>10</v>
      </c>
      <c r="E51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18" s="10">
        <v>20</v>
      </c>
    </row>
    <row r="519" spans="1:6" x14ac:dyDescent="0.2">
      <c r="A519" t="s">
        <v>478</v>
      </c>
      <c r="B519" t="s">
        <v>475</v>
      </c>
      <c r="C519" s="10">
        <v>5</v>
      </c>
      <c r="D519" s="10">
        <v>7</v>
      </c>
      <c r="E51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19" s="10">
        <v>10</v>
      </c>
    </row>
    <row r="520" spans="1:6" x14ac:dyDescent="0.2">
      <c r="A520" t="s">
        <v>479</v>
      </c>
      <c r="B520" t="s">
        <v>475</v>
      </c>
      <c r="C520" s="10">
        <v>5</v>
      </c>
      <c r="D520" s="10">
        <v>7</v>
      </c>
      <c r="E52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20" s="10">
        <v>10</v>
      </c>
    </row>
    <row r="521" spans="1:6" x14ac:dyDescent="0.2">
      <c r="A521" t="s">
        <v>478</v>
      </c>
      <c r="B521" t="s">
        <v>475</v>
      </c>
      <c r="C521" s="10">
        <v>3</v>
      </c>
      <c r="D521" s="10">
        <v>4</v>
      </c>
      <c r="E52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21" s="10">
        <v>35</v>
      </c>
    </row>
    <row r="522" spans="1:6" x14ac:dyDescent="0.2">
      <c r="A522" t="s">
        <v>478</v>
      </c>
      <c r="B522" t="s">
        <v>475</v>
      </c>
      <c r="C522" s="10">
        <v>2</v>
      </c>
      <c r="D522" s="10">
        <v>4</v>
      </c>
      <c r="E52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22" s="10">
        <v>30</v>
      </c>
    </row>
    <row r="523" spans="1:6" x14ac:dyDescent="0.2">
      <c r="A523" t="s">
        <v>479</v>
      </c>
      <c r="B523" t="s">
        <v>475</v>
      </c>
      <c r="C523" s="10">
        <v>2</v>
      </c>
      <c r="D523" s="10">
        <v>7</v>
      </c>
      <c r="E52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23" s="10">
        <v>12</v>
      </c>
    </row>
    <row r="524" spans="1:6" x14ac:dyDescent="0.2">
      <c r="A524" t="s">
        <v>479</v>
      </c>
      <c r="B524" t="s">
        <v>473</v>
      </c>
      <c r="C524" s="10">
        <v>3</v>
      </c>
      <c r="D524" s="10">
        <v>7</v>
      </c>
      <c r="E52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24" s="10">
        <v>21</v>
      </c>
    </row>
    <row r="525" spans="1:6" x14ac:dyDescent="0.2">
      <c r="A525" t="s">
        <v>479</v>
      </c>
      <c r="B525" t="s">
        <v>473</v>
      </c>
      <c r="C525" s="10">
        <v>5</v>
      </c>
      <c r="D525" s="10">
        <v>7</v>
      </c>
      <c r="E52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25" s="10">
        <v>35</v>
      </c>
    </row>
    <row r="526" spans="1:6" x14ac:dyDescent="0.2">
      <c r="A526" t="s">
        <v>479</v>
      </c>
      <c r="B526" t="s">
        <v>473</v>
      </c>
      <c r="C526" s="10">
        <v>4</v>
      </c>
      <c r="D526" s="10">
        <v>3</v>
      </c>
      <c r="E52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26" s="10">
        <v>12</v>
      </c>
    </row>
    <row r="527" spans="1:6" x14ac:dyDescent="0.2">
      <c r="A527" t="s">
        <v>479</v>
      </c>
      <c r="B527" t="s">
        <v>473</v>
      </c>
      <c r="C527" s="10">
        <v>3</v>
      </c>
      <c r="D527" s="10">
        <v>4</v>
      </c>
      <c r="E52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27" s="10">
        <v>12</v>
      </c>
    </row>
    <row r="528" spans="1:6" x14ac:dyDescent="0.2">
      <c r="A528" t="s">
        <v>479</v>
      </c>
      <c r="B528" t="s">
        <v>473</v>
      </c>
      <c r="C528" s="10">
        <v>4</v>
      </c>
      <c r="D528" s="10">
        <v>4</v>
      </c>
      <c r="E52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28" s="10">
        <v>16</v>
      </c>
    </row>
    <row r="529" spans="1:6" x14ac:dyDescent="0.2">
      <c r="A529" t="s">
        <v>479</v>
      </c>
      <c r="B529" t="s">
        <v>473</v>
      </c>
      <c r="C529" s="10">
        <v>5</v>
      </c>
      <c r="D529" s="10">
        <v>4</v>
      </c>
      <c r="E52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29" s="10">
        <v>20</v>
      </c>
    </row>
    <row r="530" spans="1:6" x14ac:dyDescent="0.2">
      <c r="A530" t="s">
        <v>479</v>
      </c>
      <c r="B530" t="s">
        <v>473</v>
      </c>
      <c r="C530" s="10">
        <v>4</v>
      </c>
      <c r="D530" s="10">
        <v>4</v>
      </c>
      <c r="E53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30" s="10">
        <v>16</v>
      </c>
    </row>
    <row r="531" spans="1:6" x14ac:dyDescent="0.2">
      <c r="A531" t="s">
        <v>479</v>
      </c>
      <c r="B531" t="s">
        <v>473</v>
      </c>
      <c r="C531" s="10">
        <v>5</v>
      </c>
      <c r="D531" s="10">
        <v>4</v>
      </c>
      <c r="E53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31" s="10">
        <v>20</v>
      </c>
    </row>
    <row r="532" spans="1:6" x14ac:dyDescent="0.2">
      <c r="A532" t="s">
        <v>479</v>
      </c>
      <c r="B532" t="s">
        <v>473</v>
      </c>
      <c r="C532" s="10">
        <v>5</v>
      </c>
      <c r="D532" s="10">
        <v>1</v>
      </c>
      <c r="E532"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532" s="10">
        <v>5</v>
      </c>
    </row>
    <row r="533" spans="1:6" x14ac:dyDescent="0.2">
      <c r="A533" t="s">
        <v>479</v>
      </c>
      <c r="B533" t="s">
        <v>473</v>
      </c>
      <c r="C533" s="10">
        <v>3</v>
      </c>
      <c r="D533" s="10">
        <v>4</v>
      </c>
      <c r="E53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33" s="10">
        <v>12</v>
      </c>
    </row>
    <row r="534" spans="1:6" x14ac:dyDescent="0.2">
      <c r="A534" t="s">
        <v>479</v>
      </c>
      <c r="B534" t="s">
        <v>473</v>
      </c>
      <c r="C534" s="10">
        <v>3</v>
      </c>
      <c r="D534" s="10">
        <v>7</v>
      </c>
      <c r="E53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34" s="10">
        <v>21</v>
      </c>
    </row>
    <row r="535" spans="1:6" x14ac:dyDescent="0.2">
      <c r="A535" t="s">
        <v>479</v>
      </c>
      <c r="B535" t="s">
        <v>473</v>
      </c>
      <c r="C535" s="10">
        <v>3</v>
      </c>
      <c r="D535" s="10">
        <v>7</v>
      </c>
      <c r="E53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35" s="10">
        <v>21</v>
      </c>
    </row>
    <row r="536" spans="1:6" x14ac:dyDescent="0.2">
      <c r="A536" t="s">
        <v>479</v>
      </c>
      <c r="B536" t="s">
        <v>473</v>
      </c>
      <c r="C536" s="10">
        <v>3</v>
      </c>
      <c r="D536" s="10">
        <v>4</v>
      </c>
      <c r="E53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36" s="10">
        <v>12</v>
      </c>
    </row>
    <row r="537" spans="1:6" x14ac:dyDescent="0.2">
      <c r="A537" t="s">
        <v>479</v>
      </c>
      <c r="B537" t="s">
        <v>473</v>
      </c>
      <c r="C537" s="10">
        <v>3</v>
      </c>
      <c r="D537" s="10">
        <v>3</v>
      </c>
      <c r="E537"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537" s="10">
        <v>9</v>
      </c>
    </row>
    <row r="538" spans="1:6" x14ac:dyDescent="0.2">
      <c r="A538" t="s">
        <v>479</v>
      </c>
      <c r="B538" t="s">
        <v>473</v>
      </c>
      <c r="C538" s="10">
        <v>3</v>
      </c>
      <c r="D538" s="10">
        <v>7</v>
      </c>
      <c r="E53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38" s="10">
        <v>21</v>
      </c>
    </row>
    <row r="539" spans="1:6" x14ac:dyDescent="0.2">
      <c r="A539" t="s">
        <v>479</v>
      </c>
      <c r="B539" t="s">
        <v>473</v>
      </c>
      <c r="C539" s="10">
        <v>5</v>
      </c>
      <c r="D539" s="10">
        <v>4</v>
      </c>
      <c r="E53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39" s="10">
        <v>20</v>
      </c>
    </row>
    <row r="540" spans="1:6" x14ac:dyDescent="0.2">
      <c r="A540" t="s">
        <v>479</v>
      </c>
      <c r="B540" t="s">
        <v>473</v>
      </c>
      <c r="C540" s="10">
        <v>5</v>
      </c>
      <c r="D540" s="10">
        <v>4</v>
      </c>
      <c r="E54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40" s="10">
        <v>20</v>
      </c>
    </row>
    <row r="541" spans="1:6" x14ac:dyDescent="0.2">
      <c r="A541" t="s">
        <v>479</v>
      </c>
      <c r="B541" t="s">
        <v>473</v>
      </c>
      <c r="C541" s="10">
        <v>5</v>
      </c>
      <c r="D541" s="10">
        <v>7</v>
      </c>
      <c r="E54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41" s="10">
        <v>35</v>
      </c>
    </row>
    <row r="542" spans="1:6" x14ac:dyDescent="0.2">
      <c r="A542" t="s">
        <v>479</v>
      </c>
      <c r="B542" t="s">
        <v>473</v>
      </c>
      <c r="C542" s="10">
        <v>3</v>
      </c>
      <c r="D542" s="10">
        <v>4</v>
      </c>
      <c r="E54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42" s="10">
        <v>12</v>
      </c>
    </row>
    <row r="543" spans="1:6" x14ac:dyDescent="0.2">
      <c r="A543" t="s">
        <v>479</v>
      </c>
      <c r="B543" t="s">
        <v>473</v>
      </c>
      <c r="C543" s="10">
        <v>4</v>
      </c>
      <c r="D543" s="10">
        <v>4</v>
      </c>
      <c r="E54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43" s="10">
        <v>16</v>
      </c>
    </row>
    <row r="544" spans="1:6" x14ac:dyDescent="0.2">
      <c r="A544" t="s">
        <v>479</v>
      </c>
      <c r="B544" t="s">
        <v>473</v>
      </c>
      <c r="C544" s="10">
        <v>4</v>
      </c>
      <c r="D544" s="10">
        <v>7</v>
      </c>
      <c r="E54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44" s="10">
        <v>28</v>
      </c>
    </row>
    <row r="545" spans="1:6" x14ac:dyDescent="0.2">
      <c r="A545" t="s">
        <v>479</v>
      </c>
      <c r="B545" t="s">
        <v>473</v>
      </c>
      <c r="C545" s="10">
        <v>3</v>
      </c>
      <c r="D545" s="10">
        <v>7</v>
      </c>
      <c r="E54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45" s="10">
        <v>21</v>
      </c>
    </row>
    <row r="546" spans="1:6" x14ac:dyDescent="0.2">
      <c r="A546" t="s">
        <v>479</v>
      </c>
      <c r="B546" t="s">
        <v>473</v>
      </c>
      <c r="C546" s="10">
        <v>3</v>
      </c>
      <c r="D546" s="10">
        <v>4</v>
      </c>
      <c r="E54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46" s="10">
        <v>12</v>
      </c>
    </row>
    <row r="547" spans="1:6" x14ac:dyDescent="0.2">
      <c r="A547" t="s">
        <v>479</v>
      </c>
      <c r="B547" t="s">
        <v>473</v>
      </c>
      <c r="C547" s="10">
        <v>4</v>
      </c>
      <c r="D547" s="10">
        <v>4</v>
      </c>
      <c r="E54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47" s="10">
        <v>16</v>
      </c>
    </row>
    <row r="548" spans="1:6" x14ac:dyDescent="0.2">
      <c r="A548" t="s">
        <v>479</v>
      </c>
      <c r="B548" t="s">
        <v>473</v>
      </c>
      <c r="C548" s="10">
        <v>5</v>
      </c>
      <c r="D548" s="10">
        <v>7</v>
      </c>
      <c r="E548"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548" s="10">
        <v>50</v>
      </c>
    </row>
    <row r="549" spans="1:6" x14ac:dyDescent="0.2">
      <c r="A549" t="s">
        <v>479</v>
      </c>
      <c r="B549" t="s">
        <v>473</v>
      </c>
      <c r="C549" s="10">
        <v>4</v>
      </c>
      <c r="D549" s="10">
        <v>10</v>
      </c>
      <c r="E54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49" s="10">
        <v>35</v>
      </c>
    </row>
    <row r="550" spans="1:6" x14ac:dyDescent="0.2">
      <c r="A550" t="s">
        <v>479</v>
      </c>
      <c r="B550" t="s">
        <v>473</v>
      </c>
      <c r="C550" s="10">
        <v>4</v>
      </c>
      <c r="D550" s="10">
        <v>7</v>
      </c>
      <c r="E55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50" s="10">
        <v>28</v>
      </c>
    </row>
    <row r="551" spans="1:6" x14ac:dyDescent="0.2">
      <c r="A551" t="s">
        <v>479</v>
      </c>
      <c r="B551" t="s">
        <v>473</v>
      </c>
      <c r="C551" s="10">
        <v>4</v>
      </c>
      <c r="D551" s="10">
        <v>7</v>
      </c>
      <c r="E55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51" s="10">
        <v>28</v>
      </c>
    </row>
    <row r="552" spans="1:6" x14ac:dyDescent="0.2">
      <c r="A552" t="s">
        <v>479</v>
      </c>
      <c r="B552" t="s">
        <v>473</v>
      </c>
      <c r="C552" s="10">
        <v>3</v>
      </c>
      <c r="D552" s="10">
        <v>7</v>
      </c>
      <c r="E55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52" s="10">
        <v>21</v>
      </c>
    </row>
    <row r="553" spans="1:6" x14ac:dyDescent="0.2">
      <c r="A553" t="s">
        <v>479</v>
      </c>
      <c r="B553" t="s">
        <v>473</v>
      </c>
      <c r="C553" s="10">
        <v>5</v>
      </c>
      <c r="D553" s="10">
        <v>7</v>
      </c>
      <c r="E55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53" s="10">
        <v>12</v>
      </c>
    </row>
    <row r="554" spans="1:6" x14ac:dyDescent="0.2">
      <c r="A554" t="s">
        <v>479</v>
      </c>
      <c r="B554" t="s">
        <v>473</v>
      </c>
      <c r="C554" s="10">
        <v>4</v>
      </c>
      <c r="D554" s="10">
        <v>7</v>
      </c>
      <c r="E55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54" s="10">
        <v>28</v>
      </c>
    </row>
    <row r="555" spans="1:6" x14ac:dyDescent="0.2">
      <c r="A555" t="s">
        <v>479</v>
      </c>
      <c r="B555" t="s">
        <v>473</v>
      </c>
      <c r="C555" s="10">
        <v>3</v>
      </c>
      <c r="D555" s="10">
        <v>7</v>
      </c>
      <c r="E55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55" s="10">
        <v>20</v>
      </c>
    </row>
    <row r="556" spans="1:6" x14ac:dyDescent="0.2">
      <c r="A556" t="s">
        <v>479</v>
      </c>
      <c r="B556" t="s">
        <v>473</v>
      </c>
      <c r="C556" s="10">
        <v>3</v>
      </c>
      <c r="D556" s="10">
        <v>4</v>
      </c>
      <c r="E55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56" s="10">
        <v>21</v>
      </c>
    </row>
    <row r="557" spans="1:6" x14ac:dyDescent="0.2">
      <c r="A557" t="s">
        <v>479</v>
      </c>
      <c r="B557" t="s">
        <v>473</v>
      </c>
      <c r="C557" s="10">
        <v>4</v>
      </c>
      <c r="D557" s="10">
        <v>4</v>
      </c>
      <c r="E55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57" s="10">
        <v>28</v>
      </c>
    </row>
    <row r="558" spans="1:6" x14ac:dyDescent="0.2">
      <c r="A558" t="s">
        <v>479</v>
      </c>
      <c r="B558" t="s">
        <v>473</v>
      </c>
      <c r="C558" s="10">
        <v>5</v>
      </c>
      <c r="D558" s="10">
        <v>7</v>
      </c>
      <c r="E55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58" s="10">
        <v>20</v>
      </c>
    </row>
    <row r="559" spans="1:6" x14ac:dyDescent="0.2">
      <c r="A559" t="s">
        <v>479</v>
      </c>
      <c r="B559" t="s">
        <v>473</v>
      </c>
      <c r="C559" s="10">
        <v>3</v>
      </c>
      <c r="D559" s="10">
        <v>7</v>
      </c>
      <c r="E55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59" s="10">
        <v>12</v>
      </c>
    </row>
    <row r="560" spans="1:6" x14ac:dyDescent="0.2">
      <c r="A560" t="s">
        <v>479</v>
      </c>
      <c r="B560" t="s">
        <v>473</v>
      </c>
      <c r="C560" s="10">
        <v>3</v>
      </c>
      <c r="D560" s="10">
        <v>7</v>
      </c>
      <c r="E56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60" s="10">
        <v>35</v>
      </c>
    </row>
    <row r="561" spans="1:6" x14ac:dyDescent="0.2">
      <c r="A561" t="s">
        <v>479</v>
      </c>
      <c r="B561" t="s">
        <v>473</v>
      </c>
      <c r="C561" s="10">
        <v>3</v>
      </c>
      <c r="D561" s="10">
        <v>4</v>
      </c>
      <c r="E56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61" s="10">
        <v>16</v>
      </c>
    </row>
    <row r="562" spans="1:6" x14ac:dyDescent="0.2">
      <c r="A562" t="s">
        <v>479</v>
      </c>
      <c r="B562" t="s">
        <v>473</v>
      </c>
      <c r="C562" s="10">
        <v>4</v>
      </c>
      <c r="D562" s="10">
        <v>5</v>
      </c>
      <c r="E56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62" s="10">
        <v>20</v>
      </c>
    </row>
    <row r="563" spans="1:6" x14ac:dyDescent="0.2">
      <c r="A563" t="s">
        <v>479</v>
      </c>
      <c r="B563" t="s">
        <v>473</v>
      </c>
      <c r="C563" s="10">
        <v>5</v>
      </c>
      <c r="D563" s="10">
        <v>7</v>
      </c>
      <c r="E56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63" s="10">
        <v>20</v>
      </c>
    </row>
    <row r="564" spans="1:6" x14ac:dyDescent="0.2">
      <c r="A564" t="s">
        <v>479</v>
      </c>
      <c r="B564" t="s">
        <v>473</v>
      </c>
      <c r="C564" s="10">
        <v>3</v>
      </c>
      <c r="D564" s="10">
        <v>4</v>
      </c>
      <c r="E56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64" s="10">
        <v>35</v>
      </c>
    </row>
    <row r="565" spans="1:6" x14ac:dyDescent="0.2">
      <c r="A565" t="s">
        <v>479</v>
      </c>
      <c r="B565" t="s">
        <v>473</v>
      </c>
      <c r="C565" s="10">
        <v>5</v>
      </c>
      <c r="D565" s="10">
        <v>7</v>
      </c>
      <c r="E56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65" s="10">
        <v>35</v>
      </c>
    </row>
    <row r="566" spans="1:6" x14ac:dyDescent="0.2">
      <c r="A566" t="s">
        <v>479</v>
      </c>
      <c r="B566" t="s">
        <v>473</v>
      </c>
      <c r="C566" s="10">
        <v>4</v>
      </c>
      <c r="D566" s="10">
        <v>4</v>
      </c>
      <c r="E56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66" s="10">
        <v>21</v>
      </c>
    </row>
    <row r="567" spans="1:6" x14ac:dyDescent="0.2">
      <c r="A567" t="s">
        <v>479</v>
      </c>
      <c r="B567" t="s">
        <v>473</v>
      </c>
      <c r="C567" s="10">
        <v>4</v>
      </c>
      <c r="D567" s="10">
        <v>7</v>
      </c>
      <c r="E56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67" s="10">
        <v>20</v>
      </c>
    </row>
    <row r="568" spans="1:6" x14ac:dyDescent="0.2">
      <c r="A568" t="s">
        <v>479</v>
      </c>
      <c r="B568" t="s">
        <v>473</v>
      </c>
      <c r="C568" s="10">
        <v>5</v>
      </c>
      <c r="D568" s="10">
        <v>7</v>
      </c>
      <c r="E56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68" s="10">
        <v>16</v>
      </c>
    </row>
    <row r="569" spans="1:6" x14ac:dyDescent="0.2">
      <c r="A569" t="s">
        <v>479</v>
      </c>
      <c r="B569" t="s">
        <v>473</v>
      </c>
      <c r="C569" s="10">
        <v>4</v>
      </c>
      <c r="D569" s="10">
        <v>4</v>
      </c>
      <c r="E56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69" s="10">
        <v>28</v>
      </c>
    </row>
    <row r="570" spans="1:6" x14ac:dyDescent="0.2">
      <c r="A570" t="s">
        <v>479</v>
      </c>
      <c r="B570" t="s">
        <v>473</v>
      </c>
      <c r="C570" s="10">
        <v>4</v>
      </c>
      <c r="D570" s="10">
        <v>7</v>
      </c>
      <c r="E57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70" s="10">
        <v>28</v>
      </c>
    </row>
    <row r="571" spans="1:6" x14ac:dyDescent="0.2">
      <c r="A571" t="s">
        <v>479</v>
      </c>
      <c r="B571" t="s">
        <v>473</v>
      </c>
      <c r="C571" s="10">
        <v>5</v>
      </c>
      <c r="D571" s="10">
        <v>7</v>
      </c>
      <c r="E57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71" s="10">
        <v>35</v>
      </c>
    </row>
    <row r="572" spans="1:6" x14ac:dyDescent="0.2">
      <c r="A572" t="s">
        <v>479</v>
      </c>
      <c r="B572" t="s">
        <v>473</v>
      </c>
      <c r="C572" s="10">
        <v>4</v>
      </c>
      <c r="D572" s="10">
        <v>7</v>
      </c>
      <c r="E57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72" s="10">
        <v>16</v>
      </c>
    </row>
    <row r="573" spans="1:6" x14ac:dyDescent="0.2">
      <c r="A573" t="s">
        <v>479</v>
      </c>
      <c r="B573" t="s">
        <v>473</v>
      </c>
      <c r="C573" s="10">
        <v>5</v>
      </c>
      <c r="D573" s="10">
        <v>4</v>
      </c>
      <c r="E57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73" s="10">
        <v>28</v>
      </c>
    </row>
    <row r="574" spans="1:6" x14ac:dyDescent="0.2">
      <c r="A574" t="s">
        <v>479</v>
      </c>
      <c r="B574" t="s">
        <v>473</v>
      </c>
      <c r="C574" s="10">
        <v>4</v>
      </c>
      <c r="D574" s="10">
        <v>7</v>
      </c>
      <c r="E57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74" s="10">
        <v>21</v>
      </c>
    </row>
    <row r="575" spans="1:6" x14ac:dyDescent="0.2">
      <c r="A575" t="s">
        <v>479</v>
      </c>
      <c r="B575" t="s">
        <v>473</v>
      </c>
      <c r="C575" s="10">
        <v>4</v>
      </c>
      <c r="D575" s="10">
        <v>4</v>
      </c>
      <c r="E57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75" s="10">
        <v>35</v>
      </c>
    </row>
    <row r="576" spans="1:6" x14ac:dyDescent="0.2">
      <c r="A576" t="s">
        <v>479</v>
      </c>
      <c r="B576" t="s">
        <v>473</v>
      </c>
      <c r="C576" s="10">
        <v>4</v>
      </c>
      <c r="D576" s="10">
        <v>7</v>
      </c>
      <c r="E57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76" s="10">
        <v>35</v>
      </c>
    </row>
    <row r="577" spans="1:6" x14ac:dyDescent="0.2">
      <c r="A577" t="s">
        <v>479</v>
      </c>
      <c r="B577" t="s">
        <v>473</v>
      </c>
      <c r="C577" s="10">
        <v>4</v>
      </c>
      <c r="D577" s="10">
        <v>7</v>
      </c>
      <c r="E57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77" s="10">
        <v>28</v>
      </c>
    </row>
    <row r="578" spans="1:6" x14ac:dyDescent="0.2">
      <c r="A578" t="s">
        <v>479</v>
      </c>
      <c r="B578" t="s">
        <v>473</v>
      </c>
      <c r="C578" s="10">
        <v>4</v>
      </c>
      <c r="D578" s="10">
        <v>7</v>
      </c>
      <c r="E57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78" s="10">
        <v>12</v>
      </c>
    </row>
    <row r="579" spans="1:6" x14ac:dyDescent="0.2">
      <c r="A579" t="s">
        <v>479</v>
      </c>
      <c r="B579" t="s">
        <v>473</v>
      </c>
      <c r="C579" s="10">
        <v>3</v>
      </c>
      <c r="D579" s="10">
        <v>7</v>
      </c>
      <c r="E57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79" s="10">
        <v>28</v>
      </c>
    </row>
    <row r="580" spans="1:6" x14ac:dyDescent="0.2">
      <c r="A580" t="s">
        <v>479</v>
      </c>
      <c r="B580" t="s">
        <v>473</v>
      </c>
      <c r="C580" s="10">
        <v>3</v>
      </c>
      <c r="D580" s="10">
        <v>4</v>
      </c>
      <c r="E58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80" s="10">
        <v>28</v>
      </c>
    </row>
    <row r="581" spans="1:6" x14ac:dyDescent="0.2">
      <c r="A581" t="s">
        <v>479</v>
      </c>
      <c r="B581" t="s">
        <v>473</v>
      </c>
      <c r="C581" s="10">
        <v>5</v>
      </c>
      <c r="D581" s="10">
        <v>7</v>
      </c>
      <c r="E58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81" s="10">
        <v>16</v>
      </c>
    </row>
    <row r="582" spans="1:6" x14ac:dyDescent="0.2">
      <c r="A582" t="s">
        <v>479</v>
      </c>
      <c r="B582" t="s">
        <v>473</v>
      </c>
      <c r="C582" s="10">
        <v>3</v>
      </c>
      <c r="D582" s="10">
        <v>7</v>
      </c>
      <c r="E58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82" s="10">
        <v>20</v>
      </c>
    </row>
    <row r="583" spans="1:6" x14ac:dyDescent="0.2">
      <c r="A583" t="s">
        <v>479</v>
      </c>
      <c r="B583" t="s">
        <v>473</v>
      </c>
      <c r="C583" s="10">
        <v>2</v>
      </c>
      <c r="D583" s="10">
        <v>7</v>
      </c>
      <c r="E58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83" s="10">
        <v>16</v>
      </c>
    </row>
    <row r="584" spans="1:6" x14ac:dyDescent="0.2">
      <c r="A584" t="s">
        <v>479</v>
      </c>
      <c r="B584" t="s">
        <v>473</v>
      </c>
      <c r="C584" s="10">
        <v>3</v>
      </c>
      <c r="D584" s="10">
        <v>4</v>
      </c>
      <c r="E58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84" s="10">
        <v>16</v>
      </c>
    </row>
    <row r="585" spans="1:6" x14ac:dyDescent="0.2">
      <c r="A585" t="s">
        <v>479</v>
      </c>
      <c r="B585" t="s">
        <v>473</v>
      </c>
      <c r="C585" s="10">
        <v>3</v>
      </c>
      <c r="D585" s="10">
        <v>7</v>
      </c>
      <c r="E58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85" s="10">
        <v>20</v>
      </c>
    </row>
    <row r="586" spans="1:6" x14ac:dyDescent="0.2">
      <c r="A586" t="s">
        <v>479</v>
      </c>
      <c r="B586" t="s">
        <v>473</v>
      </c>
      <c r="C586" s="10">
        <v>4</v>
      </c>
      <c r="D586" s="10">
        <v>7</v>
      </c>
      <c r="E58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86" s="10">
        <v>15</v>
      </c>
    </row>
    <row r="587" spans="1:6" x14ac:dyDescent="0.2">
      <c r="A587" t="s">
        <v>479</v>
      </c>
      <c r="B587" t="s">
        <v>473</v>
      </c>
      <c r="C587" s="10">
        <v>5</v>
      </c>
      <c r="D587" s="10">
        <v>7</v>
      </c>
      <c r="E58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87" s="10">
        <v>28</v>
      </c>
    </row>
    <row r="588" spans="1:6" x14ac:dyDescent="0.2">
      <c r="A588" t="s">
        <v>479</v>
      </c>
      <c r="B588" t="s">
        <v>473</v>
      </c>
      <c r="C588" s="10">
        <v>4</v>
      </c>
      <c r="D588" s="10">
        <v>4</v>
      </c>
      <c r="E58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88" s="10">
        <v>35</v>
      </c>
    </row>
    <row r="589" spans="1:6" x14ac:dyDescent="0.2">
      <c r="A589" t="s">
        <v>479</v>
      </c>
      <c r="B589" t="s">
        <v>473</v>
      </c>
      <c r="C589" s="10">
        <v>4</v>
      </c>
      <c r="D589" s="10">
        <v>7</v>
      </c>
      <c r="E58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589" s="10">
        <v>28</v>
      </c>
    </row>
    <row r="590" spans="1:6" x14ac:dyDescent="0.2">
      <c r="A590" t="s">
        <v>479</v>
      </c>
      <c r="B590" t="s">
        <v>473</v>
      </c>
      <c r="C590" s="10">
        <v>4</v>
      </c>
      <c r="D590" s="10">
        <v>10</v>
      </c>
      <c r="E59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90" s="10">
        <v>16</v>
      </c>
    </row>
    <row r="591" spans="1:6" x14ac:dyDescent="0.2">
      <c r="A591" t="s">
        <v>479</v>
      </c>
      <c r="B591" t="s">
        <v>473</v>
      </c>
      <c r="C591" s="10">
        <v>3</v>
      </c>
      <c r="D591" s="10">
        <v>10</v>
      </c>
      <c r="E59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91" s="10">
        <v>12</v>
      </c>
    </row>
    <row r="592" spans="1:6" x14ac:dyDescent="0.2">
      <c r="A592" t="s">
        <v>479</v>
      </c>
      <c r="B592" t="s">
        <v>473</v>
      </c>
      <c r="C592" s="10">
        <v>5</v>
      </c>
      <c r="D592" s="10">
        <v>7</v>
      </c>
      <c r="E59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92" s="10">
        <v>20</v>
      </c>
    </row>
    <row r="593" spans="1:6" x14ac:dyDescent="0.2">
      <c r="A593" t="s">
        <v>479</v>
      </c>
      <c r="B593" t="s">
        <v>473</v>
      </c>
      <c r="C593" s="10">
        <v>4</v>
      </c>
      <c r="D593" s="10">
        <v>4</v>
      </c>
      <c r="E59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93" s="10">
        <v>12</v>
      </c>
    </row>
    <row r="594" spans="1:6" x14ac:dyDescent="0.2">
      <c r="A594" t="s">
        <v>479</v>
      </c>
      <c r="B594" t="s">
        <v>473</v>
      </c>
      <c r="C594" s="10">
        <v>4</v>
      </c>
      <c r="D594" s="10">
        <v>7</v>
      </c>
      <c r="E59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94" s="10">
        <v>21</v>
      </c>
    </row>
    <row r="595" spans="1:6" x14ac:dyDescent="0.2">
      <c r="A595" t="s">
        <v>479</v>
      </c>
      <c r="B595" t="s">
        <v>473</v>
      </c>
      <c r="C595" s="10">
        <v>3</v>
      </c>
      <c r="D595" s="10">
        <v>7</v>
      </c>
      <c r="E59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95" s="10">
        <v>20</v>
      </c>
    </row>
    <row r="596" spans="1:6" x14ac:dyDescent="0.2">
      <c r="A596" t="s">
        <v>479</v>
      </c>
      <c r="B596" t="s">
        <v>473</v>
      </c>
      <c r="C596" s="10">
        <v>4</v>
      </c>
      <c r="D596" s="10">
        <v>7</v>
      </c>
      <c r="E59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96" s="10">
        <v>20</v>
      </c>
    </row>
    <row r="597" spans="1:6" x14ac:dyDescent="0.2">
      <c r="A597" t="s">
        <v>479</v>
      </c>
      <c r="B597" t="s">
        <v>473</v>
      </c>
      <c r="C597" s="10">
        <v>4</v>
      </c>
      <c r="D597" s="10">
        <v>5</v>
      </c>
      <c r="E59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97" s="10">
        <v>20</v>
      </c>
    </row>
    <row r="598" spans="1:6" x14ac:dyDescent="0.2">
      <c r="A598" t="s">
        <v>479</v>
      </c>
      <c r="B598" t="s">
        <v>473</v>
      </c>
      <c r="C598" s="10">
        <v>1</v>
      </c>
      <c r="D598" s="10">
        <v>10</v>
      </c>
      <c r="E59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98" s="10">
        <v>16</v>
      </c>
    </row>
    <row r="599" spans="1:6" x14ac:dyDescent="0.2">
      <c r="A599" t="s">
        <v>479</v>
      </c>
      <c r="B599" t="s">
        <v>473</v>
      </c>
      <c r="C599" s="10">
        <v>2</v>
      </c>
      <c r="D599" s="10">
        <v>10</v>
      </c>
      <c r="E59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599" s="10">
        <v>12</v>
      </c>
    </row>
    <row r="600" spans="1:6" x14ac:dyDescent="0.2">
      <c r="A600" t="s">
        <v>479</v>
      </c>
      <c r="B600" t="s">
        <v>473</v>
      </c>
      <c r="C600" s="10">
        <v>2</v>
      </c>
      <c r="D600" s="10">
        <v>7</v>
      </c>
      <c r="E60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00" s="10">
        <v>20</v>
      </c>
    </row>
    <row r="601" spans="1:6" x14ac:dyDescent="0.2">
      <c r="A601" t="s">
        <v>479</v>
      </c>
      <c r="B601" t="s">
        <v>473</v>
      </c>
      <c r="C601" s="10">
        <v>3</v>
      </c>
      <c r="D601" s="10">
        <v>10</v>
      </c>
      <c r="E601"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601" s="10">
        <v>8</v>
      </c>
    </row>
    <row r="602" spans="1:6" x14ac:dyDescent="0.2">
      <c r="A602" t="s">
        <v>479</v>
      </c>
      <c r="B602" t="s">
        <v>473</v>
      </c>
      <c r="C602" s="10">
        <v>4</v>
      </c>
      <c r="D602" s="10">
        <v>7</v>
      </c>
      <c r="E60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02" s="10">
        <v>35</v>
      </c>
    </row>
    <row r="603" spans="1:6" x14ac:dyDescent="0.2">
      <c r="A603" t="s">
        <v>479</v>
      </c>
      <c r="B603" t="s">
        <v>473</v>
      </c>
      <c r="C603" s="10">
        <v>3</v>
      </c>
      <c r="D603" s="10">
        <v>7</v>
      </c>
      <c r="E603"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603" s="10">
        <v>5</v>
      </c>
    </row>
    <row r="604" spans="1:6" x14ac:dyDescent="0.2">
      <c r="A604" t="s">
        <v>478</v>
      </c>
      <c r="B604" t="s">
        <v>541</v>
      </c>
      <c r="C604" s="10">
        <v>5</v>
      </c>
      <c r="D604" s="10">
        <v>10</v>
      </c>
      <c r="E604"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04" s="10">
        <v>50</v>
      </c>
    </row>
    <row r="605" spans="1:6" x14ac:dyDescent="0.2">
      <c r="A605" t="s">
        <v>478</v>
      </c>
      <c r="B605" t="s">
        <v>541</v>
      </c>
      <c r="C605" s="10">
        <v>5</v>
      </c>
      <c r="D605" s="10">
        <v>10</v>
      </c>
      <c r="E605"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05" s="10">
        <v>50</v>
      </c>
    </row>
    <row r="606" spans="1:6" x14ac:dyDescent="0.2">
      <c r="A606" t="s">
        <v>478</v>
      </c>
      <c r="B606" t="s">
        <v>541</v>
      </c>
      <c r="C606" s="10">
        <v>5</v>
      </c>
      <c r="D606" s="10">
        <v>4</v>
      </c>
      <c r="E60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06" s="10">
        <v>20</v>
      </c>
    </row>
    <row r="607" spans="1:6" x14ac:dyDescent="0.2">
      <c r="A607" t="s">
        <v>478</v>
      </c>
      <c r="B607" t="s">
        <v>541</v>
      </c>
      <c r="C607" s="10">
        <v>2</v>
      </c>
      <c r="D607" s="10">
        <v>10</v>
      </c>
      <c r="E60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07" s="10">
        <v>20</v>
      </c>
    </row>
    <row r="608" spans="1:6" x14ac:dyDescent="0.2">
      <c r="A608" t="s">
        <v>478</v>
      </c>
      <c r="B608" t="s">
        <v>541</v>
      </c>
      <c r="C608" s="10">
        <v>4</v>
      </c>
      <c r="D608" s="10">
        <v>7</v>
      </c>
      <c r="E60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08" s="10">
        <v>28</v>
      </c>
    </row>
    <row r="609" spans="1:6" x14ac:dyDescent="0.2">
      <c r="A609" t="s">
        <v>478</v>
      </c>
      <c r="B609" t="s">
        <v>541</v>
      </c>
      <c r="C609" s="10">
        <v>3</v>
      </c>
      <c r="D609" s="10">
        <v>10</v>
      </c>
      <c r="E60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09" s="10">
        <v>30</v>
      </c>
    </row>
    <row r="610" spans="1:6" x14ac:dyDescent="0.2">
      <c r="A610" t="s">
        <v>478</v>
      </c>
      <c r="B610" t="s">
        <v>541</v>
      </c>
      <c r="C610" s="10">
        <v>4</v>
      </c>
      <c r="D610" s="10">
        <v>10</v>
      </c>
      <c r="E610"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10" s="10">
        <v>40</v>
      </c>
    </row>
    <row r="611" spans="1:6" x14ac:dyDescent="0.2">
      <c r="A611" t="s">
        <v>478</v>
      </c>
      <c r="B611" t="s">
        <v>541</v>
      </c>
      <c r="C611" s="10">
        <v>5</v>
      </c>
      <c r="D611" s="10">
        <v>10</v>
      </c>
      <c r="E611"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11" s="10">
        <v>50</v>
      </c>
    </row>
    <row r="612" spans="1:6" x14ac:dyDescent="0.2">
      <c r="A612" t="s">
        <v>478</v>
      </c>
      <c r="B612" t="s">
        <v>541</v>
      </c>
      <c r="C612" s="10">
        <v>4</v>
      </c>
      <c r="D612" s="10">
        <v>10</v>
      </c>
      <c r="E612"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12" s="10">
        <v>40</v>
      </c>
    </row>
    <row r="613" spans="1:6" x14ac:dyDescent="0.2">
      <c r="A613" t="s">
        <v>478</v>
      </c>
      <c r="B613" t="s">
        <v>541</v>
      </c>
      <c r="C613" s="10">
        <v>4</v>
      </c>
      <c r="D613" s="10">
        <v>10</v>
      </c>
      <c r="E613"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13" s="10">
        <v>40</v>
      </c>
    </row>
    <row r="614" spans="1:6" x14ac:dyDescent="0.2">
      <c r="A614" t="s">
        <v>478</v>
      </c>
      <c r="B614" t="s">
        <v>541</v>
      </c>
      <c r="C614" s="10">
        <v>4</v>
      </c>
      <c r="D614" s="10">
        <v>7</v>
      </c>
      <c r="E61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14" s="10">
        <v>28</v>
      </c>
    </row>
    <row r="615" spans="1:6" x14ac:dyDescent="0.2">
      <c r="A615" t="s">
        <v>478</v>
      </c>
      <c r="B615" t="s">
        <v>541</v>
      </c>
      <c r="C615" s="10">
        <v>4</v>
      </c>
      <c r="D615" s="10">
        <v>7</v>
      </c>
      <c r="E61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15" s="10">
        <v>28</v>
      </c>
    </row>
    <row r="616" spans="1:6" x14ac:dyDescent="0.2">
      <c r="A616" t="s">
        <v>478</v>
      </c>
      <c r="B616" t="s">
        <v>541</v>
      </c>
      <c r="C616" s="10">
        <v>5</v>
      </c>
      <c r="D616" s="10">
        <v>7</v>
      </c>
      <c r="E61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16" s="10">
        <v>35</v>
      </c>
    </row>
    <row r="617" spans="1:6" x14ac:dyDescent="0.2">
      <c r="A617" t="s">
        <v>478</v>
      </c>
      <c r="B617" t="s">
        <v>541</v>
      </c>
      <c r="C617" s="10">
        <v>3</v>
      </c>
      <c r="D617" s="10">
        <v>4</v>
      </c>
      <c r="E61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17" s="10">
        <v>12</v>
      </c>
    </row>
    <row r="618" spans="1:6" x14ac:dyDescent="0.2">
      <c r="A618" t="s">
        <v>478</v>
      </c>
      <c r="B618" t="s">
        <v>541</v>
      </c>
      <c r="C618" s="10">
        <v>3</v>
      </c>
      <c r="D618" s="10">
        <v>10</v>
      </c>
      <c r="E61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18" s="10">
        <v>30</v>
      </c>
    </row>
    <row r="619" spans="1:6" x14ac:dyDescent="0.2">
      <c r="A619" t="s">
        <v>478</v>
      </c>
      <c r="B619" t="s">
        <v>541</v>
      </c>
      <c r="C619" s="10">
        <v>4</v>
      </c>
      <c r="D619" s="10">
        <v>7</v>
      </c>
      <c r="E61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19" s="10">
        <v>28</v>
      </c>
    </row>
    <row r="620" spans="1:6" x14ac:dyDescent="0.2">
      <c r="A620" t="s">
        <v>478</v>
      </c>
      <c r="B620" t="s">
        <v>541</v>
      </c>
      <c r="C620" s="10">
        <v>4</v>
      </c>
      <c r="D620" s="10">
        <v>4</v>
      </c>
      <c r="E62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20" s="10">
        <v>16</v>
      </c>
    </row>
    <row r="621" spans="1:6" x14ac:dyDescent="0.2">
      <c r="A621" t="s">
        <v>478</v>
      </c>
      <c r="B621" t="s">
        <v>541</v>
      </c>
      <c r="C621" s="10">
        <v>5</v>
      </c>
      <c r="D621" s="10">
        <v>7</v>
      </c>
      <c r="E62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21" s="10">
        <v>35</v>
      </c>
    </row>
    <row r="622" spans="1:6" x14ac:dyDescent="0.2">
      <c r="A622" t="s">
        <v>478</v>
      </c>
      <c r="B622" t="s">
        <v>541</v>
      </c>
      <c r="C622" s="10">
        <v>3</v>
      </c>
      <c r="D622" s="10">
        <v>10</v>
      </c>
      <c r="E62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22" s="10">
        <v>30</v>
      </c>
    </row>
    <row r="623" spans="1:6" x14ac:dyDescent="0.2">
      <c r="A623" t="s">
        <v>478</v>
      </c>
      <c r="B623" t="s">
        <v>541</v>
      </c>
      <c r="C623" s="10">
        <v>4</v>
      </c>
      <c r="D623" s="10">
        <v>7</v>
      </c>
      <c r="E62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23" s="10">
        <v>20</v>
      </c>
    </row>
    <row r="624" spans="1:6" x14ac:dyDescent="0.2">
      <c r="A624" t="s">
        <v>478</v>
      </c>
      <c r="B624" t="s">
        <v>541</v>
      </c>
      <c r="C624" s="10">
        <v>4</v>
      </c>
      <c r="D624" s="10">
        <v>7</v>
      </c>
      <c r="E62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24" s="10">
        <v>28</v>
      </c>
    </row>
    <row r="625" spans="1:6" x14ac:dyDescent="0.2">
      <c r="A625" t="s">
        <v>478</v>
      </c>
      <c r="B625" t="s">
        <v>541</v>
      </c>
      <c r="C625" s="10">
        <v>4</v>
      </c>
      <c r="D625" s="10">
        <v>4</v>
      </c>
      <c r="E62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25" s="10">
        <v>35</v>
      </c>
    </row>
    <row r="626" spans="1:6" x14ac:dyDescent="0.2">
      <c r="A626" t="s">
        <v>478</v>
      </c>
      <c r="B626" t="s">
        <v>541</v>
      </c>
      <c r="C626" s="10">
        <v>5</v>
      </c>
      <c r="D626" s="10">
        <v>7</v>
      </c>
      <c r="E62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26" s="10">
        <v>16</v>
      </c>
    </row>
    <row r="627" spans="1:6" x14ac:dyDescent="0.2">
      <c r="A627" t="s">
        <v>478</v>
      </c>
      <c r="B627" t="s">
        <v>541</v>
      </c>
      <c r="C627" s="10">
        <v>3</v>
      </c>
      <c r="D627" s="10">
        <v>7</v>
      </c>
      <c r="E62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27" s="10">
        <v>35</v>
      </c>
    </row>
    <row r="628" spans="1:6" x14ac:dyDescent="0.2">
      <c r="A628" t="s">
        <v>478</v>
      </c>
      <c r="B628" t="s">
        <v>541</v>
      </c>
      <c r="C628" s="10">
        <v>4</v>
      </c>
      <c r="D628" s="10">
        <v>7</v>
      </c>
      <c r="E62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28" s="10">
        <v>21</v>
      </c>
    </row>
    <row r="629" spans="1:6" x14ac:dyDescent="0.2">
      <c r="A629" t="s">
        <v>478</v>
      </c>
      <c r="B629" t="s">
        <v>541</v>
      </c>
      <c r="C629" s="10">
        <v>4</v>
      </c>
      <c r="D629" s="10">
        <v>7</v>
      </c>
      <c r="E62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29" s="10">
        <v>30</v>
      </c>
    </row>
    <row r="630" spans="1:6" x14ac:dyDescent="0.2">
      <c r="A630" t="s">
        <v>478</v>
      </c>
      <c r="B630" t="s">
        <v>541</v>
      </c>
      <c r="C630" s="10">
        <v>5</v>
      </c>
      <c r="D630" s="10">
        <v>7</v>
      </c>
      <c r="E63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30" s="10">
        <v>30</v>
      </c>
    </row>
    <row r="631" spans="1:6" x14ac:dyDescent="0.2">
      <c r="A631" t="s">
        <v>478</v>
      </c>
      <c r="B631" t="s">
        <v>541</v>
      </c>
      <c r="C631" s="10">
        <v>4</v>
      </c>
      <c r="D631" s="10">
        <v>7</v>
      </c>
      <c r="E63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31" s="10">
        <v>20</v>
      </c>
    </row>
    <row r="632" spans="1:6" x14ac:dyDescent="0.2">
      <c r="A632" t="s">
        <v>478</v>
      </c>
      <c r="B632" t="s">
        <v>541</v>
      </c>
      <c r="C632" s="10">
        <v>4</v>
      </c>
      <c r="D632" s="10">
        <v>7</v>
      </c>
      <c r="E63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32" s="10">
        <v>35</v>
      </c>
    </row>
    <row r="633" spans="1:6" x14ac:dyDescent="0.2">
      <c r="A633" t="s">
        <v>478</v>
      </c>
      <c r="B633" t="s">
        <v>541</v>
      </c>
      <c r="C633" s="10">
        <v>5</v>
      </c>
      <c r="D633" s="10">
        <v>7</v>
      </c>
      <c r="E633"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633" s="10">
        <v>0</v>
      </c>
    </row>
    <row r="634" spans="1:6" x14ac:dyDescent="0.2">
      <c r="A634" t="s">
        <v>478</v>
      </c>
      <c r="B634" t="s">
        <v>541</v>
      </c>
      <c r="C634" s="10">
        <v>5</v>
      </c>
      <c r="D634" s="10">
        <v>10</v>
      </c>
      <c r="E63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34" s="10">
        <v>35</v>
      </c>
    </row>
    <row r="635" spans="1:6" x14ac:dyDescent="0.2">
      <c r="A635" t="s">
        <v>478</v>
      </c>
      <c r="B635" t="s">
        <v>541</v>
      </c>
      <c r="C635" s="10">
        <v>4</v>
      </c>
      <c r="D635" s="10">
        <v>7</v>
      </c>
      <c r="E635"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35" s="10">
        <v>50</v>
      </c>
    </row>
    <row r="636" spans="1:6" x14ac:dyDescent="0.2">
      <c r="A636" t="s">
        <v>478</v>
      </c>
      <c r="B636" t="s">
        <v>541</v>
      </c>
      <c r="C636" s="10">
        <v>5</v>
      </c>
      <c r="D636" s="10">
        <v>4</v>
      </c>
      <c r="E63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36" s="10">
        <v>16</v>
      </c>
    </row>
    <row r="637" spans="1:6" x14ac:dyDescent="0.2">
      <c r="A637" t="s">
        <v>478</v>
      </c>
      <c r="B637" t="s">
        <v>541</v>
      </c>
      <c r="C637" s="10">
        <v>5</v>
      </c>
      <c r="D637" s="10">
        <v>4</v>
      </c>
      <c r="E63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37" s="10">
        <v>35</v>
      </c>
    </row>
    <row r="638" spans="1:6" x14ac:dyDescent="0.2">
      <c r="A638" t="s">
        <v>478</v>
      </c>
      <c r="B638" t="s">
        <v>541</v>
      </c>
      <c r="C638" s="10">
        <v>5</v>
      </c>
      <c r="D638" s="10">
        <v>10</v>
      </c>
      <c r="E63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38" s="10">
        <v>28</v>
      </c>
    </row>
    <row r="639" spans="1:6" x14ac:dyDescent="0.2">
      <c r="A639" t="s">
        <v>478</v>
      </c>
      <c r="B639" t="s">
        <v>541</v>
      </c>
      <c r="C639" s="10">
        <v>5</v>
      </c>
      <c r="D639" s="10">
        <v>7</v>
      </c>
      <c r="E639"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39" s="10">
        <v>50</v>
      </c>
    </row>
    <row r="640" spans="1:6" x14ac:dyDescent="0.2">
      <c r="A640" t="s">
        <v>478</v>
      </c>
      <c r="B640" t="s">
        <v>541</v>
      </c>
      <c r="C640" s="10">
        <v>5</v>
      </c>
      <c r="D640" s="10">
        <v>4</v>
      </c>
      <c r="E64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40" s="10">
        <v>28</v>
      </c>
    </row>
    <row r="641" spans="1:6" x14ac:dyDescent="0.2">
      <c r="A641" t="s">
        <v>478</v>
      </c>
      <c r="B641" t="s">
        <v>541</v>
      </c>
      <c r="C641" s="10">
        <v>4</v>
      </c>
      <c r="D641" s="10">
        <v>7</v>
      </c>
      <c r="E64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41" s="10">
        <v>20</v>
      </c>
    </row>
    <row r="642" spans="1:6" x14ac:dyDescent="0.2">
      <c r="A642" t="s">
        <v>478</v>
      </c>
      <c r="B642" t="s">
        <v>541</v>
      </c>
      <c r="C642" s="10">
        <v>4</v>
      </c>
      <c r="D642" s="10">
        <v>7</v>
      </c>
      <c r="E642"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42" s="10">
        <v>40</v>
      </c>
    </row>
    <row r="643" spans="1:6" x14ac:dyDescent="0.2">
      <c r="A643" t="s">
        <v>478</v>
      </c>
      <c r="B643" t="s">
        <v>541</v>
      </c>
      <c r="C643" s="10">
        <v>3</v>
      </c>
      <c r="D643" s="10">
        <v>7</v>
      </c>
      <c r="E64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43" s="10">
        <v>35</v>
      </c>
    </row>
    <row r="644" spans="1:6" x14ac:dyDescent="0.2">
      <c r="A644" t="s">
        <v>478</v>
      </c>
      <c r="B644" t="s">
        <v>541</v>
      </c>
      <c r="C644" s="10">
        <v>3</v>
      </c>
      <c r="D644" s="10">
        <v>7</v>
      </c>
      <c r="E64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44" s="10">
        <v>35</v>
      </c>
    </row>
    <row r="645" spans="1:6" x14ac:dyDescent="0.2">
      <c r="A645" t="s">
        <v>478</v>
      </c>
      <c r="B645" t="s">
        <v>541</v>
      </c>
      <c r="C645" s="10">
        <v>5</v>
      </c>
      <c r="D645" s="10">
        <v>4</v>
      </c>
      <c r="E64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45" s="10">
        <v>20</v>
      </c>
    </row>
    <row r="646" spans="1:6" x14ac:dyDescent="0.2">
      <c r="A646" t="s">
        <v>478</v>
      </c>
      <c r="B646" t="s">
        <v>541</v>
      </c>
      <c r="C646" s="10">
        <v>5</v>
      </c>
      <c r="D646" s="10">
        <v>7</v>
      </c>
      <c r="E64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46" s="10">
        <v>28</v>
      </c>
    </row>
    <row r="647" spans="1:6" x14ac:dyDescent="0.2">
      <c r="A647" t="s">
        <v>478</v>
      </c>
      <c r="B647" t="s">
        <v>541</v>
      </c>
      <c r="C647" s="10">
        <v>3</v>
      </c>
      <c r="D647" s="10">
        <v>4</v>
      </c>
      <c r="E64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47" s="10">
        <v>14</v>
      </c>
    </row>
    <row r="648" spans="1:6" x14ac:dyDescent="0.2">
      <c r="A648" t="s">
        <v>478</v>
      </c>
      <c r="B648" t="s">
        <v>541</v>
      </c>
      <c r="C648" s="10">
        <v>5</v>
      </c>
      <c r="D648" s="10">
        <v>4</v>
      </c>
      <c r="E64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48" s="10">
        <v>35</v>
      </c>
    </row>
    <row r="649" spans="1:6" x14ac:dyDescent="0.2">
      <c r="A649" t="s">
        <v>478</v>
      </c>
      <c r="B649" t="s">
        <v>541</v>
      </c>
      <c r="C649" s="10">
        <v>4</v>
      </c>
      <c r="D649" s="10">
        <v>4</v>
      </c>
      <c r="E649"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49" s="10">
        <v>50</v>
      </c>
    </row>
    <row r="650" spans="1:6" x14ac:dyDescent="0.2">
      <c r="A650" t="s">
        <v>478</v>
      </c>
      <c r="B650" t="s">
        <v>541</v>
      </c>
      <c r="C650" s="10">
        <v>3</v>
      </c>
      <c r="D650" s="10">
        <v>7</v>
      </c>
      <c r="E65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50" s="10">
        <v>28</v>
      </c>
    </row>
    <row r="651" spans="1:6" x14ac:dyDescent="0.2">
      <c r="A651" t="s">
        <v>478</v>
      </c>
      <c r="B651" t="s">
        <v>541</v>
      </c>
      <c r="C651" s="10">
        <v>5</v>
      </c>
      <c r="D651" s="10">
        <v>7</v>
      </c>
      <c r="E65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51" s="10">
        <v>21</v>
      </c>
    </row>
    <row r="652" spans="1:6" x14ac:dyDescent="0.2">
      <c r="A652" t="s">
        <v>478</v>
      </c>
      <c r="B652" t="s">
        <v>541</v>
      </c>
      <c r="C652" s="10">
        <v>3</v>
      </c>
      <c r="D652" s="10">
        <v>10</v>
      </c>
      <c r="E65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52" s="10">
        <v>35</v>
      </c>
    </row>
    <row r="653" spans="1:6" x14ac:dyDescent="0.2">
      <c r="A653" t="s">
        <v>478</v>
      </c>
      <c r="B653" t="s">
        <v>541</v>
      </c>
      <c r="C653" s="10">
        <v>4</v>
      </c>
      <c r="D653" s="10">
        <v>4</v>
      </c>
      <c r="E65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53" s="10">
        <v>21</v>
      </c>
    </row>
    <row r="654" spans="1:6" x14ac:dyDescent="0.2">
      <c r="A654" t="s">
        <v>478</v>
      </c>
      <c r="B654" t="s">
        <v>541</v>
      </c>
      <c r="C654" s="10">
        <v>4</v>
      </c>
      <c r="D654" s="10">
        <v>7</v>
      </c>
      <c r="E654"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54" s="10">
        <v>40</v>
      </c>
    </row>
    <row r="655" spans="1:6" x14ac:dyDescent="0.2">
      <c r="A655" t="s">
        <v>478</v>
      </c>
      <c r="B655" t="s">
        <v>541</v>
      </c>
      <c r="C655" s="10">
        <v>5</v>
      </c>
      <c r="D655" s="10">
        <v>7</v>
      </c>
      <c r="E65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55" s="10">
        <v>30</v>
      </c>
    </row>
    <row r="656" spans="1:6" x14ac:dyDescent="0.2">
      <c r="A656" t="s">
        <v>478</v>
      </c>
      <c r="B656" t="s">
        <v>541</v>
      </c>
      <c r="C656" s="10">
        <v>5</v>
      </c>
      <c r="D656" s="10">
        <v>7</v>
      </c>
      <c r="E65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56" s="10">
        <v>28</v>
      </c>
    </row>
    <row r="657" spans="1:6" x14ac:dyDescent="0.2">
      <c r="A657" t="s">
        <v>478</v>
      </c>
      <c r="B657" t="s">
        <v>541</v>
      </c>
      <c r="C657" s="10">
        <v>4</v>
      </c>
      <c r="D657" s="10">
        <v>10</v>
      </c>
      <c r="E65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57" s="10">
        <v>35</v>
      </c>
    </row>
    <row r="658" spans="1:6" x14ac:dyDescent="0.2">
      <c r="A658" t="s">
        <v>478</v>
      </c>
      <c r="B658" t="s">
        <v>541</v>
      </c>
      <c r="C658" s="10">
        <v>4</v>
      </c>
      <c r="D658" s="10">
        <v>7</v>
      </c>
      <c r="E65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58" s="10">
        <v>21</v>
      </c>
    </row>
    <row r="659" spans="1:6" x14ac:dyDescent="0.2">
      <c r="A659" t="s">
        <v>478</v>
      </c>
      <c r="B659" t="s">
        <v>541</v>
      </c>
      <c r="C659" s="10">
        <v>5</v>
      </c>
      <c r="D659" s="10">
        <v>7</v>
      </c>
      <c r="E65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59" s="10">
        <v>20</v>
      </c>
    </row>
    <row r="660" spans="1:6" x14ac:dyDescent="0.2">
      <c r="A660" t="s">
        <v>478</v>
      </c>
      <c r="B660" t="s">
        <v>541</v>
      </c>
      <c r="C660" s="10">
        <v>4</v>
      </c>
      <c r="D660" s="10">
        <v>7</v>
      </c>
      <c r="E66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60" s="10">
        <v>35</v>
      </c>
    </row>
    <row r="661" spans="1:6" x14ac:dyDescent="0.2">
      <c r="A661" t="s">
        <v>478</v>
      </c>
      <c r="B661" t="s">
        <v>541</v>
      </c>
      <c r="C661" s="10">
        <v>5</v>
      </c>
      <c r="D661" s="10">
        <v>7</v>
      </c>
      <c r="E66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61" s="10">
        <v>28</v>
      </c>
    </row>
    <row r="662" spans="1:6" x14ac:dyDescent="0.2">
      <c r="A662" t="s">
        <v>478</v>
      </c>
      <c r="B662" t="s">
        <v>541</v>
      </c>
      <c r="C662" s="10">
        <v>4</v>
      </c>
      <c r="D662" s="10">
        <v>10</v>
      </c>
      <c r="E66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62" s="10">
        <v>30</v>
      </c>
    </row>
    <row r="663" spans="1:6" x14ac:dyDescent="0.2">
      <c r="A663" t="s">
        <v>478</v>
      </c>
      <c r="B663" t="s">
        <v>541</v>
      </c>
      <c r="C663" s="10">
        <v>5</v>
      </c>
      <c r="D663" s="10">
        <v>7</v>
      </c>
      <c r="E66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63" s="10">
        <v>28</v>
      </c>
    </row>
    <row r="664" spans="1:6" x14ac:dyDescent="0.2">
      <c r="A664" t="s">
        <v>478</v>
      </c>
      <c r="B664" t="s">
        <v>541</v>
      </c>
      <c r="C664" s="10">
        <v>4</v>
      </c>
      <c r="D664" s="10">
        <v>1</v>
      </c>
      <c r="E66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64" s="10">
        <v>21</v>
      </c>
    </row>
    <row r="665" spans="1:6" x14ac:dyDescent="0.2">
      <c r="A665" t="s">
        <v>478</v>
      </c>
      <c r="B665" t="s">
        <v>541</v>
      </c>
      <c r="C665" s="10">
        <v>3</v>
      </c>
      <c r="D665" s="10">
        <v>10</v>
      </c>
      <c r="E66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65" s="10">
        <v>14</v>
      </c>
    </row>
    <row r="666" spans="1:6" x14ac:dyDescent="0.2">
      <c r="A666" t="s">
        <v>478</v>
      </c>
      <c r="B666" t="s">
        <v>541</v>
      </c>
      <c r="C666" s="10">
        <v>3</v>
      </c>
      <c r="D666" s="10">
        <v>7</v>
      </c>
      <c r="E66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66" s="10">
        <v>20</v>
      </c>
    </row>
    <row r="667" spans="1:6" x14ac:dyDescent="0.2">
      <c r="A667" t="s">
        <v>478</v>
      </c>
      <c r="B667" t="s">
        <v>541</v>
      </c>
      <c r="C667" s="10">
        <v>5</v>
      </c>
      <c r="D667" s="10">
        <v>4</v>
      </c>
      <c r="E667"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67" s="10">
        <v>50</v>
      </c>
    </row>
    <row r="668" spans="1:6" x14ac:dyDescent="0.2">
      <c r="A668" t="s">
        <v>478</v>
      </c>
      <c r="B668" t="s">
        <v>541</v>
      </c>
      <c r="C668" s="10">
        <v>5</v>
      </c>
      <c r="D668" s="10">
        <v>4</v>
      </c>
      <c r="E66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68" s="10">
        <v>30</v>
      </c>
    </row>
    <row r="669" spans="1:6" x14ac:dyDescent="0.2">
      <c r="A669" t="s">
        <v>478</v>
      </c>
      <c r="B669" t="s">
        <v>541</v>
      </c>
      <c r="C669" s="10">
        <v>3</v>
      </c>
      <c r="D669" s="10">
        <v>7</v>
      </c>
      <c r="E669"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69" s="10">
        <v>50</v>
      </c>
    </row>
    <row r="670" spans="1:6" x14ac:dyDescent="0.2">
      <c r="A670" t="s">
        <v>478</v>
      </c>
      <c r="B670" t="s">
        <v>541</v>
      </c>
      <c r="C670" s="10">
        <v>5</v>
      </c>
      <c r="D670" s="10">
        <v>7</v>
      </c>
      <c r="E670"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70" s="10">
        <v>50</v>
      </c>
    </row>
    <row r="671" spans="1:6" x14ac:dyDescent="0.2">
      <c r="A671" t="s">
        <v>478</v>
      </c>
      <c r="B671" t="s">
        <v>541</v>
      </c>
      <c r="C671" s="10">
        <v>1</v>
      </c>
      <c r="D671" s="10">
        <v>4</v>
      </c>
      <c r="E67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71" s="10">
        <v>21</v>
      </c>
    </row>
    <row r="672" spans="1:6" x14ac:dyDescent="0.2">
      <c r="A672" t="s">
        <v>478</v>
      </c>
      <c r="B672" t="s">
        <v>541</v>
      </c>
      <c r="C672" s="10">
        <v>1</v>
      </c>
      <c r="D672" s="10">
        <v>4</v>
      </c>
      <c r="E67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72" s="10">
        <v>28</v>
      </c>
    </row>
    <row r="673" spans="1:6" x14ac:dyDescent="0.2">
      <c r="A673" t="s">
        <v>478</v>
      </c>
      <c r="B673" t="s">
        <v>541</v>
      </c>
      <c r="C673" s="10">
        <v>4</v>
      </c>
      <c r="D673" s="10">
        <v>4</v>
      </c>
      <c r="E67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73" s="10">
        <v>28</v>
      </c>
    </row>
    <row r="674" spans="1:6" x14ac:dyDescent="0.2">
      <c r="A674" t="s">
        <v>478</v>
      </c>
      <c r="B674" t="s">
        <v>541</v>
      </c>
      <c r="C674" s="10">
        <v>3</v>
      </c>
      <c r="D674" s="10">
        <v>4</v>
      </c>
      <c r="E674"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674" s="10">
        <v>8</v>
      </c>
    </row>
    <row r="675" spans="1:6" x14ac:dyDescent="0.2">
      <c r="A675" t="s">
        <v>478</v>
      </c>
      <c r="B675" t="s">
        <v>541</v>
      </c>
      <c r="C675" s="10">
        <v>3</v>
      </c>
      <c r="D675" s="10">
        <v>4</v>
      </c>
      <c r="E675"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675" s="10">
        <v>7</v>
      </c>
    </row>
    <row r="676" spans="1:6" x14ac:dyDescent="0.2">
      <c r="A676" t="s">
        <v>478</v>
      </c>
      <c r="B676" t="s">
        <v>446</v>
      </c>
      <c r="C676" s="10">
        <v>4</v>
      </c>
      <c r="D676" s="10">
        <v>4</v>
      </c>
      <c r="E67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76" s="10">
        <v>16</v>
      </c>
    </row>
    <row r="677" spans="1:6" x14ac:dyDescent="0.2">
      <c r="A677" t="s">
        <v>478</v>
      </c>
      <c r="B677" t="s">
        <v>446</v>
      </c>
      <c r="C677" s="10">
        <v>4</v>
      </c>
      <c r="D677" s="10">
        <v>7</v>
      </c>
      <c r="E67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77" s="10">
        <v>28</v>
      </c>
    </row>
    <row r="678" spans="1:6" x14ac:dyDescent="0.2">
      <c r="A678" t="s">
        <v>479</v>
      </c>
      <c r="B678" t="s">
        <v>446</v>
      </c>
      <c r="C678" s="10">
        <v>5</v>
      </c>
      <c r="D678" s="10">
        <v>7</v>
      </c>
      <c r="E67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78" s="10">
        <v>35</v>
      </c>
    </row>
    <row r="679" spans="1:6" x14ac:dyDescent="0.2">
      <c r="A679" t="s">
        <v>478</v>
      </c>
      <c r="B679" t="s">
        <v>446</v>
      </c>
      <c r="C679" s="10">
        <v>4</v>
      </c>
      <c r="D679" s="10">
        <v>4</v>
      </c>
      <c r="E67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79" s="10">
        <v>16</v>
      </c>
    </row>
    <row r="680" spans="1:6" x14ac:dyDescent="0.2">
      <c r="A680" t="s">
        <v>479</v>
      </c>
      <c r="B680" t="s">
        <v>446</v>
      </c>
      <c r="C680" s="10">
        <v>4</v>
      </c>
      <c r="D680" s="10">
        <v>10</v>
      </c>
      <c r="E680"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80" s="10">
        <v>40</v>
      </c>
    </row>
    <row r="681" spans="1:6" x14ac:dyDescent="0.2">
      <c r="A681" t="s">
        <v>478</v>
      </c>
      <c r="B681" t="s">
        <v>446</v>
      </c>
      <c r="C681" s="10">
        <v>4</v>
      </c>
      <c r="D681" s="10">
        <v>7</v>
      </c>
      <c r="E68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81" s="10">
        <v>28</v>
      </c>
    </row>
    <row r="682" spans="1:6" x14ac:dyDescent="0.2">
      <c r="A682" t="s">
        <v>478</v>
      </c>
      <c r="B682" t="s">
        <v>446</v>
      </c>
      <c r="C682" s="10">
        <v>4</v>
      </c>
      <c r="D682" s="10">
        <v>7</v>
      </c>
      <c r="E68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82" s="10">
        <v>28</v>
      </c>
    </row>
    <row r="683" spans="1:6" x14ac:dyDescent="0.2">
      <c r="A683" t="s">
        <v>478</v>
      </c>
      <c r="B683" t="s">
        <v>446</v>
      </c>
      <c r="C683" s="10">
        <v>4</v>
      </c>
      <c r="D683" s="10">
        <v>7</v>
      </c>
      <c r="E68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83" s="10">
        <v>28</v>
      </c>
    </row>
    <row r="684" spans="1:6" x14ac:dyDescent="0.2">
      <c r="A684" t="s">
        <v>478</v>
      </c>
      <c r="B684" t="s">
        <v>446</v>
      </c>
      <c r="C684" s="10">
        <v>5</v>
      </c>
      <c r="D684" s="10">
        <v>7</v>
      </c>
      <c r="E68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84" s="10">
        <v>35</v>
      </c>
    </row>
    <row r="685" spans="1:6" x14ac:dyDescent="0.2">
      <c r="A685" t="s">
        <v>478</v>
      </c>
      <c r="B685" t="s">
        <v>446</v>
      </c>
      <c r="C685" s="10">
        <v>5</v>
      </c>
      <c r="D685" s="10">
        <v>10</v>
      </c>
      <c r="E685"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85" s="10">
        <v>50</v>
      </c>
    </row>
    <row r="686" spans="1:6" x14ac:dyDescent="0.2">
      <c r="A686" t="s">
        <v>479</v>
      </c>
      <c r="B686" t="s">
        <v>446</v>
      </c>
      <c r="C686" s="10">
        <v>4</v>
      </c>
      <c r="D686" s="10">
        <v>7</v>
      </c>
      <c r="E68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86" s="10">
        <v>28</v>
      </c>
    </row>
    <row r="687" spans="1:6" x14ac:dyDescent="0.2">
      <c r="A687" t="s">
        <v>478</v>
      </c>
      <c r="B687" t="s">
        <v>446</v>
      </c>
      <c r="C687" s="10">
        <v>3</v>
      </c>
      <c r="D687" s="10">
        <v>5</v>
      </c>
      <c r="E68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87" s="10">
        <v>15</v>
      </c>
    </row>
    <row r="688" spans="1:6" x14ac:dyDescent="0.2">
      <c r="A688" t="s">
        <v>478</v>
      </c>
      <c r="B688" t="s">
        <v>446</v>
      </c>
      <c r="C688" s="10">
        <v>5</v>
      </c>
      <c r="D688" s="10">
        <v>7</v>
      </c>
      <c r="E68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88" s="10">
        <v>35</v>
      </c>
    </row>
    <row r="689" spans="1:6" x14ac:dyDescent="0.2">
      <c r="A689" t="s">
        <v>479</v>
      </c>
      <c r="B689" t="s">
        <v>446</v>
      </c>
      <c r="C689" s="10">
        <v>4</v>
      </c>
      <c r="D689" s="10">
        <v>10</v>
      </c>
      <c r="E689"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89" s="10">
        <v>40</v>
      </c>
    </row>
    <row r="690" spans="1:6" x14ac:dyDescent="0.2">
      <c r="A690" t="s">
        <v>478</v>
      </c>
      <c r="B690" t="s">
        <v>446</v>
      </c>
      <c r="C690" s="10">
        <v>4</v>
      </c>
      <c r="D690" s="10">
        <v>7</v>
      </c>
      <c r="E69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90" s="10">
        <v>28</v>
      </c>
    </row>
    <row r="691" spans="1:6" x14ac:dyDescent="0.2">
      <c r="A691" t="s">
        <v>478</v>
      </c>
      <c r="B691" t="s">
        <v>446</v>
      </c>
      <c r="C691" s="10">
        <v>4</v>
      </c>
      <c r="D691" s="10">
        <v>4</v>
      </c>
      <c r="E69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91" s="10">
        <v>16</v>
      </c>
    </row>
    <row r="692" spans="1:6" x14ac:dyDescent="0.2">
      <c r="A692" t="s">
        <v>478</v>
      </c>
      <c r="B692" t="s">
        <v>446</v>
      </c>
      <c r="C692" s="10">
        <v>4</v>
      </c>
      <c r="D692" s="10">
        <v>10</v>
      </c>
      <c r="E692"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92" s="10">
        <v>40</v>
      </c>
    </row>
    <row r="693" spans="1:6" x14ac:dyDescent="0.2">
      <c r="A693" t="s">
        <v>479</v>
      </c>
      <c r="B693" t="s">
        <v>446</v>
      </c>
      <c r="C693" s="10">
        <v>3</v>
      </c>
      <c r="D693" s="10">
        <v>7</v>
      </c>
      <c r="E69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93" s="10">
        <v>21</v>
      </c>
    </row>
    <row r="694" spans="1:6" x14ac:dyDescent="0.2">
      <c r="A694" t="s">
        <v>478</v>
      </c>
      <c r="B694" t="s">
        <v>446</v>
      </c>
      <c r="C694" s="10">
        <v>5</v>
      </c>
      <c r="D694" s="10">
        <v>7</v>
      </c>
      <c r="E69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94" s="10">
        <v>35</v>
      </c>
    </row>
    <row r="695" spans="1:6" x14ac:dyDescent="0.2">
      <c r="A695" t="s">
        <v>478</v>
      </c>
      <c r="B695" t="s">
        <v>446</v>
      </c>
      <c r="C695" s="10">
        <v>4</v>
      </c>
      <c r="D695" s="10">
        <v>10</v>
      </c>
      <c r="E695"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95" s="10">
        <v>40</v>
      </c>
    </row>
    <row r="696" spans="1:6" x14ac:dyDescent="0.2">
      <c r="A696" t="s">
        <v>478</v>
      </c>
      <c r="B696" t="s">
        <v>446</v>
      </c>
      <c r="C696" s="10">
        <v>4</v>
      </c>
      <c r="D696" s="10">
        <v>7</v>
      </c>
      <c r="E69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96" s="10">
        <v>28</v>
      </c>
    </row>
    <row r="697" spans="1:6" x14ac:dyDescent="0.2">
      <c r="A697" t="s">
        <v>479</v>
      </c>
      <c r="B697" t="s">
        <v>446</v>
      </c>
      <c r="C697" s="10">
        <v>3</v>
      </c>
      <c r="D697" s="10">
        <v>7</v>
      </c>
      <c r="E69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697" s="10">
        <v>20</v>
      </c>
    </row>
    <row r="698" spans="1:6" x14ac:dyDescent="0.2">
      <c r="A698" t="s">
        <v>478</v>
      </c>
      <c r="B698" t="s">
        <v>446</v>
      </c>
      <c r="C698" s="10">
        <v>4</v>
      </c>
      <c r="D698" s="10">
        <v>10</v>
      </c>
      <c r="E69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698" s="10">
        <v>35</v>
      </c>
    </row>
    <row r="699" spans="1:6" x14ac:dyDescent="0.2">
      <c r="A699" t="s">
        <v>478</v>
      </c>
      <c r="B699" t="s">
        <v>446</v>
      </c>
      <c r="C699" s="10">
        <v>4</v>
      </c>
      <c r="D699" s="10">
        <v>10</v>
      </c>
      <c r="E699"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699" s="10">
        <v>40</v>
      </c>
    </row>
    <row r="700" spans="1:6" x14ac:dyDescent="0.2">
      <c r="A700" t="s">
        <v>478</v>
      </c>
      <c r="B700" t="s">
        <v>446</v>
      </c>
      <c r="C700" s="10">
        <v>5</v>
      </c>
      <c r="D700" s="10">
        <v>7</v>
      </c>
      <c r="E700"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700" s="10">
        <v>40</v>
      </c>
    </row>
    <row r="701" spans="1:6" x14ac:dyDescent="0.2">
      <c r="A701" t="s">
        <v>478</v>
      </c>
      <c r="B701" t="s">
        <v>446</v>
      </c>
      <c r="C701" s="10">
        <v>5</v>
      </c>
      <c r="D701" s="10">
        <v>7</v>
      </c>
      <c r="E701"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701" s="10">
        <v>40</v>
      </c>
    </row>
    <row r="702" spans="1:6" x14ac:dyDescent="0.2">
      <c r="A702" s="12" t="s">
        <v>479</v>
      </c>
      <c r="B702" s="12" t="s">
        <v>446</v>
      </c>
      <c r="C702" s="232">
        <v>4</v>
      </c>
      <c r="D702" s="232">
        <v>5</v>
      </c>
      <c r="E70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02" s="232">
        <v>28</v>
      </c>
    </row>
    <row r="703" spans="1:6" x14ac:dyDescent="0.2">
      <c r="A703" s="12" t="s">
        <v>479</v>
      </c>
      <c r="B703" s="12" t="s">
        <v>446</v>
      </c>
      <c r="C703" s="232">
        <v>3</v>
      </c>
      <c r="D703" s="232">
        <v>5</v>
      </c>
      <c r="E70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03" s="232">
        <v>20</v>
      </c>
    </row>
    <row r="704" spans="1:6" x14ac:dyDescent="0.2">
      <c r="A704" t="s">
        <v>478</v>
      </c>
      <c r="B704" t="s">
        <v>446</v>
      </c>
      <c r="C704" s="10">
        <v>4</v>
      </c>
      <c r="D704" s="10">
        <v>4</v>
      </c>
      <c r="E70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04" s="10">
        <v>35</v>
      </c>
    </row>
    <row r="705" spans="1:6" x14ac:dyDescent="0.2">
      <c r="A705" t="s">
        <v>479</v>
      </c>
      <c r="B705" t="s">
        <v>446</v>
      </c>
      <c r="C705" s="10">
        <v>4</v>
      </c>
      <c r="D705" s="10">
        <v>7</v>
      </c>
      <c r="E70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05" s="10">
        <v>20</v>
      </c>
    </row>
    <row r="706" spans="1:6" x14ac:dyDescent="0.2">
      <c r="A706" t="s">
        <v>479</v>
      </c>
      <c r="B706" t="s">
        <v>446</v>
      </c>
      <c r="C706" s="10">
        <v>3</v>
      </c>
      <c r="D706" s="10">
        <v>4</v>
      </c>
      <c r="E70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06" s="10">
        <v>35</v>
      </c>
    </row>
    <row r="707" spans="1:6" x14ac:dyDescent="0.2">
      <c r="A707" t="s">
        <v>478</v>
      </c>
      <c r="B707" t="s">
        <v>446</v>
      </c>
      <c r="C707" s="10">
        <v>5</v>
      </c>
      <c r="D707" s="10">
        <v>7</v>
      </c>
      <c r="E70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07" s="10">
        <v>21</v>
      </c>
    </row>
    <row r="708" spans="1:6" x14ac:dyDescent="0.2">
      <c r="A708" t="s">
        <v>478</v>
      </c>
      <c r="B708" t="s">
        <v>446</v>
      </c>
      <c r="C708" s="10">
        <v>4</v>
      </c>
      <c r="D708" s="10">
        <v>4</v>
      </c>
      <c r="E70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08" s="10">
        <v>28</v>
      </c>
    </row>
    <row r="709" spans="1:6" x14ac:dyDescent="0.2">
      <c r="A709" t="s">
        <v>478</v>
      </c>
      <c r="B709" t="s">
        <v>446</v>
      </c>
      <c r="C709" s="10">
        <v>4</v>
      </c>
      <c r="D709" s="10">
        <v>7</v>
      </c>
      <c r="E70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09" s="10">
        <v>35</v>
      </c>
    </row>
    <row r="710" spans="1:6" x14ac:dyDescent="0.2">
      <c r="A710" t="s">
        <v>479</v>
      </c>
      <c r="B710" t="s">
        <v>446</v>
      </c>
      <c r="C710" s="10">
        <v>1</v>
      </c>
      <c r="D710" s="10">
        <v>7</v>
      </c>
      <c r="E71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10" s="10">
        <v>28</v>
      </c>
    </row>
    <row r="711" spans="1:6" x14ac:dyDescent="0.2">
      <c r="A711" t="s">
        <v>479</v>
      </c>
      <c r="B711" t="s">
        <v>446</v>
      </c>
      <c r="C711" s="10">
        <v>5</v>
      </c>
      <c r="D711" s="10">
        <v>4</v>
      </c>
      <c r="E711"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711" s="10">
        <v>7</v>
      </c>
    </row>
    <row r="712" spans="1:6" x14ac:dyDescent="0.2">
      <c r="A712" t="s">
        <v>478</v>
      </c>
      <c r="B712" t="s">
        <v>446</v>
      </c>
      <c r="C712" s="10">
        <v>5</v>
      </c>
      <c r="D712" s="10">
        <v>7</v>
      </c>
      <c r="E712"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712" s="10">
        <v>5</v>
      </c>
    </row>
    <row r="713" spans="1:6" x14ac:dyDescent="0.2">
      <c r="A713" t="s">
        <v>478</v>
      </c>
      <c r="B713" t="s">
        <v>446</v>
      </c>
      <c r="C713" s="10">
        <v>5</v>
      </c>
      <c r="D713" s="10">
        <v>4</v>
      </c>
      <c r="E71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13" s="10">
        <v>12</v>
      </c>
    </row>
    <row r="714" spans="1:6" x14ac:dyDescent="0.2">
      <c r="A714" t="s">
        <v>478</v>
      </c>
      <c r="B714" t="s">
        <v>446</v>
      </c>
      <c r="C714" s="10">
        <v>4</v>
      </c>
      <c r="D714" s="10">
        <v>7</v>
      </c>
      <c r="E71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14" s="10">
        <v>20</v>
      </c>
    </row>
    <row r="715" spans="1:6" x14ac:dyDescent="0.2">
      <c r="A715" t="s">
        <v>478</v>
      </c>
      <c r="B715" t="s">
        <v>446</v>
      </c>
      <c r="C715" s="10">
        <v>4</v>
      </c>
      <c r="D715" s="10">
        <v>7</v>
      </c>
      <c r="E71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15" s="10">
        <v>28</v>
      </c>
    </row>
    <row r="716" spans="1:6" x14ac:dyDescent="0.2">
      <c r="A716" t="s">
        <v>478</v>
      </c>
      <c r="B716" t="s">
        <v>446</v>
      </c>
      <c r="C716" s="10">
        <v>3</v>
      </c>
      <c r="D716" s="10">
        <v>7</v>
      </c>
      <c r="E71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16" s="10">
        <v>28</v>
      </c>
    </row>
    <row r="717" spans="1:6" x14ac:dyDescent="0.2">
      <c r="A717" t="s">
        <v>478</v>
      </c>
      <c r="B717" t="s">
        <v>446</v>
      </c>
      <c r="C717" s="10">
        <v>3</v>
      </c>
      <c r="D717" s="10">
        <v>7</v>
      </c>
      <c r="E71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17" s="10">
        <v>30</v>
      </c>
    </row>
    <row r="718" spans="1:6" x14ac:dyDescent="0.2">
      <c r="A718" t="s">
        <v>478</v>
      </c>
      <c r="B718" t="s">
        <v>446</v>
      </c>
      <c r="C718" s="10">
        <v>4</v>
      </c>
      <c r="D718" s="10">
        <v>7</v>
      </c>
      <c r="E71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18" s="10">
        <v>28</v>
      </c>
    </row>
    <row r="719" spans="1:6" x14ac:dyDescent="0.2">
      <c r="A719" t="s">
        <v>479</v>
      </c>
      <c r="B719" t="s">
        <v>446</v>
      </c>
      <c r="C719" s="10">
        <v>4</v>
      </c>
      <c r="D719" s="10">
        <v>7</v>
      </c>
      <c r="E71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19" s="10">
        <v>28</v>
      </c>
    </row>
    <row r="720" spans="1:6" x14ac:dyDescent="0.2">
      <c r="A720" t="s">
        <v>478</v>
      </c>
      <c r="B720" t="s">
        <v>446</v>
      </c>
      <c r="C720" s="10">
        <v>5</v>
      </c>
      <c r="D720" s="10">
        <v>7</v>
      </c>
      <c r="E720"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720" s="10">
        <v>40</v>
      </c>
    </row>
    <row r="721" spans="1:6" x14ac:dyDescent="0.2">
      <c r="A721" t="s">
        <v>478</v>
      </c>
      <c r="B721" t="s">
        <v>446</v>
      </c>
      <c r="C721" s="10">
        <v>3</v>
      </c>
      <c r="D721" s="10">
        <v>7</v>
      </c>
      <c r="E72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21" s="10">
        <v>28</v>
      </c>
    </row>
    <row r="722" spans="1:6" x14ac:dyDescent="0.2">
      <c r="A722" t="s">
        <v>478</v>
      </c>
      <c r="B722" t="s">
        <v>446</v>
      </c>
      <c r="C722" s="10">
        <v>4</v>
      </c>
      <c r="D722" s="10">
        <v>10</v>
      </c>
      <c r="E72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22" s="10">
        <v>28</v>
      </c>
    </row>
    <row r="723" spans="1:6" x14ac:dyDescent="0.2">
      <c r="A723" t="s">
        <v>478</v>
      </c>
      <c r="B723" t="s">
        <v>446</v>
      </c>
      <c r="C723" s="10">
        <v>4</v>
      </c>
      <c r="D723" s="10">
        <v>4</v>
      </c>
      <c r="E72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23" s="10">
        <v>21</v>
      </c>
    </row>
    <row r="724" spans="1:6" x14ac:dyDescent="0.2">
      <c r="A724" t="s">
        <v>478</v>
      </c>
      <c r="B724" t="s">
        <v>446</v>
      </c>
      <c r="C724" s="10">
        <v>4</v>
      </c>
      <c r="D724" s="10">
        <v>10</v>
      </c>
      <c r="E724"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724" s="10">
        <v>40</v>
      </c>
    </row>
    <row r="725" spans="1:6" x14ac:dyDescent="0.2">
      <c r="A725" t="s">
        <v>478</v>
      </c>
      <c r="B725" t="s">
        <v>446</v>
      </c>
      <c r="C725" s="10">
        <v>4</v>
      </c>
      <c r="D725" s="10">
        <v>7</v>
      </c>
      <c r="E72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25" s="10">
        <v>28</v>
      </c>
    </row>
    <row r="726" spans="1:6" x14ac:dyDescent="0.2">
      <c r="A726" t="s">
        <v>478</v>
      </c>
      <c r="B726" t="s">
        <v>446</v>
      </c>
      <c r="C726" s="10">
        <v>4</v>
      </c>
      <c r="D726" s="10">
        <v>7</v>
      </c>
      <c r="E726"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726" s="10">
        <v>40</v>
      </c>
    </row>
    <row r="727" spans="1:6" x14ac:dyDescent="0.2">
      <c r="A727" t="s">
        <v>478</v>
      </c>
      <c r="B727" t="s">
        <v>446</v>
      </c>
      <c r="C727" s="10">
        <v>4</v>
      </c>
      <c r="D727" s="10">
        <v>4</v>
      </c>
      <c r="E72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27" s="10">
        <v>28</v>
      </c>
    </row>
    <row r="728" spans="1:6" x14ac:dyDescent="0.2">
      <c r="A728" t="s">
        <v>478</v>
      </c>
      <c r="B728" t="s">
        <v>446</v>
      </c>
      <c r="C728" s="10">
        <v>3</v>
      </c>
      <c r="D728" s="10">
        <v>4</v>
      </c>
      <c r="E72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28" s="10">
        <v>28</v>
      </c>
    </row>
    <row r="729" spans="1:6" x14ac:dyDescent="0.2">
      <c r="A729" t="s">
        <v>478</v>
      </c>
      <c r="B729" t="s">
        <v>446</v>
      </c>
      <c r="C729" s="10">
        <v>3</v>
      </c>
      <c r="D729" s="10">
        <v>7</v>
      </c>
      <c r="E72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29" s="10">
        <v>28</v>
      </c>
    </row>
    <row r="730" spans="1:6" x14ac:dyDescent="0.2">
      <c r="A730" t="s">
        <v>478</v>
      </c>
      <c r="B730" t="s">
        <v>446</v>
      </c>
      <c r="C730" s="10">
        <v>3</v>
      </c>
      <c r="D730" s="10">
        <v>7</v>
      </c>
      <c r="E73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30" s="10">
        <v>28</v>
      </c>
    </row>
    <row r="731" spans="1:6" x14ac:dyDescent="0.2">
      <c r="A731" t="s">
        <v>479</v>
      </c>
      <c r="B731" t="s">
        <v>446</v>
      </c>
      <c r="C731" s="10">
        <v>4</v>
      </c>
      <c r="D731" s="10">
        <v>4</v>
      </c>
      <c r="E73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31" s="10">
        <v>28</v>
      </c>
    </row>
    <row r="732" spans="1:6" x14ac:dyDescent="0.2">
      <c r="A732" t="s">
        <v>478</v>
      </c>
      <c r="B732" t="s">
        <v>446</v>
      </c>
      <c r="C732" s="10">
        <v>5</v>
      </c>
      <c r="D732" s="10">
        <v>7</v>
      </c>
      <c r="E73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32" s="10">
        <v>28</v>
      </c>
    </row>
    <row r="733" spans="1:6" x14ac:dyDescent="0.2">
      <c r="A733" t="s">
        <v>478</v>
      </c>
      <c r="B733" t="s">
        <v>446</v>
      </c>
      <c r="C733" s="10">
        <v>5</v>
      </c>
      <c r="D733" s="10">
        <v>7</v>
      </c>
      <c r="E73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33" s="10">
        <v>28</v>
      </c>
    </row>
    <row r="734" spans="1:6" x14ac:dyDescent="0.2">
      <c r="A734" t="s">
        <v>479</v>
      </c>
      <c r="B734" t="s">
        <v>446</v>
      </c>
      <c r="C734" s="10">
        <v>4</v>
      </c>
      <c r="D734" s="10">
        <v>10</v>
      </c>
      <c r="E73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34" s="10">
        <v>35</v>
      </c>
    </row>
    <row r="735" spans="1:6" x14ac:dyDescent="0.2">
      <c r="A735" t="s">
        <v>478</v>
      </c>
      <c r="B735" t="s">
        <v>446</v>
      </c>
      <c r="C735" s="10">
        <v>4</v>
      </c>
      <c r="D735" s="10">
        <v>7</v>
      </c>
      <c r="E735"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735" s="10">
        <v>40</v>
      </c>
    </row>
    <row r="736" spans="1:6" x14ac:dyDescent="0.2">
      <c r="A736" t="s">
        <v>479</v>
      </c>
      <c r="B736" t="s">
        <v>446</v>
      </c>
      <c r="C736" s="10">
        <v>4</v>
      </c>
      <c r="D736" s="10">
        <v>10</v>
      </c>
      <c r="E73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36" s="10">
        <v>28</v>
      </c>
    </row>
    <row r="737" spans="1:6" x14ac:dyDescent="0.2">
      <c r="A737" t="s">
        <v>478</v>
      </c>
      <c r="B737" t="s">
        <v>446</v>
      </c>
      <c r="C737" s="10">
        <v>4</v>
      </c>
      <c r="D737" s="10">
        <v>10</v>
      </c>
      <c r="E73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37" s="10">
        <v>35</v>
      </c>
    </row>
    <row r="738" spans="1:6" x14ac:dyDescent="0.2">
      <c r="A738" t="s">
        <v>478</v>
      </c>
      <c r="B738" t="s">
        <v>446</v>
      </c>
      <c r="C738" s="10">
        <v>5</v>
      </c>
      <c r="D738" s="10">
        <v>10</v>
      </c>
      <c r="E73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38" s="10">
        <v>28</v>
      </c>
    </row>
    <row r="739" spans="1:6" x14ac:dyDescent="0.2">
      <c r="A739" t="s">
        <v>479</v>
      </c>
      <c r="B739" t="s">
        <v>446</v>
      </c>
      <c r="C739" s="10">
        <v>3</v>
      </c>
      <c r="D739" s="10">
        <v>4</v>
      </c>
      <c r="E73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39" s="10">
        <v>28</v>
      </c>
    </row>
    <row r="740" spans="1:6" x14ac:dyDescent="0.2">
      <c r="A740" t="s">
        <v>478</v>
      </c>
      <c r="B740" t="s">
        <v>446</v>
      </c>
      <c r="C740" s="10">
        <v>3</v>
      </c>
      <c r="D740" s="10">
        <v>7</v>
      </c>
      <c r="E74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40" s="10">
        <v>35</v>
      </c>
    </row>
    <row r="741" spans="1:6" x14ac:dyDescent="0.2">
      <c r="A741" t="s">
        <v>478</v>
      </c>
      <c r="B741" t="s">
        <v>446</v>
      </c>
      <c r="C741" s="10">
        <v>2</v>
      </c>
      <c r="D741" s="10">
        <v>7</v>
      </c>
      <c r="E74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41" s="10">
        <v>30</v>
      </c>
    </row>
    <row r="742" spans="1:6" x14ac:dyDescent="0.2">
      <c r="A742" t="s">
        <v>478</v>
      </c>
      <c r="B742" t="s">
        <v>446</v>
      </c>
      <c r="C742" s="10">
        <v>4</v>
      </c>
      <c r="D742" s="10">
        <v>7</v>
      </c>
      <c r="E742"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742" s="10">
        <v>50</v>
      </c>
    </row>
    <row r="743" spans="1:6" x14ac:dyDescent="0.2">
      <c r="A743" t="s">
        <v>478</v>
      </c>
      <c r="B743" t="s">
        <v>446</v>
      </c>
      <c r="C743" s="10">
        <v>2</v>
      </c>
      <c r="D743" s="10">
        <v>7</v>
      </c>
      <c r="E74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43" s="10">
        <v>28</v>
      </c>
    </row>
    <row r="744" spans="1:6" x14ac:dyDescent="0.2">
      <c r="A744" t="s">
        <v>478</v>
      </c>
      <c r="B744" t="s">
        <v>446</v>
      </c>
      <c r="C744" s="10">
        <v>4</v>
      </c>
      <c r="D744" s="10">
        <v>10</v>
      </c>
      <c r="E74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44" s="10">
        <v>20</v>
      </c>
    </row>
    <row r="745" spans="1:6" x14ac:dyDescent="0.2">
      <c r="A745" t="s">
        <v>478</v>
      </c>
      <c r="B745" t="s">
        <v>446</v>
      </c>
      <c r="C745" s="10">
        <v>4</v>
      </c>
      <c r="D745" s="10">
        <v>10</v>
      </c>
      <c r="E74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45" s="10">
        <v>15</v>
      </c>
    </row>
    <row r="746" spans="1:6" x14ac:dyDescent="0.2">
      <c r="A746" t="s">
        <v>478</v>
      </c>
      <c r="B746" t="s">
        <v>446</v>
      </c>
      <c r="C746" s="10">
        <v>4</v>
      </c>
      <c r="D746" s="10">
        <v>10</v>
      </c>
      <c r="E746"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746" s="10">
        <v>40</v>
      </c>
    </row>
    <row r="747" spans="1:6" x14ac:dyDescent="0.2">
      <c r="A747" t="s">
        <v>478</v>
      </c>
      <c r="B747" t="s">
        <v>446</v>
      </c>
      <c r="C747" s="10">
        <v>5</v>
      </c>
      <c r="D747" s="10">
        <v>4</v>
      </c>
      <c r="E74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47" s="10">
        <v>28</v>
      </c>
    </row>
    <row r="748" spans="1:6" x14ac:dyDescent="0.2">
      <c r="A748" t="s">
        <v>478</v>
      </c>
      <c r="B748" t="s">
        <v>446</v>
      </c>
      <c r="C748" s="10">
        <v>5</v>
      </c>
      <c r="D748" s="10">
        <v>7</v>
      </c>
      <c r="E74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48" s="10">
        <v>30</v>
      </c>
    </row>
    <row r="749" spans="1:6" x14ac:dyDescent="0.2">
      <c r="A749" t="s">
        <v>478</v>
      </c>
      <c r="B749" t="s">
        <v>446</v>
      </c>
      <c r="C749" s="10">
        <v>5</v>
      </c>
      <c r="D749" s="10">
        <v>4</v>
      </c>
      <c r="E74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49" s="10">
        <v>30</v>
      </c>
    </row>
    <row r="750" spans="1:6" x14ac:dyDescent="0.2">
      <c r="A750" t="s">
        <v>478</v>
      </c>
      <c r="B750" t="s">
        <v>446</v>
      </c>
      <c r="C750" s="10">
        <v>3</v>
      </c>
      <c r="D750" s="10">
        <v>5</v>
      </c>
      <c r="E75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50" s="10">
        <v>35</v>
      </c>
    </row>
    <row r="751" spans="1:6" x14ac:dyDescent="0.2">
      <c r="A751" t="s">
        <v>478</v>
      </c>
      <c r="B751" t="s">
        <v>446</v>
      </c>
      <c r="C751" s="10">
        <v>4</v>
      </c>
      <c r="D751" s="10">
        <v>7</v>
      </c>
      <c r="E751"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751" s="10">
        <v>40</v>
      </c>
    </row>
    <row r="752" spans="1:6" x14ac:dyDescent="0.2">
      <c r="A752" t="s">
        <v>478</v>
      </c>
      <c r="B752" t="s">
        <v>446</v>
      </c>
      <c r="C752" s="10">
        <v>4</v>
      </c>
      <c r="D752" s="10">
        <v>4</v>
      </c>
      <c r="E75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52" s="10">
        <v>35</v>
      </c>
    </row>
    <row r="753" spans="1:6" x14ac:dyDescent="0.2">
      <c r="A753" t="s">
        <v>478</v>
      </c>
      <c r="B753" t="s">
        <v>446</v>
      </c>
      <c r="C753" s="10">
        <v>4</v>
      </c>
      <c r="D753" s="10">
        <v>7</v>
      </c>
      <c r="E75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53" s="10">
        <v>28</v>
      </c>
    </row>
    <row r="754" spans="1:6" x14ac:dyDescent="0.2">
      <c r="A754" t="s">
        <v>478</v>
      </c>
      <c r="B754" t="s">
        <v>446</v>
      </c>
      <c r="C754" s="10">
        <v>4</v>
      </c>
      <c r="D754" s="10">
        <v>4</v>
      </c>
      <c r="E754"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54" s="10">
        <v>28</v>
      </c>
    </row>
    <row r="755" spans="1:6" x14ac:dyDescent="0.2">
      <c r="A755" t="s">
        <v>479</v>
      </c>
      <c r="B755" t="s">
        <v>446</v>
      </c>
      <c r="C755" s="10">
        <v>5</v>
      </c>
      <c r="D755" s="10">
        <v>7</v>
      </c>
      <c r="E75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55" s="10">
        <v>28</v>
      </c>
    </row>
    <row r="756" spans="1:6" x14ac:dyDescent="0.2">
      <c r="A756" t="s">
        <v>478</v>
      </c>
      <c r="B756" t="s">
        <v>446</v>
      </c>
      <c r="C756" s="10">
        <v>3</v>
      </c>
      <c r="D756" s="10">
        <v>7</v>
      </c>
      <c r="E756"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756" s="10">
        <v>50</v>
      </c>
    </row>
    <row r="757" spans="1:6" x14ac:dyDescent="0.2">
      <c r="A757" t="s">
        <v>478</v>
      </c>
      <c r="B757" t="s">
        <v>446</v>
      </c>
      <c r="C757" s="10">
        <v>3</v>
      </c>
      <c r="D757" s="10">
        <v>7</v>
      </c>
      <c r="E75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57" s="10">
        <v>28</v>
      </c>
    </row>
    <row r="758" spans="1:6" x14ac:dyDescent="0.2">
      <c r="A758" t="s">
        <v>479</v>
      </c>
      <c r="B758" t="s">
        <v>446</v>
      </c>
      <c r="C758" s="10">
        <v>5</v>
      </c>
      <c r="D758" s="10">
        <v>7</v>
      </c>
      <c r="E758"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58" s="10">
        <v>12</v>
      </c>
    </row>
    <row r="759" spans="1:6" x14ac:dyDescent="0.2">
      <c r="A759" t="s">
        <v>479</v>
      </c>
      <c r="B759" t="s">
        <v>446</v>
      </c>
      <c r="C759" s="10">
        <v>1</v>
      </c>
      <c r="D759" s="10">
        <v>10</v>
      </c>
      <c r="E75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59" s="10">
        <v>28</v>
      </c>
    </row>
    <row r="760" spans="1:6" x14ac:dyDescent="0.2">
      <c r="A760" t="s">
        <v>479</v>
      </c>
      <c r="B760" t="s">
        <v>446</v>
      </c>
      <c r="C760" s="10">
        <v>1</v>
      </c>
      <c r="D760" s="10">
        <v>10</v>
      </c>
      <c r="E76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60" s="10">
        <v>10</v>
      </c>
    </row>
    <row r="761" spans="1:6" x14ac:dyDescent="0.2">
      <c r="A761" t="s">
        <v>478</v>
      </c>
      <c r="B761" t="s">
        <v>446</v>
      </c>
      <c r="C761" s="10">
        <v>2</v>
      </c>
      <c r="D761" s="10">
        <v>4</v>
      </c>
      <c r="E76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61" s="10">
        <v>35</v>
      </c>
    </row>
    <row r="762" spans="1:6" x14ac:dyDescent="0.2">
      <c r="A762" t="s">
        <v>479</v>
      </c>
      <c r="B762" t="s">
        <v>446</v>
      </c>
      <c r="C762" s="10">
        <v>5</v>
      </c>
      <c r="D762" s="10">
        <v>10</v>
      </c>
      <c r="E762"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62" s="10">
        <v>30</v>
      </c>
    </row>
    <row r="763" spans="1:6" x14ac:dyDescent="0.2">
      <c r="A763" t="s">
        <v>479</v>
      </c>
      <c r="B763" t="s">
        <v>446</v>
      </c>
      <c r="C763" s="10">
        <v>4</v>
      </c>
      <c r="D763" s="10">
        <v>7</v>
      </c>
      <c r="E76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63" s="10">
        <v>35</v>
      </c>
    </row>
    <row r="764" spans="1:6" x14ac:dyDescent="0.2">
      <c r="A764" t="s">
        <v>478</v>
      </c>
      <c r="B764" t="s">
        <v>446</v>
      </c>
      <c r="C764" s="10">
        <v>2</v>
      </c>
      <c r="D764" s="10">
        <v>10</v>
      </c>
      <c r="E764"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764" s="10">
        <v>50</v>
      </c>
    </row>
    <row r="765" spans="1:6" x14ac:dyDescent="0.2">
      <c r="A765" t="s">
        <v>478</v>
      </c>
      <c r="B765" t="s">
        <v>446</v>
      </c>
      <c r="C765" s="10">
        <v>3</v>
      </c>
      <c r="D765" s="10">
        <v>10</v>
      </c>
      <c r="E76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65" s="10">
        <v>35</v>
      </c>
    </row>
    <row r="766" spans="1:6" x14ac:dyDescent="0.2">
      <c r="A766" t="s">
        <v>479</v>
      </c>
      <c r="B766" t="s">
        <v>446</v>
      </c>
      <c r="C766" s="10">
        <v>2</v>
      </c>
      <c r="D766" s="10">
        <v>7</v>
      </c>
      <c r="E76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66" s="10">
        <v>12</v>
      </c>
    </row>
    <row r="767" spans="1:6" x14ac:dyDescent="0.2">
      <c r="A767" t="s">
        <v>478</v>
      </c>
      <c r="B767" t="s">
        <v>446</v>
      </c>
      <c r="C767" s="10">
        <v>1</v>
      </c>
      <c r="D767" s="10">
        <v>10</v>
      </c>
      <c r="E76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67" s="10">
        <v>28</v>
      </c>
    </row>
    <row r="768" spans="1:6" x14ac:dyDescent="0.2">
      <c r="A768" t="s">
        <v>478</v>
      </c>
      <c r="B768" t="s">
        <v>560</v>
      </c>
      <c r="C768" s="10">
        <v>5</v>
      </c>
      <c r="D768" s="10">
        <v>7</v>
      </c>
      <c r="E76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68" s="10">
        <v>35</v>
      </c>
    </row>
    <row r="769" spans="1:6" x14ac:dyDescent="0.2">
      <c r="A769" t="s">
        <v>479</v>
      </c>
      <c r="B769" t="s">
        <v>560</v>
      </c>
      <c r="C769" s="10">
        <v>4</v>
      </c>
      <c r="D769" s="10">
        <v>7</v>
      </c>
      <c r="E76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69" s="10">
        <v>28</v>
      </c>
    </row>
    <row r="770" spans="1:6" x14ac:dyDescent="0.2">
      <c r="A770" t="s">
        <v>478</v>
      </c>
      <c r="B770" t="s">
        <v>560</v>
      </c>
      <c r="C770" s="10">
        <v>5</v>
      </c>
      <c r="D770" s="10">
        <v>7</v>
      </c>
      <c r="E77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70" s="10">
        <v>35</v>
      </c>
    </row>
    <row r="771" spans="1:6" x14ac:dyDescent="0.2">
      <c r="A771" t="s">
        <v>479</v>
      </c>
      <c r="B771" t="s">
        <v>560</v>
      </c>
      <c r="C771" s="10">
        <v>3</v>
      </c>
      <c r="D771" s="10">
        <v>7</v>
      </c>
      <c r="E77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71" s="10">
        <v>21</v>
      </c>
    </row>
    <row r="772" spans="1:6" x14ac:dyDescent="0.2">
      <c r="A772" t="s">
        <v>479</v>
      </c>
      <c r="B772" t="s">
        <v>560</v>
      </c>
      <c r="C772" s="10">
        <v>4</v>
      </c>
      <c r="D772" s="10">
        <v>4</v>
      </c>
      <c r="E77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72" s="10">
        <v>16</v>
      </c>
    </row>
    <row r="773" spans="1:6" x14ac:dyDescent="0.2">
      <c r="A773" t="s">
        <v>479</v>
      </c>
      <c r="B773" t="s">
        <v>560</v>
      </c>
      <c r="C773" s="10">
        <v>4</v>
      </c>
      <c r="D773" s="10">
        <v>7</v>
      </c>
      <c r="E77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73" s="10">
        <v>28</v>
      </c>
    </row>
    <row r="774" spans="1:6" x14ac:dyDescent="0.2">
      <c r="A774" t="s">
        <v>479</v>
      </c>
      <c r="B774" t="s">
        <v>560</v>
      </c>
      <c r="C774" s="10">
        <v>3</v>
      </c>
      <c r="D774" s="10">
        <v>7</v>
      </c>
      <c r="E77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74" s="10">
        <v>21</v>
      </c>
    </row>
    <row r="775" spans="1:6" x14ac:dyDescent="0.2">
      <c r="A775" t="s">
        <v>479</v>
      </c>
      <c r="B775" t="s">
        <v>560</v>
      </c>
      <c r="C775" s="10">
        <v>4</v>
      </c>
      <c r="D775" s="10">
        <v>7</v>
      </c>
      <c r="E77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75" s="10">
        <v>28</v>
      </c>
    </row>
    <row r="776" spans="1:6" x14ac:dyDescent="0.2">
      <c r="A776" t="s">
        <v>479</v>
      </c>
      <c r="B776" t="s">
        <v>560</v>
      </c>
      <c r="C776" s="10">
        <v>5</v>
      </c>
      <c r="D776" s="10">
        <v>7</v>
      </c>
      <c r="E77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76" s="10">
        <v>35</v>
      </c>
    </row>
    <row r="777" spans="1:6" x14ac:dyDescent="0.2">
      <c r="A777" t="s">
        <v>479</v>
      </c>
      <c r="B777" t="s">
        <v>560</v>
      </c>
      <c r="C777" s="10">
        <v>3</v>
      </c>
      <c r="D777" s="10">
        <v>4</v>
      </c>
      <c r="E77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77" s="10">
        <v>12</v>
      </c>
    </row>
    <row r="778" spans="1:6" x14ac:dyDescent="0.2">
      <c r="A778" t="s">
        <v>478</v>
      </c>
      <c r="B778" t="s">
        <v>560</v>
      </c>
      <c r="C778" s="10">
        <v>4</v>
      </c>
      <c r="D778" s="10">
        <v>7</v>
      </c>
      <c r="E77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78" s="10">
        <v>28</v>
      </c>
    </row>
    <row r="779" spans="1:6" x14ac:dyDescent="0.2">
      <c r="A779" t="s">
        <v>479</v>
      </c>
      <c r="B779" t="s">
        <v>560</v>
      </c>
      <c r="C779" s="10">
        <v>2</v>
      </c>
      <c r="D779" s="10">
        <v>10</v>
      </c>
      <c r="E779"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779" s="10">
        <v>40</v>
      </c>
    </row>
    <row r="780" spans="1:6" x14ac:dyDescent="0.2">
      <c r="A780" t="s">
        <v>478</v>
      </c>
      <c r="B780" t="s">
        <v>560</v>
      </c>
      <c r="C780" s="10">
        <v>3</v>
      </c>
      <c r="D780" s="10">
        <v>7</v>
      </c>
      <c r="E780"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780" s="10">
        <v>2</v>
      </c>
    </row>
    <row r="781" spans="1:6" x14ac:dyDescent="0.2">
      <c r="A781" t="s">
        <v>479</v>
      </c>
      <c r="B781" t="s">
        <v>560</v>
      </c>
      <c r="C781" s="10">
        <v>4</v>
      </c>
      <c r="D781" s="10">
        <v>4</v>
      </c>
      <c r="E78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81" s="10">
        <v>28</v>
      </c>
    </row>
    <row r="782" spans="1:6" x14ac:dyDescent="0.2">
      <c r="A782" t="s">
        <v>478</v>
      </c>
      <c r="B782" t="s">
        <v>560</v>
      </c>
      <c r="C782" s="10">
        <v>4</v>
      </c>
      <c r="D782" s="10">
        <v>7</v>
      </c>
      <c r="E78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82" s="10">
        <v>16</v>
      </c>
    </row>
    <row r="783" spans="1:6" x14ac:dyDescent="0.2">
      <c r="A783" t="s">
        <v>478</v>
      </c>
      <c r="B783" t="s">
        <v>560</v>
      </c>
      <c r="C783" s="10">
        <v>5</v>
      </c>
      <c r="D783" s="10">
        <v>7</v>
      </c>
      <c r="E78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83" s="10">
        <v>16</v>
      </c>
    </row>
    <row r="784" spans="1:6" x14ac:dyDescent="0.2">
      <c r="A784" t="s">
        <v>479</v>
      </c>
      <c r="B784" t="s">
        <v>560</v>
      </c>
      <c r="C784" s="10">
        <v>4</v>
      </c>
      <c r="D784" s="10">
        <v>10</v>
      </c>
      <c r="E784"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784" s="10">
        <v>40</v>
      </c>
    </row>
    <row r="785" spans="1:6" x14ac:dyDescent="0.2">
      <c r="A785" t="s">
        <v>478</v>
      </c>
      <c r="B785" t="s">
        <v>560</v>
      </c>
      <c r="C785" s="10">
        <v>4</v>
      </c>
      <c r="D785" s="10">
        <v>5</v>
      </c>
      <c r="E78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85" s="10">
        <v>28</v>
      </c>
    </row>
    <row r="786" spans="1:6" x14ac:dyDescent="0.2">
      <c r="A786" t="s">
        <v>478</v>
      </c>
      <c r="B786" t="s">
        <v>560</v>
      </c>
      <c r="C786" s="10">
        <v>5</v>
      </c>
      <c r="D786" s="10">
        <v>7</v>
      </c>
      <c r="E78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86" s="10">
        <v>35</v>
      </c>
    </row>
    <row r="787" spans="1:6" x14ac:dyDescent="0.2">
      <c r="A787" t="s">
        <v>479</v>
      </c>
      <c r="B787" t="s">
        <v>560</v>
      </c>
      <c r="C787" s="10">
        <v>5</v>
      </c>
      <c r="D787" s="10">
        <v>4</v>
      </c>
      <c r="E787"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787" s="10">
        <v>40</v>
      </c>
    </row>
    <row r="788" spans="1:6" x14ac:dyDescent="0.2">
      <c r="A788" t="s">
        <v>478</v>
      </c>
      <c r="B788" t="s">
        <v>560</v>
      </c>
      <c r="C788" s="10">
        <v>4</v>
      </c>
      <c r="D788" s="10">
        <v>7</v>
      </c>
      <c r="E788"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788" s="10">
        <v>8</v>
      </c>
    </row>
    <row r="789" spans="1:6" x14ac:dyDescent="0.2">
      <c r="A789" t="s">
        <v>479</v>
      </c>
      <c r="B789" t="s">
        <v>560</v>
      </c>
      <c r="C789" s="10">
        <v>4</v>
      </c>
      <c r="D789" s="10">
        <v>5</v>
      </c>
      <c r="E78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89" s="10">
        <v>28</v>
      </c>
    </row>
    <row r="790" spans="1:6" x14ac:dyDescent="0.2">
      <c r="A790" t="s">
        <v>479</v>
      </c>
      <c r="B790" t="s">
        <v>560</v>
      </c>
      <c r="C790" s="10">
        <v>4</v>
      </c>
      <c r="D790" s="10">
        <v>7</v>
      </c>
      <c r="E79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90" s="10">
        <v>30</v>
      </c>
    </row>
    <row r="791" spans="1:6" x14ac:dyDescent="0.2">
      <c r="A791" t="s">
        <v>479</v>
      </c>
      <c r="B791" t="s">
        <v>560</v>
      </c>
      <c r="C791" s="10">
        <v>5</v>
      </c>
      <c r="D791" s="10">
        <v>7</v>
      </c>
      <c r="E79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91" s="10">
        <v>28</v>
      </c>
    </row>
    <row r="792" spans="1:6" x14ac:dyDescent="0.2">
      <c r="A792" t="s">
        <v>479</v>
      </c>
      <c r="B792" t="s">
        <v>560</v>
      </c>
      <c r="C792" s="10">
        <v>5</v>
      </c>
      <c r="D792" s="10">
        <v>7</v>
      </c>
      <c r="E79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792" s="10">
        <v>15</v>
      </c>
    </row>
    <row r="793" spans="1:6" x14ac:dyDescent="0.2">
      <c r="A793" t="s">
        <v>479</v>
      </c>
      <c r="B793" t="s">
        <v>560</v>
      </c>
      <c r="C793" s="10">
        <v>3</v>
      </c>
      <c r="D793" s="10">
        <v>10</v>
      </c>
      <c r="E79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93" s="10">
        <v>35</v>
      </c>
    </row>
    <row r="794" spans="1:6" x14ac:dyDescent="0.2">
      <c r="A794" t="s">
        <v>479</v>
      </c>
      <c r="B794" t="s">
        <v>560</v>
      </c>
      <c r="C794" s="10">
        <v>5</v>
      </c>
      <c r="D794" s="10">
        <v>7</v>
      </c>
      <c r="E794"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794" s="10">
        <v>40</v>
      </c>
    </row>
    <row r="795" spans="1:6" x14ac:dyDescent="0.2">
      <c r="A795" t="s">
        <v>479</v>
      </c>
      <c r="B795" t="s">
        <v>560</v>
      </c>
      <c r="C795" s="10">
        <v>4</v>
      </c>
      <c r="D795" s="10">
        <v>7</v>
      </c>
      <c r="E79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95" s="10">
        <v>28</v>
      </c>
    </row>
    <row r="796" spans="1:6" x14ac:dyDescent="0.2">
      <c r="A796" t="s">
        <v>479</v>
      </c>
      <c r="B796" t="s">
        <v>560</v>
      </c>
      <c r="C796" s="10">
        <v>3</v>
      </c>
      <c r="D796" s="10">
        <v>7</v>
      </c>
      <c r="E79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96" s="10">
        <v>35</v>
      </c>
    </row>
    <row r="797" spans="1:6" x14ac:dyDescent="0.2">
      <c r="A797" t="s">
        <v>479</v>
      </c>
      <c r="B797" t="s">
        <v>560</v>
      </c>
      <c r="C797" s="10">
        <v>5</v>
      </c>
      <c r="D797" s="10">
        <v>4</v>
      </c>
      <c r="E79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97" s="10">
        <v>28</v>
      </c>
    </row>
    <row r="798" spans="1:6" x14ac:dyDescent="0.2">
      <c r="A798" t="s">
        <v>479</v>
      </c>
      <c r="B798" t="s">
        <v>560</v>
      </c>
      <c r="C798" s="10">
        <v>4</v>
      </c>
      <c r="D798" s="10">
        <v>7</v>
      </c>
      <c r="E79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98" s="10">
        <v>28</v>
      </c>
    </row>
    <row r="799" spans="1:6" x14ac:dyDescent="0.2">
      <c r="A799" t="s">
        <v>479</v>
      </c>
      <c r="B799" t="s">
        <v>560</v>
      </c>
      <c r="C799" s="10">
        <v>2</v>
      </c>
      <c r="D799" s="10">
        <v>10</v>
      </c>
      <c r="E79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799" s="10">
        <v>28</v>
      </c>
    </row>
    <row r="800" spans="1:6" x14ac:dyDescent="0.2">
      <c r="A800" t="s">
        <v>479</v>
      </c>
      <c r="B800" t="s">
        <v>560</v>
      </c>
      <c r="C800" s="10">
        <v>4</v>
      </c>
      <c r="D800" s="10">
        <v>10</v>
      </c>
      <c r="E80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800" s="10">
        <v>35</v>
      </c>
    </row>
    <row r="801" spans="1:6" x14ac:dyDescent="0.2">
      <c r="A801" t="s">
        <v>479</v>
      </c>
      <c r="B801" t="s">
        <v>560</v>
      </c>
      <c r="C801" s="10">
        <v>5</v>
      </c>
      <c r="D801" s="10">
        <v>7</v>
      </c>
      <c r="E80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01" s="10">
        <v>12</v>
      </c>
    </row>
    <row r="802" spans="1:6" x14ac:dyDescent="0.2">
      <c r="A802" t="s">
        <v>479</v>
      </c>
      <c r="B802" t="s">
        <v>560</v>
      </c>
      <c r="C802" s="10">
        <v>2</v>
      </c>
      <c r="D802" s="10">
        <v>10</v>
      </c>
      <c r="E802"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802" s="10">
        <v>40</v>
      </c>
    </row>
    <row r="803" spans="1:6" x14ac:dyDescent="0.2">
      <c r="A803" t="s">
        <v>479</v>
      </c>
      <c r="B803" t="s">
        <v>560</v>
      </c>
      <c r="C803" s="10">
        <v>4</v>
      </c>
      <c r="D803" s="10">
        <v>4</v>
      </c>
      <c r="E803"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03" s="10">
        <v>21</v>
      </c>
    </row>
    <row r="804" spans="1:6" x14ac:dyDescent="0.2">
      <c r="A804" t="s">
        <v>479</v>
      </c>
      <c r="B804" t="s">
        <v>560</v>
      </c>
      <c r="C804" s="10">
        <v>3</v>
      </c>
      <c r="D804" s="10">
        <v>4</v>
      </c>
      <c r="E804"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804" s="10">
        <v>40</v>
      </c>
    </row>
    <row r="805" spans="1:6" x14ac:dyDescent="0.2">
      <c r="A805" t="s">
        <v>479</v>
      </c>
      <c r="B805" t="s">
        <v>560</v>
      </c>
      <c r="C805" s="10">
        <v>3</v>
      </c>
      <c r="D805" s="10">
        <v>10</v>
      </c>
      <c r="E80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805" s="10">
        <v>28</v>
      </c>
    </row>
    <row r="806" spans="1:6" x14ac:dyDescent="0.2">
      <c r="A806" t="s">
        <v>479</v>
      </c>
      <c r="B806" t="s">
        <v>560</v>
      </c>
      <c r="C806" s="10">
        <v>4</v>
      </c>
      <c r="D806" s="10">
        <v>7</v>
      </c>
      <c r="E80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06" s="10">
        <v>20</v>
      </c>
    </row>
    <row r="807" spans="1:6" x14ac:dyDescent="0.2">
      <c r="A807" t="s">
        <v>479</v>
      </c>
      <c r="B807" t="s">
        <v>560</v>
      </c>
      <c r="C807" s="10">
        <v>5</v>
      </c>
      <c r="D807" s="10">
        <v>7</v>
      </c>
      <c r="E807"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807" s="10">
        <v>35</v>
      </c>
    </row>
    <row r="808" spans="1:6" x14ac:dyDescent="0.2">
      <c r="A808" t="s">
        <v>479</v>
      </c>
      <c r="B808" t="s">
        <v>560</v>
      </c>
      <c r="C808" s="10">
        <v>4</v>
      </c>
      <c r="D808" s="10">
        <v>7</v>
      </c>
      <c r="E80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808" s="10">
        <v>28</v>
      </c>
    </row>
    <row r="809" spans="1:6" x14ac:dyDescent="0.2">
      <c r="A809" t="s">
        <v>479</v>
      </c>
      <c r="B809" t="s">
        <v>560</v>
      </c>
      <c r="C809" s="10">
        <v>4</v>
      </c>
      <c r="D809" s="10">
        <v>7</v>
      </c>
      <c r="E80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809" s="10">
        <v>35</v>
      </c>
    </row>
    <row r="810" spans="1:6" x14ac:dyDescent="0.2">
      <c r="A810" t="s">
        <v>478</v>
      </c>
      <c r="B810" t="s">
        <v>560</v>
      </c>
      <c r="C810" s="10">
        <v>5</v>
      </c>
      <c r="D810" s="10">
        <v>7</v>
      </c>
      <c r="E810"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810" s="10">
        <v>4</v>
      </c>
    </row>
    <row r="811" spans="1:6" x14ac:dyDescent="0.2">
      <c r="A811" t="s">
        <v>478</v>
      </c>
      <c r="B811" t="s">
        <v>560</v>
      </c>
      <c r="C811" s="10">
        <v>5</v>
      </c>
      <c r="D811" s="10">
        <v>10</v>
      </c>
      <c r="E81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11" s="10">
        <v>21</v>
      </c>
    </row>
    <row r="812" spans="1:6" x14ac:dyDescent="0.2">
      <c r="A812" t="s">
        <v>479</v>
      </c>
      <c r="B812" t="s">
        <v>560</v>
      </c>
      <c r="C812" s="10">
        <v>5</v>
      </c>
      <c r="D812" s="10">
        <v>10</v>
      </c>
      <c r="E81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12" s="10">
        <v>21</v>
      </c>
    </row>
    <row r="813" spans="1:6" x14ac:dyDescent="0.2">
      <c r="A813" t="s">
        <v>479</v>
      </c>
      <c r="B813" t="s">
        <v>560</v>
      </c>
      <c r="C813" s="10">
        <v>4</v>
      </c>
      <c r="D813" s="10">
        <v>4</v>
      </c>
      <c r="E813"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813" s="10">
        <v>35</v>
      </c>
    </row>
    <row r="814" spans="1:6" x14ac:dyDescent="0.2">
      <c r="A814" t="s">
        <v>478</v>
      </c>
      <c r="B814" t="s">
        <v>560</v>
      </c>
      <c r="C814" s="10">
        <v>2</v>
      </c>
      <c r="D814" s="10">
        <v>10</v>
      </c>
      <c r="E81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14" s="10">
        <v>16</v>
      </c>
    </row>
    <row r="815" spans="1:6" x14ac:dyDescent="0.2">
      <c r="A815" t="s">
        <v>478</v>
      </c>
      <c r="B815" t="s">
        <v>560</v>
      </c>
      <c r="C815" s="10">
        <v>5</v>
      </c>
      <c r="D815" s="10">
        <v>7</v>
      </c>
      <c r="E81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15" s="10">
        <v>16</v>
      </c>
    </row>
    <row r="816" spans="1:6" x14ac:dyDescent="0.2">
      <c r="A816" t="s">
        <v>478</v>
      </c>
      <c r="B816" t="s">
        <v>560</v>
      </c>
      <c r="C816" s="10">
        <v>2</v>
      </c>
      <c r="D816" s="10">
        <v>4</v>
      </c>
      <c r="E816"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816" s="10">
        <v>28</v>
      </c>
    </row>
    <row r="817" spans="1:6" x14ac:dyDescent="0.2">
      <c r="A817" t="s">
        <v>479</v>
      </c>
      <c r="B817" t="s">
        <v>560</v>
      </c>
      <c r="C817" s="10">
        <v>4</v>
      </c>
      <c r="D817" s="10">
        <v>4</v>
      </c>
      <c r="E81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17" s="10">
        <v>20</v>
      </c>
    </row>
    <row r="818" spans="1:6" x14ac:dyDescent="0.2">
      <c r="A818" t="s">
        <v>479</v>
      </c>
      <c r="B818" t="s">
        <v>560</v>
      </c>
      <c r="C818" s="10">
        <v>3</v>
      </c>
      <c r="D818" s="10">
        <v>4</v>
      </c>
      <c r="E81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818" s="10">
        <v>35</v>
      </c>
    </row>
    <row r="819" spans="1:6" x14ac:dyDescent="0.2">
      <c r="A819" t="s">
        <v>479</v>
      </c>
      <c r="B819" t="s">
        <v>560</v>
      </c>
      <c r="C819" s="10">
        <v>4</v>
      </c>
      <c r="D819" s="10">
        <v>7</v>
      </c>
      <c r="E81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19" s="10">
        <v>16</v>
      </c>
    </row>
    <row r="820" spans="1:6" x14ac:dyDescent="0.2">
      <c r="A820" t="s">
        <v>479</v>
      </c>
      <c r="B820" t="s">
        <v>560</v>
      </c>
      <c r="C820" s="10">
        <v>2</v>
      </c>
      <c r="D820" s="10">
        <v>10</v>
      </c>
      <c r="E82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820" s="10">
        <v>28</v>
      </c>
    </row>
    <row r="821" spans="1:6" x14ac:dyDescent="0.2">
      <c r="A821" t="s">
        <v>479</v>
      </c>
      <c r="B821" t="s">
        <v>702</v>
      </c>
      <c r="C821" s="10">
        <v>4</v>
      </c>
      <c r="D821" s="10">
        <v>4</v>
      </c>
      <c r="E82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21" s="10">
        <v>16</v>
      </c>
    </row>
    <row r="822" spans="1:6" x14ac:dyDescent="0.2">
      <c r="A822" t="s">
        <v>479</v>
      </c>
      <c r="B822" t="s">
        <v>702</v>
      </c>
      <c r="C822" s="10">
        <v>3</v>
      </c>
      <c r="D822" s="10">
        <v>7</v>
      </c>
      <c r="E82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22" s="10">
        <v>21</v>
      </c>
    </row>
    <row r="823" spans="1:6" x14ac:dyDescent="0.2">
      <c r="A823" t="s">
        <v>478</v>
      </c>
      <c r="B823" t="s">
        <v>702</v>
      </c>
      <c r="C823" s="10">
        <v>3</v>
      </c>
      <c r="D823" s="10">
        <v>4</v>
      </c>
      <c r="E823"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823" s="10">
        <v>40</v>
      </c>
    </row>
    <row r="824" spans="1:6" x14ac:dyDescent="0.2">
      <c r="A824" t="s">
        <v>478</v>
      </c>
      <c r="B824" t="s">
        <v>702</v>
      </c>
      <c r="C824" s="10">
        <v>4</v>
      </c>
      <c r="D824" s="10">
        <v>4</v>
      </c>
      <c r="E82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24" s="10">
        <v>20</v>
      </c>
    </row>
    <row r="825" spans="1:6" x14ac:dyDescent="0.2">
      <c r="A825" t="s">
        <v>478</v>
      </c>
      <c r="B825" t="s">
        <v>702</v>
      </c>
      <c r="C825" s="10">
        <v>4</v>
      </c>
      <c r="D825" s="10">
        <v>7</v>
      </c>
      <c r="E825"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825" s="10">
        <v>35</v>
      </c>
    </row>
    <row r="826" spans="1:6" x14ac:dyDescent="0.2">
      <c r="A826" t="s">
        <v>478</v>
      </c>
      <c r="B826" t="s">
        <v>702</v>
      </c>
      <c r="C826" s="10">
        <v>5</v>
      </c>
      <c r="D826" s="10">
        <v>10</v>
      </c>
      <c r="E82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26" s="10">
        <v>20</v>
      </c>
    </row>
    <row r="827" spans="1:6" x14ac:dyDescent="0.2">
      <c r="A827" t="s">
        <v>479</v>
      </c>
      <c r="B827" t="s">
        <v>702</v>
      </c>
      <c r="C827" s="10">
        <v>5</v>
      </c>
      <c r="D827" s="10">
        <v>7</v>
      </c>
      <c r="E82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27" s="10">
        <v>16</v>
      </c>
    </row>
    <row r="828" spans="1:6" x14ac:dyDescent="0.2">
      <c r="A828" t="s">
        <v>478</v>
      </c>
      <c r="B828" t="s">
        <v>702</v>
      </c>
      <c r="C828" s="10">
        <v>4</v>
      </c>
      <c r="D828" s="10">
        <v>7</v>
      </c>
      <c r="E82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828" s="10">
        <v>28</v>
      </c>
    </row>
    <row r="829" spans="1:6" x14ac:dyDescent="0.2">
      <c r="A829" t="s">
        <v>479</v>
      </c>
      <c r="B829" t="s">
        <v>702</v>
      </c>
      <c r="C829" s="10">
        <v>4</v>
      </c>
      <c r="D829" s="10">
        <v>7</v>
      </c>
      <c r="E829"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829" s="10">
        <v>35</v>
      </c>
    </row>
    <row r="830" spans="1:6" x14ac:dyDescent="0.2">
      <c r="A830" t="s">
        <v>478</v>
      </c>
      <c r="B830" t="s">
        <v>702</v>
      </c>
      <c r="C830" s="10">
        <v>2</v>
      </c>
      <c r="D830" s="10">
        <v>7</v>
      </c>
      <c r="E830"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30" s="10">
        <v>21</v>
      </c>
    </row>
    <row r="831" spans="1:6" x14ac:dyDescent="0.2">
      <c r="A831" t="s">
        <v>479</v>
      </c>
      <c r="B831" t="s">
        <v>702</v>
      </c>
      <c r="C831" s="10">
        <v>4</v>
      </c>
      <c r="D831" s="10">
        <v>10</v>
      </c>
      <c r="E831"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31" s="10">
        <v>12</v>
      </c>
    </row>
    <row r="832" spans="1:6" x14ac:dyDescent="0.2">
      <c r="A832" t="s">
        <v>479</v>
      </c>
      <c r="B832" t="s">
        <v>702</v>
      </c>
      <c r="C832" s="10">
        <v>2</v>
      </c>
      <c r="D832" s="10">
        <v>7</v>
      </c>
      <c r="E832"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32" s="10">
        <v>14</v>
      </c>
    </row>
    <row r="833" spans="1:6" x14ac:dyDescent="0.2">
      <c r="A833" t="s">
        <v>478</v>
      </c>
      <c r="B833" t="s">
        <v>702</v>
      </c>
      <c r="C833" s="10">
        <v>4</v>
      </c>
      <c r="D833" s="10">
        <v>4</v>
      </c>
      <c r="E833" s="10" t="str">
        <f>IF(AND(Table9[[#This Row],[Score]]&gt;=0, 9&gt;=Table9[[#This Row],[Score]]), "UNDETECTABLE", IF(AND(Table9[[#This Row],[Score]]&gt;=10, 24&gt;=Table9[[#This Row],[Score]]), "MODERATE", IF(AND(Table9[[#This Row],[Score]]&gt;=25, 35&gt;=Table9[[#This Row],[Score]]), "HIGH", IF(AND(Table9[[#This Row],[Score]]&gt;=36, 50&gt;=Table9[[#This Row],[Score]]), "VERY HIGH", "Check Formula"))))</f>
        <v>VERY HIGH</v>
      </c>
      <c r="F833" s="10">
        <v>40</v>
      </c>
    </row>
    <row r="834" spans="1:6" x14ac:dyDescent="0.2">
      <c r="A834" t="s">
        <v>478</v>
      </c>
      <c r="B834" t="s">
        <v>702</v>
      </c>
      <c r="C834" s="10">
        <v>4</v>
      </c>
      <c r="D834" s="10">
        <v>10</v>
      </c>
      <c r="E834"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34" s="10">
        <v>15</v>
      </c>
    </row>
    <row r="835" spans="1:6" x14ac:dyDescent="0.2">
      <c r="A835" t="s">
        <v>478</v>
      </c>
      <c r="B835" t="s">
        <v>702</v>
      </c>
      <c r="C835" s="10">
        <v>4</v>
      </c>
      <c r="D835" s="10">
        <v>7</v>
      </c>
      <c r="E835"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35" s="10">
        <v>16</v>
      </c>
    </row>
    <row r="836" spans="1:6" x14ac:dyDescent="0.2">
      <c r="A836" t="s">
        <v>478</v>
      </c>
      <c r="B836" t="s">
        <v>702</v>
      </c>
      <c r="C836" s="10">
        <v>4</v>
      </c>
      <c r="D836" s="10">
        <v>7</v>
      </c>
      <c r="E836"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36" s="10">
        <v>21</v>
      </c>
    </row>
    <row r="837" spans="1:6" x14ac:dyDescent="0.2">
      <c r="A837" t="s">
        <v>478</v>
      </c>
      <c r="B837" t="s">
        <v>702</v>
      </c>
      <c r="C837" s="10">
        <v>4</v>
      </c>
      <c r="D837" s="10">
        <v>7</v>
      </c>
      <c r="E837"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37" s="10">
        <v>14</v>
      </c>
    </row>
    <row r="838" spans="1:6" x14ac:dyDescent="0.2">
      <c r="A838" t="s">
        <v>479</v>
      </c>
      <c r="B838" t="s">
        <v>702</v>
      </c>
      <c r="C838" s="10">
        <v>4</v>
      </c>
      <c r="D838" s="10">
        <v>7</v>
      </c>
      <c r="E838"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838" s="10">
        <v>28</v>
      </c>
    </row>
    <row r="839" spans="1:6" x14ac:dyDescent="0.2">
      <c r="A839" t="s">
        <v>478</v>
      </c>
      <c r="B839" t="s">
        <v>702</v>
      </c>
      <c r="C839" s="10">
        <v>3</v>
      </c>
      <c r="D839" s="10">
        <v>10</v>
      </c>
      <c r="E839" s="10" t="str">
        <f>IF(AND(Table9[[#This Row],[Score]]&gt;=0, 9&gt;=Table9[[#This Row],[Score]]), "UNDETECTABLE", IF(AND(Table9[[#This Row],[Score]]&gt;=10, 24&gt;=Table9[[#This Row],[Score]]), "MODERATE", IF(AND(Table9[[#This Row],[Score]]&gt;=25, 35&gt;=Table9[[#This Row],[Score]]), "HIGH", IF(AND(Table9[[#This Row],[Score]]&gt;=36, 50&gt;=Table9[[#This Row],[Score]]), "VERY HIGH", "Check Formula"))))</f>
        <v>MODERATE</v>
      </c>
      <c r="F839" s="10">
        <v>10</v>
      </c>
    </row>
    <row r="840" spans="1:6" x14ac:dyDescent="0.2">
      <c r="A840" t="s">
        <v>478</v>
      </c>
      <c r="B840" t="s">
        <v>702</v>
      </c>
      <c r="C840" s="10">
        <v>1</v>
      </c>
      <c r="D840" s="10">
        <v>4</v>
      </c>
      <c r="E840"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840" s="10">
        <v>28</v>
      </c>
    </row>
    <row r="841" spans="1:6" x14ac:dyDescent="0.2">
      <c r="A841" t="s">
        <v>478</v>
      </c>
      <c r="B841" t="s">
        <v>702</v>
      </c>
      <c r="C841" s="10">
        <v>3</v>
      </c>
      <c r="D841" s="10">
        <v>7</v>
      </c>
      <c r="E841" s="10" t="str">
        <f>IF(AND(Table9[[#This Row],[Score]]&gt;=0, 9&gt;=Table9[[#This Row],[Score]]), "UNDETECTABLE", IF(AND(Table9[[#This Row],[Score]]&gt;=10, 24&gt;=Table9[[#This Row],[Score]]), "MODERATE", IF(AND(Table9[[#This Row],[Score]]&gt;=25, 35&gt;=Table9[[#This Row],[Score]]), "HIGH", IF(AND(Table9[[#This Row],[Score]]&gt;=36, 50&gt;=Table9[[#This Row],[Score]]), "VERY HIGH", "Check Formula"))))</f>
        <v>HIGH</v>
      </c>
      <c r="F841" s="10">
        <v>28</v>
      </c>
    </row>
    <row r="842" spans="1:6" x14ac:dyDescent="0.2">
      <c r="A842" t="s">
        <v>478</v>
      </c>
      <c r="B842" t="s">
        <v>702</v>
      </c>
      <c r="C842" s="10">
        <v>2</v>
      </c>
      <c r="D842" s="10">
        <v>4</v>
      </c>
      <c r="E842" s="10" t="str">
        <f>IF(AND(Table9[[#This Row],[Score]]&gt;=0, 9&gt;=Table9[[#This Row],[Score]]), "UNDETECTABLE", IF(AND(Table9[[#This Row],[Score]]&gt;=10, 24&gt;=Table9[[#This Row],[Score]]), "MODERATE", IF(AND(Table9[[#This Row],[Score]]&gt;=25, 35&gt;=Table9[[#This Row],[Score]]), "HIGH", IF(AND(Table9[[#This Row],[Score]]&gt;=36, 50&gt;=Table9[[#This Row],[Score]]), "VERY HIGH", "Check Formula"))))</f>
        <v>UNDETECTABLE</v>
      </c>
      <c r="F842" s="10">
        <v>4</v>
      </c>
    </row>
  </sheetData>
  <dataValidations disablePrompts="1" count="2">
    <dataValidation type="list" allowBlank="1" showInputMessage="1" showErrorMessage="1" sqref="E843:E1048576 D18:D192 D194:D1048576 D2:D16" xr:uid="{A1BBEDF7-5D49-6645-BDBC-2B0C76BF85A5}">
      <formula1>"0,1,4,7,10"</formula1>
    </dataValidation>
    <dataValidation type="list" allowBlank="1" showInputMessage="1" showErrorMessage="1" sqref="C2:C16 C183:C1048576 C18:C181" xr:uid="{A481DFEF-6CB6-2C4B-BEA3-8E8F3E159E20}">
      <formula1>"unknown,0,1,2,3,4,5"</formula1>
    </dataValidation>
  </dataValidations>
  <pageMargins left="0.7" right="0.7" top="0.75" bottom="0.75" header="0.3" footer="0.3"/>
  <drawing r:id="rId1"/>
  <legacy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609DC-8649-C64B-8D4F-89725C5C31A8}">
  <sheetPr>
    <tabColor theme="5" tint="0.79998168889431442"/>
  </sheetPr>
  <dimension ref="A3:Z77"/>
  <sheetViews>
    <sheetView zoomScaleNormal="100" workbookViewId="0">
      <selection activeCell="D37" sqref="D37"/>
    </sheetView>
  </sheetViews>
  <sheetFormatPr baseColWidth="10" defaultRowHeight="16" x14ac:dyDescent="0.2"/>
  <cols>
    <col min="1" max="1" width="10.83203125" style="4"/>
    <col min="2" max="2" width="22.33203125" style="241" customWidth="1"/>
    <col min="3" max="3" width="13" style="4" customWidth="1"/>
    <col min="4" max="4" width="46.6640625" style="4" customWidth="1"/>
    <col min="5" max="5" width="15.1640625" style="241" customWidth="1"/>
    <col min="6" max="6" width="20.6640625" style="241" customWidth="1"/>
    <col min="7" max="7" width="19.33203125" style="241" customWidth="1"/>
    <col min="8" max="8" width="18.33203125" style="241" customWidth="1"/>
    <col min="9" max="9" width="33.6640625" style="4" bestFit="1" customWidth="1"/>
    <col min="10" max="26" width="10.83203125" style="4"/>
  </cols>
  <sheetData>
    <row r="3" spans="2:9" x14ac:dyDescent="0.2">
      <c r="B3" s="278" t="s">
        <v>479</v>
      </c>
      <c r="D3" s="236" t="s">
        <v>2180</v>
      </c>
      <c r="E3" s="242" t="s">
        <v>1706</v>
      </c>
      <c r="F3" s="242" t="s">
        <v>2181</v>
      </c>
      <c r="G3" s="242" t="s">
        <v>1468</v>
      </c>
      <c r="H3" s="242" t="s">
        <v>2182</v>
      </c>
      <c r="I3" s="242" t="s">
        <v>1461</v>
      </c>
    </row>
    <row r="4" spans="2:9" ht="17" x14ac:dyDescent="0.2">
      <c r="B4" s="276"/>
      <c r="D4" s="255" t="s">
        <v>643</v>
      </c>
      <c r="E4" s="214" t="s">
        <v>18</v>
      </c>
      <c r="F4" s="256">
        <v>34</v>
      </c>
      <c r="G4" s="102" t="s">
        <v>19</v>
      </c>
      <c r="H4" s="257">
        <v>0.4116664239953407</v>
      </c>
      <c r="I4" s="102" t="s">
        <v>2187</v>
      </c>
    </row>
    <row r="5" spans="2:9" ht="17" x14ac:dyDescent="0.2">
      <c r="B5" s="276"/>
      <c r="D5" s="255" t="s">
        <v>1219</v>
      </c>
      <c r="E5" s="214" t="s">
        <v>18</v>
      </c>
      <c r="F5" s="256">
        <v>32.370370370370374</v>
      </c>
      <c r="G5" s="102" t="s">
        <v>18</v>
      </c>
      <c r="H5" s="257">
        <v>0.67104756317801817</v>
      </c>
      <c r="I5" s="102" t="s">
        <v>2185</v>
      </c>
    </row>
    <row r="6" spans="2:9" ht="17" x14ac:dyDescent="0.2">
      <c r="B6" s="276"/>
      <c r="D6" s="258" t="s">
        <v>728</v>
      </c>
      <c r="E6" s="259" t="s">
        <v>18</v>
      </c>
      <c r="F6" s="260">
        <v>31.416666666666664</v>
      </c>
      <c r="G6" s="102" t="s">
        <v>18</v>
      </c>
      <c r="H6" s="257">
        <v>0.64802096428494504</v>
      </c>
      <c r="I6" s="102" t="s">
        <v>2185</v>
      </c>
    </row>
    <row r="7" spans="2:9" ht="17" x14ac:dyDescent="0.2">
      <c r="B7" s="276"/>
      <c r="D7" s="255" t="s">
        <v>562</v>
      </c>
      <c r="E7" s="214" t="s">
        <v>18</v>
      </c>
      <c r="F7" s="256">
        <v>31</v>
      </c>
      <c r="G7" s="102" t="s">
        <v>18</v>
      </c>
      <c r="H7" s="257">
        <v>0.71855032197352986</v>
      </c>
      <c r="I7" s="102" t="s">
        <v>2185</v>
      </c>
    </row>
    <row r="8" spans="2:9" ht="17" x14ac:dyDescent="0.2">
      <c r="B8" s="276"/>
      <c r="D8" s="255" t="s">
        <v>679</v>
      </c>
      <c r="E8" s="214" t="s">
        <v>18</v>
      </c>
      <c r="F8" s="256">
        <v>30.333333333333332</v>
      </c>
      <c r="G8" s="102" t="s">
        <v>19</v>
      </c>
      <c r="H8" s="257">
        <v>0.54318312329277429</v>
      </c>
      <c r="I8" s="102" t="s">
        <v>2186</v>
      </c>
    </row>
    <row r="9" spans="2:9" ht="17" x14ac:dyDescent="0.2">
      <c r="B9" s="276"/>
      <c r="D9" s="258" t="s">
        <v>592</v>
      </c>
      <c r="E9" s="259" t="s">
        <v>18</v>
      </c>
      <c r="F9" s="260">
        <v>29.92</v>
      </c>
      <c r="G9" s="102" t="s">
        <v>18</v>
      </c>
      <c r="H9" s="257">
        <v>0.64983577561403238</v>
      </c>
      <c r="I9" s="102" t="s">
        <v>2185</v>
      </c>
    </row>
    <row r="10" spans="2:9" ht="17" x14ac:dyDescent="0.2">
      <c r="B10" s="276"/>
      <c r="D10" s="255" t="s">
        <v>553</v>
      </c>
      <c r="E10" s="214" t="s">
        <v>18</v>
      </c>
      <c r="F10" s="256">
        <v>29.333333333333332</v>
      </c>
      <c r="G10" s="102" t="s">
        <v>18</v>
      </c>
      <c r="H10" s="257">
        <v>0.6413618857879626</v>
      </c>
      <c r="I10" s="102" t="s">
        <v>2185</v>
      </c>
    </row>
    <row r="11" spans="2:9" ht="17" x14ac:dyDescent="0.2">
      <c r="B11" s="276"/>
      <c r="D11" s="255" t="s">
        <v>625</v>
      </c>
      <c r="E11" s="214" t="s">
        <v>18</v>
      </c>
      <c r="F11" s="256">
        <v>28.923076923076923</v>
      </c>
      <c r="G11" s="102" t="s">
        <v>18</v>
      </c>
      <c r="H11" s="257">
        <v>0.74559086145850872</v>
      </c>
      <c r="I11" s="102" t="s">
        <v>2185</v>
      </c>
    </row>
    <row r="12" spans="2:9" ht="17" x14ac:dyDescent="0.2">
      <c r="B12" s="276"/>
      <c r="D12" s="258" t="s">
        <v>672</v>
      </c>
      <c r="E12" s="259" t="s">
        <v>18</v>
      </c>
      <c r="F12" s="260">
        <v>28</v>
      </c>
      <c r="G12" s="102" t="s">
        <v>19</v>
      </c>
      <c r="H12" s="257">
        <v>0.48248762376237619</v>
      </c>
      <c r="I12" s="102" t="s">
        <v>2186</v>
      </c>
    </row>
    <row r="13" spans="2:9" ht="17" x14ac:dyDescent="0.2">
      <c r="B13" s="276"/>
      <c r="D13" s="258" t="s">
        <v>1315</v>
      </c>
      <c r="E13" s="259" t="s">
        <v>18</v>
      </c>
      <c r="F13" s="260">
        <v>28</v>
      </c>
      <c r="G13" s="102" t="s">
        <v>19</v>
      </c>
      <c r="H13" s="257">
        <v>0.45123762376237619</v>
      </c>
      <c r="I13" s="102" t="s">
        <v>2186</v>
      </c>
    </row>
    <row r="14" spans="2:9" x14ac:dyDescent="0.2">
      <c r="B14" s="276"/>
      <c r="D14" s="238"/>
      <c r="E14" s="84"/>
      <c r="F14" s="84"/>
      <c r="G14" s="84"/>
      <c r="H14" s="84"/>
      <c r="I14" s="238"/>
    </row>
    <row r="15" spans="2:9" x14ac:dyDescent="0.2">
      <c r="B15" s="276"/>
      <c r="D15" s="238"/>
      <c r="E15" s="84"/>
      <c r="F15" s="84"/>
      <c r="G15" s="84"/>
      <c r="H15" s="84"/>
      <c r="I15" s="238"/>
    </row>
    <row r="16" spans="2:9" x14ac:dyDescent="0.2">
      <c r="B16" s="278" t="s">
        <v>478</v>
      </c>
      <c r="D16" s="236" t="s">
        <v>2180</v>
      </c>
      <c r="E16" s="242" t="s">
        <v>2183</v>
      </c>
      <c r="F16" s="242" t="s">
        <v>2184</v>
      </c>
      <c r="G16" s="242" t="s">
        <v>1468</v>
      </c>
      <c r="H16" s="242" t="s">
        <v>2182</v>
      </c>
      <c r="I16" s="242" t="s">
        <v>1461</v>
      </c>
    </row>
    <row r="17" spans="2:9" ht="17" x14ac:dyDescent="0.2">
      <c r="D17" s="258" t="s">
        <v>1533</v>
      </c>
      <c r="E17" s="259" t="s">
        <v>17</v>
      </c>
      <c r="F17" s="260">
        <v>41.360000000000007</v>
      </c>
      <c r="G17" s="102" t="s">
        <v>18</v>
      </c>
      <c r="H17" s="257">
        <v>0.72499759016987786</v>
      </c>
      <c r="I17" s="102" t="s">
        <v>2185</v>
      </c>
    </row>
    <row r="18" spans="2:9" ht="17" x14ac:dyDescent="0.2">
      <c r="D18" s="258" t="s">
        <v>554</v>
      </c>
      <c r="E18" s="259" t="s">
        <v>18</v>
      </c>
      <c r="F18" s="260">
        <v>33.944444444444443</v>
      </c>
      <c r="G18" s="102" t="s">
        <v>18</v>
      </c>
      <c r="H18" s="257">
        <v>0.60481846941358208</v>
      </c>
      <c r="I18" s="102" t="s">
        <v>2185</v>
      </c>
    </row>
    <row r="19" spans="2:9" ht="17" x14ac:dyDescent="0.2">
      <c r="D19" s="255" t="s">
        <v>648</v>
      </c>
      <c r="E19" s="214" t="s">
        <v>18</v>
      </c>
      <c r="F19" s="256">
        <v>33</v>
      </c>
      <c r="G19" s="102" t="s">
        <v>19</v>
      </c>
      <c r="H19" s="257">
        <v>0.52395269744231954</v>
      </c>
      <c r="I19" s="102" t="s">
        <v>2186</v>
      </c>
    </row>
    <row r="20" spans="2:9" ht="17" x14ac:dyDescent="0.2">
      <c r="D20" s="258" t="s">
        <v>546</v>
      </c>
      <c r="E20" s="259" t="s">
        <v>18</v>
      </c>
      <c r="F20" s="260">
        <v>32.9375</v>
      </c>
      <c r="G20" s="102" t="s">
        <v>19</v>
      </c>
      <c r="H20" s="257">
        <v>0.59848513189341834</v>
      </c>
      <c r="I20" s="102" t="s">
        <v>2186</v>
      </c>
    </row>
    <row r="21" spans="2:9" ht="17" x14ac:dyDescent="0.2">
      <c r="D21" s="258" t="s">
        <v>630</v>
      </c>
      <c r="E21" s="259" t="s">
        <v>18</v>
      </c>
      <c r="F21" s="260">
        <v>32.199999999999996</v>
      </c>
      <c r="G21" s="102" t="s">
        <v>19</v>
      </c>
      <c r="H21" s="257">
        <v>0.55423271609471236</v>
      </c>
      <c r="I21" s="102" t="s">
        <v>2188</v>
      </c>
    </row>
    <row r="22" spans="2:9" ht="17" x14ac:dyDescent="0.2">
      <c r="D22" s="255" t="s">
        <v>447</v>
      </c>
      <c r="E22" s="214" t="s">
        <v>18</v>
      </c>
      <c r="F22" s="256">
        <v>32</v>
      </c>
      <c r="G22" s="102" t="s">
        <v>18</v>
      </c>
      <c r="H22" s="257">
        <v>0.66124409415537544</v>
      </c>
      <c r="I22" s="102" t="s">
        <v>2185</v>
      </c>
    </row>
    <row r="23" spans="2:9" ht="17" x14ac:dyDescent="0.2">
      <c r="D23" s="258" t="s">
        <v>547</v>
      </c>
      <c r="E23" s="259" t="s">
        <v>18</v>
      </c>
      <c r="F23" s="260">
        <v>30.942148760330575</v>
      </c>
      <c r="G23" s="102" t="s">
        <v>18</v>
      </c>
      <c r="H23" s="257">
        <v>0.65108012025759421</v>
      </c>
      <c r="I23" s="102" t="s">
        <v>2185</v>
      </c>
    </row>
    <row r="24" spans="2:9" ht="17" x14ac:dyDescent="0.2">
      <c r="D24" s="255" t="s">
        <v>568</v>
      </c>
      <c r="E24" s="214" t="s">
        <v>18</v>
      </c>
      <c r="F24" s="256">
        <v>30</v>
      </c>
      <c r="G24" s="102" t="s">
        <v>19</v>
      </c>
      <c r="H24" s="257">
        <v>0.51304496371262087</v>
      </c>
      <c r="I24" s="102" t="s">
        <v>2186</v>
      </c>
    </row>
    <row r="25" spans="2:9" ht="17" x14ac:dyDescent="0.2">
      <c r="D25" s="258" t="s">
        <v>636</v>
      </c>
      <c r="E25" s="259" t="s">
        <v>18</v>
      </c>
      <c r="F25" s="260">
        <v>28.888888888888889</v>
      </c>
      <c r="G25" s="102" t="s">
        <v>18</v>
      </c>
      <c r="H25" s="257">
        <v>0.64990401171116585</v>
      </c>
      <c r="I25" s="102" t="s">
        <v>2185</v>
      </c>
    </row>
    <row r="26" spans="2:9" ht="17" x14ac:dyDescent="0.2">
      <c r="D26" s="255" t="s">
        <v>563</v>
      </c>
      <c r="E26" s="214" t="s">
        <v>18</v>
      </c>
      <c r="F26" s="256">
        <v>28.276643990929703</v>
      </c>
      <c r="G26" s="102" t="s">
        <v>18</v>
      </c>
      <c r="H26" s="257">
        <v>0.65299371041728405</v>
      </c>
      <c r="I26" s="102" t="s">
        <v>2185</v>
      </c>
    </row>
    <row r="27" spans="2:9" x14ac:dyDescent="0.2">
      <c r="D27" s="238"/>
      <c r="E27" s="84"/>
      <c r="F27" s="84"/>
      <c r="G27" s="84"/>
      <c r="H27" s="84"/>
      <c r="I27" s="238"/>
    </row>
    <row r="28" spans="2:9" x14ac:dyDescent="0.2">
      <c r="D28" s="238"/>
      <c r="E28" s="84"/>
      <c r="F28" s="84"/>
      <c r="G28" s="84"/>
      <c r="H28" s="84"/>
      <c r="I28" s="238"/>
    </row>
    <row r="29" spans="2:9" x14ac:dyDescent="0.2">
      <c r="B29" s="278" t="s">
        <v>2193</v>
      </c>
      <c r="D29" s="236" t="s">
        <v>2180</v>
      </c>
      <c r="E29" s="242" t="s">
        <v>1706</v>
      </c>
      <c r="F29" s="242" t="s">
        <v>2181</v>
      </c>
      <c r="G29" s="242" t="s">
        <v>1468</v>
      </c>
      <c r="H29" s="242" t="s">
        <v>2182</v>
      </c>
      <c r="I29" s="242" t="s">
        <v>1461</v>
      </c>
    </row>
    <row r="30" spans="2:9" x14ac:dyDescent="0.2">
      <c r="D30" s="237" t="s">
        <v>1004</v>
      </c>
      <c r="E30" s="265" t="s">
        <v>18</v>
      </c>
      <c r="F30" s="239">
        <v>29.212800000000001</v>
      </c>
      <c r="G30" s="102" t="s">
        <v>19</v>
      </c>
      <c r="H30" s="240">
        <v>0.48961772677701071</v>
      </c>
      <c r="I30" s="102" t="s">
        <v>2186</v>
      </c>
    </row>
    <row r="31" spans="2:9" x14ac:dyDescent="0.2">
      <c r="D31" s="237" t="s">
        <v>541</v>
      </c>
      <c r="E31" s="214" t="s">
        <v>18</v>
      </c>
      <c r="F31" s="239">
        <v>27.636054421768709</v>
      </c>
      <c r="G31" s="102" t="s">
        <v>19</v>
      </c>
      <c r="H31" s="240">
        <v>0.51608823526014391</v>
      </c>
      <c r="I31" s="102" t="s">
        <v>2186</v>
      </c>
    </row>
    <row r="32" spans="2:9" x14ac:dyDescent="0.2">
      <c r="D32" s="237" t="s">
        <v>446</v>
      </c>
      <c r="E32" s="265" t="s">
        <v>18</v>
      </c>
      <c r="F32" s="239">
        <v>26.050386828010314</v>
      </c>
      <c r="G32" s="102" t="s">
        <v>19</v>
      </c>
      <c r="H32" s="240">
        <v>0.56998067499584226</v>
      </c>
      <c r="I32" s="102" t="s">
        <v>2186</v>
      </c>
    </row>
    <row r="33" spans="2:9" x14ac:dyDescent="0.2">
      <c r="D33" s="237" t="s">
        <v>560</v>
      </c>
      <c r="E33" s="214" t="s">
        <v>18</v>
      </c>
      <c r="F33" s="239">
        <v>25.369406867845992</v>
      </c>
      <c r="G33" s="102" t="s">
        <v>19</v>
      </c>
      <c r="H33" s="240">
        <v>0.51248039974342996</v>
      </c>
      <c r="I33" s="102" t="s">
        <v>2186</v>
      </c>
    </row>
    <row r="34" spans="2:9" x14ac:dyDescent="0.2">
      <c r="D34" s="237" t="s">
        <v>482</v>
      </c>
      <c r="E34" s="265" t="s">
        <v>19</v>
      </c>
      <c r="F34" s="239">
        <v>22.503087932555633</v>
      </c>
      <c r="G34" s="102" t="s">
        <v>19</v>
      </c>
      <c r="H34" s="240">
        <v>0.56075272816367883</v>
      </c>
      <c r="I34" s="102" t="s">
        <v>2186</v>
      </c>
    </row>
    <row r="40" spans="2:9" ht="17" x14ac:dyDescent="0.2">
      <c r="B40" s="277" t="s">
        <v>478</v>
      </c>
      <c r="C40" s="253" t="s">
        <v>541</v>
      </c>
      <c r="D40" s="251" t="s">
        <v>1533</v>
      </c>
      <c r="E40" s="243" t="s">
        <v>17</v>
      </c>
      <c r="F40" s="244">
        <v>41.360000000000007</v>
      </c>
      <c r="G40" s="249" t="s">
        <v>18</v>
      </c>
      <c r="H40" s="250">
        <v>0.72499759016987786</v>
      </c>
      <c r="I40" s="249" t="s">
        <v>2185</v>
      </c>
    </row>
    <row r="41" spans="2:9" ht="17" x14ac:dyDescent="0.2">
      <c r="B41" s="249" t="s">
        <v>479</v>
      </c>
      <c r="C41" s="254" t="s">
        <v>560</v>
      </c>
      <c r="D41" s="252" t="s">
        <v>643</v>
      </c>
      <c r="E41" s="247" t="s">
        <v>18</v>
      </c>
      <c r="F41" s="248">
        <v>34</v>
      </c>
      <c r="G41" s="249" t="s">
        <v>19</v>
      </c>
      <c r="H41" s="250">
        <v>0.4116664239953407</v>
      </c>
      <c r="I41" s="249" t="s">
        <v>2187</v>
      </c>
    </row>
    <row r="42" spans="2:9" ht="17" x14ac:dyDescent="0.2">
      <c r="B42" s="277" t="s">
        <v>478</v>
      </c>
      <c r="C42" s="253" t="s">
        <v>541</v>
      </c>
      <c r="D42" s="251" t="s">
        <v>554</v>
      </c>
      <c r="E42" s="243" t="s">
        <v>18</v>
      </c>
      <c r="F42" s="244">
        <v>33.944444444444443</v>
      </c>
      <c r="G42" s="249" t="s">
        <v>18</v>
      </c>
      <c r="H42" s="250">
        <v>0.60481846941358208</v>
      </c>
      <c r="I42" s="249" t="s">
        <v>2185</v>
      </c>
    </row>
    <row r="43" spans="2:9" ht="17" x14ac:dyDescent="0.2">
      <c r="B43" s="249" t="s">
        <v>478</v>
      </c>
      <c r="C43" s="254" t="s">
        <v>446</v>
      </c>
      <c r="D43" s="252" t="s">
        <v>648</v>
      </c>
      <c r="E43" s="247" t="s">
        <v>18</v>
      </c>
      <c r="F43" s="248">
        <v>33</v>
      </c>
      <c r="G43" s="249" t="s">
        <v>19</v>
      </c>
      <c r="H43" s="250">
        <v>0.52395269744231954</v>
      </c>
      <c r="I43" s="249" t="s">
        <v>2186</v>
      </c>
    </row>
    <row r="44" spans="2:9" ht="17" x14ac:dyDescent="0.2">
      <c r="B44" s="277" t="s">
        <v>478</v>
      </c>
      <c r="C44" s="253" t="s">
        <v>541</v>
      </c>
      <c r="D44" s="251" t="s">
        <v>546</v>
      </c>
      <c r="E44" s="243" t="s">
        <v>18</v>
      </c>
      <c r="F44" s="244">
        <v>32.9375</v>
      </c>
      <c r="G44" s="249" t="s">
        <v>19</v>
      </c>
      <c r="H44" s="250">
        <v>0.59848513189341834</v>
      </c>
      <c r="I44" s="249" t="s">
        <v>2186</v>
      </c>
    </row>
    <row r="45" spans="2:9" ht="17" x14ac:dyDescent="0.2">
      <c r="B45" s="249" t="s">
        <v>479</v>
      </c>
      <c r="C45" s="254" t="s">
        <v>541</v>
      </c>
      <c r="D45" s="252" t="s">
        <v>1219</v>
      </c>
      <c r="E45" s="247" t="s">
        <v>18</v>
      </c>
      <c r="F45" s="248">
        <v>32.370370370370374</v>
      </c>
      <c r="G45" s="249" t="s">
        <v>18</v>
      </c>
      <c r="H45" s="250">
        <v>0.67104756317801817</v>
      </c>
      <c r="I45" s="249" t="s">
        <v>2185</v>
      </c>
    </row>
    <row r="46" spans="2:9" ht="17" x14ac:dyDescent="0.2">
      <c r="B46" s="277" t="s">
        <v>478</v>
      </c>
      <c r="C46" s="253" t="s">
        <v>541</v>
      </c>
      <c r="D46" s="251" t="s">
        <v>630</v>
      </c>
      <c r="E46" s="243" t="s">
        <v>18</v>
      </c>
      <c r="F46" s="244">
        <v>32.199999999999996</v>
      </c>
      <c r="G46" s="249" t="s">
        <v>19</v>
      </c>
      <c r="H46" s="250">
        <v>0.55423271609471236</v>
      </c>
      <c r="I46" s="249" t="s">
        <v>2188</v>
      </c>
    </row>
    <row r="47" spans="2:9" ht="17" x14ac:dyDescent="0.2">
      <c r="B47" s="249" t="s">
        <v>478</v>
      </c>
      <c r="C47" s="254" t="s">
        <v>446</v>
      </c>
      <c r="D47" s="252" t="s">
        <v>447</v>
      </c>
      <c r="E47" s="247" t="s">
        <v>18</v>
      </c>
      <c r="F47" s="248">
        <v>32</v>
      </c>
      <c r="G47" s="249" t="s">
        <v>18</v>
      </c>
      <c r="H47" s="250">
        <v>0.66124409415537544</v>
      </c>
      <c r="I47" s="249" t="s">
        <v>2185</v>
      </c>
    </row>
    <row r="48" spans="2:9" ht="17" x14ac:dyDescent="0.2">
      <c r="B48" s="277" t="s">
        <v>479</v>
      </c>
      <c r="C48" s="253" t="s">
        <v>1004</v>
      </c>
      <c r="D48" s="251" t="s">
        <v>728</v>
      </c>
      <c r="E48" s="243" t="s">
        <v>18</v>
      </c>
      <c r="F48" s="244">
        <v>31.416666666666664</v>
      </c>
      <c r="G48" s="249" t="s">
        <v>18</v>
      </c>
      <c r="H48" s="250">
        <v>0.64802096428494504</v>
      </c>
      <c r="I48" s="249" t="s">
        <v>2185</v>
      </c>
    </row>
    <row r="49" spans="2:9" ht="34" x14ac:dyDescent="0.2">
      <c r="B49" s="249" t="s">
        <v>479</v>
      </c>
      <c r="C49" s="254" t="s">
        <v>1004</v>
      </c>
      <c r="D49" s="252" t="s">
        <v>562</v>
      </c>
      <c r="E49" s="247" t="s">
        <v>18</v>
      </c>
      <c r="F49" s="248">
        <v>31</v>
      </c>
      <c r="G49" s="249" t="s">
        <v>18</v>
      </c>
      <c r="H49" s="250">
        <v>0.71855032197352986</v>
      </c>
      <c r="I49" s="249" t="s">
        <v>2185</v>
      </c>
    </row>
    <row r="50" spans="2:9" ht="17" x14ac:dyDescent="0.2">
      <c r="B50" s="277" t="s">
        <v>478</v>
      </c>
      <c r="C50" s="253" t="s">
        <v>541</v>
      </c>
      <c r="D50" s="251" t="s">
        <v>547</v>
      </c>
      <c r="E50" s="243" t="s">
        <v>18</v>
      </c>
      <c r="F50" s="244">
        <v>30.942148760330575</v>
      </c>
      <c r="G50" s="249" t="s">
        <v>18</v>
      </c>
      <c r="H50" s="250">
        <v>0.65108012025759421</v>
      </c>
      <c r="I50" s="249" t="s">
        <v>2185</v>
      </c>
    </row>
    <row r="51" spans="2:9" ht="17" x14ac:dyDescent="0.2">
      <c r="B51" s="249" t="s">
        <v>479</v>
      </c>
      <c r="C51" s="254" t="s">
        <v>1004</v>
      </c>
      <c r="D51" s="252" t="s">
        <v>679</v>
      </c>
      <c r="E51" s="247" t="s">
        <v>18</v>
      </c>
      <c r="F51" s="248">
        <v>30.333333333333332</v>
      </c>
      <c r="G51" s="249" t="s">
        <v>19</v>
      </c>
      <c r="H51" s="250">
        <v>0.54318312329277429</v>
      </c>
      <c r="I51" s="249" t="s">
        <v>2186</v>
      </c>
    </row>
    <row r="52" spans="2:9" ht="17" x14ac:dyDescent="0.2">
      <c r="B52" s="274" t="s">
        <v>478</v>
      </c>
      <c r="C52" s="272" t="s">
        <v>482</v>
      </c>
      <c r="D52" s="273" t="s">
        <v>646</v>
      </c>
      <c r="E52" s="274" t="s">
        <v>18</v>
      </c>
      <c r="F52" s="275">
        <v>30</v>
      </c>
      <c r="G52" s="269" t="s">
        <v>1021</v>
      </c>
      <c r="H52" s="271">
        <v>0.38740000000000002</v>
      </c>
      <c r="I52" s="269" t="s">
        <v>2186</v>
      </c>
    </row>
    <row r="53" spans="2:9" ht="17" x14ac:dyDescent="0.2">
      <c r="B53" s="249" t="s">
        <v>478</v>
      </c>
      <c r="C53" s="254" t="s">
        <v>541</v>
      </c>
      <c r="D53" s="252" t="s">
        <v>568</v>
      </c>
      <c r="E53" s="247" t="s">
        <v>18</v>
      </c>
      <c r="F53" s="248">
        <v>30</v>
      </c>
      <c r="G53" s="249" t="s">
        <v>19</v>
      </c>
      <c r="H53" s="250">
        <v>0.51304496371262087</v>
      </c>
      <c r="I53" s="249" t="s">
        <v>2186</v>
      </c>
    </row>
    <row r="54" spans="2:9" ht="17" x14ac:dyDescent="0.2">
      <c r="B54" s="277" t="s">
        <v>479</v>
      </c>
      <c r="C54" s="253" t="s">
        <v>462</v>
      </c>
      <c r="D54" s="251" t="s">
        <v>592</v>
      </c>
      <c r="E54" s="243" t="s">
        <v>18</v>
      </c>
      <c r="F54" s="244">
        <v>29.92</v>
      </c>
      <c r="G54" s="249" t="s">
        <v>18</v>
      </c>
      <c r="H54" s="250">
        <v>0.64983577561403238</v>
      </c>
      <c r="I54" s="249" t="s">
        <v>2185</v>
      </c>
    </row>
    <row r="55" spans="2:9" ht="17" x14ac:dyDescent="0.2">
      <c r="B55" s="269" t="s">
        <v>479</v>
      </c>
      <c r="C55" s="267" t="s">
        <v>560</v>
      </c>
      <c r="D55" s="268" t="s">
        <v>628</v>
      </c>
      <c r="E55" s="269" t="s">
        <v>18</v>
      </c>
      <c r="F55" s="270">
        <v>29.75</v>
      </c>
      <c r="G55" s="269" t="s">
        <v>1021</v>
      </c>
      <c r="H55" s="271">
        <v>0.32922594780486447</v>
      </c>
      <c r="I55" s="269" t="s">
        <v>2187</v>
      </c>
    </row>
    <row r="56" spans="2:9" ht="17" x14ac:dyDescent="0.2">
      <c r="B56" s="277" t="s">
        <v>479</v>
      </c>
      <c r="C56" s="253" t="s">
        <v>475</v>
      </c>
      <c r="D56" s="251" t="s">
        <v>553</v>
      </c>
      <c r="E56" s="243" t="s">
        <v>18</v>
      </c>
      <c r="F56" s="244">
        <v>29.333333333333332</v>
      </c>
      <c r="G56" s="249" t="s">
        <v>18</v>
      </c>
      <c r="H56" s="250">
        <v>0.6413618857879626</v>
      </c>
      <c r="I56" s="249" t="s">
        <v>2185</v>
      </c>
    </row>
    <row r="57" spans="2:9" ht="17" x14ac:dyDescent="0.2">
      <c r="B57" s="249" t="s">
        <v>479</v>
      </c>
      <c r="C57" s="254" t="s">
        <v>482</v>
      </c>
      <c r="D57" s="252" t="s">
        <v>625</v>
      </c>
      <c r="E57" s="247" t="s">
        <v>18</v>
      </c>
      <c r="F57" s="248">
        <v>28.923076923076923</v>
      </c>
      <c r="G57" s="249" t="s">
        <v>18</v>
      </c>
      <c r="H57" s="250">
        <v>0.74559086145850872</v>
      </c>
      <c r="I57" s="249" t="s">
        <v>2185</v>
      </c>
    </row>
    <row r="58" spans="2:9" ht="17" x14ac:dyDescent="0.2">
      <c r="B58" s="277" t="s">
        <v>478</v>
      </c>
      <c r="C58" s="253" t="s">
        <v>541</v>
      </c>
      <c r="D58" s="251" t="s">
        <v>636</v>
      </c>
      <c r="E58" s="243" t="s">
        <v>18</v>
      </c>
      <c r="F58" s="244">
        <v>28.888888888888889</v>
      </c>
      <c r="G58" s="249" t="s">
        <v>18</v>
      </c>
      <c r="H58" s="250">
        <v>0.64990401171116585</v>
      </c>
      <c r="I58" s="249" t="s">
        <v>2185</v>
      </c>
    </row>
    <row r="59" spans="2:9" ht="17" x14ac:dyDescent="0.2">
      <c r="B59" s="249" t="s">
        <v>478</v>
      </c>
      <c r="C59" s="254" t="s">
        <v>446</v>
      </c>
      <c r="D59" s="252" t="s">
        <v>563</v>
      </c>
      <c r="E59" s="247" t="s">
        <v>18</v>
      </c>
      <c r="F59" s="248">
        <v>28.276643990929703</v>
      </c>
      <c r="G59" s="249" t="s">
        <v>18</v>
      </c>
      <c r="H59" s="250">
        <v>0.65299371041728405</v>
      </c>
      <c r="I59" s="249" t="s">
        <v>2185</v>
      </c>
    </row>
    <row r="60" spans="2:9" ht="17" x14ac:dyDescent="0.2">
      <c r="B60" s="277" t="s">
        <v>478</v>
      </c>
      <c r="C60" s="253" t="s">
        <v>482</v>
      </c>
      <c r="D60" s="251" t="s">
        <v>1164</v>
      </c>
      <c r="E60" s="243" t="s">
        <v>18</v>
      </c>
      <c r="F60" s="244">
        <v>28</v>
      </c>
      <c r="G60" s="249" t="s">
        <v>19</v>
      </c>
      <c r="H60" s="250">
        <v>0.57206099973193703</v>
      </c>
      <c r="I60" s="249" t="s">
        <v>2186</v>
      </c>
    </row>
    <row r="61" spans="2:9" ht="17" x14ac:dyDescent="0.2">
      <c r="B61" s="249" t="s">
        <v>478</v>
      </c>
      <c r="C61" s="254" t="s">
        <v>560</v>
      </c>
      <c r="D61" s="252" t="s">
        <v>1165</v>
      </c>
      <c r="E61" s="247" t="s">
        <v>18</v>
      </c>
      <c r="F61" s="248">
        <v>28</v>
      </c>
      <c r="G61" s="249" t="s">
        <v>19</v>
      </c>
      <c r="H61" s="250">
        <v>0.57206099973193703</v>
      </c>
      <c r="I61" s="249" t="s">
        <v>2186</v>
      </c>
    </row>
    <row r="62" spans="2:9" ht="17" x14ac:dyDescent="0.2">
      <c r="B62" s="277" t="s">
        <v>479</v>
      </c>
      <c r="C62" s="253" t="s">
        <v>475</v>
      </c>
      <c r="D62" s="251" t="s">
        <v>672</v>
      </c>
      <c r="E62" s="243" t="s">
        <v>18</v>
      </c>
      <c r="F62" s="244">
        <v>28</v>
      </c>
      <c r="G62" s="249" t="s">
        <v>19</v>
      </c>
      <c r="H62" s="250">
        <v>0.48248762376237619</v>
      </c>
      <c r="I62" s="249" t="s">
        <v>2186</v>
      </c>
    </row>
    <row r="63" spans="2:9" ht="17" x14ac:dyDescent="0.2">
      <c r="B63" s="249" t="s">
        <v>478</v>
      </c>
      <c r="C63" s="254" t="s">
        <v>482</v>
      </c>
      <c r="D63" s="252" t="s">
        <v>671</v>
      </c>
      <c r="E63" s="247" t="s">
        <v>18</v>
      </c>
      <c r="F63" s="248">
        <v>28</v>
      </c>
      <c r="G63" s="249" t="s">
        <v>19</v>
      </c>
      <c r="H63" s="250">
        <v>0.59240387020927165</v>
      </c>
      <c r="I63" s="249" t="s">
        <v>2186</v>
      </c>
    </row>
    <row r="64" spans="2:9" ht="17" x14ac:dyDescent="0.2">
      <c r="B64" s="274" t="s">
        <v>479</v>
      </c>
      <c r="C64" s="272" t="s">
        <v>1004</v>
      </c>
      <c r="D64" s="273" t="s">
        <v>706</v>
      </c>
      <c r="E64" s="274" t="s">
        <v>18</v>
      </c>
      <c r="F64" s="275">
        <v>28</v>
      </c>
      <c r="G64" s="269" t="s">
        <v>1021</v>
      </c>
      <c r="H64" s="271">
        <v>0.37122524752475244</v>
      </c>
      <c r="I64" s="269" t="s">
        <v>2187</v>
      </c>
    </row>
    <row r="65" spans="2:9" ht="17" x14ac:dyDescent="0.2">
      <c r="B65" s="249" t="s">
        <v>478</v>
      </c>
      <c r="C65" s="254" t="s">
        <v>541</v>
      </c>
      <c r="D65" s="252" t="s">
        <v>670</v>
      </c>
      <c r="E65" s="247" t="s">
        <v>18</v>
      </c>
      <c r="F65" s="248">
        <v>28</v>
      </c>
      <c r="G65" s="249" t="s">
        <v>19</v>
      </c>
      <c r="H65" s="250">
        <v>0.41998762376237619</v>
      </c>
      <c r="I65" s="249" t="s">
        <v>2186</v>
      </c>
    </row>
    <row r="66" spans="2:9" ht="17" x14ac:dyDescent="0.2">
      <c r="B66" s="274" t="s">
        <v>479</v>
      </c>
      <c r="C66" s="272" t="s">
        <v>1004</v>
      </c>
      <c r="D66" s="273" t="s">
        <v>1584</v>
      </c>
      <c r="E66" s="274" t="s">
        <v>18</v>
      </c>
      <c r="F66" s="275">
        <v>28</v>
      </c>
      <c r="G66" s="269" t="s">
        <v>1021</v>
      </c>
      <c r="H66" s="271">
        <v>0.37807048561999052</v>
      </c>
      <c r="I66" s="269" t="s">
        <v>2187</v>
      </c>
    </row>
    <row r="67" spans="2:9" ht="17" x14ac:dyDescent="0.2">
      <c r="B67" s="269" t="s">
        <v>478</v>
      </c>
      <c r="C67" s="267" t="s">
        <v>482</v>
      </c>
      <c r="D67" s="268" t="s">
        <v>497</v>
      </c>
      <c r="E67" s="269" t="s">
        <v>18</v>
      </c>
      <c r="F67" s="270">
        <v>28</v>
      </c>
      <c r="G67" s="269" t="s">
        <v>1021</v>
      </c>
      <c r="H67" s="271">
        <v>0.38873762376237619</v>
      </c>
      <c r="I67" s="269" t="s">
        <v>2186</v>
      </c>
    </row>
    <row r="68" spans="2:9" ht="17" x14ac:dyDescent="0.2">
      <c r="B68" s="277" t="s">
        <v>479</v>
      </c>
      <c r="C68" s="253" t="s">
        <v>475</v>
      </c>
      <c r="D68" s="251" t="s">
        <v>1315</v>
      </c>
      <c r="E68" s="243" t="s">
        <v>18</v>
      </c>
      <c r="F68" s="244">
        <v>28</v>
      </c>
      <c r="G68" s="249" t="s">
        <v>19</v>
      </c>
      <c r="H68" s="250">
        <v>0.45123762376237619</v>
      </c>
      <c r="I68" s="249" t="s">
        <v>2186</v>
      </c>
    </row>
    <row r="69" spans="2:9" ht="17" x14ac:dyDescent="0.2">
      <c r="B69" s="269" t="s">
        <v>478</v>
      </c>
      <c r="C69" s="267" t="s">
        <v>541</v>
      </c>
      <c r="D69" s="268" t="s">
        <v>724</v>
      </c>
      <c r="E69" s="269" t="s">
        <v>18</v>
      </c>
      <c r="F69" s="270">
        <v>28</v>
      </c>
      <c r="G69" s="269" t="s">
        <v>1021</v>
      </c>
      <c r="H69" s="271">
        <v>0.34682048561999052</v>
      </c>
      <c r="I69" s="269" t="s">
        <v>2187</v>
      </c>
    </row>
    <row r="70" spans="2:9" ht="17" x14ac:dyDescent="0.2">
      <c r="B70" s="277" t="s">
        <v>478</v>
      </c>
      <c r="C70" s="253" t="s">
        <v>475</v>
      </c>
      <c r="D70" s="251" t="s">
        <v>532</v>
      </c>
      <c r="E70" s="243" t="s">
        <v>18</v>
      </c>
      <c r="F70" s="244">
        <v>28</v>
      </c>
      <c r="G70" s="249" t="s">
        <v>19</v>
      </c>
      <c r="H70" s="250">
        <v>0.41998762376237619</v>
      </c>
      <c r="I70" s="249" t="s">
        <v>2186</v>
      </c>
    </row>
    <row r="71" spans="2:9" ht="17" x14ac:dyDescent="0.2">
      <c r="B71" s="249" t="s">
        <v>479</v>
      </c>
      <c r="C71" s="254" t="s">
        <v>541</v>
      </c>
      <c r="D71" s="252" t="s">
        <v>539</v>
      </c>
      <c r="E71" s="247" t="s">
        <v>18</v>
      </c>
      <c r="F71" s="248">
        <v>28</v>
      </c>
      <c r="G71" s="249" t="s">
        <v>19</v>
      </c>
      <c r="H71" s="250">
        <v>0.41998762376237619</v>
      </c>
      <c r="I71" s="249" t="s">
        <v>2186</v>
      </c>
    </row>
    <row r="72" spans="2:9" ht="17" x14ac:dyDescent="0.2">
      <c r="B72" s="249" t="s">
        <v>478</v>
      </c>
      <c r="C72" s="254" t="s">
        <v>462</v>
      </c>
      <c r="D72" s="252" t="s">
        <v>1239</v>
      </c>
      <c r="E72" s="245" t="s">
        <v>18</v>
      </c>
      <c r="F72" s="246">
        <v>27.5</v>
      </c>
      <c r="G72" s="249" t="s">
        <v>19</v>
      </c>
      <c r="H72" s="250">
        <v>0.45937707380953297</v>
      </c>
      <c r="I72" s="249" t="s">
        <v>2186</v>
      </c>
    </row>
    <row r="73" spans="2:9" ht="17" x14ac:dyDescent="0.2">
      <c r="B73" s="269" t="s">
        <v>479</v>
      </c>
      <c r="C73" s="267" t="s">
        <v>494</v>
      </c>
      <c r="D73" s="268" t="s">
        <v>537</v>
      </c>
      <c r="E73" s="269" t="s">
        <v>18</v>
      </c>
      <c r="F73" s="270">
        <v>27.5</v>
      </c>
      <c r="G73" s="269" t="s">
        <v>1021</v>
      </c>
      <c r="H73" s="271">
        <v>0.33713433843384338</v>
      </c>
      <c r="I73" s="269" t="s">
        <v>2187</v>
      </c>
    </row>
    <row r="74" spans="2:9" ht="17" x14ac:dyDescent="0.2">
      <c r="B74" s="274" t="s">
        <v>478</v>
      </c>
      <c r="C74" s="272" t="s">
        <v>560</v>
      </c>
      <c r="D74" s="273" t="s">
        <v>687</v>
      </c>
      <c r="E74" s="274" t="s">
        <v>18</v>
      </c>
      <c r="F74" s="275">
        <v>26.25</v>
      </c>
      <c r="G74" s="269" t="s">
        <v>1021</v>
      </c>
      <c r="H74" s="271">
        <v>0.34086810466760958</v>
      </c>
      <c r="I74" s="269" t="s">
        <v>2187</v>
      </c>
    </row>
    <row r="75" spans="2:9" ht="17" x14ac:dyDescent="0.2">
      <c r="B75" s="249" t="s">
        <v>479</v>
      </c>
      <c r="C75" s="254" t="s">
        <v>560</v>
      </c>
      <c r="D75" s="252" t="s">
        <v>572</v>
      </c>
      <c r="E75" s="247" t="s">
        <v>18</v>
      </c>
      <c r="F75" s="248">
        <v>26.2109375</v>
      </c>
      <c r="G75" s="249" t="s">
        <v>18</v>
      </c>
      <c r="H75" s="250">
        <v>0.62401388827302406</v>
      </c>
      <c r="I75" s="249" t="s">
        <v>2185</v>
      </c>
    </row>
    <row r="76" spans="2:9" ht="17" x14ac:dyDescent="0.2">
      <c r="B76" s="277" t="s">
        <v>479</v>
      </c>
      <c r="C76" s="253" t="s">
        <v>475</v>
      </c>
      <c r="D76" s="251" t="s">
        <v>533</v>
      </c>
      <c r="E76" s="243" t="s">
        <v>18</v>
      </c>
      <c r="F76" s="244">
        <v>26</v>
      </c>
      <c r="G76" s="249" t="s">
        <v>19</v>
      </c>
      <c r="H76" s="250">
        <v>0.50620864278684963</v>
      </c>
      <c r="I76" s="249" t="s">
        <v>2186</v>
      </c>
    </row>
    <row r="77" spans="2:9" ht="17" x14ac:dyDescent="0.2">
      <c r="B77" s="249" t="s">
        <v>479</v>
      </c>
      <c r="C77" s="254" t="s">
        <v>482</v>
      </c>
      <c r="D77" s="252" t="s">
        <v>602</v>
      </c>
      <c r="E77" s="247" t="s">
        <v>18</v>
      </c>
      <c r="F77" s="248">
        <v>26</v>
      </c>
      <c r="G77" s="249" t="s">
        <v>19</v>
      </c>
      <c r="H77" s="250">
        <v>0.5440817078669683</v>
      </c>
      <c r="I77" s="249" t="s">
        <v>2186</v>
      </c>
    </row>
  </sheetData>
  <conditionalFormatting sqref="E30:E34">
    <cfRule type="containsText" dxfId="23" priority="67" operator="containsText" text="MODERATE">
      <formula>NOT(ISERROR(SEARCH("MODERATE",E30)))</formula>
    </cfRule>
    <cfRule type="containsText" dxfId="22" priority="68" operator="containsText" text="VERY HIGH">
      <formula>NOT(ISERROR(SEARCH("VERY HIGH",E30)))</formula>
    </cfRule>
    <cfRule type="containsText" dxfId="21" priority="69" operator="containsText" text="HIGH">
      <formula>NOT(ISERROR(SEARCH("HIGH",E30)))</formula>
    </cfRule>
    <cfRule type="cellIs" dxfId="20" priority="70" operator="between">
      <formula>10</formula>
      <formula>24.999</formula>
    </cfRule>
    <cfRule type="cellIs" dxfId="19" priority="71" operator="between">
      <formula>25</formula>
      <formula>35.999</formula>
    </cfRule>
    <cfRule type="cellIs" dxfId="18" priority="72" operator="between">
      <formula>36</formula>
      <formula>50</formula>
    </cfRule>
  </conditionalFormatting>
  <conditionalFormatting sqref="E4:F13">
    <cfRule type="containsText" dxfId="17" priority="7" operator="containsText" text="MODERATE">
      <formula>NOT(ISERROR(SEARCH("MODERATE",E4)))</formula>
    </cfRule>
    <cfRule type="containsText" dxfId="16" priority="8" operator="containsText" text="VERY HIGH">
      <formula>NOT(ISERROR(SEARCH("VERY HIGH",E4)))</formula>
    </cfRule>
    <cfRule type="containsText" dxfId="15" priority="9" operator="containsText" text="HIGH">
      <formula>NOT(ISERROR(SEARCH("HIGH",E4)))</formula>
    </cfRule>
    <cfRule type="cellIs" dxfId="14" priority="10" operator="between">
      <formula>10</formula>
      <formula>24.999</formula>
    </cfRule>
    <cfRule type="cellIs" dxfId="13" priority="11" operator="between">
      <formula>25</formula>
      <formula>35.999</formula>
    </cfRule>
    <cfRule type="cellIs" dxfId="12" priority="12" operator="between">
      <formula>36</formula>
      <formula>50</formula>
    </cfRule>
  </conditionalFormatting>
  <conditionalFormatting sqref="E17:F26">
    <cfRule type="containsText" dxfId="11" priority="1" operator="containsText" text="MODERATE">
      <formula>NOT(ISERROR(SEARCH("MODERATE",E17)))</formula>
    </cfRule>
    <cfRule type="containsText" dxfId="10" priority="2" operator="containsText" text="VERY HIGH">
      <formula>NOT(ISERROR(SEARCH("VERY HIGH",E17)))</formula>
    </cfRule>
    <cfRule type="containsText" dxfId="9" priority="3" operator="containsText" text="HIGH">
      <formula>NOT(ISERROR(SEARCH("HIGH",E17)))</formula>
    </cfRule>
    <cfRule type="cellIs" dxfId="8" priority="4" operator="between">
      <formula>10</formula>
      <formula>24.999</formula>
    </cfRule>
    <cfRule type="cellIs" dxfId="7" priority="5" operator="between">
      <formula>25</formula>
      <formula>35.999</formula>
    </cfRule>
    <cfRule type="cellIs" dxfId="6" priority="6" operator="between">
      <formula>36</formula>
      <formula>50</formula>
    </cfRule>
  </conditionalFormatting>
  <conditionalFormatting sqref="E40:F77">
    <cfRule type="containsText" dxfId="5" priority="55" operator="containsText" text="MODERATE">
      <formula>NOT(ISERROR(SEARCH("MODERATE",E40)))</formula>
    </cfRule>
    <cfRule type="containsText" dxfId="4" priority="56" operator="containsText" text="VERY HIGH">
      <formula>NOT(ISERROR(SEARCH("VERY HIGH",E40)))</formula>
    </cfRule>
    <cfRule type="containsText" dxfId="3" priority="57" operator="containsText" text="HIGH">
      <formula>NOT(ISERROR(SEARCH("HIGH",E40)))</formula>
    </cfRule>
    <cfRule type="cellIs" dxfId="2" priority="58" operator="between">
      <formula>10</formula>
      <formula>24.999</formula>
    </cfRule>
    <cfRule type="cellIs" dxfId="1" priority="59" operator="between">
      <formula>25</formula>
      <formula>35.999</formula>
    </cfRule>
    <cfRule type="cellIs" dxfId="0" priority="60" operator="between">
      <formula>36</formula>
      <formula>50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FMECA_data</vt:lpstr>
      <vt:lpstr>HazardsRisks_synthesized</vt:lpstr>
      <vt:lpstr>cause_consequence_rating</vt:lpstr>
      <vt:lpstr>THEMES</vt:lpstr>
      <vt:lpstr>matrix_information</vt:lpstr>
      <vt:lpstr>definitions</vt:lpstr>
      <vt:lpstr>pivot</vt:lpstr>
      <vt:lpstr>MSc_figures_tables</vt:lpstr>
      <vt:lpstr>MSc_DA_BoxPlots</vt:lpstr>
      <vt:lpstr>ArcticNet_ASM_PrelimData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Anthony Rettinger</dc:creator>
  <cp:lastModifiedBy>Connor Nixon</cp:lastModifiedBy>
  <dcterms:created xsi:type="dcterms:W3CDTF">2023-09-03T13:48:43Z</dcterms:created>
  <dcterms:modified xsi:type="dcterms:W3CDTF">2024-06-05T16:18:19Z</dcterms:modified>
</cp:coreProperties>
</file>